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FinalCostCert\App\"/>
    </mc:Choice>
  </mc:AlternateContent>
  <xr:revisionPtr revIDLastSave="0" documentId="13_ncr:1_{A8C67C23-7C33-461D-AC4F-01632D81FA00}" xr6:coauthVersionLast="45" xr6:coauthVersionMax="45" xr10:uidLastSave="{00000000-0000-0000-0000-000000000000}"/>
  <workbookProtection workbookAlgorithmName="SHA-512" workbookHashValue="sHHAlqv1cvKDO76j2GjN3m0lGRMR2VVBTWeUnZFX/vxZ5vQHrLPPHgBa/KAgJkh9blk5cIPB8O0RMWzdzC2GEQ==" workbookSaltValue="vxtr7jeQnEzCIBUuuVUzxg==" workbookSpinCount="100000" lockStructure="1"/>
  <bookViews>
    <workbookView xWindow="-120" yWindow="-120" windowWidth="29040" windowHeight="15840" tabRatio="948" xr2:uid="{00000000-000D-0000-FFFF-FFFF00000000}"/>
  </bookViews>
  <sheets>
    <sheet name="Final Alloc Applic Instructions" sheetId="73" r:id="rId1"/>
    <sheet name="Final Alloc Applicatn Checklist" sheetId="74"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75" r:id="rId9"/>
    <sheet name="Part VI-Revenues &amp; Expenses" sheetId="76" r:id="rId10"/>
    <sheet name="Part VI-B Project Cost Limit" sheetId="6" state="hidden" r:id="rId11"/>
    <sheet name="Part VII-Pro Forma" sheetId="77" r:id="rId12"/>
    <sheet name="Executive Summary" sheetId="48" state="hidden" r:id="rId13"/>
    <sheet name="Subsidy Layering Memo" sheetId="49" state="hidden" r:id="rId14"/>
    <sheet name="Overview" sheetId="50" state="hidden" r:id="rId15"/>
    <sheet name="After-Tax Analysis" sheetId="51" state="hidden" r:id="rId16"/>
    <sheet name="Payments-Ex B" sheetId="52" state="hidden" r:id="rId17"/>
    <sheet name="Subsidy Layering WS" sheetId="53" state="hidden" r:id="rId18"/>
    <sheet name="Preview term" sheetId="54" state="hidden" r:id="rId19"/>
    <sheet name="Closing term sheet" sheetId="55" state="hidden" r:id="rId20"/>
    <sheet name="Closing ExhA" sheetId="56" state="hidden" r:id="rId21"/>
    <sheet name="IDIS Setup" sheetId="57" state="hidden" r:id="rId22"/>
    <sheet name="Part VIII-Bldg Credit Alloc NC" sheetId="63" r:id="rId23"/>
    <sheet name="Part VIII-Bldg Credit Alloc SR" sheetId="66" r:id="rId24"/>
    <sheet name="Part VIII-Bldg Credit Alloc AR" sheetId="67" r:id="rId25"/>
    <sheet name="Part VIII-BldgCreditAlloc TOTAL" sheetId="68" r:id="rId26"/>
    <sheet name="Part IX-Changes Narrative" sheetId="69" r:id="rId27"/>
    <sheet name="Part X-Owner Certification" sheetId="70" r:id="rId28"/>
    <sheet name="Part XI-50% Test" sheetId="71" r:id="rId29"/>
    <sheet name="DCA Underwriting Assumptions" sheetId="78" state="hidden" r:id="rId30"/>
    <sheet name="DCAUseOnlyDataCollector" sheetId="79" state="hidden" r:id="rId31"/>
  </sheets>
  <definedNames>
    <definedName name="_xlnm.Print_Area" localSheetId="15">'After-Tax Analysis'!$A$1:$O$59</definedName>
    <definedName name="_xlnm.Print_Area" localSheetId="20">'Closing ExhA'!$A$3:$H$47</definedName>
    <definedName name="_xlnm.Print_Area" localSheetId="19">'Closing term sheet'!$A$4:$J$209</definedName>
    <definedName name="_xlnm.Print_Area" localSheetId="29">'DCA Underwriting Assumptions'!$A$1:$R$317</definedName>
    <definedName name="_xlnm.Print_Area" localSheetId="12">'Executive Summary'!$A$1:$J$28</definedName>
    <definedName name="_xlnm.Print_Area" localSheetId="21">'IDIS Setup'!$A$1:$I$85</definedName>
    <definedName name="_xlnm.Print_Area" localSheetId="14">Overview!$A$1:$L$82</definedName>
    <definedName name="_xlnm.Print_Area" localSheetId="3">'Part II-Development Team'!$A$1:$S$154</definedName>
    <definedName name="_xlnm.Print_Area" localSheetId="5">'Part III B-USDA 538 Loan'!$A$1:$F$111</definedName>
    <definedName name="_xlnm.Print_Area" localSheetId="6">'Part III C-HUD Insured Loan'!$A$1:$F$47</definedName>
    <definedName name="_xlnm.Print_Area" localSheetId="4">'Part III-Sources of Funds'!$A$1:$Q$44</definedName>
    <definedName name="_xlnm.Print_Area" localSheetId="2">'Part I-Project Information'!$A$1:$P$119</definedName>
    <definedName name="_xlnm.Print_Area" localSheetId="7">'Part IV-Uses of Funds'!$A$1:$T$173</definedName>
    <definedName name="_xlnm.Print_Area" localSheetId="26">'Part IX-Changes Narrative'!$A$1:$M$41</definedName>
    <definedName name="_xlnm.Print_Area" localSheetId="10">'Part VI-B Project Cost Limit'!$A$1:$S$43</definedName>
    <definedName name="_xlnm.Print_Area" localSheetId="24">'Part VIII-Bldg Credit Alloc AR'!$A$1:$R$180</definedName>
    <definedName name="_xlnm.Print_Area" localSheetId="22">'Part VIII-Bldg Credit Alloc NC'!$A$1:$R$180</definedName>
    <definedName name="_xlnm.Print_Area" localSheetId="23">'Part VIII-Bldg Credit Alloc SR'!$A$1:$R$180</definedName>
    <definedName name="_xlnm.Print_Area" localSheetId="25">'Part VIII-BldgCreditAlloc TOTAL'!$A$1:$R$28</definedName>
    <definedName name="_xlnm.Print_Area" localSheetId="11">'Part VII-Pro Forma'!$A$1:$K$139</definedName>
    <definedName name="_xlnm.Print_Area" localSheetId="9">'Part VI-Revenues &amp; Expenses'!$A$1:$P$249</definedName>
    <definedName name="_xlnm.Print_Area" localSheetId="8">'Part V-Utility Allowances'!$A$1:$M$46</definedName>
    <definedName name="_xlnm.Print_Area" localSheetId="18">'Preview term'!$A$1:$H$77</definedName>
    <definedName name="_xlnm.Print_Area" localSheetId="13">'Subsidy Layering Memo'!$A$1:$J$119</definedName>
    <definedName name="_xlnm.Print_Titles" localSheetId="20">'Closing ExhA'!$1:$2</definedName>
    <definedName name="_xlnm.Print_Titles" localSheetId="19">'Closing term sheet'!$1:$3</definedName>
    <definedName name="_xlnm.Print_Titles" localSheetId="21">'IDIS Setup'!$1:$4</definedName>
    <definedName name="_xlnm.Print_Titles" localSheetId="14">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0">'Part VI-B Project Cost Limit'!$1:$2</definedName>
    <definedName name="_xlnm.Print_Titles" localSheetId="24">'Part VIII-Bldg Credit Alloc AR'!$1:$3</definedName>
    <definedName name="_xlnm.Print_Titles" localSheetId="22">'Part VIII-Bldg Credit Alloc NC'!$1:$3</definedName>
    <definedName name="_xlnm.Print_Titles" localSheetId="23">'Part VIII-Bldg Credit Alloc SR'!$1:$3</definedName>
    <definedName name="_xlnm.Print_Titles" localSheetId="25">'Part VIII-BldgCreditAlloc TOTAL'!$1:$2</definedName>
    <definedName name="_xlnm.Print_Titles" localSheetId="11">'Part VII-Pro Forma'!$1:$10</definedName>
    <definedName name="_xlnm.Print_Titles" localSheetId="9">'Part VI-Revenues &amp; Expenses'!$1:$2</definedName>
    <definedName name="_xlnm.Print_Titles" localSheetId="18">'Preview term'!$1:$2</definedName>
    <definedName name="_xlnm.Print_Titles" localSheetId="17">'Subsidy Layering WS'!$1:$3</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63" l="1"/>
  <c r="A1" i="66"/>
  <c r="A1" i="67"/>
  <c r="M3" i="67"/>
  <c r="M3" i="66"/>
  <c r="M3" i="63"/>
  <c r="R69" i="76" l="1"/>
  <c r="K53" i="76"/>
  <c r="J1580" i="79" l="1"/>
  <c r="J1577" i="79"/>
  <c r="A1550" i="79"/>
  <c r="A1532" i="79"/>
  <c r="A1518" i="79"/>
  <c r="A1489" i="79"/>
  <c r="O1482" i="79"/>
  <c r="N1482" i="79"/>
  <c r="O1481" i="79"/>
  <c r="N1481" i="79"/>
  <c r="O1480" i="79"/>
  <c r="N1480" i="79"/>
  <c r="O1479" i="79"/>
  <c r="N1479" i="79"/>
  <c r="O1478" i="79"/>
  <c r="N1478" i="79"/>
  <c r="O1477" i="79"/>
  <c r="N1477" i="79"/>
  <c r="O1476" i="79"/>
  <c r="N1476" i="79"/>
  <c r="O1475" i="79"/>
  <c r="N1475" i="79"/>
  <c r="O1474" i="79"/>
  <c r="N1474" i="79"/>
  <c r="O1473" i="79"/>
  <c r="N1473" i="79"/>
  <c r="O1472" i="79"/>
  <c r="N1472" i="79"/>
  <c r="O1471" i="79"/>
  <c r="N1471" i="79"/>
  <c r="O1470" i="79"/>
  <c r="N1470" i="79"/>
  <c r="O1469" i="79"/>
  <c r="N1469" i="79"/>
  <c r="O1468" i="79"/>
  <c r="N1468" i="79"/>
  <c r="O1467" i="79"/>
  <c r="N1467" i="79"/>
  <c r="O1466" i="79"/>
  <c r="N1466" i="79"/>
  <c r="O1465" i="79"/>
  <c r="N1465" i="79"/>
  <c r="O1464" i="79"/>
  <c r="N1464" i="79"/>
  <c r="O1463" i="79"/>
  <c r="N1463" i="79"/>
  <c r="O1462" i="79"/>
  <c r="N1462" i="79"/>
  <c r="O1461" i="79"/>
  <c r="N1461" i="79"/>
  <c r="O1460" i="79"/>
  <c r="N1460" i="79"/>
  <c r="O1459" i="79"/>
  <c r="N1459" i="79"/>
  <c r="O1458" i="79"/>
  <c r="N1458" i="79"/>
  <c r="O1457" i="79"/>
  <c r="N1457" i="79"/>
  <c r="O1456" i="79"/>
  <c r="N1456" i="79"/>
  <c r="O1455" i="79"/>
  <c r="N1455" i="79"/>
  <c r="O1454" i="79"/>
  <c r="N1454" i="79"/>
  <c r="O1453" i="79"/>
  <c r="N1453" i="79"/>
  <c r="O1452" i="79"/>
  <c r="N1452" i="79"/>
  <c r="O1451" i="79"/>
  <c r="N1451" i="79"/>
  <c r="O1450" i="79"/>
  <c r="N1450" i="79"/>
  <c r="K1482" i="79"/>
  <c r="J1482" i="79"/>
  <c r="I1482" i="79"/>
  <c r="H1482" i="79"/>
  <c r="G1482" i="79"/>
  <c r="F1482" i="79"/>
  <c r="E1482" i="79"/>
  <c r="D1482" i="79"/>
  <c r="A1482" i="79"/>
  <c r="K1481" i="79"/>
  <c r="J1481" i="79"/>
  <c r="I1481" i="79"/>
  <c r="H1481" i="79"/>
  <c r="G1481" i="79"/>
  <c r="F1481" i="79"/>
  <c r="E1481" i="79"/>
  <c r="D1481" i="79"/>
  <c r="A1481" i="79"/>
  <c r="K1480" i="79"/>
  <c r="J1480" i="79"/>
  <c r="I1480" i="79"/>
  <c r="H1480" i="79"/>
  <c r="G1480" i="79"/>
  <c r="F1480" i="79"/>
  <c r="E1480" i="79"/>
  <c r="D1480" i="79"/>
  <c r="A1480" i="79"/>
  <c r="K1479" i="79"/>
  <c r="J1479" i="79"/>
  <c r="I1479" i="79"/>
  <c r="H1479" i="79"/>
  <c r="G1479" i="79"/>
  <c r="F1479" i="79"/>
  <c r="E1479" i="79"/>
  <c r="D1479" i="79"/>
  <c r="A1479" i="79"/>
  <c r="K1478" i="79"/>
  <c r="J1478" i="79"/>
  <c r="I1478" i="79"/>
  <c r="H1478" i="79"/>
  <c r="G1478" i="79"/>
  <c r="F1478" i="79"/>
  <c r="E1478" i="79"/>
  <c r="D1478" i="79"/>
  <c r="A1478" i="79"/>
  <c r="K1477" i="79"/>
  <c r="J1477" i="79"/>
  <c r="I1477" i="79"/>
  <c r="H1477" i="79"/>
  <c r="G1477" i="79"/>
  <c r="F1477" i="79"/>
  <c r="E1477" i="79"/>
  <c r="L1477" i="79" s="1"/>
  <c r="D1477" i="79"/>
  <c r="A1477" i="79"/>
  <c r="K1476" i="79"/>
  <c r="J1476" i="79"/>
  <c r="I1476" i="79"/>
  <c r="H1476" i="79"/>
  <c r="G1476" i="79"/>
  <c r="F1476" i="79"/>
  <c r="E1476" i="79"/>
  <c r="D1476" i="79"/>
  <c r="A1476" i="79"/>
  <c r="K1475" i="79"/>
  <c r="J1475" i="79"/>
  <c r="I1475" i="79"/>
  <c r="H1475" i="79"/>
  <c r="G1475" i="79"/>
  <c r="F1475" i="79"/>
  <c r="E1475" i="79"/>
  <c r="D1475" i="79"/>
  <c r="A1475" i="79"/>
  <c r="K1474" i="79"/>
  <c r="J1474" i="79"/>
  <c r="I1474" i="79"/>
  <c r="H1474" i="79"/>
  <c r="G1474" i="79"/>
  <c r="F1474" i="79"/>
  <c r="E1474" i="79"/>
  <c r="D1474" i="79"/>
  <c r="A1474" i="79"/>
  <c r="K1473" i="79"/>
  <c r="J1473" i="79"/>
  <c r="I1473" i="79"/>
  <c r="H1473" i="79"/>
  <c r="G1473" i="79"/>
  <c r="F1473" i="79"/>
  <c r="E1473" i="79"/>
  <c r="D1473" i="79"/>
  <c r="A1473" i="79"/>
  <c r="K1472" i="79"/>
  <c r="J1472" i="79"/>
  <c r="I1472" i="79"/>
  <c r="H1472" i="79"/>
  <c r="G1472" i="79"/>
  <c r="F1472" i="79"/>
  <c r="E1472" i="79"/>
  <c r="D1472" i="79"/>
  <c r="A1472" i="79"/>
  <c r="K1471" i="79"/>
  <c r="J1471" i="79"/>
  <c r="I1471" i="79"/>
  <c r="H1471" i="79"/>
  <c r="G1471" i="79"/>
  <c r="F1471" i="79"/>
  <c r="E1471" i="79"/>
  <c r="D1471" i="79"/>
  <c r="A1471" i="79"/>
  <c r="K1470" i="79"/>
  <c r="J1470" i="79"/>
  <c r="I1470" i="79"/>
  <c r="H1470" i="79"/>
  <c r="G1470" i="79"/>
  <c r="F1470" i="79"/>
  <c r="E1470" i="79"/>
  <c r="D1470" i="79"/>
  <c r="A1470" i="79"/>
  <c r="K1469" i="79"/>
  <c r="J1469" i="79"/>
  <c r="I1469" i="79"/>
  <c r="H1469" i="79"/>
  <c r="G1469" i="79"/>
  <c r="F1469" i="79"/>
  <c r="E1469" i="79"/>
  <c r="L1469" i="79" s="1"/>
  <c r="D1469" i="79"/>
  <c r="A1469" i="79"/>
  <c r="K1468" i="79"/>
  <c r="J1468" i="79"/>
  <c r="I1468" i="79"/>
  <c r="H1468" i="79"/>
  <c r="G1468" i="79"/>
  <c r="F1468" i="79"/>
  <c r="E1468" i="79"/>
  <c r="D1468" i="79"/>
  <c r="A1468" i="79"/>
  <c r="K1467" i="79"/>
  <c r="J1467" i="79"/>
  <c r="I1467" i="79"/>
  <c r="H1467" i="79"/>
  <c r="G1467" i="79"/>
  <c r="F1467" i="79"/>
  <c r="E1467" i="79"/>
  <c r="D1467" i="79"/>
  <c r="A1467" i="79"/>
  <c r="K1466" i="79"/>
  <c r="J1466" i="79"/>
  <c r="I1466" i="79"/>
  <c r="H1466" i="79"/>
  <c r="G1466" i="79"/>
  <c r="F1466" i="79"/>
  <c r="E1466" i="79"/>
  <c r="D1466" i="79"/>
  <c r="A1466" i="79"/>
  <c r="K1465" i="79"/>
  <c r="J1465" i="79"/>
  <c r="I1465" i="79"/>
  <c r="H1465" i="79"/>
  <c r="G1465" i="79"/>
  <c r="F1465" i="79"/>
  <c r="E1465" i="79"/>
  <c r="D1465" i="79"/>
  <c r="A1465" i="79"/>
  <c r="K1464" i="79"/>
  <c r="J1464" i="79"/>
  <c r="I1464" i="79"/>
  <c r="H1464" i="79"/>
  <c r="G1464" i="79"/>
  <c r="F1464" i="79"/>
  <c r="E1464" i="79"/>
  <c r="D1464" i="79"/>
  <c r="A1464" i="79"/>
  <c r="K1463" i="79"/>
  <c r="J1463" i="79"/>
  <c r="I1463" i="79"/>
  <c r="H1463" i="79"/>
  <c r="G1463" i="79"/>
  <c r="F1463" i="79"/>
  <c r="E1463" i="79"/>
  <c r="D1463" i="79"/>
  <c r="A1463" i="79"/>
  <c r="K1462" i="79"/>
  <c r="J1462" i="79"/>
  <c r="I1462" i="79"/>
  <c r="H1462" i="79"/>
  <c r="G1462" i="79"/>
  <c r="F1462" i="79"/>
  <c r="E1462" i="79"/>
  <c r="D1462" i="79"/>
  <c r="A1462" i="79"/>
  <c r="K1461" i="79"/>
  <c r="J1461" i="79"/>
  <c r="I1461" i="79"/>
  <c r="H1461" i="79"/>
  <c r="G1461" i="79"/>
  <c r="F1461" i="79"/>
  <c r="E1461" i="79"/>
  <c r="L1461" i="79" s="1"/>
  <c r="M1461" i="79" s="1"/>
  <c r="D1461" i="79"/>
  <c r="A1461" i="79"/>
  <c r="K1460" i="79"/>
  <c r="J1460" i="79"/>
  <c r="I1460" i="79"/>
  <c r="H1460" i="79"/>
  <c r="G1460" i="79"/>
  <c r="F1460" i="79"/>
  <c r="E1460" i="79"/>
  <c r="D1460" i="79"/>
  <c r="A1460" i="79"/>
  <c r="K1459" i="79"/>
  <c r="J1459" i="79"/>
  <c r="I1459" i="79"/>
  <c r="H1459" i="79"/>
  <c r="G1459" i="79"/>
  <c r="F1459" i="79"/>
  <c r="E1459" i="79"/>
  <c r="D1459" i="79"/>
  <c r="A1459" i="79"/>
  <c r="K1458" i="79"/>
  <c r="J1458" i="79"/>
  <c r="I1458" i="79"/>
  <c r="H1458" i="79"/>
  <c r="G1458" i="79"/>
  <c r="F1458" i="79"/>
  <c r="E1458" i="79"/>
  <c r="D1458" i="79"/>
  <c r="A1458" i="79"/>
  <c r="K1457" i="79"/>
  <c r="J1457" i="79"/>
  <c r="I1457" i="79"/>
  <c r="H1457" i="79"/>
  <c r="G1457" i="79"/>
  <c r="F1457" i="79"/>
  <c r="E1457" i="79"/>
  <c r="D1457" i="79"/>
  <c r="A1457" i="79"/>
  <c r="K1456" i="79"/>
  <c r="J1456" i="79"/>
  <c r="I1456" i="79"/>
  <c r="H1456" i="79"/>
  <c r="G1456" i="79"/>
  <c r="F1456" i="79"/>
  <c r="E1456" i="79"/>
  <c r="D1456" i="79"/>
  <c r="A1456" i="79"/>
  <c r="K1455" i="79"/>
  <c r="J1455" i="79"/>
  <c r="I1455" i="79"/>
  <c r="H1455" i="79"/>
  <c r="G1455" i="79"/>
  <c r="F1455" i="79"/>
  <c r="E1455" i="79"/>
  <c r="D1455" i="79"/>
  <c r="A1455" i="79"/>
  <c r="K1454" i="79"/>
  <c r="J1454" i="79"/>
  <c r="I1454" i="79"/>
  <c r="H1454" i="79"/>
  <c r="G1454" i="79"/>
  <c r="F1454" i="79"/>
  <c r="E1454" i="79"/>
  <c r="D1454" i="79"/>
  <c r="A1454" i="79"/>
  <c r="K1453" i="79"/>
  <c r="J1453" i="79"/>
  <c r="I1453" i="79"/>
  <c r="H1453" i="79"/>
  <c r="G1453" i="79"/>
  <c r="F1453" i="79"/>
  <c r="E1453" i="79"/>
  <c r="L1453" i="79" s="1"/>
  <c r="D1453" i="79"/>
  <c r="A1453" i="79"/>
  <c r="K1452" i="79"/>
  <c r="J1452" i="79"/>
  <c r="I1452" i="79"/>
  <c r="H1452" i="79"/>
  <c r="G1452" i="79"/>
  <c r="F1452" i="79"/>
  <c r="E1452" i="79"/>
  <c r="D1452" i="79"/>
  <c r="A1452" i="79"/>
  <c r="K1451" i="79"/>
  <c r="J1451" i="79"/>
  <c r="I1451" i="79"/>
  <c r="H1451" i="79"/>
  <c r="G1451" i="79"/>
  <c r="F1451" i="79"/>
  <c r="E1451" i="79"/>
  <c r="D1451" i="79"/>
  <c r="A1451" i="79"/>
  <c r="K1450" i="79"/>
  <c r="J1450" i="79"/>
  <c r="I1450" i="79"/>
  <c r="H1450" i="79"/>
  <c r="G1450" i="79"/>
  <c r="F1450" i="79"/>
  <c r="E1450" i="79"/>
  <c r="D1450" i="79"/>
  <c r="A1450" i="79"/>
  <c r="K1442" i="79"/>
  <c r="J1442" i="79"/>
  <c r="I1442" i="79"/>
  <c r="H1442" i="79"/>
  <c r="G1442" i="79"/>
  <c r="F1442" i="79"/>
  <c r="E1442" i="79"/>
  <c r="D1442" i="79"/>
  <c r="A1442" i="79"/>
  <c r="K1441" i="79"/>
  <c r="J1441" i="79"/>
  <c r="I1441" i="79"/>
  <c r="H1441" i="79"/>
  <c r="G1441" i="79"/>
  <c r="F1441" i="79"/>
  <c r="E1441" i="79"/>
  <c r="D1441" i="79"/>
  <c r="A1441" i="79"/>
  <c r="K1440" i="79"/>
  <c r="J1440" i="79"/>
  <c r="I1440" i="79"/>
  <c r="H1440" i="79"/>
  <c r="G1440" i="79"/>
  <c r="F1440" i="79"/>
  <c r="E1440" i="79"/>
  <c r="D1440" i="79"/>
  <c r="A1440" i="79"/>
  <c r="K1439" i="79"/>
  <c r="J1439" i="79"/>
  <c r="I1439" i="79"/>
  <c r="H1439" i="79"/>
  <c r="L1439" i="79" s="1"/>
  <c r="G1439" i="79"/>
  <c r="F1439" i="79"/>
  <c r="E1439" i="79"/>
  <c r="D1439" i="79"/>
  <c r="A1439" i="79"/>
  <c r="K1438" i="79"/>
  <c r="J1438" i="79"/>
  <c r="I1438" i="79"/>
  <c r="H1438" i="79"/>
  <c r="G1438" i="79"/>
  <c r="F1438" i="79"/>
  <c r="E1438" i="79"/>
  <c r="L1438" i="79" s="1"/>
  <c r="D1438" i="79"/>
  <c r="A1438" i="79"/>
  <c r="K1437" i="79"/>
  <c r="J1437" i="79"/>
  <c r="I1437" i="79"/>
  <c r="H1437" i="79"/>
  <c r="G1437" i="79"/>
  <c r="F1437" i="79"/>
  <c r="E1437" i="79"/>
  <c r="D1437" i="79"/>
  <c r="A1437" i="79"/>
  <c r="K1436" i="79"/>
  <c r="J1436" i="79"/>
  <c r="I1436" i="79"/>
  <c r="H1436" i="79"/>
  <c r="G1436" i="79"/>
  <c r="F1436" i="79"/>
  <c r="E1436" i="79"/>
  <c r="D1436" i="79"/>
  <c r="A1436" i="79"/>
  <c r="K1435" i="79"/>
  <c r="J1435" i="79"/>
  <c r="I1435" i="79"/>
  <c r="H1435" i="79"/>
  <c r="G1435" i="79"/>
  <c r="F1435" i="79"/>
  <c r="E1435" i="79"/>
  <c r="D1435" i="79"/>
  <c r="A1435" i="79"/>
  <c r="K1434" i="79"/>
  <c r="J1434" i="79"/>
  <c r="I1434" i="79"/>
  <c r="H1434" i="79"/>
  <c r="G1434" i="79"/>
  <c r="F1434" i="79"/>
  <c r="E1434" i="79"/>
  <c r="D1434" i="79"/>
  <c r="A1434" i="79"/>
  <c r="K1433" i="79"/>
  <c r="J1433" i="79"/>
  <c r="I1433" i="79"/>
  <c r="H1433" i="79"/>
  <c r="G1433" i="79"/>
  <c r="F1433" i="79"/>
  <c r="E1433" i="79"/>
  <c r="D1433" i="79"/>
  <c r="A1433" i="79"/>
  <c r="K1432" i="79"/>
  <c r="J1432" i="79"/>
  <c r="I1432" i="79"/>
  <c r="H1432" i="79"/>
  <c r="G1432" i="79"/>
  <c r="F1432" i="79"/>
  <c r="E1432" i="79"/>
  <c r="D1432" i="79"/>
  <c r="A1432" i="79"/>
  <c r="K1431" i="79"/>
  <c r="J1431" i="79"/>
  <c r="I1431" i="79"/>
  <c r="H1431" i="79"/>
  <c r="L1431" i="79" s="1"/>
  <c r="G1431" i="79"/>
  <c r="F1431" i="79"/>
  <c r="E1431" i="79"/>
  <c r="D1431" i="79"/>
  <c r="A1431" i="79"/>
  <c r="K1430" i="79"/>
  <c r="J1430" i="79"/>
  <c r="I1430" i="79"/>
  <c r="H1430" i="79"/>
  <c r="G1430" i="79"/>
  <c r="F1430" i="79"/>
  <c r="E1430" i="79"/>
  <c r="L1430" i="79" s="1"/>
  <c r="D1430" i="79"/>
  <c r="A1430" i="79"/>
  <c r="K1429" i="79"/>
  <c r="J1429" i="79"/>
  <c r="I1429" i="79"/>
  <c r="H1429" i="79"/>
  <c r="G1429" i="79"/>
  <c r="F1429" i="79"/>
  <c r="L1429" i="79" s="1"/>
  <c r="E1429" i="79"/>
  <c r="D1429" i="79"/>
  <c r="A1429" i="79"/>
  <c r="K1428" i="79"/>
  <c r="J1428" i="79"/>
  <c r="I1428" i="79"/>
  <c r="H1428" i="79"/>
  <c r="G1428" i="79"/>
  <c r="F1428" i="79"/>
  <c r="E1428" i="79"/>
  <c r="D1428" i="79"/>
  <c r="A1428" i="79"/>
  <c r="K1427" i="79"/>
  <c r="J1427" i="79"/>
  <c r="I1427" i="79"/>
  <c r="H1427" i="79"/>
  <c r="G1427" i="79"/>
  <c r="F1427" i="79"/>
  <c r="E1427" i="79"/>
  <c r="D1427" i="79"/>
  <c r="A1427" i="79"/>
  <c r="K1426" i="79"/>
  <c r="J1426" i="79"/>
  <c r="I1426" i="79"/>
  <c r="H1426" i="79"/>
  <c r="G1426" i="79"/>
  <c r="F1426" i="79"/>
  <c r="E1426" i="79"/>
  <c r="D1426" i="79"/>
  <c r="A1426" i="79"/>
  <c r="K1425" i="79"/>
  <c r="J1425" i="79"/>
  <c r="I1425" i="79"/>
  <c r="H1425" i="79"/>
  <c r="G1425" i="79"/>
  <c r="F1425" i="79"/>
  <c r="E1425" i="79"/>
  <c r="D1425" i="79"/>
  <c r="A1425" i="79"/>
  <c r="K1424" i="79"/>
  <c r="J1424" i="79"/>
  <c r="I1424" i="79"/>
  <c r="H1424" i="79"/>
  <c r="G1424" i="79"/>
  <c r="F1424" i="79"/>
  <c r="E1424" i="79"/>
  <c r="D1424" i="79"/>
  <c r="A1424" i="79"/>
  <c r="K1423" i="79"/>
  <c r="J1423" i="79"/>
  <c r="I1423" i="79"/>
  <c r="H1423" i="79"/>
  <c r="L1423" i="79" s="1"/>
  <c r="G1423" i="79"/>
  <c r="F1423" i="79"/>
  <c r="E1423" i="79"/>
  <c r="D1423" i="79"/>
  <c r="A1423" i="79"/>
  <c r="K1422" i="79"/>
  <c r="J1422" i="79"/>
  <c r="I1422" i="79"/>
  <c r="H1422" i="79"/>
  <c r="G1422" i="79"/>
  <c r="F1422" i="79"/>
  <c r="E1422" i="79"/>
  <c r="L1422" i="79" s="1"/>
  <c r="D1422" i="79"/>
  <c r="A1422" i="79"/>
  <c r="K1421" i="79"/>
  <c r="J1421" i="79"/>
  <c r="I1421" i="79"/>
  <c r="H1421" i="79"/>
  <c r="G1421" i="79"/>
  <c r="F1421" i="79"/>
  <c r="L1421" i="79" s="1"/>
  <c r="E1421" i="79"/>
  <c r="D1421" i="79"/>
  <c r="A1421" i="79"/>
  <c r="K1420" i="79"/>
  <c r="J1420" i="79"/>
  <c r="I1420" i="79"/>
  <c r="H1420" i="79"/>
  <c r="G1420" i="79"/>
  <c r="F1420" i="79"/>
  <c r="E1420" i="79"/>
  <c r="D1420" i="79"/>
  <c r="A1420" i="79"/>
  <c r="K1419" i="79"/>
  <c r="J1419" i="79"/>
  <c r="I1419" i="79"/>
  <c r="H1419" i="79"/>
  <c r="G1419" i="79"/>
  <c r="F1419" i="79"/>
  <c r="E1419" i="79"/>
  <c r="D1419" i="79"/>
  <c r="A1419" i="79"/>
  <c r="K1418" i="79"/>
  <c r="J1418" i="79"/>
  <c r="I1418" i="79"/>
  <c r="H1418" i="79"/>
  <c r="G1418" i="79"/>
  <c r="F1418" i="79"/>
  <c r="E1418" i="79"/>
  <c r="D1418" i="79"/>
  <c r="A1418" i="79"/>
  <c r="K1417" i="79"/>
  <c r="J1417" i="79"/>
  <c r="I1417" i="79"/>
  <c r="H1417" i="79"/>
  <c r="G1417" i="79"/>
  <c r="F1417" i="79"/>
  <c r="E1417" i="79"/>
  <c r="D1417" i="79"/>
  <c r="A1417" i="79"/>
  <c r="K1416" i="79"/>
  <c r="J1416" i="79"/>
  <c r="I1416" i="79"/>
  <c r="H1416" i="79"/>
  <c r="G1416" i="79"/>
  <c r="F1416" i="79"/>
  <c r="E1416" i="79"/>
  <c r="D1416" i="79"/>
  <c r="A1416" i="79"/>
  <c r="K1415" i="79"/>
  <c r="J1415" i="79"/>
  <c r="I1415" i="79"/>
  <c r="H1415" i="79"/>
  <c r="L1415" i="79" s="1"/>
  <c r="G1415" i="79"/>
  <c r="F1415" i="79"/>
  <c r="E1415" i="79"/>
  <c r="D1415" i="79"/>
  <c r="A1415" i="79"/>
  <c r="K1414" i="79"/>
  <c r="J1414" i="79"/>
  <c r="I1414" i="79"/>
  <c r="H1414" i="79"/>
  <c r="G1414" i="79"/>
  <c r="F1414" i="79"/>
  <c r="E1414" i="79"/>
  <c r="L1414" i="79" s="1"/>
  <c r="M1414" i="79" s="1"/>
  <c r="Q1414" i="79" s="1"/>
  <c r="D1414" i="79"/>
  <c r="A1414" i="79"/>
  <c r="K1413" i="79"/>
  <c r="J1413" i="79"/>
  <c r="I1413" i="79"/>
  <c r="H1413" i="79"/>
  <c r="G1413" i="79"/>
  <c r="F1413" i="79"/>
  <c r="E1413" i="79"/>
  <c r="D1413" i="79"/>
  <c r="A1413" i="79"/>
  <c r="K1412" i="79"/>
  <c r="J1412" i="79"/>
  <c r="I1412" i="79"/>
  <c r="H1412" i="79"/>
  <c r="G1412" i="79"/>
  <c r="F1412" i="79"/>
  <c r="E1412" i="79"/>
  <c r="D1412" i="79"/>
  <c r="A1412" i="79"/>
  <c r="K1411" i="79"/>
  <c r="J1411" i="79"/>
  <c r="I1411" i="79"/>
  <c r="H1411" i="79"/>
  <c r="G1411" i="79"/>
  <c r="F1411" i="79"/>
  <c r="E1411" i="79"/>
  <c r="D1411" i="79"/>
  <c r="A1411" i="79"/>
  <c r="K1410" i="79"/>
  <c r="J1410" i="79"/>
  <c r="I1410" i="79"/>
  <c r="H1410" i="79"/>
  <c r="G1410" i="79"/>
  <c r="F1410" i="79"/>
  <c r="E1410" i="79"/>
  <c r="D1410" i="79"/>
  <c r="A1410" i="79"/>
  <c r="K1409" i="79"/>
  <c r="J1409" i="79"/>
  <c r="I1409" i="79"/>
  <c r="H1409" i="79"/>
  <c r="G1409" i="79"/>
  <c r="F1409" i="79"/>
  <c r="E1409" i="79"/>
  <c r="D1409" i="79"/>
  <c r="A1409" i="79"/>
  <c r="K1408" i="79"/>
  <c r="J1408" i="79"/>
  <c r="I1408" i="79"/>
  <c r="H1408" i="79"/>
  <c r="G1408" i="79"/>
  <c r="F1408" i="79"/>
  <c r="E1408" i="79"/>
  <c r="D1408" i="79"/>
  <c r="A1408" i="79"/>
  <c r="K1400" i="79"/>
  <c r="J1400" i="79"/>
  <c r="I1400" i="79"/>
  <c r="H1400" i="79"/>
  <c r="L1400" i="79" s="1"/>
  <c r="G1400" i="79"/>
  <c r="F1400" i="79"/>
  <c r="E1400" i="79"/>
  <c r="D1400" i="79"/>
  <c r="A1400" i="79"/>
  <c r="K1399" i="79"/>
  <c r="J1399" i="79"/>
  <c r="I1399" i="79"/>
  <c r="H1399" i="79"/>
  <c r="G1399" i="79"/>
  <c r="F1399" i="79"/>
  <c r="E1399" i="79"/>
  <c r="L1399" i="79" s="1"/>
  <c r="D1399" i="79"/>
  <c r="A1399" i="79"/>
  <c r="K1398" i="79"/>
  <c r="J1398" i="79"/>
  <c r="I1398" i="79"/>
  <c r="H1398" i="79"/>
  <c r="G1398" i="79"/>
  <c r="F1398" i="79"/>
  <c r="E1398" i="79"/>
  <c r="D1398" i="79"/>
  <c r="A1398" i="79"/>
  <c r="K1397" i="79"/>
  <c r="J1397" i="79"/>
  <c r="I1397" i="79"/>
  <c r="H1397" i="79"/>
  <c r="G1397" i="79"/>
  <c r="F1397" i="79"/>
  <c r="E1397" i="79"/>
  <c r="D1397" i="79"/>
  <c r="A1397" i="79"/>
  <c r="K1396" i="79"/>
  <c r="J1396" i="79"/>
  <c r="I1396" i="79"/>
  <c r="H1396" i="79"/>
  <c r="G1396" i="79"/>
  <c r="F1396" i="79"/>
  <c r="E1396" i="79"/>
  <c r="D1396" i="79"/>
  <c r="A1396" i="79"/>
  <c r="K1395" i="79"/>
  <c r="J1395" i="79"/>
  <c r="I1395" i="79"/>
  <c r="H1395" i="79"/>
  <c r="G1395" i="79"/>
  <c r="F1395" i="79"/>
  <c r="E1395" i="79"/>
  <c r="D1395" i="79"/>
  <c r="A1395" i="79"/>
  <c r="K1394" i="79"/>
  <c r="J1394" i="79"/>
  <c r="I1394" i="79"/>
  <c r="H1394" i="79"/>
  <c r="G1394" i="79"/>
  <c r="F1394" i="79"/>
  <c r="E1394" i="79"/>
  <c r="D1394" i="79"/>
  <c r="A1394" i="79"/>
  <c r="K1393" i="79"/>
  <c r="J1393" i="79"/>
  <c r="I1393" i="79"/>
  <c r="H1393" i="79"/>
  <c r="G1393" i="79"/>
  <c r="F1393" i="79"/>
  <c r="E1393" i="79"/>
  <c r="D1393" i="79"/>
  <c r="A1393" i="79"/>
  <c r="K1392" i="79"/>
  <c r="J1392" i="79"/>
  <c r="I1392" i="79"/>
  <c r="H1392" i="79"/>
  <c r="L1392" i="79" s="1"/>
  <c r="G1392" i="79"/>
  <c r="F1392" i="79"/>
  <c r="E1392" i="79"/>
  <c r="D1392" i="79"/>
  <c r="A1392" i="79"/>
  <c r="K1391" i="79"/>
  <c r="J1391" i="79"/>
  <c r="I1391" i="79"/>
  <c r="H1391" i="79"/>
  <c r="G1391" i="79"/>
  <c r="F1391" i="79"/>
  <c r="E1391" i="79"/>
  <c r="L1391" i="79" s="1"/>
  <c r="D1391" i="79"/>
  <c r="A1391" i="79"/>
  <c r="K1390" i="79"/>
  <c r="J1390" i="79"/>
  <c r="I1390" i="79"/>
  <c r="H1390" i="79"/>
  <c r="G1390" i="79"/>
  <c r="F1390" i="79"/>
  <c r="E1390" i="79"/>
  <c r="D1390" i="79"/>
  <c r="A1390" i="79"/>
  <c r="K1389" i="79"/>
  <c r="J1389" i="79"/>
  <c r="I1389" i="79"/>
  <c r="H1389" i="79"/>
  <c r="G1389" i="79"/>
  <c r="F1389" i="79"/>
  <c r="E1389" i="79"/>
  <c r="D1389" i="79"/>
  <c r="A1389" i="79"/>
  <c r="K1388" i="79"/>
  <c r="J1388" i="79"/>
  <c r="I1388" i="79"/>
  <c r="H1388" i="79"/>
  <c r="G1388" i="79"/>
  <c r="F1388" i="79"/>
  <c r="E1388" i="79"/>
  <c r="D1388" i="79"/>
  <c r="A1388" i="79"/>
  <c r="K1387" i="79"/>
  <c r="J1387" i="79"/>
  <c r="I1387" i="79"/>
  <c r="H1387" i="79"/>
  <c r="G1387" i="79"/>
  <c r="F1387" i="79"/>
  <c r="E1387" i="79"/>
  <c r="D1387" i="79"/>
  <c r="A1387" i="79"/>
  <c r="K1386" i="79"/>
  <c r="J1386" i="79"/>
  <c r="I1386" i="79"/>
  <c r="H1386" i="79"/>
  <c r="G1386" i="79"/>
  <c r="F1386" i="79"/>
  <c r="E1386" i="79"/>
  <c r="D1386" i="79"/>
  <c r="A1386" i="79"/>
  <c r="K1385" i="79"/>
  <c r="J1385" i="79"/>
  <c r="I1385" i="79"/>
  <c r="H1385" i="79"/>
  <c r="G1385" i="79"/>
  <c r="F1385" i="79"/>
  <c r="E1385" i="79"/>
  <c r="D1385" i="79"/>
  <c r="A1385" i="79"/>
  <c r="K1384" i="79"/>
  <c r="J1384" i="79"/>
  <c r="I1384" i="79"/>
  <c r="H1384" i="79"/>
  <c r="L1384" i="79" s="1"/>
  <c r="G1384" i="79"/>
  <c r="F1384" i="79"/>
  <c r="E1384" i="79"/>
  <c r="D1384" i="79"/>
  <c r="A1384" i="79"/>
  <c r="K1383" i="79"/>
  <c r="J1383" i="79"/>
  <c r="I1383" i="79"/>
  <c r="H1383" i="79"/>
  <c r="G1383" i="79"/>
  <c r="F1383" i="79"/>
  <c r="E1383" i="79"/>
  <c r="L1383" i="79" s="1"/>
  <c r="D1383" i="79"/>
  <c r="A1383" i="79"/>
  <c r="K1382" i="79"/>
  <c r="J1382" i="79"/>
  <c r="I1382" i="79"/>
  <c r="H1382" i="79"/>
  <c r="G1382" i="79"/>
  <c r="F1382" i="79"/>
  <c r="L1382" i="79" s="1"/>
  <c r="E1382" i="79"/>
  <c r="D1382" i="79"/>
  <c r="A1382" i="79"/>
  <c r="K1381" i="79"/>
  <c r="J1381" i="79"/>
  <c r="I1381" i="79"/>
  <c r="H1381" i="79"/>
  <c r="G1381" i="79"/>
  <c r="F1381" i="79"/>
  <c r="E1381" i="79"/>
  <c r="D1381" i="79"/>
  <c r="A1381" i="79"/>
  <c r="K1380" i="79"/>
  <c r="J1380" i="79"/>
  <c r="I1380" i="79"/>
  <c r="H1380" i="79"/>
  <c r="G1380" i="79"/>
  <c r="F1380" i="79"/>
  <c r="E1380" i="79"/>
  <c r="D1380" i="79"/>
  <c r="A1380" i="79"/>
  <c r="K1379" i="79"/>
  <c r="J1379" i="79"/>
  <c r="I1379" i="79"/>
  <c r="H1379" i="79"/>
  <c r="G1379" i="79"/>
  <c r="F1379" i="79"/>
  <c r="E1379" i="79"/>
  <c r="D1379" i="79"/>
  <c r="A1379" i="79"/>
  <c r="K1378" i="79"/>
  <c r="J1378" i="79"/>
  <c r="I1378" i="79"/>
  <c r="H1378" i="79"/>
  <c r="G1378" i="79"/>
  <c r="F1378" i="79"/>
  <c r="E1378" i="79"/>
  <c r="D1378" i="79"/>
  <c r="A1378" i="79"/>
  <c r="K1377" i="79"/>
  <c r="J1377" i="79"/>
  <c r="I1377" i="79"/>
  <c r="H1377" i="79"/>
  <c r="G1377" i="79"/>
  <c r="F1377" i="79"/>
  <c r="E1377" i="79"/>
  <c r="D1377" i="79"/>
  <c r="A1377" i="79"/>
  <c r="K1376" i="79"/>
  <c r="J1376" i="79"/>
  <c r="I1376" i="79"/>
  <c r="H1376" i="79"/>
  <c r="L1376" i="79" s="1"/>
  <c r="G1376" i="79"/>
  <c r="F1376" i="79"/>
  <c r="E1376" i="79"/>
  <c r="D1376" i="79"/>
  <c r="A1376" i="79"/>
  <c r="K1375" i="79"/>
  <c r="J1375" i="79"/>
  <c r="I1375" i="79"/>
  <c r="H1375" i="79"/>
  <c r="G1375" i="79"/>
  <c r="F1375" i="79"/>
  <c r="E1375" i="79"/>
  <c r="L1375" i="79" s="1"/>
  <c r="D1375" i="79"/>
  <c r="A1375" i="79"/>
  <c r="K1374" i="79"/>
  <c r="J1374" i="79"/>
  <c r="I1374" i="79"/>
  <c r="H1374" i="79"/>
  <c r="G1374" i="79"/>
  <c r="F1374" i="79"/>
  <c r="L1374" i="79" s="1"/>
  <c r="E1374" i="79"/>
  <c r="D1374" i="79"/>
  <c r="A1374" i="79"/>
  <c r="K1373" i="79"/>
  <c r="J1373" i="79"/>
  <c r="I1373" i="79"/>
  <c r="H1373" i="79"/>
  <c r="G1373" i="79"/>
  <c r="F1373" i="79"/>
  <c r="E1373" i="79"/>
  <c r="D1373" i="79"/>
  <c r="A1373" i="79"/>
  <c r="K1372" i="79"/>
  <c r="J1372" i="79"/>
  <c r="I1372" i="79"/>
  <c r="H1372" i="79"/>
  <c r="G1372" i="79"/>
  <c r="F1372" i="79"/>
  <c r="E1372" i="79"/>
  <c r="D1372" i="79"/>
  <c r="A1372" i="79"/>
  <c r="K1371" i="79"/>
  <c r="J1371" i="79"/>
  <c r="I1371" i="79"/>
  <c r="H1371" i="79"/>
  <c r="G1371" i="79"/>
  <c r="F1371" i="79"/>
  <c r="E1371" i="79"/>
  <c r="D1371" i="79"/>
  <c r="A1371" i="79"/>
  <c r="K1370" i="79"/>
  <c r="J1370" i="79"/>
  <c r="I1370" i="79"/>
  <c r="H1370" i="79"/>
  <c r="G1370" i="79"/>
  <c r="F1370" i="79"/>
  <c r="E1370" i="79"/>
  <c r="D1370" i="79"/>
  <c r="A1370" i="79"/>
  <c r="K1369" i="79"/>
  <c r="J1369" i="79"/>
  <c r="I1369" i="79"/>
  <c r="H1369" i="79"/>
  <c r="G1369" i="79"/>
  <c r="F1369" i="79"/>
  <c r="E1369" i="79"/>
  <c r="D1369" i="79"/>
  <c r="A1369" i="79"/>
  <c r="K1368" i="79"/>
  <c r="J1368" i="79"/>
  <c r="I1368" i="79"/>
  <c r="H1368" i="79"/>
  <c r="L1368" i="79" s="1"/>
  <c r="G1368" i="79"/>
  <c r="F1368" i="79"/>
  <c r="E1368" i="79"/>
  <c r="D1368" i="79"/>
  <c r="A1368" i="79"/>
  <c r="K1367" i="79"/>
  <c r="J1367" i="79"/>
  <c r="I1367" i="79"/>
  <c r="H1367" i="79"/>
  <c r="G1367" i="79"/>
  <c r="F1367" i="79"/>
  <c r="E1367" i="79"/>
  <c r="L1367" i="79" s="1"/>
  <c r="D1367" i="79"/>
  <c r="A1367" i="79"/>
  <c r="K1366" i="79"/>
  <c r="J1366" i="79"/>
  <c r="I1366" i="79"/>
  <c r="H1366" i="79"/>
  <c r="G1366" i="79"/>
  <c r="F1366" i="79"/>
  <c r="E1366" i="79"/>
  <c r="D1366" i="79"/>
  <c r="A1366" i="79"/>
  <c r="O1442" i="79"/>
  <c r="N1442" i="79"/>
  <c r="O1441" i="79"/>
  <c r="N1441" i="79"/>
  <c r="O1440" i="79"/>
  <c r="N1440" i="79"/>
  <c r="O1439" i="79"/>
  <c r="N1439" i="79"/>
  <c r="O1438" i="79"/>
  <c r="N1438" i="79"/>
  <c r="O1437" i="79"/>
  <c r="N1437" i="79"/>
  <c r="O1436" i="79"/>
  <c r="N1436" i="79"/>
  <c r="O1435" i="79"/>
  <c r="N1435" i="79"/>
  <c r="O1434" i="79"/>
  <c r="N1434" i="79"/>
  <c r="O1433" i="79"/>
  <c r="N1433" i="79"/>
  <c r="O1432" i="79"/>
  <c r="N1432" i="79"/>
  <c r="O1431" i="79"/>
  <c r="N1431" i="79"/>
  <c r="O1430" i="79"/>
  <c r="N1430" i="79"/>
  <c r="O1429" i="79"/>
  <c r="N1429" i="79"/>
  <c r="O1428" i="79"/>
  <c r="N1428" i="79"/>
  <c r="O1427" i="79"/>
  <c r="N1427" i="79"/>
  <c r="O1426" i="79"/>
  <c r="N1426" i="79"/>
  <c r="O1425" i="79"/>
  <c r="N1425" i="79"/>
  <c r="O1424" i="79"/>
  <c r="N1424" i="79"/>
  <c r="O1423" i="79"/>
  <c r="N1423" i="79"/>
  <c r="O1422" i="79"/>
  <c r="N1422" i="79"/>
  <c r="O1421" i="79"/>
  <c r="N1421" i="79"/>
  <c r="O1420" i="79"/>
  <c r="N1420" i="79"/>
  <c r="O1419" i="79"/>
  <c r="N1419" i="79"/>
  <c r="O1418" i="79"/>
  <c r="N1418" i="79"/>
  <c r="O1417" i="79"/>
  <c r="N1417" i="79"/>
  <c r="O1416" i="79"/>
  <c r="N1416" i="79"/>
  <c r="O1415" i="79"/>
  <c r="N1415" i="79"/>
  <c r="O1414" i="79"/>
  <c r="N1414" i="79"/>
  <c r="O1413" i="79"/>
  <c r="N1413" i="79"/>
  <c r="O1412" i="79"/>
  <c r="N1412" i="79"/>
  <c r="O1411" i="79"/>
  <c r="N1411" i="79"/>
  <c r="O1410" i="79"/>
  <c r="N1410" i="79"/>
  <c r="O1409" i="79"/>
  <c r="N1409" i="79"/>
  <c r="O1408" i="79"/>
  <c r="N1408" i="79"/>
  <c r="O1400" i="79"/>
  <c r="N1400" i="79"/>
  <c r="O1399" i="79"/>
  <c r="N1399" i="79"/>
  <c r="O1398" i="79"/>
  <c r="N1398" i="79"/>
  <c r="O1397" i="79"/>
  <c r="N1397" i="79"/>
  <c r="O1396" i="79"/>
  <c r="N1396" i="79"/>
  <c r="O1395" i="79"/>
  <c r="N1395" i="79"/>
  <c r="O1394" i="79"/>
  <c r="N1394" i="79"/>
  <c r="O1393" i="79"/>
  <c r="N1393" i="79"/>
  <c r="O1392" i="79"/>
  <c r="N1392" i="79"/>
  <c r="O1391" i="79"/>
  <c r="N1391" i="79"/>
  <c r="O1390" i="79"/>
  <c r="N1390" i="79"/>
  <c r="O1389" i="79"/>
  <c r="N1389" i="79"/>
  <c r="O1388" i="79"/>
  <c r="N1388" i="79"/>
  <c r="O1387" i="79"/>
  <c r="N1387" i="79"/>
  <c r="O1386" i="79"/>
  <c r="N1386" i="79"/>
  <c r="O1385" i="79"/>
  <c r="N1385" i="79"/>
  <c r="O1384" i="79"/>
  <c r="N1384" i="79"/>
  <c r="O1383" i="79"/>
  <c r="N1383" i="79"/>
  <c r="O1382" i="79"/>
  <c r="N1382" i="79"/>
  <c r="O1381" i="79"/>
  <c r="N1381" i="79"/>
  <c r="O1380" i="79"/>
  <c r="N1380" i="79"/>
  <c r="O1379" i="79"/>
  <c r="N1379" i="79"/>
  <c r="O1378" i="79"/>
  <c r="N1378" i="79"/>
  <c r="O1377" i="79"/>
  <c r="N1377" i="79"/>
  <c r="O1376" i="79"/>
  <c r="N1376" i="79"/>
  <c r="O1375" i="79"/>
  <c r="N1375" i="79"/>
  <c r="O1374" i="79"/>
  <c r="N1374" i="79"/>
  <c r="O1373" i="79"/>
  <c r="N1373" i="79"/>
  <c r="O1372" i="79"/>
  <c r="N1372" i="79"/>
  <c r="O1371" i="79"/>
  <c r="N1371" i="79"/>
  <c r="O1370" i="79"/>
  <c r="N1370" i="79"/>
  <c r="O1369" i="79"/>
  <c r="N1369" i="79"/>
  <c r="O1368" i="79"/>
  <c r="N1368" i="79"/>
  <c r="O1367" i="79"/>
  <c r="N1367" i="79"/>
  <c r="O1366" i="79"/>
  <c r="N1366" i="79"/>
  <c r="N1323" i="79"/>
  <c r="O1323" i="79"/>
  <c r="N1324" i="79"/>
  <c r="O1324" i="79"/>
  <c r="N1325" i="79"/>
  <c r="O1325" i="79"/>
  <c r="N1326" i="79"/>
  <c r="O1326" i="79"/>
  <c r="N1327" i="79"/>
  <c r="O1327" i="79"/>
  <c r="N1328" i="79"/>
  <c r="O1328" i="79"/>
  <c r="N1329" i="79"/>
  <c r="O1329" i="79"/>
  <c r="N1330" i="79"/>
  <c r="O1330" i="79"/>
  <c r="N1331" i="79"/>
  <c r="O1331" i="79"/>
  <c r="N1332" i="79"/>
  <c r="O1332" i="79"/>
  <c r="N1333" i="79"/>
  <c r="O1333" i="79"/>
  <c r="N1334" i="79"/>
  <c r="O1334" i="79"/>
  <c r="N1335" i="79"/>
  <c r="O1335" i="79"/>
  <c r="N1336" i="79"/>
  <c r="O1336" i="79"/>
  <c r="N1337" i="79"/>
  <c r="O1337" i="79"/>
  <c r="N1338" i="79"/>
  <c r="O1338" i="79"/>
  <c r="N1339" i="79"/>
  <c r="O1339" i="79"/>
  <c r="N1340" i="79"/>
  <c r="O1340" i="79"/>
  <c r="N1341" i="79"/>
  <c r="O1341" i="79"/>
  <c r="N1342" i="79"/>
  <c r="O1342" i="79"/>
  <c r="N1343" i="79"/>
  <c r="O1343" i="79"/>
  <c r="N1344" i="79"/>
  <c r="O1344" i="79"/>
  <c r="N1345" i="79"/>
  <c r="O1345" i="79"/>
  <c r="N1346" i="79"/>
  <c r="O1346" i="79"/>
  <c r="N1347" i="79"/>
  <c r="O1347" i="79"/>
  <c r="N1348" i="79"/>
  <c r="O1348" i="79"/>
  <c r="N1349" i="79"/>
  <c r="O1349" i="79"/>
  <c r="N1350" i="79"/>
  <c r="O1350" i="79"/>
  <c r="N1351" i="79"/>
  <c r="O1351" i="79"/>
  <c r="N1352" i="79"/>
  <c r="O1352" i="79"/>
  <c r="N1353" i="79"/>
  <c r="O1353" i="79"/>
  <c r="N1354" i="79"/>
  <c r="O1354" i="79"/>
  <c r="N1355" i="79"/>
  <c r="O1355" i="79"/>
  <c r="N1356" i="79"/>
  <c r="O1356" i="79"/>
  <c r="A1323" i="79"/>
  <c r="D1323" i="79"/>
  <c r="E1323" i="79"/>
  <c r="F1323" i="79"/>
  <c r="G1323" i="79"/>
  <c r="H1323" i="79"/>
  <c r="I1323" i="79"/>
  <c r="J1323" i="79"/>
  <c r="K1323" i="79"/>
  <c r="A1324" i="79"/>
  <c r="D1324" i="79"/>
  <c r="E1324" i="79"/>
  <c r="F1324" i="79"/>
  <c r="G1324" i="79"/>
  <c r="H1324" i="79"/>
  <c r="I1324" i="79"/>
  <c r="J1324" i="79"/>
  <c r="K1324" i="79"/>
  <c r="A1325" i="79"/>
  <c r="D1325" i="79"/>
  <c r="E1325" i="79"/>
  <c r="F1325" i="79"/>
  <c r="G1325" i="79"/>
  <c r="H1325" i="79"/>
  <c r="I1325" i="79"/>
  <c r="J1325" i="79"/>
  <c r="K1325" i="79"/>
  <c r="A1326" i="79"/>
  <c r="D1326" i="79"/>
  <c r="E1326" i="79"/>
  <c r="F1326" i="79"/>
  <c r="G1326" i="79"/>
  <c r="H1326" i="79"/>
  <c r="I1326" i="79"/>
  <c r="J1326" i="79"/>
  <c r="K1326" i="79"/>
  <c r="A1327" i="79"/>
  <c r="D1327" i="79"/>
  <c r="E1327" i="79"/>
  <c r="F1327" i="79"/>
  <c r="G1327" i="79"/>
  <c r="H1327" i="79"/>
  <c r="I1327" i="79"/>
  <c r="J1327" i="79"/>
  <c r="K1327" i="79"/>
  <c r="A1328" i="79"/>
  <c r="D1328" i="79"/>
  <c r="E1328" i="79"/>
  <c r="F1328" i="79"/>
  <c r="G1328" i="79"/>
  <c r="H1328" i="79"/>
  <c r="I1328" i="79"/>
  <c r="J1328" i="79"/>
  <c r="K1328" i="79"/>
  <c r="A1329" i="79"/>
  <c r="D1329" i="79"/>
  <c r="E1329" i="79"/>
  <c r="L1329" i="79" s="1"/>
  <c r="F1329" i="79"/>
  <c r="G1329" i="79"/>
  <c r="H1329" i="79"/>
  <c r="I1329" i="79"/>
  <c r="J1329" i="79"/>
  <c r="K1329" i="79"/>
  <c r="A1330" i="79"/>
  <c r="D1330" i="79"/>
  <c r="E1330" i="79"/>
  <c r="F1330" i="79"/>
  <c r="G1330" i="79"/>
  <c r="H1330" i="79"/>
  <c r="L1330" i="79" s="1"/>
  <c r="I1330" i="79"/>
  <c r="J1330" i="79"/>
  <c r="K1330" i="79"/>
  <c r="A1331" i="79"/>
  <c r="D1331" i="79"/>
  <c r="E1331" i="79"/>
  <c r="F1331" i="79"/>
  <c r="G1331" i="79"/>
  <c r="L1331" i="79" s="1"/>
  <c r="M1331" i="79" s="1"/>
  <c r="P1331" i="79" s="1"/>
  <c r="R1331" i="79" s="1"/>
  <c r="H1331" i="79"/>
  <c r="I1331" i="79"/>
  <c r="J1331" i="79"/>
  <c r="K1331" i="79"/>
  <c r="A1332" i="79"/>
  <c r="D1332" i="79"/>
  <c r="E1332" i="79"/>
  <c r="F1332" i="79"/>
  <c r="G1332" i="79"/>
  <c r="H1332" i="79"/>
  <c r="I1332" i="79"/>
  <c r="J1332" i="79"/>
  <c r="K1332" i="79"/>
  <c r="A1333" i="79"/>
  <c r="D1333" i="79"/>
  <c r="E1333" i="79"/>
  <c r="F1333" i="79"/>
  <c r="G1333" i="79"/>
  <c r="H1333" i="79"/>
  <c r="I1333" i="79"/>
  <c r="J1333" i="79"/>
  <c r="K1333" i="79"/>
  <c r="A1334" i="79"/>
  <c r="D1334" i="79"/>
  <c r="E1334" i="79"/>
  <c r="F1334" i="79"/>
  <c r="G1334" i="79"/>
  <c r="H1334" i="79"/>
  <c r="I1334" i="79"/>
  <c r="J1334" i="79"/>
  <c r="K1334" i="79"/>
  <c r="A1335" i="79"/>
  <c r="D1335" i="79"/>
  <c r="E1335" i="79"/>
  <c r="F1335" i="79"/>
  <c r="G1335" i="79"/>
  <c r="H1335" i="79"/>
  <c r="I1335" i="79"/>
  <c r="J1335" i="79"/>
  <c r="K1335" i="79"/>
  <c r="A1336" i="79"/>
  <c r="D1336" i="79"/>
  <c r="E1336" i="79"/>
  <c r="F1336" i="79"/>
  <c r="G1336" i="79"/>
  <c r="H1336" i="79"/>
  <c r="I1336" i="79"/>
  <c r="J1336" i="79"/>
  <c r="K1336" i="79"/>
  <c r="A1337" i="79"/>
  <c r="D1337" i="79"/>
  <c r="E1337" i="79"/>
  <c r="L1337" i="79" s="1"/>
  <c r="F1337" i="79"/>
  <c r="G1337" i="79"/>
  <c r="H1337" i="79"/>
  <c r="I1337" i="79"/>
  <c r="J1337" i="79"/>
  <c r="K1337" i="79"/>
  <c r="A1338" i="79"/>
  <c r="D1338" i="79"/>
  <c r="E1338" i="79"/>
  <c r="F1338" i="79"/>
  <c r="G1338" i="79"/>
  <c r="H1338" i="79"/>
  <c r="L1338" i="79" s="1"/>
  <c r="I1338" i="79"/>
  <c r="J1338" i="79"/>
  <c r="K1338" i="79"/>
  <c r="A1339" i="79"/>
  <c r="D1339" i="79"/>
  <c r="E1339" i="79"/>
  <c r="F1339" i="79"/>
  <c r="G1339" i="79"/>
  <c r="H1339" i="79"/>
  <c r="I1339" i="79"/>
  <c r="J1339" i="79"/>
  <c r="K1339" i="79"/>
  <c r="A1340" i="79"/>
  <c r="D1340" i="79"/>
  <c r="E1340" i="79"/>
  <c r="F1340" i="79"/>
  <c r="G1340" i="79"/>
  <c r="H1340" i="79"/>
  <c r="I1340" i="79"/>
  <c r="J1340" i="79"/>
  <c r="K1340" i="79"/>
  <c r="A1341" i="79"/>
  <c r="D1341" i="79"/>
  <c r="E1341" i="79"/>
  <c r="F1341" i="79"/>
  <c r="G1341" i="79"/>
  <c r="H1341" i="79"/>
  <c r="I1341" i="79"/>
  <c r="J1341" i="79"/>
  <c r="K1341" i="79"/>
  <c r="A1342" i="79"/>
  <c r="D1342" i="79"/>
  <c r="E1342" i="79"/>
  <c r="F1342" i="79"/>
  <c r="G1342" i="79"/>
  <c r="H1342" i="79"/>
  <c r="I1342" i="79"/>
  <c r="J1342" i="79"/>
  <c r="K1342" i="79"/>
  <c r="A1343" i="79"/>
  <c r="D1343" i="79"/>
  <c r="E1343" i="79"/>
  <c r="F1343" i="79"/>
  <c r="G1343" i="79"/>
  <c r="H1343" i="79"/>
  <c r="I1343" i="79"/>
  <c r="J1343" i="79"/>
  <c r="K1343" i="79"/>
  <c r="A1344" i="79"/>
  <c r="D1344" i="79"/>
  <c r="E1344" i="79"/>
  <c r="F1344" i="79"/>
  <c r="G1344" i="79"/>
  <c r="H1344" i="79"/>
  <c r="I1344" i="79"/>
  <c r="J1344" i="79"/>
  <c r="K1344" i="79"/>
  <c r="A1345" i="79"/>
  <c r="D1345" i="79"/>
  <c r="E1345" i="79"/>
  <c r="L1345" i="79" s="1"/>
  <c r="F1345" i="79"/>
  <c r="G1345" i="79"/>
  <c r="H1345" i="79"/>
  <c r="I1345" i="79"/>
  <c r="J1345" i="79"/>
  <c r="K1345" i="79"/>
  <c r="A1346" i="79"/>
  <c r="D1346" i="79"/>
  <c r="E1346" i="79"/>
  <c r="F1346" i="79"/>
  <c r="G1346" i="79"/>
  <c r="H1346" i="79"/>
  <c r="L1346" i="79" s="1"/>
  <c r="M1346" i="79" s="1"/>
  <c r="Q1346" i="79" s="1"/>
  <c r="I1346" i="79"/>
  <c r="J1346" i="79"/>
  <c r="K1346" i="79"/>
  <c r="A1347" i="79"/>
  <c r="D1347" i="79"/>
  <c r="E1347" i="79"/>
  <c r="F1347" i="79"/>
  <c r="G1347" i="79"/>
  <c r="H1347" i="79"/>
  <c r="I1347" i="79"/>
  <c r="J1347" i="79"/>
  <c r="K1347" i="79"/>
  <c r="A1348" i="79"/>
  <c r="D1348" i="79"/>
  <c r="E1348" i="79"/>
  <c r="F1348" i="79"/>
  <c r="G1348" i="79"/>
  <c r="H1348" i="79"/>
  <c r="I1348" i="79"/>
  <c r="J1348" i="79"/>
  <c r="K1348" i="79"/>
  <c r="A1349" i="79"/>
  <c r="D1349" i="79"/>
  <c r="E1349" i="79"/>
  <c r="F1349" i="79"/>
  <c r="G1349" i="79"/>
  <c r="H1349" i="79"/>
  <c r="I1349" i="79"/>
  <c r="J1349" i="79"/>
  <c r="K1349" i="79"/>
  <c r="A1350" i="79"/>
  <c r="D1350" i="79"/>
  <c r="E1350" i="79"/>
  <c r="F1350" i="79"/>
  <c r="G1350" i="79"/>
  <c r="H1350" i="79"/>
  <c r="I1350" i="79"/>
  <c r="J1350" i="79"/>
  <c r="K1350" i="79"/>
  <c r="A1351" i="79"/>
  <c r="D1351" i="79"/>
  <c r="E1351" i="79"/>
  <c r="F1351" i="79"/>
  <c r="G1351" i="79"/>
  <c r="H1351" i="79"/>
  <c r="I1351" i="79"/>
  <c r="J1351" i="79"/>
  <c r="K1351" i="79"/>
  <c r="A1352" i="79"/>
  <c r="D1352" i="79"/>
  <c r="E1352" i="79"/>
  <c r="F1352" i="79"/>
  <c r="G1352" i="79"/>
  <c r="H1352" i="79"/>
  <c r="I1352" i="79"/>
  <c r="J1352" i="79"/>
  <c r="K1352" i="79"/>
  <c r="A1353" i="79"/>
  <c r="D1353" i="79"/>
  <c r="E1353" i="79"/>
  <c r="L1353" i="79" s="1"/>
  <c r="F1353" i="79"/>
  <c r="G1353" i="79"/>
  <c r="H1353" i="79"/>
  <c r="I1353" i="79"/>
  <c r="J1353" i="79"/>
  <c r="K1353" i="79"/>
  <c r="A1354" i="79"/>
  <c r="D1354" i="79"/>
  <c r="E1354" i="79"/>
  <c r="F1354" i="79"/>
  <c r="G1354" i="79"/>
  <c r="H1354" i="79"/>
  <c r="L1354" i="79" s="1"/>
  <c r="I1354" i="79"/>
  <c r="J1354" i="79"/>
  <c r="K1354" i="79"/>
  <c r="A1355" i="79"/>
  <c r="D1355" i="79"/>
  <c r="E1355" i="79"/>
  <c r="F1355" i="79"/>
  <c r="G1355" i="79"/>
  <c r="H1355" i="79"/>
  <c r="I1355" i="79"/>
  <c r="J1355" i="79"/>
  <c r="K1355" i="79"/>
  <c r="A1356" i="79"/>
  <c r="D1356" i="79"/>
  <c r="E1356" i="79"/>
  <c r="F1356" i="79"/>
  <c r="G1356" i="79"/>
  <c r="H1356" i="79"/>
  <c r="I1356" i="79"/>
  <c r="J1356" i="79"/>
  <c r="K1356" i="79"/>
  <c r="O1322" i="79"/>
  <c r="N1322" i="79"/>
  <c r="K1322" i="79"/>
  <c r="J1322" i="79"/>
  <c r="I1322" i="79"/>
  <c r="H1322" i="79"/>
  <c r="G1322" i="79"/>
  <c r="F1322" i="79"/>
  <c r="E1322" i="79"/>
  <c r="D1322" i="79"/>
  <c r="A1322" i="79"/>
  <c r="I1315" i="79"/>
  <c r="C1316" i="79"/>
  <c r="C1315" i="79"/>
  <c r="A1308" i="79"/>
  <c r="K1301" i="79"/>
  <c r="J1301" i="79"/>
  <c r="I1301" i="79"/>
  <c r="H1301" i="79"/>
  <c r="G1301" i="79"/>
  <c r="F1301" i="79"/>
  <c r="E1301" i="79"/>
  <c r="D1301" i="79"/>
  <c r="A1301" i="79"/>
  <c r="K1300" i="79"/>
  <c r="J1300" i="79"/>
  <c r="I1300" i="79"/>
  <c r="H1300" i="79"/>
  <c r="G1300" i="79"/>
  <c r="F1300" i="79"/>
  <c r="E1300" i="79"/>
  <c r="D1300" i="79"/>
  <c r="A1300" i="79"/>
  <c r="K1299" i="79"/>
  <c r="J1299" i="79"/>
  <c r="I1299" i="79"/>
  <c r="H1299" i="79"/>
  <c r="G1299" i="79"/>
  <c r="F1299" i="79"/>
  <c r="E1299" i="79"/>
  <c r="D1299" i="79"/>
  <c r="A1299" i="79"/>
  <c r="K1298" i="79"/>
  <c r="J1298" i="79"/>
  <c r="I1298" i="79"/>
  <c r="H1298" i="79"/>
  <c r="G1298" i="79"/>
  <c r="F1298" i="79"/>
  <c r="E1298" i="79"/>
  <c r="D1298" i="79"/>
  <c r="A1298" i="79"/>
  <c r="K1297" i="79"/>
  <c r="J1297" i="79"/>
  <c r="I1297" i="79"/>
  <c r="H1297" i="79"/>
  <c r="G1297" i="79"/>
  <c r="F1297" i="79"/>
  <c r="E1297" i="79"/>
  <c r="D1297" i="79"/>
  <c r="A1297" i="79"/>
  <c r="K1296" i="79"/>
  <c r="J1296" i="79"/>
  <c r="I1296" i="79"/>
  <c r="H1296" i="79"/>
  <c r="G1296" i="79"/>
  <c r="F1296" i="79"/>
  <c r="E1296" i="79"/>
  <c r="L1296" i="79" s="1"/>
  <c r="D1296" i="79"/>
  <c r="A1296" i="79"/>
  <c r="K1295" i="79"/>
  <c r="J1295" i="79"/>
  <c r="I1295" i="79"/>
  <c r="H1295" i="79"/>
  <c r="G1295" i="79"/>
  <c r="F1295" i="79"/>
  <c r="L1295" i="79" s="1"/>
  <c r="E1295" i="79"/>
  <c r="D1295" i="79"/>
  <c r="A1295" i="79"/>
  <c r="K1294" i="79"/>
  <c r="J1294" i="79"/>
  <c r="I1294" i="79"/>
  <c r="H1294" i="79"/>
  <c r="G1294" i="79"/>
  <c r="F1294" i="79"/>
  <c r="E1294" i="79"/>
  <c r="D1294" i="79"/>
  <c r="A1294" i="79"/>
  <c r="K1293" i="79"/>
  <c r="J1293" i="79"/>
  <c r="I1293" i="79"/>
  <c r="H1293" i="79"/>
  <c r="G1293" i="79"/>
  <c r="F1293" i="79"/>
  <c r="E1293" i="79"/>
  <c r="D1293" i="79"/>
  <c r="A1293" i="79"/>
  <c r="K1292" i="79"/>
  <c r="J1292" i="79"/>
  <c r="I1292" i="79"/>
  <c r="H1292" i="79"/>
  <c r="G1292" i="79"/>
  <c r="F1292" i="79"/>
  <c r="E1292" i="79"/>
  <c r="D1292" i="79"/>
  <c r="A1292" i="79"/>
  <c r="K1291" i="79"/>
  <c r="J1291" i="79"/>
  <c r="I1291" i="79"/>
  <c r="H1291" i="79"/>
  <c r="G1291" i="79"/>
  <c r="F1291" i="79"/>
  <c r="E1291" i="79"/>
  <c r="D1291" i="79"/>
  <c r="A1291" i="79"/>
  <c r="K1290" i="79"/>
  <c r="J1290" i="79"/>
  <c r="I1290" i="79"/>
  <c r="H1290" i="79"/>
  <c r="G1290" i="79"/>
  <c r="F1290" i="79"/>
  <c r="E1290" i="79"/>
  <c r="D1290" i="79"/>
  <c r="A1290" i="79"/>
  <c r="K1289" i="79"/>
  <c r="J1289" i="79"/>
  <c r="I1289" i="79"/>
  <c r="H1289" i="79"/>
  <c r="G1289" i="79"/>
  <c r="F1289" i="79"/>
  <c r="E1289" i="79"/>
  <c r="D1289" i="79"/>
  <c r="A1289" i="79"/>
  <c r="K1288" i="79"/>
  <c r="J1288" i="79"/>
  <c r="I1288" i="79"/>
  <c r="H1288" i="79"/>
  <c r="G1288" i="79"/>
  <c r="F1288" i="79"/>
  <c r="E1288" i="79"/>
  <c r="D1288" i="79"/>
  <c r="A1288" i="79"/>
  <c r="K1287" i="79"/>
  <c r="J1287" i="79"/>
  <c r="I1287" i="79"/>
  <c r="H1287" i="79"/>
  <c r="G1287" i="79"/>
  <c r="F1287" i="79"/>
  <c r="E1287" i="79"/>
  <c r="D1287" i="79"/>
  <c r="A1287" i="79"/>
  <c r="K1286" i="79"/>
  <c r="J1286" i="79"/>
  <c r="I1286" i="79"/>
  <c r="H1286" i="79"/>
  <c r="G1286" i="79"/>
  <c r="F1286" i="79"/>
  <c r="E1286" i="79"/>
  <c r="D1286" i="79"/>
  <c r="A1286" i="79"/>
  <c r="K1285" i="79"/>
  <c r="J1285" i="79"/>
  <c r="I1285" i="79"/>
  <c r="H1285" i="79"/>
  <c r="G1285" i="79"/>
  <c r="F1285" i="79"/>
  <c r="E1285" i="79"/>
  <c r="D1285" i="79"/>
  <c r="A1285" i="79"/>
  <c r="K1284" i="79"/>
  <c r="J1284" i="79"/>
  <c r="I1284" i="79"/>
  <c r="H1284" i="79"/>
  <c r="G1284" i="79"/>
  <c r="F1284" i="79"/>
  <c r="E1284" i="79"/>
  <c r="D1284" i="79"/>
  <c r="A1284" i="79"/>
  <c r="K1283" i="79"/>
  <c r="J1283" i="79"/>
  <c r="I1283" i="79"/>
  <c r="H1283" i="79"/>
  <c r="G1283" i="79"/>
  <c r="F1283" i="79"/>
  <c r="E1283" i="79"/>
  <c r="D1283" i="79"/>
  <c r="A1283" i="79"/>
  <c r="K1282" i="79"/>
  <c r="J1282" i="79"/>
  <c r="I1282" i="79"/>
  <c r="H1282" i="79"/>
  <c r="G1282" i="79"/>
  <c r="F1282" i="79"/>
  <c r="E1282" i="79"/>
  <c r="D1282" i="79"/>
  <c r="A1282" i="79"/>
  <c r="K1281" i="79"/>
  <c r="J1281" i="79"/>
  <c r="I1281" i="79"/>
  <c r="H1281" i="79"/>
  <c r="G1281" i="79"/>
  <c r="F1281" i="79"/>
  <c r="E1281" i="79"/>
  <c r="D1281" i="79"/>
  <c r="A1281" i="79"/>
  <c r="K1280" i="79"/>
  <c r="J1280" i="79"/>
  <c r="I1280" i="79"/>
  <c r="H1280" i="79"/>
  <c r="G1280" i="79"/>
  <c r="F1280" i="79"/>
  <c r="E1280" i="79"/>
  <c r="L1280" i="79" s="1"/>
  <c r="D1280" i="79"/>
  <c r="A1280" i="79"/>
  <c r="K1279" i="79"/>
  <c r="J1279" i="79"/>
  <c r="I1279" i="79"/>
  <c r="H1279" i="79"/>
  <c r="G1279" i="79"/>
  <c r="F1279" i="79"/>
  <c r="E1279" i="79"/>
  <c r="D1279" i="79"/>
  <c r="A1279" i="79"/>
  <c r="K1278" i="79"/>
  <c r="J1278" i="79"/>
  <c r="I1278" i="79"/>
  <c r="H1278" i="79"/>
  <c r="G1278" i="79"/>
  <c r="L1278" i="79" s="1"/>
  <c r="F1278" i="79"/>
  <c r="E1278" i="79"/>
  <c r="D1278" i="79"/>
  <c r="A1278" i="79"/>
  <c r="K1277" i="79"/>
  <c r="J1277" i="79"/>
  <c r="I1277" i="79"/>
  <c r="H1277" i="79"/>
  <c r="G1277" i="79"/>
  <c r="F1277" i="79"/>
  <c r="E1277" i="79"/>
  <c r="D1277" i="79"/>
  <c r="A1277" i="79"/>
  <c r="K1276" i="79"/>
  <c r="J1276" i="79"/>
  <c r="I1276" i="79"/>
  <c r="H1276" i="79"/>
  <c r="G1276" i="79"/>
  <c r="F1276" i="79"/>
  <c r="E1276" i="79"/>
  <c r="D1276" i="79"/>
  <c r="A1276" i="79"/>
  <c r="K1275" i="79"/>
  <c r="J1275" i="79"/>
  <c r="I1275" i="79"/>
  <c r="H1275" i="79"/>
  <c r="G1275" i="79"/>
  <c r="F1275" i="79"/>
  <c r="E1275" i="79"/>
  <c r="D1275" i="79"/>
  <c r="A1275" i="79"/>
  <c r="K1274" i="79"/>
  <c r="J1274" i="79"/>
  <c r="I1274" i="79"/>
  <c r="H1274" i="79"/>
  <c r="G1274" i="79"/>
  <c r="F1274" i="79"/>
  <c r="E1274" i="79"/>
  <c r="D1274" i="79"/>
  <c r="A1274" i="79"/>
  <c r="K1273" i="79"/>
  <c r="J1273" i="79"/>
  <c r="I1273" i="79"/>
  <c r="H1273" i="79"/>
  <c r="G1273" i="79"/>
  <c r="F1273" i="79"/>
  <c r="E1273" i="79"/>
  <c r="D1273" i="79"/>
  <c r="A1273" i="79"/>
  <c r="K1272" i="79"/>
  <c r="J1272" i="79"/>
  <c r="I1272" i="79"/>
  <c r="H1272" i="79"/>
  <c r="G1272" i="79"/>
  <c r="F1272" i="79"/>
  <c r="E1272" i="79"/>
  <c r="L1272" i="79" s="1"/>
  <c r="D1272" i="79"/>
  <c r="A1272" i="79"/>
  <c r="K1271" i="79"/>
  <c r="J1271" i="79"/>
  <c r="I1271" i="79"/>
  <c r="H1271" i="79"/>
  <c r="G1271" i="79"/>
  <c r="F1271" i="79"/>
  <c r="E1271" i="79"/>
  <c r="D1271" i="79"/>
  <c r="A1271" i="79"/>
  <c r="K1270" i="79"/>
  <c r="J1270" i="79"/>
  <c r="I1270" i="79"/>
  <c r="H1270" i="79"/>
  <c r="G1270" i="79"/>
  <c r="F1270" i="79"/>
  <c r="E1270" i="79"/>
  <c r="D1270" i="79"/>
  <c r="A1270" i="79"/>
  <c r="K1269" i="79"/>
  <c r="J1269" i="79"/>
  <c r="I1269" i="79"/>
  <c r="H1269" i="79"/>
  <c r="G1269" i="79"/>
  <c r="F1269" i="79"/>
  <c r="E1269" i="79"/>
  <c r="D1269" i="79"/>
  <c r="A1269" i="79"/>
  <c r="O1301" i="79"/>
  <c r="N1301" i="79"/>
  <c r="O1300" i="79"/>
  <c r="N1300" i="79"/>
  <c r="O1299" i="79"/>
  <c r="N1299" i="79"/>
  <c r="O1298" i="79"/>
  <c r="N1298" i="79"/>
  <c r="O1297" i="79"/>
  <c r="N1297" i="79"/>
  <c r="O1296" i="79"/>
  <c r="N1296" i="79"/>
  <c r="O1295" i="79"/>
  <c r="N1295" i="79"/>
  <c r="O1294" i="79"/>
  <c r="N1294" i="79"/>
  <c r="O1293" i="79"/>
  <c r="N1293" i="79"/>
  <c r="O1292" i="79"/>
  <c r="N1292" i="79"/>
  <c r="O1291" i="79"/>
  <c r="N1291" i="79"/>
  <c r="O1290" i="79"/>
  <c r="N1290" i="79"/>
  <c r="O1289" i="79"/>
  <c r="N1289" i="79"/>
  <c r="O1288" i="79"/>
  <c r="N1288" i="79"/>
  <c r="O1287" i="79"/>
  <c r="N1287" i="79"/>
  <c r="O1286" i="79"/>
  <c r="N1286" i="79"/>
  <c r="O1285" i="79"/>
  <c r="N1285" i="79"/>
  <c r="O1284" i="79"/>
  <c r="N1284" i="79"/>
  <c r="O1283" i="79"/>
  <c r="N1283" i="79"/>
  <c r="O1282" i="79"/>
  <c r="N1282" i="79"/>
  <c r="O1281" i="79"/>
  <c r="N1281" i="79"/>
  <c r="O1280" i="79"/>
  <c r="N1280" i="79"/>
  <c r="O1279" i="79"/>
  <c r="N1279" i="79"/>
  <c r="O1278" i="79"/>
  <c r="N1278" i="79"/>
  <c r="O1277" i="79"/>
  <c r="N1277" i="79"/>
  <c r="O1276" i="79"/>
  <c r="N1276" i="79"/>
  <c r="O1275" i="79"/>
  <c r="N1275" i="79"/>
  <c r="O1274" i="79"/>
  <c r="N1274" i="79"/>
  <c r="O1273" i="79"/>
  <c r="N1273" i="79"/>
  <c r="O1272" i="79"/>
  <c r="N1272" i="79"/>
  <c r="O1271" i="79"/>
  <c r="N1271" i="79"/>
  <c r="O1270" i="79"/>
  <c r="N1270" i="79"/>
  <c r="O1269" i="79"/>
  <c r="N1269" i="79"/>
  <c r="O1261" i="79"/>
  <c r="N1261" i="79"/>
  <c r="O1260" i="79"/>
  <c r="N1260" i="79"/>
  <c r="O1259" i="79"/>
  <c r="N1259" i="79"/>
  <c r="O1258" i="79"/>
  <c r="N1258" i="79"/>
  <c r="O1257" i="79"/>
  <c r="N1257" i="79"/>
  <c r="O1256" i="79"/>
  <c r="N1256" i="79"/>
  <c r="O1255" i="79"/>
  <c r="N1255" i="79"/>
  <c r="O1254" i="79"/>
  <c r="N1254" i="79"/>
  <c r="O1253" i="79"/>
  <c r="N1253" i="79"/>
  <c r="O1252" i="79"/>
  <c r="N1252" i="79"/>
  <c r="O1251" i="79"/>
  <c r="N1251" i="79"/>
  <c r="O1250" i="79"/>
  <c r="N1250" i="79"/>
  <c r="O1249" i="79"/>
  <c r="N1249" i="79"/>
  <c r="O1248" i="79"/>
  <c r="N1248" i="79"/>
  <c r="O1247" i="79"/>
  <c r="N1247" i="79"/>
  <c r="O1246" i="79"/>
  <c r="N1246" i="79"/>
  <c r="O1245" i="79"/>
  <c r="N1245" i="79"/>
  <c r="O1244" i="79"/>
  <c r="N1244" i="79"/>
  <c r="O1243" i="79"/>
  <c r="N1243" i="79"/>
  <c r="O1242" i="79"/>
  <c r="N1242" i="79"/>
  <c r="O1241" i="79"/>
  <c r="N1241" i="79"/>
  <c r="O1240" i="79"/>
  <c r="N1240" i="79"/>
  <c r="O1239" i="79"/>
  <c r="N1239" i="79"/>
  <c r="O1238" i="79"/>
  <c r="N1238" i="79"/>
  <c r="O1237" i="79"/>
  <c r="N1237" i="79"/>
  <c r="O1236" i="79"/>
  <c r="N1236" i="79"/>
  <c r="O1235" i="79"/>
  <c r="N1235" i="79"/>
  <c r="O1234" i="79"/>
  <c r="N1234" i="79"/>
  <c r="O1233" i="79"/>
  <c r="N1233" i="79"/>
  <c r="O1232" i="79"/>
  <c r="N1232" i="79"/>
  <c r="O1231" i="79"/>
  <c r="N1231" i="79"/>
  <c r="O1230" i="79"/>
  <c r="N1230" i="79"/>
  <c r="O1229" i="79"/>
  <c r="N1229" i="79"/>
  <c r="O1228" i="79"/>
  <c r="N1228" i="79"/>
  <c r="O1227" i="79"/>
  <c r="N1227" i="79"/>
  <c r="O1219" i="79"/>
  <c r="N1219" i="79"/>
  <c r="O1218" i="79"/>
  <c r="N1218" i="79"/>
  <c r="O1217" i="79"/>
  <c r="N1217" i="79"/>
  <c r="O1216" i="79"/>
  <c r="N1216" i="79"/>
  <c r="O1215" i="79"/>
  <c r="N1215" i="79"/>
  <c r="O1214" i="79"/>
  <c r="N1214" i="79"/>
  <c r="O1213" i="79"/>
  <c r="N1213" i="79"/>
  <c r="O1212" i="79"/>
  <c r="N1212" i="79"/>
  <c r="O1211" i="79"/>
  <c r="N1211" i="79"/>
  <c r="O1210" i="79"/>
  <c r="N1210" i="79"/>
  <c r="O1209" i="79"/>
  <c r="N1209" i="79"/>
  <c r="O1208" i="79"/>
  <c r="N1208" i="79"/>
  <c r="O1207" i="79"/>
  <c r="N1207" i="79"/>
  <c r="O1206" i="79"/>
  <c r="N1206" i="79"/>
  <c r="O1205" i="79"/>
  <c r="N1205" i="79"/>
  <c r="O1204" i="79"/>
  <c r="N1204" i="79"/>
  <c r="O1203" i="79"/>
  <c r="N1203" i="79"/>
  <c r="O1202" i="79"/>
  <c r="N1202" i="79"/>
  <c r="O1201" i="79"/>
  <c r="N1201" i="79"/>
  <c r="O1200" i="79"/>
  <c r="N1200" i="79"/>
  <c r="O1199" i="79"/>
  <c r="N1199" i="79"/>
  <c r="O1198" i="79"/>
  <c r="N1198" i="79"/>
  <c r="O1197" i="79"/>
  <c r="N1197" i="79"/>
  <c r="O1196" i="79"/>
  <c r="N1196" i="79"/>
  <c r="O1195" i="79"/>
  <c r="N1195" i="79"/>
  <c r="O1194" i="79"/>
  <c r="N1194" i="79"/>
  <c r="O1193" i="79"/>
  <c r="N1193" i="79"/>
  <c r="O1192" i="79"/>
  <c r="N1192" i="79"/>
  <c r="O1191" i="79"/>
  <c r="N1191" i="79"/>
  <c r="O1190" i="79"/>
  <c r="N1190" i="79"/>
  <c r="O1189" i="79"/>
  <c r="N1189" i="79"/>
  <c r="O1188" i="79"/>
  <c r="N1188" i="79"/>
  <c r="O1187" i="79"/>
  <c r="N1187" i="79"/>
  <c r="O1186" i="79"/>
  <c r="N1186" i="79"/>
  <c r="O1185" i="79"/>
  <c r="N1185" i="79"/>
  <c r="N1142" i="79"/>
  <c r="O1142" i="79"/>
  <c r="N1143" i="79"/>
  <c r="O1143" i="79"/>
  <c r="N1144" i="79"/>
  <c r="O1144" i="79"/>
  <c r="N1145" i="79"/>
  <c r="O1145" i="79"/>
  <c r="N1146" i="79"/>
  <c r="O1146" i="79"/>
  <c r="N1147" i="79"/>
  <c r="O1147" i="79"/>
  <c r="N1148" i="79"/>
  <c r="O1148" i="79"/>
  <c r="N1149" i="79"/>
  <c r="O1149" i="79"/>
  <c r="N1150" i="79"/>
  <c r="O1150" i="79"/>
  <c r="N1151" i="79"/>
  <c r="O1151" i="79"/>
  <c r="N1152" i="79"/>
  <c r="O1152" i="79"/>
  <c r="N1153" i="79"/>
  <c r="O1153" i="79"/>
  <c r="N1154" i="79"/>
  <c r="O1154" i="79"/>
  <c r="N1155" i="79"/>
  <c r="O1155" i="79"/>
  <c r="N1156" i="79"/>
  <c r="O1156" i="79"/>
  <c r="N1157" i="79"/>
  <c r="O1157" i="79"/>
  <c r="N1158" i="79"/>
  <c r="O1158" i="79"/>
  <c r="N1159" i="79"/>
  <c r="O1159" i="79"/>
  <c r="N1160" i="79"/>
  <c r="O1160" i="79"/>
  <c r="N1161" i="79"/>
  <c r="O1161" i="79"/>
  <c r="N1162" i="79"/>
  <c r="O1162" i="79"/>
  <c r="N1163" i="79"/>
  <c r="O1163" i="79"/>
  <c r="N1164" i="79"/>
  <c r="O1164" i="79"/>
  <c r="N1165" i="79"/>
  <c r="O1165" i="79"/>
  <c r="N1166" i="79"/>
  <c r="O1166" i="79"/>
  <c r="N1167" i="79"/>
  <c r="O1167" i="79"/>
  <c r="N1168" i="79"/>
  <c r="O1168" i="79"/>
  <c r="N1169" i="79"/>
  <c r="O1169" i="79"/>
  <c r="N1170" i="79"/>
  <c r="O1170" i="79"/>
  <c r="N1171" i="79"/>
  <c r="O1171" i="79"/>
  <c r="N1172" i="79"/>
  <c r="O1172" i="79"/>
  <c r="N1173" i="79"/>
  <c r="O1173" i="79"/>
  <c r="N1174" i="79"/>
  <c r="O1174" i="79"/>
  <c r="N1175" i="79"/>
  <c r="O1175" i="79"/>
  <c r="K1261" i="79"/>
  <c r="J1261" i="79"/>
  <c r="I1261" i="79"/>
  <c r="H1261" i="79"/>
  <c r="G1261" i="79"/>
  <c r="F1261" i="79"/>
  <c r="E1261" i="79"/>
  <c r="D1261" i="79"/>
  <c r="A1261" i="79"/>
  <c r="K1260" i="79"/>
  <c r="J1260" i="79"/>
  <c r="I1260" i="79"/>
  <c r="H1260" i="79"/>
  <c r="G1260" i="79"/>
  <c r="F1260" i="79"/>
  <c r="E1260" i="79"/>
  <c r="D1260" i="79"/>
  <c r="A1260" i="79"/>
  <c r="K1259" i="79"/>
  <c r="J1259" i="79"/>
  <c r="I1259" i="79"/>
  <c r="H1259" i="79"/>
  <c r="G1259" i="79"/>
  <c r="F1259" i="79"/>
  <c r="E1259" i="79"/>
  <c r="D1259" i="79"/>
  <c r="A1259" i="79"/>
  <c r="K1258" i="79"/>
  <c r="J1258" i="79"/>
  <c r="I1258" i="79"/>
  <c r="H1258" i="79"/>
  <c r="G1258" i="79"/>
  <c r="F1258" i="79"/>
  <c r="E1258" i="79"/>
  <c r="D1258" i="79"/>
  <c r="A1258" i="79"/>
  <c r="K1257" i="79"/>
  <c r="J1257" i="79"/>
  <c r="I1257" i="79"/>
  <c r="H1257" i="79"/>
  <c r="G1257" i="79"/>
  <c r="F1257" i="79"/>
  <c r="E1257" i="79"/>
  <c r="D1257" i="79"/>
  <c r="A1257" i="79"/>
  <c r="K1256" i="79"/>
  <c r="J1256" i="79"/>
  <c r="I1256" i="79"/>
  <c r="H1256" i="79"/>
  <c r="G1256" i="79"/>
  <c r="F1256" i="79"/>
  <c r="E1256" i="79"/>
  <c r="D1256" i="79"/>
  <c r="A1256" i="79"/>
  <c r="K1255" i="79"/>
  <c r="J1255" i="79"/>
  <c r="I1255" i="79"/>
  <c r="H1255" i="79"/>
  <c r="G1255" i="79"/>
  <c r="F1255" i="79"/>
  <c r="E1255" i="79"/>
  <c r="D1255" i="79"/>
  <c r="A1255" i="79"/>
  <c r="K1254" i="79"/>
  <c r="J1254" i="79"/>
  <c r="I1254" i="79"/>
  <c r="H1254" i="79"/>
  <c r="G1254" i="79"/>
  <c r="F1254" i="79"/>
  <c r="E1254" i="79"/>
  <c r="D1254" i="79"/>
  <c r="A1254" i="79"/>
  <c r="K1253" i="79"/>
  <c r="J1253" i="79"/>
  <c r="I1253" i="79"/>
  <c r="H1253" i="79"/>
  <c r="G1253" i="79"/>
  <c r="F1253" i="79"/>
  <c r="E1253" i="79"/>
  <c r="D1253" i="79"/>
  <c r="A1253" i="79"/>
  <c r="K1252" i="79"/>
  <c r="J1252" i="79"/>
  <c r="I1252" i="79"/>
  <c r="H1252" i="79"/>
  <c r="G1252" i="79"/>
  <c r="F1252" i="79"/>
  <c r="E1252" i="79"/>
  <c r="D1252" i="79"/>
  <c r="A1252" i="79"/>
  <c r="K1251" i="79"/>
  <c r="J1251" i="79"/>
  <c r="I1251" i="79"/>
  <c r="H1251" i="79"/>
  <c r="G1251" i="79"/>
  <c r="F1251" i="79"/>
  <c r="E1251" i="79"/>
  <c r="D1251" i="79"/>
  <c r="A1251" i="79"/>
  <c r="K1250" i="79"/>
  <c r="J1250" i="79"/>
  <c r="I1250" i="79"/>
  <c r="H1250" i="79"/>
  <c r="G1250" i="79"/>
  <c r="F1250" i="79"/>
  <c r="E1250" i="79"/>
  <c r="D1250" i="79"/>
  <c r="A1250" i="79"/>
  <c r="K1249" i="79"/>
  <c r="J1249" i="79"/>
  <c r="I1249" i="79"/>
  <c r="H1249" i="79"/>
  <c r="G1249" i="79"/>
  <c r="F1249" i="79"/>
  <c r="E1249" i="79"/>
  <c r="D1249" i="79"/>
  <c r="A1249" i="79"/>
  <c r="K1248" i="79"/>
  <c r="J1248" i="79"/>
  <c r="I1248" i="79"/>
  <c r="H1248" i="79"/>
  <c r="G1248" i="79"/>
  <c r="F1248" i="79"/>
  <c r="E1248" i="79"/>
  <c r="D1248" i="79"/>
  <c r="A1248" i="79"/>
  <c r="K1247" i="79"/>
  <c r="J1247" i="79"/>
  <c r="I1247" i="79"/>
  <c r="H1247" i="79"/>
  <c r="G1247" i="79"/>
  <c r="F1247" i="79"/>
  <c r="E1247" i="79"/>
  <c r="D1247" i="79"/>
  <c r="A1247" i="79"/>
  <c r="K1246" i="79"/>
  <c r="J1246" i="79"/>
  <c r="I1246" i="79"/>
  <c r="H1246" i="79"/>
  <c r="G1246" i="79"/>
  <c r="F1246" i="79"/>
  <c r="E1246" i="79"/>
  <c r="D1246" i="79"/>
  <c r="A1246" i="79"/>
  <c r="K1245" i="79"/>
  <c r="J1245" i="79"/>
  <c r="I1245" i="79"/>
  <c r="H1245" i="79"/>
  <c r="G1245" i="79"/>
  <c r="F1245" i="79"/>
  <c r="E1245" i="79"/>
  <c r="D1245" i="79"/>
  <c r="A1245" i="79"/>
  <c r="K1244" i="79"/>
  <c r="J1244" i="79"/>
  <c r="I1244" i="79"/>
  <c r="H1244" i="79"/>
  <c r="G1244" i="79"/>
  <c r="F1244" i="79"/>
  <c r="E1244" i="79"/>
  <c r="D1244" i="79"/>
  <c r="A1244" i="79"/>
  <c r="K1243" i="79"/>
  <c r="J1243" i="79"/>
  <c r="I1243" i="79"/>
  <c r="H1243" i="79"/>
  <c r="G1243" i="79"/>
  <c r="F1243" i="79"/>
  <c r="E1243" i="79"/>
  <c r="D1243" i="79"/>
  <c r="A1243" i="79"/>
  <c r="K1242" i="79"/>
  <c r="J1242" i="79"/>
  <c r="I1242" i="79"/>
  <c r="H1242" i="79"/>
  <c r="G1242" i="79"/>
  <c r="F1242" i="79"/>
  <c r="E1242" i="79"/>
  <c r="D1242" i="79"/>
  <c r="A1242" i="79"/>
  <c r="K1241" i="79"/>
  <c r="J1241" i="79"/>
  <c r="I1241" i="79"/>
  <c r="H1241" i="79"/>
  <c r="G1241" i="79"/>
  <c r="F1241" i="79"/>
  <c r="E1241" i="79"/>
  <c r="D1241" i="79"/>
  <c r="A1241" i="79"/>
  <c r="K1240" i="79"/>
  <c r="J1240" i="79"/>
  <c r="I1240" i="79"/>
  <c r="H1240" i="79"/>
  <c r="G1240" i="79"/>
  <c r="F1240" i="79"/>
  <c r="E1240" i="79"/>
  <c r="D1240" i="79"/>
  <c r="A1240" i="79"/>
  <c r="K1239" i="79"/>
  <c r="J1239" i="79"/>
  <c r="I1239" i="79"/>
  <c r="H1239" i="79"/>
  <c r="G1239" i="79"/>
  <c r="F1239" i="79"/>
  <c r="E1239" i="79"/>
  <c r="D1239" i="79"/>
  <c r="A1239" i="79"/>
  <c r="K1238" i="79"/>
  <c r="J1238" i="79"/>
  <c r="I1238" i="79"/>
  <c r="H1238" i="79"/>
  <c r="G1238" i="79"/>
  <c r="F1238" i="79"/>
  <c r="E1238" i="79"/>
  <c r="D1238" i="79"/>
  <c r="A1238" i="79"/>
  <c r="K1237" i="79"/>
  <c r="J1237" i="79"/>
  <c r="I1237" i="79"/>
  <c r="H1237" i="79"/>
  <c r="G1237" i="79"/>
  <c r="F1237" i="79"/>
  <c r="E1237" i="79"/>
  <c r="D1237" i="79"/>
  <c r="A1237" i="79"/>
  <c r="K1236" i="79"/>
  <c r="J1236" i="79"/>
  <c r="I1236" i="79"/>
  <c r="H1236" i="79"/>
  <c r="G1236" i="79"/>
  <c r="F1236" i="79"/>
  <c r="E1236" i="79"/>
  <c r="D1236" i="79"/>
  <c r="A1236" i="79"/>
  <c r="K1235" i="79"/>
  <c r="J1235" i="79"/>
  <c r="I1235" i="79"/>
  <c r="H1235" i="79"/>
  <c r="G1235" i="79"/>
  <c r="F1235" i="79"/>
  <c r="E1235" i="79"/>
  <c r="D1235" i="79"/>
  <c r="A1235" i="79"/>
  <c r="K1234" i="79"/>
  <c r="J1234" i="79"/>
  <c r="I1234" i="79"/>
  <c r="H1234" i="79"/>
  <c r="G1234" i="79"/>
  <c r="F1234" i="79"/>
  <c r="L1234" i="79" s="1"/>
  <c r="E1234" i="79"/>
  <c r="D1234" i="79"/>
  <c r="A1234" i="79"/>
  <c r="K1233" i="79"/>
  <c r="J1233" i="79"/>
  <c r="I1233" i="79"/>
  <c r="H1233" i="79"/>
  <c r="G1233" i="79"/>
  <c r="F1233" i="79"/>
  <c r="E1233" i="79"/>
  <c r="D1233" i="79"/>
  <c r="A1233" i="79"/>
  <c r="K1232" i="79"/>
  <c r="J1232" i="79"/>
  <c r="I1232" i="79"/>
  <c r="H1232" i="79"/>
  <c r="G1232" i="79"/>
  <c r="F1232" i="79"/>
  <c r="E1232" i="79"/>
  <c r="D1232" i="79"/>
  <c r="A1232" i="79"/>
  <c r="K1231" i="79"/>
  <c r="J1231" i="79"/>
  <c r="I1231" i="79"/>
  <c r="H1231" i="79"/>
  <c r="G1231" i="79"/>
  <c r="F1231" i="79"/>
  <c r="E1231" i="79"/>
  <c r="D1231" i="79"/>
  <c r="A1231" i="79"/>
  <c r="K1230" i="79"/>
  <c r="J1230" i="79"/>
  <c r="I1230" i="79"/>
  <c r="H1230" i="79"/>
  <c r="G1230" i="79"/>
  <c r="F1230" i="79"/>
  <c r="E1230" i="79"/>
  <c r="D1230" i="79"/>
  <c r="A1230" i="79"/>
  <c r="K1229" i="79"/>
  <c r="J1229" i="79"/>
  <c r="I1229" i="79"/>
  <c r="H1229" i="79"/>
  <c r="G1229" i="79"/>
  <c r="F1229" i="79"/>
  <c r="E1229" i="79"/>
  <c r="D1229" i="79"/>
  <c r="A1229" i="79"/>
  <c r="K1228" i="79"/>
  <c r="J1228" i="79"/>
  <c r="I1228" i="79"/>
  <c r="H1228" i="79"/>
  <c r="G1228" i="79"/>
  <c r="F1228" i="79"/>
  <c r="E1228" i="79"/>
  <c r="D1228" i="79"/>
  <c r="A1228" i="79"/>
  <c r="K1227" i="79"/>
  <c r="J1227" i="79"/>
  <c r="I1227" i="79"/>
  <c r="H1227" i="79"/>
  <c r="G1227" i="79"/>
  <c r="F1227" i="79"/>
  <c r="E1227" i="79"/>
  <c r="D1227" i="79"/>
  <c r="A1227" i="79"/>
  <c r="K1219" i="79"/>
  <c r="J1219" i="79"/>
  <c r="I1219" i="79"/>
  <c r="H1219" i="79"/>
  <c r="G1219" i="79"/>
  <c r="F1219" i="79"/>
  <c r="E1219" i="79"/>
  <c r="D1219" i="79"/>
  <c r="A1219" i="79"/>
  <c r="K1218" i="79"/>
  <c r="J1218" i="79"/>
  <c r="I1218" i="79"/>
  <c r="H1218" i="79"/>
  <c r="G1218" i="79"/>
  <c r="F1218" i="79"/>
  <c r="E1218" i="79"/>
  <c r="D1218" i="79"/>
  <c r="A1218" i="79"/>
  <c r="K1217" i="79"/>
  <c r="J1217" i="79"/>
  <c r="I1217" i="79"/>
  <c r="H1217" i="79"/>
  <c r="G1217" i="79"/>
  <c r="F1217" i="79"/>
  <c r="E1217" i="79"/>
  <c r="D1217" i="79"/>
  <c r="A1217" i="79"/>
  <c r="K1216" i="79"/>
  <c r="J1216" i="79"/>
  <c r="I1216" i="79"/>
  <c r="H1216" i="79"/>
  <c r="G1216" i="79"/>
  <c r="F1216" i="79"/>
  <c r="E1216" i="79"/>
  <c r="D1216" i="79"/>
  <c r="A1216" i="79"/>
  <c r="K1215" i="79"/>
  <c r="J1215" i="79"/>
  <c r="I1215" i="79"/>
  <c r="H1215" i="79"/>
  <c r="G1215" i="79"/>
  <c r="F1215" i="79"/>
  <c r="E1215" i="79"/>
  <c r="D1215" i="79"/>
  <c r="A1215" i="79"/>
  <c r="K1214" i="79"/>
  <c r="J1214" i="79"/>
  <c r="I1214" i="79"/>
  <c r="H1214" i="79"/>
  <c r="G1214" i="79"/>
  <c r="F1214" i="79"/>
  <c r="E1214" i="79"/>
  <c r="D1214" i="79"/>
  <c r="A1214" i="79"/>
  <c r="K1213" i="79"/>
  <c r="J1213" i="79"/>
  <c r="I1213" i="79"/>
  <c r="H1213" i="79"/>
  <c r="L1213" i="79" s="1"/>
  <c r="M1213" i="79" s="1"/>
  <c r="G1213" i="79"/>
  <c r="F1213" i="79"/>
  <c r="E1213" i="79"/>
  <c r="D1213" i="79"/>
  <c r="A1213" i="79"/>
  <c r="K1212" i="79"/>
  <c r="J1212" i="79"/>
  <c r="I1212" i="79"/>
  <c r="H1212" i="79"/>
  <c r="G1212" i="79"/>
  <c r="F1212" i="79"/>
  <c r="E1212" i="79"/>
  <c r="L1212" i="79" s="1"/>
  <c r="D1212" i="79"/>
  <c r="A1212" i="79"/>
  <c r="K1211" i="79"/>
  <c r="J1211" i="79"/>
  <c r="I1211" i="79"/>
  <c r="H1211" i="79"/>
  <c r="G1211" i="79"/>
  <c r="F1211" i="79"/>
  <c r="E1211" i="79"/>
  <c r="D1211" i="79"/>
  <c r="A1211" i="79"/>
  <c r="K1210" i="79"/>
  <c r="J1210" i="79"/>
  <c r="I1210" i="79"/>
  <c r="H1210" i="79"/>
  <c r="G1210" i="79"/>
  <c r="F1210" i="79"/>
  <c r="E1210" i="79"/>
  <c r="D1210" i="79"/>
  <c r="A1210" i="79"/>
  <c r="K1209" i="79"/>
  <c r="J1209" i="79"/>
  <c r="I1209" i="79"/>
  <c r="H1209" i="79"/>
  <c r="G1209" i="79"/>
  <c r="F1209" i="79"/>
  <c r="E1209" i="79"/>
  <c r="D1209" i="79"/>
  <c r="A1209" i="79"/>
  <c r="K1208" i="79"/>
  <c r="J1208" i="79"/>
  <c r="I1208" i="79"/>
  <c r="H1208" i="79"/>
  <c r="G1208" i="79"/>
  <c r="F1208" i="79"/>
  <c r="E1208" i="79"/>
  <c r="D1208" i="79"/>
  <c r="A1208" i="79"/>
  <c r="K1207" i="79"/>
  <c r="J1207" i="79"/>
  <c r="I1207" i="79"/>
  <c r="H1207" i="79"/>
  <c r="G1207" i="79"/>
  <c r="F1207" i="79"/>
  <c r="E1207" i="79"/>
  <c r="D1207" i="79"/>
  <c r="A1207" i="79"/>
  <c r="K1206" i="79"/>
  <c r="J1206" i="79"/>
  <c r="I1206" i="79"/>
  <c r="H1206" i="79"/>
  <c r="G1206" i="79"/>
  <c r="F1206" i="79"/>
  <c r="E1206" i="79"/>
  <c r="D1206" i="79"/>
  <c r="A1206" i="79"/>
  <c r="K1205" i="79"/>
  <c r="J1205" i="79"/>
  <c r="I1205" i="79"/>
  <c r="H1205" i="79"/>
  <c r="G1205" i="79"/>
  <c r="F1205" i="79"/>
  <c r="E1205" i="79"/>
  <c r="D1205" i="79"/>
  <c r="A1205" i="79"/>
  <c r="K1204" i="79"/>
  <c r="J1204" i="79"/>
  <c r="I1204" i="79"/>
  <c r="H1204" i="79"/>
  <c r="G1204" i="79"/>
  <c r="F1204" i="79"/>
  <c r="E1204" i="79"/>
  <c r="L1204" i="79" s="1"/>
  <c r="D1204" i="79"/>
  <c r="A1204" i="79"/>
  <c r="K1203" i="79"/>
  <c r="J1203" i="79"/>
  <c r="I1203" i="79"/>
  <c r="H1203" i="79"/>
  <c r="G1203" i="79"/>
  <c r="F1203" i="79"/>
  <c r="L1203" i="79" s="1"/>
  <c r="E1203" i="79"/>
  <c r="D1203" i="79"/>
  <c r="A1203" i="79"/>
  <c r="K1202" i="79"/>
  <c r="J1202" i="79"/>
  <c r="I1202" i="79"/>
  <c r="H1202" i="79"/>
  <c r="G1202" i="79"/>
  <c r="F1202" i="79"/>
  <c r="E1202" i="79"/>
  <c r="D1202" i="79"/>
  <c r="A1202" i="79"/>
  <c r="K1201" i="79"/>
  <c r="J1201" i="79"/>
  <c r="I1201" i="79"/>
  <c r="H1201" i="79"/>
  <c r="G1201" i="79"/>
  <c r="F1201" i="79"/>
  <c r="E1201" i="79"/>
  <c r="D1201" i="79"/>
  <c r="A1201" i="79"/>
  <c r="K1200" i="79"/>
  <c r="J1200" i="79"/>
  <c r="I1200" i="79"/>
  <c r="H1200" i="79"/>
  <c r="G1200" i="79"/>
  <c r="F1200" i="79"/>
  <c r="E1200" i="79"/>
  <c r="D1200" i="79"/>
  <c r="A1200" i="79"/>
  <c r="K1199" i="79"/>
  <c r="J1199" i="79"/>
  <c r="I1199" i="79"/>
  <c r="H1199" i="79"/>
  <c r="G1199" i="79"/>
  <c r="F1199" i="79"/>
  <c r="E1199" i="79"/>
  <c r="D1199" i="79"/>
  <c r="A1199" i="79"/>
  <c r="K1198" i="79"/>
  <c r="J1198" i="79"/>
  <c r="I1198" i="79"/>
  <c r="H1198" i="79"/>
  <c r="G1198" i="79"/>
  <c r="F1198" i="79"/>
  <c r="E1198" i="79"/>
  <c r="D1198" i="79"/>
  <c r="A1198" i="79"/>
  <c r="K1197" i="79"/>
  <c r="J1197" i="79"/>
  <c r="I1197" i="79"/>
  <c r="H1197" i="79"/>
  <c r="G1197" i="79"/>
  <c r="F1197" i="79"/>
  <c r="E1197" i="79"/>
  <c r="D1197" i="79"/>
  <c r="A1197" i="79"/>
  <c r="K1196" i="79"/>
  <c r="J1196" i="79"/>
  <c r="I1196" i="79"/>
  <c r="H1196" i="79"/>
  <c r="G1196" i="79"/>
  <c r="F1196" i="79"/>
  <c r="E1196" i="79"/>
  <c r="L1196" i="79" s="1"/>
  <c r="M1196" i="79" s="1"/>
  <c r="Q1196" i="79" s="1"/>
  <c r="D1196" i="79"/>
  <c r="A1196" i="79"/>
  <c r="K1195" i="79"/>
  <c r="J1195" i="79"/>
  <c r="I1195" i="79"/>
  <c r="H1195" i="79"/>
  <c r="G1195" i="79"/>
  <c r="F1195" i="79"/>
  <c r="E1195" i="79"/>
  <c r="D1195" i="79"/>
  <c r="A1195" i="79"/>
  <c r="K1194" i="79"/>
  <c r="J1194" i="79"/>
  <c r="I1194" i="79"/>
  <c r="H1194" i="79"/>
  <c r="G1194" i="79"/>
  <c r="F1194" i="79"/>
  <c r="E1194" i="79"/>
  <c r="D1194" i="79"/>
  <c r="A1194" i="79"/>
  <c r="K1193" i="79"/>
  <c r="J1193" i="79"/>
  <c r="I1193" i="79"/>
  <c r="H1193" i="79"/>
  <c r="G1193" i="79"/>
  <c r="F1193" i="79"/>
  <c r="E1193" i="79"/>
  <c r="D1193" i="79"/>
  <c r="A1193" i="79"/>
  <c r="K1192" i="79"/>
  <c r="J1192" i="79"/>
  <c r="I1192" i="79"/>
  <c r="H1192" i="79"/>
  <c r="G1192" i="79"/>
  <c r="F1192" i="79"/>
  <c r="E1192" i="79"/>
  <c r="D1192" i="79"/>
  <c r="A1192" i="79"/>
  <c r="K1191" i="79"/>
  <c r="J1191" i="79"/>
  <c r="I1191" i="79"/>
  <c r="H1191" i="79"/>
  <c r="G1191" i="79"/>
  <c r="F1191" i="79"/>
  <c r="E1191" i="79"/>
  <c r="D1191" i="79"/>
  <c r="A1191" i="79"/>
  <c r="K1190" i="79"/>
  <c r="J1190" i="79"/>
  <c r="I1190" i="79"/>
  <c r="H1190" i="79"/>
  <c r="G1190" i="79"/>
  <c r="F1190" i="79"/>
  <c r="E1190" i="79"/>
  <c r="D1190" i="79"/>
  <c r="A1190" i="79"/>
  <c r="K1189" i="79"/>
  <c r="J1189" i="79"/>
  <c r="I1189" i="79"/>
  <c r="H1189" i="79"/>
  <c r="G1189" i="79"/>
  <c r="F1189" i="79"/>
  <c r="E1189" i="79"/>
  <c r="D1189" i="79"/>
  <c r="A1189" i="79"/>
  <c r="K1188" i="79"/>
  <c r="J1188" i="79"/>
  <c r="I1188" i="79"/>
  <c r="H1188" i="79"/>
  <c r="G1188" i="79"/>
  <c r="F1188" i="79"/>
  <c r="E1188" i="79"/>
  <c r="L1188" i="79" s="1"/>
  <c r="D1188" i="79"/>
  <c r="A1188" i="79"/>
  <c r="K1187" i="79"/>
  <c r="J1187" i="79"/>
  <c r="I1187" i="79"/>
  <c r="H1187" i="79"/>
  <c r="G1187" i="79"/>
  <c r="F1187" i="79"/>
  <c r="E1187" i="79"/>
  <c r="D1187" i="79"/>
  <c r="A1187" i="79"/>
  <c r="K1186" i="79"/>
  <c r="J1186" i="79"/>
  <c r="I1186" i="79"/>
  <c r="H1186" i="79"/>
  <c r="G1186" i="79"/>
  <c r="F1186" i="79"/>
  <c r="E1186" i="79"/>
  <c r="D1186" i="79"/>
  <c r="A1186" i="79"/>
  <c r="K1185" i="79"/>
  <c r="J1185" i="79"/>
  <c r="I1185" i="79"/>
  <c r="H1185" i="79"/>
  <c r="G1185" i="79"/>
  <c r="F1185" i="79"/>
  <c r="E1185" i="79"/>
  <c r="D1185" i="79"/>
  <c r="A1185" i="79"/>
  <c r="A1142" i="79"/>
  <c r="D1142" i="79"/>
  <c r="E1142" i="79"/>
  <c r="F1142" i="79"/>
  <c r="G1142" i="79"/>
  <c r="H1142" i="79"/>
  <c r="I1142" i="79"/>
  <c r="J1142" i="79"/>
  <c r="K1142" i="79"/>
  <c r="A1143" i="79"/>
  <c r="D1143" i="79"/>
  <c r="E1143" i="79"/>
  <c r="F1143" i="79"/>
  <c r="G1143" i="79"/>
  <c r="H1143" i="79"/>
  <c r="I1143" i="79"/>
  <c r="J1143" i="79"/>
  <c r="K1143" i="79"/>
  <c r="A1144" i="79"/>
  <c r="D1144" i="79"/>
  <c r="E1144" i="79"/>
  <c r="F1144" i="79"/>
  <c r="G1144" i="79"/>
  <c r="H1144" i="79"/>
  <c r="I1144" i="79"/>
  <c r="J1144" i="79"/>
  <c r="K1144" i="79"/>
  <c r="A1145" i="79"/>
  <c r="D1145" i="79"/>
  <c r="E1145" i="79"/>
  <c r="F1145" i="79"/>
  <c r="G1145" i="79"/>
  <c r="H1145" i="79"/>
  <c r="I1145" i="79"/>
  <c r="J1145" i="79"/>
  <c r="K1145" i="79"/>
  <c r="A1146" i="79"/>
  <c r="D1146" i="79"/>
  <c r="E1146" i="79"/>
  <c r="F1146" i="79"/>
  <c r="G1146" i="79"/>
  <c r="H1146" i="79"/>
  <c r="I1146" i="79"/>
  <c r="J1146" i="79"/>
  <c r="K1146" i="79"/>
  <c r="A1147" i="79"/>
  <c r="D1147" i="79"/>
  <c r="E1147" i="79"/>
  <c r="F1147" i="79"/>
  <c r="G1147" i="79"/>
  <c r="H1147" i="79"/>
  <c r="I1147" i="79"/>
  <c r="J1147" i="79"/>
  <c r="K1147" i="79"/>
  <c r="A1148" i="79"/>
  <c r="D1148" i="79"/>
  <c r="E1148" i="79"/>
  <c r="F1148" i="79"/>
  <c r="G1148" i="79"/>
  <c r="H1148" i="79"/>
  <c r="I1148" i="79"/>
  <c r="J1148" i="79"/>
  <c r="K1148" i="79"/>
  <c r="A1149" i="79"/>
  <c r="D1149" i="79"/>
  <c r="E1149" i="79"/>
  <c r="F1149" i="79"/>
  <c r="G1149" i="79"/>
  <c r="H1149" i="79"/>
  <c r="I1149" i="79"/>
  <c r="J1149" i="79"/>
  <c r="K1149" i="79"/>
  <c r="A1150" i="79"/>
  <c r="D1150" i="79"/>
  <c r="E1150" i="79"/>
  <c r="F1150" i="79"/>
  <c r="G1150" i="79"/>
  <c r="H1150" i="79"/>
  <c r="I1150" i="79"/>
  <c r="J1150" i="79"/>
  <c r="K1150" i="79"/>
  <c r="A1151" i="79"/>
  <c r="D1151" i="79"/>
  <c r="E1151" i="79"/>
  <c r="F1151" i="79"/>
  <c r="G1151" i="79"/>
  <c r="H1151" i="79"/>
  <c r="I1151" i="79"/>
  <c r="J1151" i="79"/>
  <c r="K1151" i="79"/>
  <c r="A1152" i="79"/>
  <c r="D1152" i="79"/>
  <c r="E1152" i="79"/>
  <c r="F1152" i="79"/>
  <c r="G1152" i="79"/>
  <c r="H1152" i="79"/>
  <c r="I1152" i="79"/>
  <c r="J1152" i="79"/>
  <c r="K1152" i="79"/>
  <c r="A1153" i="79"/>
  <c r="D1153" i="79"/>
  <c r="E1153" i="79"/>
  <c r="F1153" i="79"/>
  <c r="G1153" i="79"/>
  <c r="H1153" i="79"/>
  <c r="I1153" i="79"/>
  <c r="J1153" i="79"/>
  <c r="K1153" i="79"/>
  <c r="A1154" i="79"/>
  <c r="D1154" i="79"/>
  <c r="E1154" i="79"/>
  <c r="F1154" i="79"/>
  <c r="G1154" i="79"/>
  <c r="H1154" i="79"/>
  <c r="I1154" i="79"/>
  <c r="J1154" i="79"/>
  <c r="K1154" i="79"/>
  <c r="A1155" i="79"/>
  <c r="D1155" i="79"/>
  <c r="E1155" i="79"/>
  <c r="F1155" i="79"/>
  <c r="G1155" i="79"/>
  <c r="H1155" i="79"/>
  <c r="I1155" i="79"/>
  <c r="J1155" i="79"/>
  <c r="K1155" i="79"/>
  <c r="A1156" i="79"/>
  <c r="D1156" i="79"/>
  <c r="E1156" i="79"/>
  <c r="F1156" i="79"/>
  <c r="G1156" i="79"/>
  <c r="H1156" i="79"/>
  <c r="I1156" i="79"/>
  <c r="J1156" i="79"/>
  <c r="K1156" i="79"/>
  <c r="A1157" i="79"/>
  <c r="D1157" i="79"/>
  <c r="E1157" i="79"/>
  <c r="F1157" i="79"/>
  <c r="G1157" i="79"/>
  <c r="H1157" i="79"/>
  <c r="I1157" i="79"/>
  <c r="J1157" i="79"/>
  <c r="K1157" i="79"/>
  <c r="A1158" i="79"/>
  <c r="D1158" i="79"/>
  <c r="E1158" i="79"/>
  <c r="F1158" i="79"/>
  <c r="G1158" i="79"/>
  <c r="H1158" i="79"/>
  <c r="I1158" i="79"/>
  <c r="J1158" i="79"/>
  <c r="K1158" i="79"/>
  <c r="A1159" i="79"/>
  <c r="D1159" i="79"/>
  <c r="E1159" i="79"/>
  <c r="F1159" i="79"/>
  <c r="G1159" i="79"/>
  <c r="H1159" i="79"/>
  <c r="I1159" i="79"/>
  <c r="J1159" i="79"/>
  <c r="K1159" i="79"/>
  <c r="A1160" i="79"/>
  <c r="D1160" i="79"/>
  <c r="E1160" i="79"/>
  <c r="F1160" i="79"/>
  <c r="G1160" i="79"/>
  <c r="H1160" i="79"/>
  <c r="I1160" i="79"/>
  <c r="J1160" i="79"/>
  <c r="K1160" i="79"/>
  <c r="A1161" i="79"/>
  <c r="D1161" i="79"/>
  <c r="E1161" i="79"/>
  <c r="F1161" i="79"/>
  <c r="G1161" i="79"/>
  <c r="H1161" i="79"/>
  <c r="I1161" i="79"/>
  <c r="J1161" i="79"/>
  <c r="K1161" i="79"/>
  <c r="A1162" i="79"/>
  <c r="D1162" i="79"/>
  <c r="E1162" i="79"/>
  <c r="F1162" i="79"/>
  <c r="G1162" i="79"/>
  <c r="H1162" i="79"/>
  <c r="I1162" i="79"/>
  <c r="J1162" i="79"/>
  <c r="K1162" i="79"/>
  <c r="A1163" i="79"/>
  <c r="D1163" i="79"/>
  <c r="E1163" i="79"/>
  <c r="F1163" i="79"/>
  <c r="G1163" i="79"/>
  <c r="H1163" i="79"/>
  <c r="I1163" i="79"/>
  <c r="J1163" i="79"/>
  <c r="K1163" i="79"/>
  <c r="A1164" i="79"/>
  <c r="D1164" i="79"/>
  <c r="E1164" i="79"/>
  <c r="F1164" i="79"/>
  <c r="G1164" i="79"/>
  <c r="H1164" i="79"/>
  <c r="I1164" i="79"/>
  <c r="J1164" i="79"/>
  <c r="K1164" i="79"/>
  <c r="A1165" i="79"/>
  <c r="D1165" i="79"/>
  <c r="E1165" i="79"/>
  <c r="F1165" i="79"/>
  <c r="G1165" i="79"/>
  <c r="H1165" i="79"/>
  <c r="I1165" i="79"/>
  <c r="J1165" i="79"/>
  <c r="K1165" i="79"/>
  <c r="A1166" i="79"/>
  <c r="D1166" i="79"/>
  <c r="E1166" i="79"/>
  <c r="F1166" i="79"/>
  <c r="G1166" i="79"/>
  <c r="H1166" i="79"/>
  <c r="I1166" i="79"/>
  <c r="J1166" i="79"/>
  <c r="K1166" i="79"/>
  <c r="A1167" i="79"/>
  <c r="D1167" i="79"/>
  <c r="E1167" i="79"/>
  <c r="F1167" i="79"/>
  <c r="G1167" i="79"/>
  <c r="H1167" i="79"/>
  <c r="I1167" i="79"/>
  <c r="J1167" i="79"/>
  <c r="K1167" i="79"/>
  <c r="A1168" i="79"/>
  <c r="D1168" i="79"/>
  <c r="E1168" i="79"/>
  <c r="F1168" i="79"/>
  <c r="G1168" i="79"/>
  <c r="H1168" i="79"/>
  <c r="I1168" i="79"/>
  <c r="J1168" i="79"/>
  <c r="K1168" i="79"/>
  <c r="A1169" i="79"/>
  <c r="D1169" i="79"/>
  <c r="E1169" i="79"/>
  <c r="F1169" i="79"/>
  <c r="G1169" i="79"/>
  <c r="H1169" i="79"/>
  <c r="I1169" i="79"/>
  <c r="J1169" i="79"/>
  <c r="K1169" i="79"/>
  <c r="A1170" i="79"/>
  <c r="D1170" i="79"/>
  <c r="E1170" i="79"/>
  <c r="F1170" i="79"/>
  <c r="G1170" i="79"/>
  <c r="H1170" i="79"/>
  <c r="I1170" i="79"/>
  <c r="J1170" i="79"/>
  <c r="K1170" i="79"/>
  <c r="A1171" i="79"/>
  <c r="D1171" i="79"/>
  <c r="E1171" i="79"/>
  <c r="F1171" i="79"/>
  <c r="G1171" i="79"/>
  <c r="H1171" i="79"/>
  <c r="I1171" i="79"/>
  <c r="J1171" i="79"/>
  <c r="K1171" i="79"/>
  <c r="A1172" i="79"/>
  <c r="D1172" i="79"/>
  <c r="E1172" i="79"/>
  <c r="F1172" i="79"/>
  <c r="G1172" i="79"/>
  <c r="H1172" i="79"/>
  <c r="I1172" i="79"/>
  <c r="J1172" i="79"/>
  <c r="K1172" i="79"/>
  <c r="A1173" i="79"/>
  <c r="D1173" i="79"/>
  <c r="E1173" i="79"/>
  <c r="F1173" i="79"/>
  <c r="G1173" i="79"/>
  <c r="H1173" i="79"/>
  <c r="I1173" i="79"/>
  <c r="J1173" i="79"/>
  <c r="K1173" i="79"/>
  <c r="A1174" i="79"/>
  <c r="D1174" i="79"/>
  <c r="E1174" i="79"/>
  <c r="F1174" i="79"/>
  <c r="G1174" i="79"/>
  <c r="H1174" i="79"/>
  <c r="I1174" i="79"/>
  <c r="J1174" i="79"/>
  <c r="K1174" i="79"/>
  <c r="A1175" i="79"/>
  <c r="D1175" i="79"/>
  <c r="E1175" i="79"/>
  <c r="F1175" i="79"/>
  <c r="G1175" i="79"/>
  <c r="H1175" i="79"/>
  <c r="I1175" i="79"/>
  <c r="J1175" i="79"/>
  <c r="K1175" i="79"/>
  <c r="O1141" i="79"/>
  <c r="N1141" i="79"/>
  <c r="K1141" i="79"/>
  <c r="J1141" i="79"/>
  <c r="I1141" i="79"/>
  <c r="H1141" i="79"/>
  <c r="G1141" i="79"/>
  <c r="F1141" i="79"/>
  <c r="E1141" i="79"/>
  <c r="L1141" i="79" s="1"/>
  <c r="D1141" i="79"/>
  <c r="A1141" i="79"/>
  <c r="I1134" i="79"/>
  <c r="C1135" i="79"/>
  <c r="C1134" i="79"/>
  <c r="A1127" i="79"/>
  <c r="O1120" i="79"/>
  <c r="N1120" i="79"/>
  <c r="O1119" i="79"/>
  <c r="N1119" i="79"/>
  <c r="O1118" i="79"/>
  <c r="N1118" i="79"/>
  <c r="O1117" i="79"/>
  <c r="N1117" i="79"/>
  <c r="O1116" i="79"/>
  <c r="N1116" i="79"/>
  <c r="O1115" i="79"/>
  <c r="N1115" i="79"/>
  <c r="O1114" i="79"/>
  <c r="N1114" i="79"/>
  <c r="O1113" i="79"/>
  <c r="N1113" i="79"/>
  <c r="O1112" i="79"/>
  <c r="N1112" i="79"/>
  <c r="O1111" i="79"/>
  <c r="N1111" i="79"/>
  <c r="O1110" i="79"/>
  <c r="N1110" i="79"/>
  <c r="O1109" i="79"/>
  <c r="N1109" i="79"/>
  <c r="O1108" i="79"/>
  <c r="N1108" i="79"/>
  <c r="O1107" i="79"/>
  <c r="N1107" i="79"/>
  <c r="O1106" i="79"/>
  <c r="N1106" i="79"/>
  <c r="O1105" i="79"/>
  <c r="N1105" i="79"/>
  <c r="O1104" i="79"/>
  <c r="N1104" i="79"/>
  <c r="O1103" i="79"/>
  <c r="N1103" i="79"/>
  <c r="O1102" i="79"/>
  <c r="N1102" i="79"/>
  <c r="O1101" i="79"/>
  <c r="N1101" i="79"/>
  <c r="O1100" i="79"/>
  <c r="N1100" i="79"/>
  <c r="O1099" i="79"/>
  <c r="N1099" i="79"/>
  <c r="O1098" i="79"/>
  <c r="N1098" i="79"/>
  <c r="O1097" i="79"/>
  <c r="N1097" i="79"/>
  <c r="O1096" i="79"/>
  <c r="N1096" i="79"/>
  <c r="O1095" i="79"/>
  <c r="N1095" i="79"/>
  <c r="O1094" i="79"/>
  <c r="N1094" i="79"/>
  <c r="O1093" i="79"/>
  <c r="N1093" i="79"/>
  <c r="O1092" i="79"/>
  <c r="N1092" i="79"/>
  <c r="O1091" i="79"/>
  <c r="N1091" i="79"/>
  <c r="O1090" i="79"/>
  <c r="N1090" i="79"/>
  <c r="O1089" i="79"/>
  <c r="N1089" i="79"/>
  <c r="O1088" i="79"/>
  <c r="N1088" i="79"/>
  <c r="K1120" i="79"/>
  <c r="J1120" i="79"/>
  <c r="I1120" i="79"/>
  <c r="H1120" i="79"/>
  <c r="G1120" i="79"/>
  <c r="F1120" i="79"/>
  <c r="E1120" i="79"/>
  <c r="D1120" i="79"/>
  <c r="A1120" i="79"/>
  <c r="K1119" i="79"/>
  <c r="J1119" i="79"/>
  <c r="I1119" i="79"/>
  <c r="H1119" i="79"/>
  <c r="G1119" i="79"/>
  <c r="F1119" i="79"/>
  <c r="E1119" i="79"/>
  <c r="D1119" i="79"/>
  <c r="A1119" i="79"/>
  <c r="K1118" i="79"/>
  <c r="J1118" i="79"/>
  <c r="I1118" i="79"/>
  <c r="H1118" i="79"/>
  <c r="G1118" i="79"/>
  <c r="F1118" i="79"/>
  <c r="E1118" i="79"/>
  <c r="D1118" i="79"/>
  <c r="A1118" i="79"/>
  <c r="K1117" i="79"/>
  <c r="J1117" i="79"/>
  <c r="I1117" i="79"/>
  <c r="H1117" i="79"/>
  <c r="G1117" i="79"/>
  <c r="F1117" i="79"/>
  <c r="E1117" i="79"/>
  <c r="D1117" i="79"/>
  <c r="A1117" i="79"/>
  <c r="K1116" i="79"/>
  <c r="J1116" i="79"/>
  <c r="I1116" i="79"/>
  <c r="H1116" i="79"/>
  <c r="G1116" i="79"/>
  <c r="F1116" i="79"/>
  <c r="E1116" i="79"/>
  <c r="D1116" i="79"/>
  <c r="A1116" i="79"/>
  <c r="K1115" i="79"/>
  <c r="J1115" i="79"/>
  <c r="I1115" i="79"/>
  <c r="H1115" i="79"/>
  <c r="G1115" i="79"/>
  <c r="F1115" i="79"/>
  <c r="E1115" i="79"/>
  <c r="D1115" i="79"/>
  <c r="A1115" i="79"/>
  <c r="K1114" i="79"/>
  <c r="J1114" i="79"/>
  <c r="I1114" i="79"/>
  <c r="H1114" i="79"/>
  <c r="G1114" i="79"/>
  <c r="F1114" i="79"/>
  <c r="E1114" i="79"/>
  <c r="D1114" i="79"/>
  <c r="A1114" i="79"/>
  <c r="K1113" i="79"/>
  <c r="J1113" i="79"/>
  <c r="I1113" i="79"/>
  <c r="H1113" i="79"/>
  <c r="G1113" i="79"/>
  <c r="F1113" i="79"/>
  <c r="E1113" i="79"/>
  <c r="D1113" i="79"/>
  <c r="A1113" i="79"/>
  <c r="K1112" i="79"/>
  <c r="J1112" i="79"/>
  <c r="I1112" i="79"/>
  <c r="H1112" i="79"/>
  <c r="G1112" i="79"/>
  <c r="F1112" i="79"/>
  <c r="E1112" i="79"/>
  <c r="D1112" i="79"/>
  <c r="A1112" i="79"/>
  <c r="K1111" i="79"/>
  <c r="J1111" i="79"/>
  <c r="I1111" i="79"/>
  <c r="H1111" i="79"/>
  <c r="G1111" i="79"/>
  <c r="F1111" i="79"/>
  <c r="E1111" i="79"/>
  <c r="D1111" i="79"/>
  <c r="A1111" i="79"/>
  <c r="K1110" i="79"/>
  <c r="J1110" i="79"/>
  <c r="I1110" i="79"/>
  <c r="H1110" i="79"/>
  <c r="G1110" i="79"/>
  <c r="F1110" i="79"/>
  <c r="E1110" i="79"/>
  <c r="D1110" i="79"/>
  <c r="A1110" i="79"/>
  <c r="K1109" i="79"/>
  <c r="J1109" i="79"/>
  <c r="I1109" i="79"/>
  <c r="H1109" i="79"/>
  <c r="G1109" i="79"/>
  <c r="F1109" i="79"/>
  <c r="E1109" i="79"/>
  <c r="D1109" i="79"/>
  <c r="A1109" i="79"/>
  <c r="K1108" i="79"/>
  <c r="J1108" i="79"/>
  <c r="I1108" i="79"/>
  <c r="H1108" i="79"/>
  <c r="G1108" i="79"/>
  <c r="F1108" i="79"/>
  <c r="E1108" i="79"/>
  <c r="D1108" i="79"/>
  <c r="A1108" i="79"/>
  <c r="K1107" i="79"/>
  <c r="J1107" i="79"/>
  <c r="I1107" i="79"/>
  <c r="H1107" i="79"/>
  <c r="G1107" i="79"/>
  <c r="F1107" i="79"/>
  <c r="E1107" i="79"/>
  <c r="D1107" i="79"/>
  <c r="A1107" i="79"/>
  <c r="K1106" i="79"/>
  <c r="J1106" i="79"/>
  <c r="I1106" i="79"/>
  <c r="H1106" i="79"/>
  <c r="G1106" i="79"/>
  <c r="F1106" i="79"/>
  <c r="E1106" i="79"/>
  <c r="D1106" i="79"/>
  <c r="A1106" i="79"/>
  <c r="K1105" i="79"/>
  <c r="J1105" i="79"/>
  <c r="I1105" i="79"/>
  <c r="H1105" i="79"/>
  <c r="G1105" i="79"/>
  <c r="F1105" i="79"/>
  <c r="E1105" i="79"/>
  <c r="D1105" i="79"/>
  <c r="A1105" i="79"/>
  <c r="K1104" i="79"/>
  <c r="J1104" i="79"/>
  <c r="I1104" i="79"/>
  <c r="H1104" i="79"/>
  <c r="G1104" i="79"/>
  <c r="F1104" i="79"/>
  <c r="E1104" i="79"/>
  <c r="D1104" i="79"/>
  <c r="A1104" i="79"/>
  <c r="K1103" i="79"/>
  <c r="J1103" i="79"/>
  <c r="I1103" i="79"/>
  <c r="H1103" i="79"/>
  <c r="G1103" i="79"/>
  <c r="F1103" i="79"/>
  <c r="E1103" i="79"/>
  <c r="D1103" i="79"/>
  <c r="A1103" i="79"/>
  <c r="K1102" i="79"/>
  <c r="J1102" i="79"/>
  <c r="I1102" i="79"/>
  <c r="H1102" i="79"/>
  <c r="G1102" i="79"/>
  <c r="F1102" i="79"/>
  <c r="E1102" i="79"/>
  <c r="D1102" i="79"/>
  <c r="A1102" i="79"/>
  <c r="K1101" i="79"/>
  <c r="J1101" i="79"/>
  <c r="I1101" i="79"/>
  <c r="H1101" i="79"/>
  <c r="G1101" i="79"/>
  <c r="F1101" i="79"/>
  <c r="E1101" i="79"/>
  <c r="D1101" i="79"/>
  <c r="A1101" i="79"/>
  <c r="K1100" i="79"/>
  <c r="J1100" i="79"/>
  <c r="I1100" i="79"/>
  <c r="H1100" i="79"/>
  <c r="G1100" i="79"/>
  <c r="F1100" i="79"/>
  <c r="E1100" i="79"/>
  <c r="D1100" i="79"/>
  <c r="A1100" i="79"/>
  <c r="K1099" i="79"/>
  <c r="J1099" i="79"/>
  <c r="I1099" i="79"/>
  <c r="H1099" i="79"/>
  <c r="G1099" i="79"/>
  <c r="F1099" i="79"/>
  <c r="E1099" i="79"/>
  <c r="D1099" i="79"/>
  <c r="A1099" i="79"/>
  <c r="K1098" i="79"/>
  <c r="J1098" i="79"/>
  <c r="I1098" i="79"/>
  <c r="H1098" i="79"/>
  <c r="G1098" i="79"/>
  <c r="F1098" i="79"/>
  <c r="E1098" i="79"/>
  <c r="D1098" i="79"/>
  <c r="A1098" i="79"/>
  <c r="K1097" i="79"/>
  <c r="J1097" i="79"/>
  <c r="I1097" i="79"/>
  <c r="H1097" i="79"/>
  <c r="G1097" i="79"/>
  <c r="F1097" i="79"/>
  <c r="E1097" i="79"/>
  <c r="D1097" i="79"/>
  <c r="A1097" i="79"/>
  <c r="K1096" i="79"/>
  <c r="J1096" i="79"/>
  <c r="I1096" i="79"/>
  <c r="H1096" i="79"/>
  <c r="G1096" i="79"/>
  <c r="F1096" i="79"/>
  <c r="E1096" i="79"/>
  <c r="D1096" i="79"/>
  <c r="A1096" i="79"/>
  <c r="K1095" i="79"/>
  <c r="J1095" i="79"/>
  <c r="I1095" i="79"/>
  <c r="H1095" i="79"/>
  <c r="G1095" i="79"/>
  <c r="F1095" i="79"/>
  <c r="E1095" i="79"/>
  <c r="L1095" i="79" s="1"/>
  <c r="D1095" i="79"/>
  <c r="A1095" i="79"/>
  <c r="K1094" i="79"/>
  <c r="J1094" i="79"/>
  <c r="I1094" i="79"/>
  <c r="H1094" i="79"/>
  <c r="G1094" i="79"/>
  <c r="F1094" i="79"/>
  <c r="E1094" i="79"/>
  <c r="D1094" i="79"/>
  <c r="A1094" i="79"/>
  <c r="K1093" i="79"/>
  <c r="J1093" i="79"/>
  <c r="I1093" i="79"/>
  <c r="H1093" i="79"/>
  <c r="G1093" i="79"/>
  <c r="F1093" i="79"/>
  <c r="E1093" i="79"/>
  <c r="D1093" i="79"/>
  <c r="A1093" i="79"/>
  <c r="K1092" i="79"/>
  <c r="J1092" i="79"/>
  <c r="I1092" i="79"/>
  <c r="H1092" i="79"/>
  <c r="G1092" i="79"/>
  <c r="F1092" i="79"/>
  <c r="E1092" i="79"/>
  <c r="D1092" i="79"/>
  <c r="A1092" i="79"/>
  <c r="K1091" i="79"/>
  <c r="J1091" i="79"/>
  <c r="I1091" i="79"/>
  <c r="H1091" i="79"/>
  <c r="G1091" i="79"/>
  <c r="F1091" i="79"/>
  <c r="E1091" i="79"/>
  <c r="D1091" i="79"/>
  <c r="A1091" i="79"/>
  <c r="K1090" i="79"/>
  <c r="J1090" i="79"/>
  <c r="I1090" i="79"/>
  <c r="H1090" i="79"/>
  <c r="G1090" i="79"/>
  <c r="F1090" i="79"/>
  <c r="E1090" i="79"/>
  <c r="D1090" i="79"/>
  <c r="A1090" i="79"/>
  <c r="K1089" i="79"/>
  <c r="J1089" i="79"/>
  <c r="I1089" i="79"/>
  <c r="H1089" i="79"/>
  <c r="G1089" i="79"/>
  <c r="F1089" i="79"/>
  <c r="E1089" i="79"/>
  <c r="D1089" i="79"/>
  <c r="A1089" i="79"/>
  <c r="K1088" i="79"/>
  <c r="J1088" i="79"/>
  <c r="I1088" i="79"/>
  <c r="H1088" i="79"/>
  <c r="G1088" i="79"/>
  <c r="F1088" i="79"/>
  <c r="E1088" i="79"/>
  <c r="D1088" i="79"/>
  <c r="A1088" i="79"/>
  <c r="O1080" i="79"/>
  <c r="N1080" i="79"/>
  <c r="O1079" i="79"/>
  <c r="N1079" i="79"/>
  <c r="O1078" i="79"/>
  <c r="N1078" i="79"/>
  <c r="O1077" i="79"/>
  <c r="N1077" i="79"/>
  <c r="O1076" i="79"/>
  <c r="N1076" i="79"/>
  <c r="O1075" i="79"/>
  <c r="N1075" i="79"/>
  <c r="O1074" i="79"/>
  <c r="N1074" i="79"/>
  <c r="O1073" i="79"/>
  <c r="N1073" i="79"/>
  <c r="O1072" i="79"/>
  <c r="N1072" i="79"/>
  <c r="O1071" i="79"/>
  <c r="N1071" i="79"/>
  <c r="O1070" i="79"/>
  <c r="N1070" i="79"/>
  <c r="O1069" i="79"/>
  <c r="N1069" i="79"/>
  <c r="O1068" i="79"/>
  <c r="N1068" i="79"/>
  <c r="O1067" i="79"/>
  <c r="N1067" i="79"/>
  <c r="O1066" i="79"/>
  <c r="N1066" i="79"/>
  <c r="O1065" i="79"/>
  <c r="N1065" i="79"/>
  <c r="O1064" i="79"/>
  <c r="N1064" i="79"/>
  <c r="O1063" i="79"/>
  <c r="N1063" i="79"/>
  <c r="O1062" i="79"/>
  <c r="N1062" i="79"/>
  <c r="O1061" i="79"/>
  <c r="N1061" i="79"/>
  <c r="O1060" i="79"/>
  <c r="N1060" i="79"/>
  <c r="O1059" i="79"/>
  <c r="N1059" i="79"/>
  <c r="O1058" i="79"/>
  <c r="N1058" i="79"/>
  <c r="O1057" i="79"/>
  <c r="N1057" i="79"/>
  <c r="O1056" i="79"/>
  <c r="N1056" i="79"/>
  <c r="O1055" i="79"/>
  <c r="N1055" i="79"/>
  <c r="O1054" i="79"/>
  <c r="N1054" i="79"/>
  <c r="O1053" i="79"/>
  <c r="N1053" i="79"/>
  <c r="O1052" i="79"/>
  <c r="N1052" i="79"/>
  <c r="O1051" i="79"/>
  <c r="N1051" i="79"/>
  <c r="O1050" i="79"/>
  <c r="N1050" i="79"/>
  <c r="O1049" i="79"/>
  <c r="N1049" i="79"/>
  <c r="O1048" i="79"/>
  <c r="N1048" i="79"/>
  <c r="O1047" i="79"/>
  <c r="N1047" i="79"/>
  <c r="O1046" i="79"/>
  <c r="N1046" i="79"/>
  <c r="O1038" i="79"/>
  <c r="N1038" i="79"/>
  <c r="O1037" i="79"/>
  <c r="N1037" i="79"/>
  <c r="O1036" i="79"/>
  <c r="N1036" i="79"/>
  <c r="O1035" i="79"/>
  <c r="N1035" i="79"/>
  <c r="O1034" i="79"/>
  <c r="N1034" i="79"/>
  <c r="O1033" i="79"/>
  <c r="N1033" i="79"/>
  <c r="O1032" i="79"/>
  <c r="N1032" i="79"/>
  <c r="O1031" i="79"/>
  <c r="N1031" i="79"/>
  <c r="O1030" i="79"/>
  <c r="N1030" i="79"/>
  <c r="O1029" i="79"/>
  <c r="N1029" i="79"/>
  <c r="O1028" i="79"/>
  <c r="N1028" i="79"/>
  <c r="O1027" i="79"/>
  <c r="N1027" i="79"/>
  <c r="O1026" i="79"/>
  <c r="N1026" i="79"/>
  <c r="O1025" i="79"/>
  <c r="N1025" i="79"/>
  <c r="O1024" i="79"/>
  <c r="N1024" i="79"/>
  <c r="O1023" i="79"/>
  <c r="N1023" i="79"/>
  <c r="O1022" i="79"/>
  <c r="N1022" i="79"/>
  <c r="O1021" i="79"/>
  <c r="N1021" i="79"/>
  <c r="O1020" i="79"/>
  <c r="N1020" i="79"/>
  <c r="O1019" i="79"/>
  <c r="N1019" i="79"/>
  <c r="O1018" i="79"/>
  <c r="N1018" i="79"/>
  <c r="O1017" i="79"/>
  <c r="N1017" i="79"/>
  <c r="O1016" i="79"/>
  <c r="N1016" i="79"/>
  <c r="O1015" i="79"/>
  <c r="N1015" i="79"/>
  <c r="O1014" i="79"/>
  <c r="N1014" i="79"/>
  <c r="O1013" i="79"/>
  <c r="N1013" i="79"/>
  <c r="O1012" i="79"/>
  <c r="N1012" i="79"/>
  <c r="O1011" i="79"/>
  <c r="N1011" i="79"/>
  <c r="O1010" i="79"/>
  <c r="N1010" i="79"/>
  <c r="O1009" i="79"/>
  <c r="N1009" i="79"/>
  <c r="O1008" i="79"/>
  <c r="N1008" i="79"/>
  <c r="O1007" i="79"/>
  <c r="N1007" i="79"/>
  <c r="O1006" i="79"/>
  <c r="N1006" i="79"/>
  <c r="O1005" i="79"/>
  <c r="N1005" i="79"/>
  <c r="O1004" i="79"/>
  <c r="N1004" i="79"/>
  <c r="K1080" i="79"/>
  <c r="J1080" i="79"/>
  <c r="I1080" i="79"/>
  <c r="H1080" i="79"/>
  <c r="G1080" i="79"/>
  <c r="F1080" i="79"/>
  <c r="E1080" i="79"/>
  <c r="D1080" i="79"/>
  <c r="A1080" i="79"/>
  <c r="K1079" i="79"/>
  <c r="J1079" i="79"/>
  <c r="I1079" i="79"/>
  <c r="H1079" i="79"/>
  <c r="G1079" i="79"/>
  <c r="F1079" i="79"/>
  <c r="E1079" i="79"/>
  <c r="D1079" i="79"/>
  <c r="A1079" i="79"/>
  <c r="K1078" i="79"/>
  <c r="J1078" i="79"/>
  <c r="I1078" i="79"/>
  <c r="H1078" i="79"/>
  <c r="G1078" i="79"/>
  <c r="L1078" i="79" s="1"/>
  <c r="F1078" i="79"/>
  <c r="E1078" i="79"/>
  <c r="D1078" i="79"/>
  <c r="A1078" i="79"/>
  <c r="K1077" i="79"/>
  <c r="J1077" i="79"/>
  <c r="I1077" i="79"/>
  <c r="H1077" i="79"/>
  <c r="L1077" i="79" s="1"/>
  <c r="G1077" i="79"/>
  <c r="F1077" i="79"/>
  <c r="E1077" i="79"/>
  <c r="D1077" i="79"/>
  <c r="A1077" i="79"/>
  <c r="K1076" i="79"/>
  <c r="J1076" i="79"/>
  <c r="I1076" i="79"/>
  <c r="H1076" i="79"/>
  <c r="G1076" i="79"/>
  <c r="F1076" i="79"/>
  <c r="E1076" i="79"/>
  <c r="L1076" i="79" s="1"/>
  <c r="M1076" i="79" s="1"/>
  <c r="D1076" i="79"/>
  <c r="A1076" i="79"/>
  <c r="K1075" i="79"/>
  <c r="J1075" i="79"/>
  <c r="I1075" i="79"/>
  <c r="H1075" i="79"/>
  <c r="G1075" i="79"/>
  <c r="F1075" i="79"/>
  <c r="E1075" i="79"/>
  <c r="D1075" i="79"/>
  <c r="A1075" i="79"/>
  <c r="K1074" i="79"/>
  <c r="J1074" i="79"/>
  <c r="I1074" i="79"/>
  <c r="H1074" i="79"/>
  <c r="G1074" i="79"/>
  <c r="F1074" i="79"/>
  <c r="E1074" i="79"/>
  <c r="D1074" i="79"/>
  <c r="A1074" i="79"/>
  <c r="K1073" i="79"/>
  <c r="J1073" i="79"/>
  <c r="I1073" i="79"/>
  <c r="H1073" i="79"/>
  <c r="G1073" i="79"/>
  <c r="F1073" i="79"/>
  <c r="E1073" i="79"/>
  <c r="D1073" i="79"/>
  <c r="A1073" i="79"/>
  <c r="K1072" i="79"/>
  <c r="J1072" i="79"/>
  <c r="I1072" i="79"/>
  <c r="H1072" i="79"/>
  <c r="G1072" i="79"/>
  <c r="F1072" i="79"/>
  <c r="E1072" i="79"/>
  <c r="D1072" i="79"/>
  <c r="A1072" i="79"/>
  <c r="K1071" i="79"/>
  <c r="J1071" i="79"/>
  <c r="I1071" i="79"/>
  <c r="H1071" i="79"/>
  <c r="G1071" i="79"/>
  <c r="F1071" i="79"/>
  <c r="E1071" i="79"/>
  <c r="D1071" i="79"/>
  <c r="A1071" i="79"/>
  <c r="K1070" i="79"/>
  <c r="J1070" i="79"/>
  <c r="I1070" i="79"/>
  <c r="H1070" i="79"/>
  <c r="G1070" i="79"/>
  <c r="F1070" i="79"/>
  <c r="E1070" i="79"/>
  <c r="D1070" i="79"/>
  <c r="A1070" i="79"/>
  <c r="K1069" i="79"/>
  <c r="J1069" i="79"/>
  <c r="I1069" i="79"/>
  <c r="H1069" i="79"/>
  <c r="L1069" i="79" s="1"/>
  <c r="G1069" i="79"/>
  <c r="F1069" i="79"/>
  <c r="E1069" i="79"/>
  <c r="D1069" i="79"/>
  <c r="A1069" i="79"/>
  <c r="K1068" i="79"/>
  <c r="J1068" i="79"/>
  <c r="I1068" i="79"/>
  <c r="H1068" i="79"/>
  <c r="G1068" i="79"/>
  <c r="F1068" i="79"/>
  <c r="E1068" i="79"/>
  <c r="L1068" i="79" s="1"/>
  <c r="M1068" i="79" s="1"/>
  <c r="D1068" i="79"/>
  <c r="A1068" i="79"/>
  <c r="K1067" i="79"/>
  <c r="J1067" i="79"/>
  <c r="I1067" i="79"/>
  <c r="H1067" i="79"/>
  <c r="G1067" i="79"/>
  <c r="F1067" i="79"/>
  <c r="E1067" i="79"/>
  <c r="D1067" i="79"/>
  <c r="A1067" i="79"/>
  <c r="K1066" i="79"/>
  <c r="J1066" i="79"/>
  <c r="I1066" i="79"/>
  <c r="H1066" i="79"/>
  <c r="G1066" i="79"/>
  <c r="F1066" i="79"/>
  <c r="E1066" i="79"/>
  <c r="D1066" i="79"/>
  <c r="A1066" i="79"/>
  <c r="K1065" i="79"/>
  <c r="J1065" i="79"/>
  <c r="I1065" i="79"/>
  <c r="H1065" i="79"/>
  <c r="G1065" i="79"/>
  <c r="F1065" i="79"/>
  <c r="E1065" i="79"/>
  <c r="D1065" i="79"/>
  <c r="A1065" i="79"/>
  <c r="K1064" i="79"/>
  <c r="J1064" i="79"/>
  <c r="I1064" i="79"/>
  <c r="H1064" i="79"/>
  <c r="G1064" i="79"/>
  <c r="F1064" i="79"/>
  <c r="E1064" i="79"/>
  <c r="D1064" i="79"/>
  <c r="A1064" i="79"/>
  <c r="K1063" i="79"/>
  <c r="J1063" i="79"/>
  <c r="I1063" i="79"/>
  <c r="H1063" i="79"/>
  <c r="G1063" i="79"/>
  <c r="F1063" i="79"/>
  <c r="E1063" i="79"/>
  <c r="D1063" i="79"/>
  <c r="A1063" i="79"/>
  <c r="K1062" i="79"/>
  <c r="J1062" i="79"/>
  <c r="I1062" i="79"/>
  <c r="H1062" i="79"/>
  <c r="G1062" i="79"/>
  <c r="F1062" i="79"/>
  <c r="E1062" i="79"/>
  <c r="D1062" i="79"/>
  <c r="A1062" i="79"/>
  <c r="K1061" i="79"/>
  <c r="J1061" i="79"/>
  <c r="I1061" i="79"/>
  <c r="H1061" i="79"/>
  <c r="L1061" i="79" s="1"/>
  <c r="G1061" i="79"/>
  <c r="F1061" i="79"/>
  <c r="E1061" i="79"/>
  <c r="D1061" i="79"/>
  <c r="A1061" i="79"/>
  <c r="K1060" i="79"/>
  <c r="J1060" i="79"/>
  <c r="I1060" i="79"/>
  <c r="H1060" i="79"/>
  <c r="G1060" i="79"/>
  <c r="F1060" i="79"/>
  <c r="E1060" i="79"/>
  <c r="L1060" i="79" s="1"/>
  <c r="M1060" i="79" s="1"/>
  <c r="P1060" i="79" s="1"/>
  <c r="R1060" i="79" s="1"/>
  <c r="D1060" i="79"/>
  <c r="A1060" i="79"/>
  <c r="K1059" i="79"/>
  <c r="J1059" i="79"/>
  <c r="I1059" i="79"/>
  <c r="H1059" i="79"/>
  <c r="G1059" i="79"/>
  <c r="F1059" i="79"/>
  <c r="E1059" i="79"/>
  <c r="D1059" i="79"/>
  <c r="A1059" i="79"/>
  <c r="K1058" i="79"/>
  <c r="J1058" i="79"/>
  <c r="I1058" i="79"/>
  <c r="H1058" i="79"/>
  <c r="G1058" i="79"/>
  <c r="F1058" i="79"/>
  <c r="E1058" i="79"/>
  <c r="D1058" i="79"/>
  <c r="A1058" i="79"/>
  <c r="K1057" i="79"/>
  <c r="J1057" i="79"/>
  <c r="I1057" i="79"/>
  <c r="H1057" i="79"/>
  <c r="G1057" i="79"/>
  <c r="F1057" i="79"/>
  <c r="E1057" i="79"/>
  <c r="D1057" i="79"/>
  <c r="A1057" i="79"/>
  <c r="K1056" i="79"/>
  <c r="J1056" i="79"/>
  <c r="I1056" i="79"/>
  <c r="H1056" i="79"/>
  <c r="G1056" i="79"/>
  <c r="F1056" i="79"/>
  <c r="E1056" i="79"/>
  <c r="D1056" i="79"/>
  <c r="A1056" i="79"/>
  <c r="K1055" i="79"/>
  <c r="J1055" i="79"/>
  <c r="I1055" i="79"/>
  <c r="H1055" i="79"/>
  <c r="G1055" i="79"/>
  <c r="F1055" i="79"/>
  <c r="E1055" i="79"/>
  <c r="D1055" i="79"/>
  <c r="A1055" i="79"/>
  <c r="K1054" i="79"/>
  <c r="J1054" i="79"/>
  <c r="I1054" i="79"/>
  <c r="H1054" i="79"/>
  <c r="G1054" i="79"/>
  <c r="F1054" i="79"/>
  <c r="E1054" i="79"/>
  <c r="D1054" i="79"/>
  <c r="A1054" i="79"/>
  <c r="K1053" i="79"/>
  <c r="J1053" i="79"/>
  <c r="I1053" i="79"/>
  <c r="H1053" i="79"/>
  <c r="L1053" i="79" s="1"/>
  <c r="G1053" i="79"/>
  <c r="F1053" i="79"/>
  <c r="E1053" i="79"/>
  <c r="D1053" i="79"/>
  <c r="A1053" i="79"/>
  <c r="K1052" i="79"/>
  <c r="J1052" i="79"/>
  <c r="I1052" i="79"/>
  <c r="H1052" i="79"/>
  <c r="G1052" i="79"/>
  <c r="F1052" i="79"/>
  <c r="E1052" i="79"/>
  <c r="L1052" i="79" s="1"/>
  <c r="M1052" i="79" s="1"/>
  <c r="D1052" i="79"/>
  <c r="A1052" i="79"/>
  <c r="K1051" i="79"/>
  <c r="J1051" i="79"/>
  <c r="I1051" i="79"/>
  <c r="H1051" i="79"/>
  <c r="G1051" i="79"/>
  <c r="F1051" i="79"/>
  <c r="E1051" i="79"/>
  <c r="D1051" i="79"/>
  <c r="A1051" i="79"/>
  <c r="K1050" i="79"/>
  <c r="J1050" i="79"/>
  <c r="I1050" i="79"/>
  <c r="H1050" i="79"/>
  <c r="G1050" i="79"/>
  <c r="F1050" i="79"/>
  <c r="E1050" i="79"/>
  <c r="D1050" i="79"/>
  <c r="A1050" i="79"/>
  <c r="K1049" i="79"/>
  <c r="J1049" i="79"/>
  <c r="I1049" i="79"/>
  <c r="H1049" i="79"/>
  <c r="G1049" i="79"/>
  <c r="F1049" i="79"/>
  <c r="E1049" i="79"/>
  <c r="D1049" i="79"/>
  <c r="A1049" i="79"/>
  <c r="K1048" i="79"/>
  <c r="J1048" i="79"/>
  <c r="I1048" i="79"/>
  <c r="H1048" i="79"/>
  <c r="G1048" i="79"/>
  <c r="F1048" i="79"/>
  <c r="E1048" i="79"/>
  <c r="D1048" i="79"/>
  <c r="A1048" i="79"/>
  <c r="K1047" i="79"/>
  <c r="J1047" i="79"/>
  <c r="I1047" i="79"/>
  <c r="H1047" i="79"/>
  <c r="G1047" i="79"/>
  <c r="F1047" i="79"/>
  <c r="L1047" i="79" s="1"/>
  <c r="M1047" i="79" s="1"/>
  <c r="Q1047" i="79" s="1"/>
  <c r="E1047" i="79"/>
  <c r="D1047" i="79"/>
  <c r="A1047" i="79"/>
  <c r="K1046" i="79"/>
  <c r="J1046" i="79"/>
  <c r="I1046" i="79"/>
  <c r="H1046" i="79"/>
  <c r="G1046" i="79"/>
  <c r="F1046" i="79"/>
  <c r="E1046" i="79"/>
  <c r="D1046" i="79"/>
  <c r="A1046" i="79"/>
  <c r="K1038" i="79"/>
  <c r="J1038" i="79"/>
  <c r="I1038" i="79"/>
  <c r="H1038" i="79"/>
  <c r="L1038" i="79" s="1"/>
  <c r="G1038" i="79"/>
  <c r="F1038" i="79"/>
  <c r="E1038" i="79"/>
  <c r="D1038" i="79"/>
  <c r="A1038" i="79"/>
  <c r="K1037" i="79"/>
  <c r="J1037" i="79"/>
  <c r="I1037" i="79"/>
  <c r="H1037" i="79"/>
  <c r="G1037" i="79"/>
  <c r="F1037" i="79"/>
  <c r="E1037" i="79"/>
  <c r="L1037" i="79" s="1"/>
  <c r="M1037" i="79" s="1"/>
  <c r="D1037" i="79"/>
  <c r="A1037" i="79"/>
  <c r="K1036" i="79"/>
  <c r="J1036" i="79"/>
  <c r="I1036" i="79"/>
  <c r="H1036" i="79"/>
  <c r="G1036" i="79"/>
  <c r="F1036" i="79"/>
  <c r="E1036" i="79"/>
  <c r="D1036" i="79"/>
  <c r="A1036" i="79"/>
  <c r="K1035" i="79"/>
  <c r="J1035" i="79"/>
  <c r="I1035" i="79"/>
  <c r="H1035" i="79"/>
  <c r="G1035" i="79"/>
  <c r="F1035" i="79"/>
  <c r="E1035" i="79"/>
  <c r="D1035" i="79"/>
  <c r="A1035" i="79"/>
  <c r="K1034" i="79"/>
  <c r="J1034" i="79"/>
  <c r="I1034" i="79"/>
  <c r="H1034" i="79"/>
  <c r="G1034" i="79"/>
  <c r="F1034" i="79"/>
  <c r="E1034" i="79"/>
  <c r="D1034" i="79"/>
  <c r="A1034" i="79"/>
  <c r="K1033" i="79"/>
  <c r="J1033" i="79"/>
  <c r="I1033" i="79"/>
  <c r="H1033" i="79"/>
  <c r="G1033" i="79"/>
  <c r="F1033" i="79"/>
  <c r="E1033" i="79"/>
  <c r="D1033" i="79"/>
  <c r="A1033" i="79"/>
  <c r="K1032" i="79"/>
  <c r="J1032" i="79"/>
  <c r="I1032" i="79"/>
  <c r="H1032" i="79"/>
  <c r="G1032" i="79"/>
  <c r="F1032" i="79"/>
  <c r="L1032" i="79" s="1"/>
  <c r="M1032" i="79" s="1"/>
  <c r="E1032" i="79"/>
  <c r="D1032" i="79"/>
  <c r="A1032" i="79"/>
  <c r="K1031" i="79"/>
  <c r="J1031" i="79"/>
  <c r="I1031" i="79"/>
  <c r="H1031" i="79"/>
  <c r="G1031" i="79"/>
  <c r="L1031" i="79" s="1"/>
  <c r="F1031" i="79"/>
  <c r="E1031" i="79"/>
  <c r="D1031" i="79"/>
  <c r="A1031" i="79"/>
  <c r="K1030" i="79"/>
  <c r="J1030" i="79"/>
  <c r="I1030" i="79"/>
  <c r="H1030" i="79"/>
  <c r="L1030" i="79" s="1"/>
  <c r="G1030" i="79"/>
  <c r="F1030" i="79"/>
  <c r="E1030" i="79"/>
  <c r="D1030" i="79"/>
  <c r="A1030" i="79"/>
  <c r="K1029" i="79"/>
  <c r="J1029" i="79"/>
  <c r="I1029" i="79"/>
  <c r="H1029" i="79"/>
  <c r="G1029" i="79"/>
  <c r="F1029" i="79"/>
  <c r="E1029" i="79"/>
  <c r="L1029" i="79" s="1"/>
  <c r="M1029" i="79" s="1"/>
  <c r="Q1029" i="79" s="1"/>
  <c r="D1029" i="79"/>
  <c r="A1029" i="79"/>
  <c r="K1028" i="79"/>
  <c r="J1028" i="79"/>
  <c r="I1028" i="79"/>
  <c r="H1028" i="79"/>
  <c r="G1028" i="79"/>
  <c r="F1028" i="79"/>
  <c r="E1028" i="79"/>
  <c r="D1028" i="79"/>
  <c r="A1028" i="79"/>
  <c r="K1027" i="79"/>
  <c r="J1027" i="79"/>
  <c r="I1027" i="79"/>
  <c r="H1027" i="79"/>
  <c r="G1027" i="79"/>
  <c r="F1027" i="79"/>
  <c r="E1027" i="79"/>
  <c r="D1027" i="79"/>
  <c r="A1027" i="79"/>
  <c r="K1026" i="79"/>
  <c r="J1026" i="79"/>
  <c r="I1026" i="79"/>
  <c r="H1026" i="79"/>
  <c r="G1026" i="79"/>
  <c r="F1026" i="79"/>
  <c r="E1026" i="79"/>
  <c r="D1026" i="79"/>
  <c r="A1026" i="79"/>
  <c r="K1025" i="79"/>
  <c r="J1025" i="79"/>
  <c r="I1025" i="79"/>
  <c r="H1025" i="79"/>
  <c r="G1025" i="79"/>
  <c r="F1025" i="79"/>
  <c r="E1025" i="79"/>
  <c r="D1025" i="79"/>
  <c r="A1025" i="79"/>
  <c r="K1024" i="79"/>
  <c r="J1024" i="79"/>
  <c r="I1024" i="79"/>
  <c r="H1024" i="79"/>
  <c r="G1024" i="79"/>
  <c r="F1024" i="79"/>
  <c r="L1024" i="79" s="1"/>
  <c r="M1024" i="79" s="1"/>
  <c r="E1024" i="79"/>
  <c r="D1024" i="79"/>
  <c r="A1024" i="79"/>
  <c r="K1023" i="79"/>
  <c r="J1023" i="79"/>
  <c r="I1023" i="79"/>
  <c r="H1023" i="79"/>
  <c r="G1023" i="79"/>
  <c r="L1023" i="79" s="1"/>
  <c r="F1023" i="79"/>
  <c r="E1023" i="79"/>
  <c r="D1023" i="79"/>
  <c r="A1023" i="79"/>
  <c r="K1022" i="79"/>
  <c r="J1022" i="79"/>
  <c r="I1022" i="79"/>
  <c r="H1022" i="79"/>
  <c r="L1022" i="79" s="1"/>
  <c r="G1022" i="79"/>
  <c r="F1022" i="79"/>
  <c r="E1022" i="79"/>
  <c r="D1022" i="79"/>
  <c r="A1022" i="79"/>
  <c r="K1021" i="79"/>
  <c r="J1021" i="79"/>
  <c r="I1021" i="79"/>
  <c r="H1021" i="79"/>
  <c r="G1021" i="79"/>
  <c r="F1021" i="79"/>
  <c r="E1021" i="79"/>
  <c r="L1021" i="79" s="1"/>
  <c r="M1021" i="79" s="1"/>
  <c r="D1021" i="79"/>
  <c r="A1021" i="79"/>
  <c r="K1020" i="79"/>
  <c r="J1020" i="79"/>
  <c r="I1020" i="79"/>
  <c r="H1020" i="79"/>
  <c r="G1020" i="79"/>
  <c r="F1020" i="79"/>
  <c r="E1020" i="79"/>
  <c r="D1020" i="79"/>
  <c r="A1020" i="79"/>
  <c r="K1019" i="79"/>
  <c r="J1019" i="79"/>
  <c r="I1019" i="79"/>
  <c r="H1019" i="79"/>
  <c r="G1019" i="79"/>
  <c r="F1019" i="79"/>
  <c r="E1019" i="79"/>
  <c r="D1019" i="79"/>
  <c r="A1019" i="79"/>
  <c r="K1018" i="79"/>
  <c r="J1018" i="79"/>
  <c r="I1018" i="79"/>
  <c r="H1018" i="79"/>
  <c r="G1018" i="79"/>
  <c r="F1018" i="79"/>
  <c r="E1018" i="79"/>
  <c r="D1018" i="79"/>
  <c r="A1018" i="79"/>
  <c r="K1017" i="79"/>
  <c r="J1017" i="79"/>
  <c r="I1017" i="79"/>
  <c r="H1017" i="79"/>
  <c r="G1017" i="79"/>
  <c r="F1017" i="79"/>
  <c r="E1017" i="79"/>
  <c r="D1017" i="79"/>
  <c r="A1017" i="79"/>
  <c r="K1016" i="79"/>
  <c r="J1016" i="79"/>
  <c r="I1016" i="79"/>
  <c r="H1016" i="79"/>
  <c r="G1016" i="79"/>
  <c r="F1016" i="79"/>
  <c r="L1016" i="79" s="1"/>
  <c r="M1016" i="79" s="1"/>
  <c r="P1016" i="79" s="1"/>
  <c r="R1016" i="79" s="1"/>
  <c r="E1016" i="79"/>
  <c r="D1016" i="79"/>
  <c r="A1016" i="79"/>
  <c r="K1015" i="79"/>
  <c r="J1015" i="79"/>
  <c r="I1015" i="79"/>
  <c r="H1015" i="79"/>
  <c r="G1015" i="79"/>
  <c r="L1015" i="79" s="1"/>
  <c r="F1015" i="79"/>
  <c r="E1015" i="79"/>
  <c r="D1015" i="79"/>
  <c r="A1015" i="79"/>
  <c r="K1014" i="79"/>
  <c r="J1014" i="79"/>
  <c r="I1014" i="79"/>
  <c r="H1014" i="79"/>
  <c r="L1014" i="79" s="1"/>
  <c r="G1014" i="79"/>
  <c r="F1014" i="79"/>
  <c r="E1014" i="79"/>
  <c r="D1014" i="79"/>
  <c r="A1014" i="79"/>
  <c r="K1013" i="79"/>
  <c r="J1013" i="79"/>
  <c r="I1013" i="79"/>
  <c r="H1013" i="79"/>
  <c r="G1013" i="79"/>
  <c r="F1013" i="79"/>
  <c r="E1013" i="79"/>
  <c r="L1013" i="79" s="1"/>
  <c r="M1013" i="79" s="1"/>
  <c r="D1013" i="79"/>
  <c r="A1013" i="79"/>
  <c r="K1012" i="79"/>
  <c r="J1012" i="79"/>
  <c r="I1012" i="79"/>
  <c r="H1012" i="79"/>
  <c r="G1012" i="79"/>
  <c r="F1012" i="79"/>
  <c r="E1012" i="79"/>
  <c r="D1012" i="79"/>
  <c r="A1012" i="79"/>
  <c r="K1011" i="79"/>
  <c r="J1011" i="79"/>
  <c r="I1011" i="79"/>
  <c r="H1011" i="79"/>
  <c r="G1011" i="79"/>
  <c r="F1011" i="79"/>
  <c r="E1011" i="79"/>
  <c r="D1011" i="79"/>
  <c r="A1011" i="79"/>
  <c r="K1010" i="79"/>
  <c r="J1010" i="79"/>
  <c r="I1010" i="79"/>
  <c r="H1010" i="79"/>
  <c r="G1010" i="79"/>
  <c r="F1010" i="79"/>
  <c r="E1010" i="79"/>
  <c r="D1010" i="79"/>
  <c r="A1010" i="79"/>
  <c r="K1009" i="79"/>
  <c r="J1009" i="79"/>
  <c r="I1009" i="79"/>
  <c r="H1009" i="79"/>
  <c r="G1009" i="79"/>
  <c r="F1009" i="79"/>
  <c r="E1009" i="79"/>
  <c r="D1009" i="79"/>
  <c r="A1009" i="79"/>
  <c r="K1008" i="79"/>
  <c r="J1008" i="79"/>
  <c r="I1008" i="79"/>
  <c r="H1008" i="79"/>
  <c r="G1008" i="79"/>
  <c r="F1008" i="79"/>
  <c r="L1008" i="79" s="1"/>
  <c r="M1008" i="79" s="1"/>
  <c r="E1008" i="79"/>
  <c r="D1008" i="79"/>
  <c r="A1008" i="79"/>
  <c r="K1007" i="79"/>
  <c r="J1007" i="79"/>
  <c r="I1007" i="79"/>
  <c r="H1007" i="79"/>
  <c r="G1007" i="79"/>
  <c r="L1007" i="79" s="1"/>
  <c r="F1007" i="79"/>
  <c r="E1007" i="79"/>
  <c r="D1007" i="79"/>
  <c r="A1007" i="79"/>
  <c r="K1006" i="79"/>
  <c r="J1006" i="79"/>
  <c r="I1006" i="79"/>
  <c r="H1006" i="79"/>
  <c r="L1006" i="79" s="1"/>
  <c r="M1006" i="79" s="1"/>
  <c r="G1006" i="79"/>
  <c r="F1006" i="79"/>
  <c r="E1006" i="79"/>
  <c r="D1006" i="79"/>
  <c r="A1006" i="79"/>
  <c r="K1005" i="79"/>
  <c r="J1005" i="79"/>
  <c r="I1005" i="79"/>
  <c r="H1005" i="79"/>
  <c r="G1005" i="79"/>
  <c r="F1005" i="79"/>
  <c r="E1005" i="79"/>
  <c r="L1005" i="79" s="1"/>
  <c r="M1005" i="79" s="1"/>
  <c r="D1005" i="79"/>
  <c r="A1005" i="79"/>
  <c r="K1004" i="79"/>
  <c r="J1004" i="79"/>
  <c r="I1004" i="79"/>
  <c r="H1004" i="79"/>
  <c r="G1004" i="79"/>
  <c r="F1004" i="79"/>
  <c r="E1004" i="79"/>
  <c r="D1004" i="79"/>
  <c r="A1004" i="79"/>
  <c r="N961" i="79"/>
  <c r="O961" i="79"/>
  <c r="N962" i="79"/>
  <c r="O962" i="79"/>
  <c r="N963" i="79"/>
  <c r="O963" i="79"/>
  <c r="N964" i="79"/>
  <c r="O964" i="79"/>
  <c r="N965" i="79"/>
  <c r="O965" i="79"/>
  <c r="N966" i="79"/>
  <c r="O966" i="79"/>
  <c r="N967" i="79"/>
  <c r="O967" i="79"/>
  <c r="N968" i="79"/>
  <c r="O968" i="79"/>
  <c r="N969" i="79"/>
  <c r="O969" i="79"/>
  <c r="N970" i="79"/>
  <c r="O970" i="79"/>
  <c r="N971" i="79"/>
  <c r="O971" i="79"/>
  <c r="N972" i="79"/>
  <c r="O972" i="79"/>
  <c r="N973" i="79"/>
  <c r="O973" i="79"/>
  <c r="N974" i="79"/>
  <c r="O974" i="79"/>
  <c r="N975" i="79"/>
  <c r="O975" i="79"/>
  <c r="N976" i="79"/>
  <c r="O976" i="79"/>
  <c r="N977" i="79"/>
  <c r="O977" i="79"/>
  <c r="N978" i="79"/>
  <c r="O978" i="79"/>
  <c r="N979" i="79"/>
  <c r="O979" i="79"/>
  <c r="N980" i="79"/>
  <c r="O980" i="79"/>
  <c r="N981" i="79"/>
  <c r="O981" i="79"/>
  <c r="N982" i="79"/>
  <c r="O982" i="79"/>
  <c r="N983" i="79"/>
  <c r="O983" i="79"/>
  <c r="N984" i="79"/>
  <c r="O984" i="79"/>
  <c r="N985" i="79"/>
  <c r="O985" i="79"/>
  <c r="N986" i="79"/>
  <c r="O986" i="79"/>
  <c r="N987" i="79"/>
  <c r="O987" i="79"/>
  <c r="N988" i="79"/>
  <c r="O988" i="79"/>
  <c r="N989" i="79"/>
  <c r="O989" i="79"/>
  <c r="N990" i="79"/>
  <c r="O990" i="79"/>
  <c r="N991" i="79"/>
  <c r="O991" i="79"/>
  <c r="N992" i="79"/>
  <c r="O992" i="79"/>
  <c r="N993" i="79"/>
  <c r="O993" i="79"/>
  <c r="N994" i="79"/>
  <c r="O994" i="79"/>
  <c r="A961" i="79"/>
  <c r="D961" i="79"/>
  <c r="E961" i="79"/>
  <c r="F961" i="79"/>
  <c r="G961" i="79"/>
  <c r="L961" i="79" s="1"/>
  <c r="H961" i="79"/>
  <c r="I961" i="79"/>
  <c r="J961" i="79"/>
  <c r="K961" i="79"/>
  <c r="A962" i="79"/>
  <c r="D962" i="79"/>
  <c r="E962" i="79"/>
  <c r="F962" i="79"/>
  <c r="L962" i="79" s="1"/>
  <c r="G962" i="79"/>
  <c r="H962" i="79"/>
  <c r="I962" i="79"/>
  <c r="J962" i="79"/>
  <c r="K962" i="79"/>
  <c r="A963" i="79"/>
  <c r="D963" i="79"/>
  <c r="E963" i="79"/>
  <c r="L963" i="79" s="1"/>
  <c r="M963" i="79" s="1"/>
  <c r="Q963" i="79" s="1"/>
  <c r="F963" i="79"/>
  <c r="G963" i="79"/>
  <c r="H963" i="79"/>
  <c r="I963" i="79"/>
  <c r="J963" i="79"/>
  <c r="K963" i="79"/>
  <c r="A964" i="79"/>
  <c r="D964" i="79"/>
  <c r="E964" i="79"/>
  <c r="F964" i="79"/>
  <c r="G964" i="79"/>
  <c r="H964" i="79"/>
  <c r="I964" i="79"/>
  <c r="J964" i="79"/>
  <c r="K964" i="79"/>
  <c r="A965" i="79"/>
  <c r="D965" i="79"/>
  <c r="E965" i="79"/>
  <c r="F965" i="79"/>
  <c r="G965" i="79"/>
  <c r="H965" i="79"/>
  <c r="I965" i="79"/>
  <c r="J965" i="79"/>
  <c r="K965" i="79"/>
  <c r="A966" i="79"/>
  <c r="D966" i="79"/>
  <c r="E966" i="79"/>
  <c r="F966" i="79"/>
  <c r="G966" i="79"/>
  <c r="H966" i="79"/>
  <c r="I966" i="79"/>
  <c r="J966" i="79"/>
  <c r="K966" i="79"/>
  <c r="A967" i="79"/>
  <c r="D967" i="79"/>
  <c r="E967" i="79"/>
  <c r="F967" i="79"/>
  <c r="G967" i="79"/>
  <c r="H967" i="79"/>
  <c r="I967" i="79"/>
  <c r="J967" i="79"/>
  <c r="K967" i="79"/>
  <c r="A968" i="79"/>
  <c r="D968" i="79"/>
  <c r="E968" i="79"/>
  <c r="F968" i="79"/>
  <c r="G968" i="79"/>
  <c r="H968" i="79"/>
  <c r="I968" i="79"/>
  <c r="J968" i="79"/>
  <c r="K968" i="79"/>
  <c r="A969" i="79"/>
  <c r="D969" i="79"/>
  <c r="E969" i="79"/>
  <c r="F969" i="79"/>
  <c r="G969" i="79"/>
  <c r="L969" i="79" s="1"/>
  <c r="H969" i="79"/>
  <c r="I969" i="79"/>
  <c r="J969" i="79"/>
  <c r="K969" i="79"/>
  <c r="A970" i="79"/>
  <c r="D970" i="79"/>
  <c r="E970" i="79"/>
  <c r="F970" i="79"/>
  <c r="L970" i="79" s="1"/>
  <c r="G970" i="79"/>
  <c r="H970" i="79"/>
  <c r="I970" i="79"/>
  <c r="J970" i="79"/>
  <c r="K970" i="79"/>
  <c r="A971" i="79"/>
  <c r="D971" i="79"/>
  <c r="E971" i="79"/>
  <c r="L971" i="79" s="1"/>
  <c r="M971" i="79" s="1"/>
  <c r="F971" i="79"/>
  <c r="G971" i="79"/>
  <c r="H971" i="79"/>
  <c r="I971" i="79"/>
  <c r="J971" i="79"/>
  <c r="K971" i="79"/>
  <c r="A972" i="79"/>
  <c r="D972" i="79"/>
  <c r="E972" i="79"/>
  <c r="F972" i="79"/>
  <c r="G972" i="79"/>
  <c r="H972" i="79"/>
  <c r="I972" i="79"/>
  <c r="J972" i="79"/>
  <c r="K972" i="79"/>
  <c r="A973" i="79"/>
  <c r="D973" i="79"/>
  <c r="E973" i="79"/>
  <c r="F973" i="79"/>
  <c r="G973" i="79"/>
  <c r="H973" i="79"/>
  <c r="I973" i="79"/>
  <c r="J973" i="79"/>
  <c r="K973" i="79"/>
  <c r="A974" i="79"/>
  <c r="D974" i="79"/>
  <c r="E974" i="79"/>
  <c r="F974" i="79"/>
  <c r="G974" i="79"/>
  <c r="H974" i="79"/>
  <c r="I974" i="79"/>
  <c r="J974" i="79"/>
  <c r="K974" i="79"/>
  <c r="A975" i="79"/>
  <c r="D975" i="79"/>
  <c r="E975" i="79"/>
  <c r="F975" i="79"/>
  <c r="G975" i="79"/>
  <c r="H975" i="79"/>
  <c r="I975" i="79"/>
  <c r="J975" i="79"/>
  <c r="K975" i="79"/>
  <c r="A976" i="79"/>
  <c r="D976" i="79"/>
  <c r="E976" i="79"/>
  <c r="F976" i="79"/>
  <c r="G976" i="79"/>
  <c r="H976" i="79"/>
  <c r="I976" i="79"/>
  <c r="J976" i="79"/>
  <c r="K976" i="79"/>
  <c r="A977" i="79"/>
  <c r="D977" i="79"/>
  <c r="E977" i="79"/>
  <c r="F977" i="79"/>
  <c r="G977" i="79"/>
  <c r="L977" i="79" s="1"/>
  <c r="H977" i="79"/>
  <c r="I977" i="79"/>
  <c r="J977" i="79"/>
  <c r="K977" i="79"/>
  <c r="A978" i="79"/>
  <c r="D978" i="79"/>
  <c r="E978" i="79"/>
  <c r="F978" i="79"/>
  <c r="L978" i="79" s="1"/>
  <c r="G978" i="79"/>
  <c r="H978" i="79"/>
  <c r="I978" i="79"/>
  <c r="J978" i="79"/>
  <c r="K978" i="79"/>
  <c r="A979" i="79"/>
  <c r="D979" i="79"/>
  <c r="E979" i="79"/>
  <c r="L979" i="79" s="1"/>
  <c r="M979" i="79" s="1"/>
  <c r="Q979" i="79" s="1"/>
  <c r="F979" i="79"/>
  <c r="G979" i="79"/>
  <c r="H979" i="79"/>
  <c r="I979" i="79"/>
  <c r="J979" i="79"/>
  <c r="K979" i="79"/>
  <c r="A980" i="79"/>
  <c r="D980" i="79"/>
  <c r="E980" i="79"/>
  <c r="F980" i="79"/>
  <c r="G980" i="79"/>
  <c r="H980" i="79"/>
  <c r="I980" i="79"/>
  <c r="J980" i="79"/>
  <c r="K980" i="79"/>
  <c r="A981" i="79"/>
  <c r="D981" i="79"/>
  <c r="E981" i="79"/>
  <c r="F981" i="79"/>
  <c r="G981" i="79"/>
  <c r="H981" i="79"/>
  <c r="I981" i="79"/>
  <c r="J981" i="79"/>
  <c r="K981" i="79"/>
  <c r="A982" i="79"/>
  <c r="D982" i="79"/>
  <c r="E982" i="79"/>
  <c r="F982" i="79"/>
  <c r="G982" i="79"/>
  <c r="H982" i="79"/>
  <c r="I982" i="79"/>
  <c r="J982" i="79"/>
  <c r="K982" i="79"/>
  <c r="A983" i="79"/>
  <c r="D983" i="79"/>
  <c r="E983" i="79"/>
  <c r="F983" i="79"/>
  <c r="G983" i="79"/>
  <c r="H983" i="79"/>
  <c r="I983" i="79"/>
  <c r="J983" i="79"/>
  <c r="K983" i="79"/>
  <c r="A984" i="79"/>
  <c r="D984" i="79"/>
  <c r="E984" i="79"/>
  <c r="F984" i="79"/>
  <c r="G984" i="79"/>
  <c r="H984" i="79"/>
  <c r="I984" i="79"/>
  <c r="J984" i="79"/>
  <c r="K984" i="79"/>
  <c r="A985" i="79"/>
  <c r="D985" i="79"/>
  <c r="E985" i="79"/>
  <c r="F985" i="79"/>
  <c r="G985" i="79"/>
  <c r="L985" i="79" s="1"/>
  <c r="H985" i="79"/>
  <c r="I985" i="79"/>
  <c r="J985" i="79"/>
  <c r="K985" i="79"/>
  <c r="A986" i="79"/>
  <c r="D986" i="79"/>
  <c r="E986" i="79"/>
  <c r="F986" i="79"/>
  <c r="L986" i="79" s="1"/>
  <c r="G986" i="79"/>
  <c r="H986" i="79"/>
  <c r="I986" i="79"/>
  <c r="J986" i="79"/>
  <c r="K986" i="79"/>
  <c r="A987" i="79"/>
  <c r="D987" i="79"/>
  <c r="E987" i="79"/>
  <c r="L987" i="79" s="1"/>
  <c r="M987" i="79" s="1"/>
  <c r="F987" i="79"/>
  <c r="G987" i="79"/>
  <c r="H987" i="79"/>
  <c r="I987" i="79"/>
  <c r="J987" i="79"/>
  <c r="K987" i="79"/>
  <c r="A988" i="79"/>
  <c r="D988" i="79"/>
  <c r="E988" i="79"/>
  <c r="F988" i="79"/>
  <c r="G988" i="79"/>
  <c r="H988" i="79"/>
  <c r="L988" i="79" s="1"/>
  <c r="I988" i="79"/>
  <c r="J988" i="79"/>
  <c r="K988" i="79"/>
  <c r="A989" i="79"/>
  <c r="D989" i="79"/>
  <c r="E989" i="79"/>
  <c r="F989" i="79"/>
  <c r="G989" i="79"/>
  <c r="H989" i="79"/>
  <c r="I989" i="79"/>
  <c r="J989" i="79"/>
  <c r="K989" i="79"/>
  <c r="A990" i="79"/>
  <c r="D990" i="79"/>
  <c r="E990" i="79"/>
  <c r="F990" i="79"/>
  <c r="G990" i="79"/>
  <c r="H990" i="79"/>
  <c r="I990" i="79"/>
  <c r="J990" i="79"/>
  <c r="K990" i="79"/>
  <c r="A991" i="79"/>
  <c r="D991" i="79"/>
  <c r="E991" i="79"/>
  <c r="F991" i="79"/>
  <c r="G991" i="79"/>
  <c r="H991" i="79"/>
  <c r="I991" i="79"/>
  <c r="J991" i="79"/>
  <c r="K991" i="79"/>
  <c r="A992" i="79"/>
  <c r="D992" i="79"/>
  <c r="E992" i="79"/>
  <c r="F992" i="79"/>
  <c r="G992" i="79"/>
  <c r="H992" i="79"/>
  <c r="I992" i="79"/>
  <c r="J992" i="79"/>
  <c r="K992" i="79"/>
  <c r="A993" i="79"/>
  <c r="D993" i="79"/>
  <c r="E993" i="79"/>
  <c r="F993" i="79"/>
  <c r="G993" i="79"/>
  <c r="L993" i="79" s="1"/>
  <c r="H993" i="79"/>
  <c r="I993" i="79"/>
  <c r="J993" i="79"/>
  <c r="K993" i="79"/>
  <c r="A994" i="79"/>
  <c r="D994" i="79"/>
  <c r="E994" i="79"/>
  <c r="F994" i="79"/>
  <c r="L994" i="79" s="1"/>
  <c r="G994" i="79"/>
  <c r="H994" i="79"/>
  <c r="I994" i="79"/>
  <c r="J994" i="79"/>
  <c r="K994" i="79"/>
  <c r="O960" i="79"/>
  <c r="N960" i="79"/>
  <c r="K960" i="79"/>
  <c r="J960" i="79"/>
  <c r="I960" i="79"/>
  <c r="H960" i="79"/>
  <c r="G960" i="79"/>
  <c r="F960" i="79"/>
  <c r="E960" i="79"/>
  <c r="I953" i="79"/>
  <c r="D960" i="79"/>
  <c r="A960" i="79"/>
  <c r="C954" i="79"/>
  <c r="J1125" i="79" s="1"/>
  <c r="C953" i="79"/>
  <c r="G949" i="79"/>
  <c r="A949" i="79"/>
  <c r="F933" i="79"/>
  <c r="E933" i="79"/>
  <c r="D933" i="79"/>
  <c r="C933" i="79"/>
  <c r="B933" i="79"/>
  <c r="K917" i="79"/>
  <c r="J917" i="79"/>
  <c r="I917" i="79"/>
  <c r="H917" i="79"/>
  <c r="G917" i="79"/>
  <c r="K916" i="79"/>
  <c r="J916" i="79"/>
  <c r="I916" i="79"/>
  <c r="H916" i="79"/>
  <c r="G916" i="79"/>
  <c r="F916" i="79"/>
  <c r="E916" i="79"/>
  <c r="D916" i="79"/>
  <c r="C916" i="79"/>
  <c r="B916" i="79"/>
  <c r="K903" i="79"/>
  <c r="J903" i="79"/>
  <c r="I903" i="79"/>
  <c r="H903" i="79"/>
  <c r="G903" i="79"/>
  <c r="F903" i="79"/>
  <c r="E903" i="79"/>
  <c r="D903" i="79"/>
  <c r="C903" i="79"/>
  <c r="B903" i="79"/>
  <c r="K873" i="79"/>
  <c r="J873" i="79"/>
  <c r="I873" i="79"/>
  <c r="H873" i="79"/>
  <c r="G873" i="79"/>
  <c r="K871" i="79"/>
  <c r="J871" i="79"/>
  <c r="I871" i="79"/>
  <c r="H871" i="79"/>
  <c r="G871" i="79"/>
  <c r="F871" i="79"/>
  <c r="E871" i="79"/>
  <c r="D871" i="79"/>
  <c r="C871" i="79"/>
  <c r="B871" i="79"/>
  <c r="C839" i="79"/>
  <c r="D839" i="79"/>
  <c r="E839" i="79"/>
  <c r="F839" i="79"/>
  <c r="G839" i="79"/>
  <c r="H839" i="79"/>
  <c r="I839" i="79"/>
  <c r="J839" i="79"/>
  <c r="K839" i="79"/>
  <c r="B839" i="79"/>
  <c r="K819" i="79"/>
  <c r="K818" i="79"/>
  <c r="G819" i="79"/>
  <c r="G818" i="79"/>
  <c r="G815" i="79"/>
  <c r="B818" i="79"/>
  <c r="M809" i="79"/>
  <c r="A809" i="79"/>
  <c r="F798" i="79"/>
  <c r="F797" i="79"/>
  <c r="F796" i="79"/>
  <c r="F795" i="79"/>
  <c r="F794" i="79"/>
  <c r="F793" i="79"/>
  <c r="F792" i="79"/>
  <c r="F787" i="79"/>
  <c r="F786" i="79"/>
  <c r="F785" i="79"/>
  <c r="F784" i="79"/>
  <c r="F783" i="79"/>
  <c r="F799" i="79"/>
  <c r="F788" i="79"/>
  <c r="K796" i="79"/>
  <c r="K795" i="79"/>
  <c r="K794" i="79"/>
  <c r="K793" i="79"/>
  <c r="K792" i="79"/>
  <c r="K786" i="79"/>
  <c r="K785" i="79"/>
  <c r="K784" i="79"/>
  <c r="K783" i="79"/>
  <c r="F779" i="79"/>
  <c r="F778" i="79"/>
  <c r="F777" i="79"/>
  <c r="F776" i="79"/>
  <c r="P778" i="79"/>
  <c r="P777" i="79"/>
  <c r="P776" i="79"/>
  <c r="K777" i="79"/>
  <c r="K776" i="79"/>
  <c r="P806" i="79"/>
  <c r="M806" i="79"/>
  <c r="K806" i="79"/>
  <c r="I806" i="79"/>
  <c r="K804" i="79"/>
  <c r="H804" i="79"/>
  <c r="N778" i="79"/>
  <c r="I796" i="79"/>
  <c r="I786" i="79"/>
  <c r="B799" i="79"/>
  <c r="B788" i="79"/>
  <c r="B779" i="79"/>
  <c r="C770" i="79"/>
  <c r="C766" i="79"/>
  <c r="C761" i="79"/>
  <c r="C757" i="79"/>
  <c r="C752" i="79"/>
  <c r="C748" i="79"/>
  <c r="C743" i="79"/>
  <c r="C739" i="79"/>
  <c r="K770" i="79"/>
  <c r="J770" i="79"/>
  <c r="I770" i="79"/>
  <c r="H770" i="79"/>
  <c r="H771" i="79" s="1"/>
  <c r="G770" i="79"/>
  <c r="K769" i="79"/>
  <c r="K771" i="79" s="1"/>
  <c r="J769" i="79"/>
  <c r="I769" i="79"/>
  <c r="H769" i="79"/>
  <c r="G769" i="79"/>
  <c r="K766" i="79"/>
  <c r="J766" i="79"/>
  <c r="J767" i="79" s="1"/>
  <c r="I766" i="79"/>
  <c r="H766" i="79"/>
  <c r="G766" i="79"/>
  <c r="K765" i="79"/>
  <c r="J765" i="79"/>
  <c r="I765" i="79"/>
  <c r="H765" i="79"/>
  <c r="G765" i="79"/>
  <c r="P761" i="79"/>
  <c r="O761" i="79"/>
  <c r="N761" i="79"/>
  <c r="M761" i="79"/>
  <c r="L761" i="79"/>
  <c r="K761" i="79"/>
  <c r="J761" i="79"/>
  <c r="I761" i="79"/>
  <c r="H761" i="79"/>
  <c r="G761" i="79"/>
  <c r="P760" i="79"/>
  <c r="O760" i="79"/>
  <c r="N760" i="79"/>
  <c r="M760" i="79"/>
  <c r="L760" i="79"/>
  <c r="L762" i="79" s="1"/>
  <c r="K760" i="79"/>
  <c r="K762" i="79" s="1"/>
  <c r="J760" i="79"/>
  <c r="I760" i="79"/>
  <c r="H760" i="79"/>
  <c r="G760" i="79"/>
  <c r="P757" i="79"/>
  <c r="O757" i="79"/>
  <c r="N757" i="79"/>
  <c r="M757" i="79"/>
  <c r="L757" i="79"/>
  <c r="K757" i="79"/>
  <c r="J757" i="79"/>
  <c r="I757" i="79"/>
  <c r="H757" i="79"/>
  <c r="G757" i="79"/>
  <c r="P756" i="79"/>
  <c r="P758" i="79" s="1"/>
  <c r="O756" i="79"/>
  <c r="N756" i="79"/>
  <c r="M756" i="79"/>
  <c r="L756" i="79"/>
  <c r="K756" i="79"/>
  <c r="J756" i="79"/>
  <c r="I756" i="79"/>
  <c r="H756" i="79"/>
  <c r="H758" i="79" s="1"/>
  <c r="G756" i="79"/>
  <c r="G758" i="79" s="1"/>
  <c r="P752" i="79"/>
  <c r="O752" i="79"/>
  <c r="N752" i="79"/>
  <c r="M752" i="79"/>
  <c r="L752" i="79"/>
  <c r="K752" i="79"/>
  <c r="J752" i="79"/>
  <c r="I752" i="79"/>
  <c r="H752" i="79"/>
  <c r="G752" i="79"/>
  <c r="P751" i="79"/>
  <c r="O751" i="79"/>
  <c r="N751" i="79"/>
  <c r="M751" i="79"/>
  <c r="L751" i="79"/>
  <c r="L753" i="79" s="1"/>
  <c r="K751" i="79"/>
  <c r="J751" i="79"/>
  <c r="I751" i="79"/>
  <c r="H751" i="79"/>
  <c r="G751" i="79"/>
  <c r="P748" i="79"/>
  <c r="O748" i="79"/>
  <c r="N748" i="79"/>
  <c r="M748" i="79"/>
  <c r="L748" i="79"/>
  <c r="K748" i="79"/>
  <c r="J748" i="79"/>
  <c r="I748" i="79"/>
  <c r="H748" i="79"/>
  <c r="G748" i="79"/>
  <c r="P747" i="79"/>
  <c r="P749" i="79" s="1"/>
  <c r="O747" i="79"/>
  <c r="N747" i="79"/>
  <c r="M747" i="79"/>
  <c r="L747" i="79"/>
  <c r="K747" i="79"/>
  <c r="J747" i="79"/>
  <c r="I747" i="79"/>
  <c r="H747" i="79"/>
  <c r="H749" i="79" s="1"/>
  <c r="G747" i="79"/>
  <c r="G749" i="79" s="1"/>
  <c r="P743" i="79"/>
  <c r="O743" i="79"/>
  <c r="N743" i="79"/>
  <c r="M743" i="79"/>
  <c r="L743" i="79"/>
  <c r="K743" i="79"/>
  <c r="J743" i="79"/>
  <c r="I743" i="79"/>
  <c r="H743" i="79"/>
  <c r="G743" i="79"/>
  <c r="P742" i="79"/>
  <c r="O742" i="79"/>
  <c r="N742" i="79"/>
  <c r="M742" i="79"/>
  <c r="L742" i="79"/>
  <c r="L744" i="79" s="1"/>
  <c r="K742" i="79"/>
  <c r="J742" i="79"/>
  <c r="I742" i="79"/>
  <c r="H742" i="79"/>
  <c r="G742" i="79"/>
  <c r="P739" i="79"/>
  <c r="O739" i="79"/>
  <c r="N739" i="79"/>
  <c r="M739" i="79"/>
  <c r="M740" i="79" s="1"/>
  <c r="L739" i="79"/>
  <c r="P738" i="79"/>
  <c r="P740" i="79" s="1"/>
  <c r="O738" i="79"/>
  <c r="N738" i="79"/>
  <c r="M738" i="79"/>
  <c r="L738" i="79"/>
  <c r="K739" i="79"/>
  <c r="J739" i="79"/>
  <c r="J740" i="79" s="1"/>
  <c r="I739" i="79"/>
  <c r="H739" i="79"/>
  <c r="G739" i="79"/>
  <c r="K738" i="79"/>
  <c r="J738" i="79"/>
  <c r="I738" i="79"/>
  <c r="H738" i="79"/>
  <c r="G738" i="79"/>
  <c r="N682" i="79"/>
  <c r="M682" i="79"/>
  <c r="L682" i="79"/>
  <c r="K682" i="79"/>
  <c r="J682" i="79"/>
  <c r="N681" i="79"/>
  <c r="M681" i="79"/>
  <c r="L681" i="79"/>
  <c r="K681" i="79"/>
  <c r="J681" i="79"/>
  <c r="K624" i="79"/>
  <c r="J581" i="79"/>
  <c r="FX581" i="79" s="1"/>
  <c r="M581" i="79"/>
  <c r="N581" i="79"/>
  <c r="O581" i="79"/>
  <c r="P581" i="79"/>
  <c r="J582" i="79"/>
  <c r="M582" i="79"/>
  <c r="N582" i="79"/>
  <c r="O582" i="79"/>
  <c r="P582" i="79"/>
  <c r="J583" i="79"/>
  <c r="M583" i="79"/>
  <c r="N583" i="79"/>
  <c r="IA583" i="79" s="1"/>
  <c r="O583" i="79"/>
  <c r="P583" i="79"/>
  <c r="J584" i="79"/>
  <c r="M584" i="79"/>
  <c r="EG584" i="79" s="1"/>
  <c r="N584" i="79"/>
  <c r="O584" i="79"/>
  <c r="P584" i="79"/>
  <c r="J585" i="79"/>
  <c r="M585" i="79"/>
  <c r="N585" i="79"/>
  <c r="O585" i="79"/>
  <c r="P585" i="79"/>
  <c r="J586" i="79"/>
  <c r="M586" i="79"/>
  <c r="N586" i="79"/>
  <c r="O586" i="79"/>
  <c r="P586" i="79"/>
  <c r="J587" i="79"/>
  <c r="M587" i="79"/>
  <c r="N587" i="79"/>
  <c r="O587" i="79"/>
  <c r="P587" i="79"/>
  <c r="J588" i="79"/>
  <c r="M588" i="79"/>
  <c r="N588" i="79"/>
  <c r="O588" i="79"/>
  <c r="P588" i="79"/>
  <c r="J589" i="79"/>
  <c r="M589" i="79"/>
  <c r="N589" i="79"/>
  <c r="O589" i="79"/>
  <c r="P589" i="79"/>
  <c r="J590" i="79"/>
  <c r="M590" i="79"/>
  <c r="N590" i="79"/>
  <c r="O590" i="79"/>
  <c r="P590" i="79"/>
  <c r="J591" i="79"/>
  <c r="M591" i="79"/>
  <c r="N591" i="79"/>
  <c r="O591" i="79"/>
  <c r="P591" i="79"/>
  <c r="J592" i="79"/>
  <c r="M592" i="79"/>
  <c r="N592" i="79"/>
  <c r="O592" i="79"/>
  <c r="P592" i="79"/>
  <c r="J593" i="79"/>
  <c r="M593" i="79"/>
  <c r="N593" i="79"/>
  <c r="O593" i="79"/>
  <c r="P593" i="79"/>
  <c r="J594" i="79"/>
  <c r="M594" i="79"/>
  <c r="N594" i="79"/>
  <c r="O594" i="79"/>
  <c r="P594" i="79"/>
  <c r="J595" i="79"/>
  <c r="M595" i="79"/>
  <c r="N595" i="79"/>
  <c r="O595" i="79"/>
  <c r="P595" i="79"/>
  <c r="J596" i="79"/>
  <c r="M596" i="79"/>
  <c r="N596" i="79"/>
  <c r="O596" i="79"/>
  <c r="P596" i="79"/>
  <c r="J597" i="79"/>
  <c r="FY597" i="79" s="1"/>
  <c r="M597" i="79"/>
  <c r="N597" i="79"/>
  <c r="O597" i="79"/>
  <c r="P597" i="79"/>
  <c r="J598" i="79"/>
  <c r="M598" i="79"/>
  <c r="N598" i="79"/>
  <c r="O598" i="79"/>
  <c r="P598" i="79"/>
  <c r="J599" i="79"/>
  <c r="M599" i="79"/>
  <c r="N599" i="79"/>
  <c r="O599" i="79"/>
  <c r="P599" i="79"/>
  <c r="J600" i="79"/>
  <c r="M600" i="79"/>
  <c r="N600" i="79"/>
  <c r="O600" i="79"/>
  <c r="P600" i="79"/>
  <c r="J601" i="79"/>
  <c r="M601" i="79"/>
  <c r="N601" i="79"/>
  <c r="O601" i="79"/>
  <c r="P601" i="79"/>
  <c r="J602" i="79"/>
  <c r="M602" i="79"/>
  <c r="N602" i="79"/>
  <c r="O602" i="79"/>
  <c r="P602" i="79"/>
  <c r="J603" i="79"/>
  <c r="M603" i="79"/>
  <c r="N603" i="79"/>
  <c r="O603" i="79"/>
  <c r="P603" i="79"/>
  <c r="J604" i="79"/>
  <c r="M604" i="79"/>
  <c r="N604" i="79"/>
  <c r="O604" i="79"/>
  <c r="P604" i="79"/>
  <c r="J605" i="79"/>
  <c r="M605" i="79"/>
  <c r="N605" i="79"/>
  <c r="O605" i="79"/>
  <c r="P605" i="79"/>
  <c r="J606" i="79"/>
  <c r="M606" i="79"/>
  <c r="N606" i="79"/>
  <c r="O606" i="79"/>
  <c r="P606" i="79"/>
  <c r="J607" i="79"/>
  <c r="M607" i="79"/>
  <c r="N607" i="79"/>
  <c r="O607" i="79"/>
  <c r="P607" i="79"/>
  <c r="J608" i="79"/>
  <c r="M608" i="79"/>
  <c r="ED608" i="79" s="1"/>
  <c r="N608" i="79"/>
  <c r="O608" i="79"/>
  <c r="P608" i="79"/>
  <c r="J609" i="79"/>
  <c r="M609" i="79"/>
  <c r="N609" i="79"/>
  <c r="O609" i="79"/>
  <c r="P609" i="79"/>
  <c r="J610" i="79"/>
  <c r="M610" i="79"/>
  <c r="N610" i="79"/>
  <c r="O610" i="79"/>
  <c r="P610" i="79"/>
  <c r="J611" i="79"/>
  <c r="M611" i="79"/>
  <c r="N611" i="79"/>
  <c r="O611" i="79"/>
  <c r="P611" i="79"/>
  <c r="J612" i="79"/>
  <c r="M612" i="79"/>
  <c r="N612" i="79"/>
  <c r="O612" i="79"/>
  <c r="P612" i="79"/>
  <c r="J613" i="79"/>
  <c r="M613" i="79"/>
  <c r="N613" i="79"/>
  <c r="O613" i="79"/>
  <c r="P613" i="79"/>
  <c r="J614" i="79"/>
  <c r="M614" i="79"/>
  <c r="N614" i="79"/>
  <c r="O614" i="79"/>
  <c r="P614" i="79"/>
  <c r="J615" i="79"/>
  <c r="M615" i="79"/>
  <c r="N615" i="79"/>
  <c r="O615" i="79"/>
  <c r="P615" i="79"/>
  <c r="J616" i="79"/>
  <c r="M616" i="79"/>
  <c r="N616" i="79"/>
  <c r="O616" i="79"/>
  <c r="P616" i="79"/>
  <c r="J617" i="79"/>
  <c r="M617" i="79"/>
  <c r="N617" i="79"/>
  <c r="O617" i="79"/>
  <c r="P617" i="79"/>
  <c r="J618" i="79"/>
  <c r="M618" i="79"/>
  <c r="N618" i="79"/>
  <c r="O618" i="79"/>
  <c r="P618" i="79"/>
  <c r="H618" i="79"/>
  <c r="G618" i="79"/>
  <c r="F618" i="79"/>
  <c r="H617" i="79"/>
  <c r="G617" i="79"/>
  <c r="F617" i="79"/>
  <c r="H616" i="79"/>
  <c r="G616" i="79"/>
  <c r="F616" i="79"/>
  <c r="H615" i="79"/>
  <c r="G615" i="79"/>
  <c r="F615" i="79"/>
  <c r="H614" i="79"/>
  <c r="G614" i="79"/>
  <c r="F614" i="79"/>
  <c r="H613" i="79"/>
  <c r="G613" i="79"/>
  <c r="F613" i="79"/>
  <c r="H612" i="79"/>
  <c r="G612" i="79"/>
  <c r="F612" i="79"/>
  <c r="H611" i="79"/>
  <c r="G611" i="79"/>
  <c r="F611" i="79"/>
  <c r="H610" i="79"/>
  <c r="G610" i="79"/>
  <c r="F610" i="79"/>
  <c r="H609" i="79"/>
  <c r="G609" i="79"/>
  <c r="F609" i="79"/>
  <c r="H608" i="79"/>
  <c r="G608" i="79"/>
  <c r="F608" i="79"/>
  <c r="H607" i="79"/>
  <c r="G607" i="79"/>
  <c r="F607" i="79"/>
  <c r="H606" i="79"/>
  <c r="G606" i="79"/>
  <c r="F606" i="79"/>
  <c r="H605" i="79"/>
  <c r="G605" i="79"/>
  <c r="F605" i="79"/>
  <c r="H604" i="79"/>
  <c r="G604" i="79"/>
  <c r="F604" i="79"/>
  <c r="H603" i="79"/>
  <c r="G603" i="79"/>
  <c r="F603" i="79"/>
  <c r="H602" i="79"/>
  <c r="G602" i="79"/>
  <c r="F602" i="79"/>
  <c r="H601" i="79"/>
  <c r="G601" i="79"/>
  <c r="F601" i="79"/>
  <c r="H600" i="79"/>
  <c r="G600" i="79"/>
  <c r="F600" i="79"/>
  <c r="H599" i="79"/>
  <c r="G599" i="79"/>
  <c r="F599" i="79"/>
  <c r="H598" i="79"/>
  <c r="G598" i="79"/>
  <c r="F598" i="79"/>
  <c r="H597" i="79"/>
  <c r="G597" i="79"/>
  <c r="F597" i="79"/>
  <c r="H596" i="79"/>
  <c r="G596" i="79"/>
  <c r="F596" i="79"/>
  <c r="H595" i="79"/>
  <c r="G595" i="79"/>
  <c r="F595" i="79"/>
  <c r="H594" i="79"/>
  <c r="G594" i="79"/>
  <c r="F594" i="79"/>
  <c r="H593" i="79"/>
  <c r="G593" i="79"/>
  <c r="F593" i="79"/>
  <c r="H592" i="79"/>
  <c r="G592" i="79"/>
  <c r="F592" i="79"/>
  <c r="H591" i="79"/>
  <c r="G591" i="79"/>
  <c r="F591" i="79"/>
  <c r="H590" i="79"/>
  <c r="G590" i="79"/>
  <c r="F590" i="79"/>
  <c r="H589" i="79"/>
  <c r="G589" i="79"/>
  <c r="F589" i="79"/>
  <c r="H588" i="79"/>
  <c r="G588" i="79"/>
  <c r="F588" i="79"/>
  <c r="H587" i="79"/>
  <c r="G587" i="79"/>
  <c r="F587" i="79"/>
  <c r="H586" i="79"/>
  <c r="G586" i="79"/>
  <c r="F586" i="79"/>
  <c r="H585" i="79"/>
  <c r="G585" i="79"/>
  <c r="F585" i="79"/>
  <c r="H584" i="79"/>
  <c r="G584" i="79"/>
  <c r="F584" i="79"/>
  <c r="H583" i="79"/>
  <c r="G583" i="79"/>
  <c r="F583" i="79"/>
  <c r="H582" i="79"/>
  <c r="G582" i="79"/>
  <c r="F582" i="79"/>
  <c r="H581" i="79"/>
  <c r="G581" i="79"/>
  <c r="F581" i="79"/>
  <c r="E618" i="79"/>
  <c r="D618" i="79"/>
  <c r="E617" i="79"/>
  <c r="D617" i="79"/>
  <c r="E616" i="79"/>
  <c r="D616" i="79"/>
  <c r="E615" i="79"/>
  <c r="D615" i="79"/>
  <c r="E614" i="79"/>
  <c r="D614" i="79"/>
  <c r="E613" i="79"/>
  <c r="D613" i="79"/>
  <c r="E612" i="79"/>
  <c r="D612" i="79"/>
  <c r="E611" i="79"/>
  <c r="D611" i="79"/>
  <c r="E610" i="79"/>
  <c r="D610" i="79"/>
  <c r="E609" i="79"/>
  <c r="D609" i="79"/>
  <c r="E608" i="79"/>
  <c r="D608" i="79"/>
  <c r="E607" i="79"/>
  <c r="D607" i="79"/>
  <c r="E606" i="79"/>
  <c r="D606" i="79"/>
  <c r="E605" i="79"/>
  <c r="D605" i="79"/>
  <c r="E604" i="79"/>
  <c r="D604" i="79"/>
  <c r="E603" i="79"/>
  <c r="D603" i="79"/>
  <c r="E602" i="79"/>
  <c r="D602" i="79"/>
  <c r="E601" i="79"/>
  <c r="D601" i="79"/>
  <c r="E600" i="79"/>
  <c r="D600" i="79"/>
  <c r="E599" i="79"/>
  <c r="D599" i="79"/>
  <c r="E598" i="79"/>
  <c r="D598" i="79"/>
  <c r="E597" i="79"/>
  <c r="D597" i="79"/>
  <c r="E596" i="79"/>
  <c r="D596" i="79"/>
  <c r="E595" i="79"/>
  <c r="D595" i="79"/>
  <c r="E594" i="79"/>
  <c r="D594" i="79"/>
  <c r="E593" i="79"/>
  <c r="D593" i="79"/>
  <c r="E592" i="79"/>
  <c r="D592" i="79"/>
  <c r="E591" i="79"/>
  <c r="D591" i="79"/>
  <c r="E590" i="79"/>
  <c r="D590" i="79"/>
  <c r="E589" i="79"/>
  <c r="D589" i="79"/>
  <c r="E588" i="79"/>
  <c r="D588" i="79"/>
  <c r="E587" i="79"/>
  <c r="D587" i="79"/>
  <c r="E586" i="79"/>
  <c r="D586" i="79"/>
  <c r="E585" i="79"/>
  <c r="D585" i="79"/>
  <c r="E584" i="79"/>
  <c r="D584" i="79"/>
  <c r="E583" i="79"/>
  <c r="D583" i="79"/>
  <c r="E582" i="79"/>
  <c r="D582" i="79"/>
  <c r="E581" i="79"/>
  <c r="D581" i="79"/>
  <c r="C618" i="79"/>
  <c r="C617" i="79"/>
  <c r="C616" i="79"/>
  <c r="C615" i="79"/>
  <c r="C614" i="79"/>
  <c r="C613" i="79"/>
  <c r="C612" i="79"/>
  <c r="C611" i="79"/>
  <c r="C610" i="79"/>
  <c r="C609" i="79"/>
  <c r="C608" i="79"/>
  <c r="C607" i="79"/>
  <c r="C606" i="79"/>
  <c r="JM606" i="79" s="1"/>
  <c r="C605" i="79"/>
  <c r="C604" i="79"/>
  <c r="C603" i="79"/>
  <c r="C602" i="79"/>
  <c r="C601" i="79"/>
  <c r="C600" i="79"/>
  <c r="C599" i="79"/>
  <c r="C598" i="79"/>
  <c r="C597" i="79"/>
  <c r="C596" i="79"/>
  <c r="C595" i="79"/>
  <c r="C594" i="79"/>
  <c r="FS594" i="79" s="1"/>
  <c r="C593" i="79"/>
  <c r="C592" i="79"/>
  <c r="KX592" i="79" s="1"/>
  <c r="C591" i="79"/>
  <c r="C590" i="79"/>
  <c r="MK590" i="79" s="1"/>
  <c r="C589" i="79"/>
  <c r="C588" i="79"/>
  <c r="C587" i="79"/>
  <c r="C586" i="79"/>
  <c r="LF586" i="79" s="1"/>
  <c r="C585" i="79"/>
  <c r="C584" i="79"/>
  <c r="C583" i="79"/>
  <c r="C582" i="79"/>
  <c r="C581" i="79"/>
  <c r="B618" i="79"/>
  <c r="B617" i="79"/>
  <c r="B616" i="79"/>
  <c r="B615" i="79"/>
  <c r="B614" i="79"/>
  <c r="B613" i="79"/>
  <c r="B612" i="79"/>
  <c r="B611" i="79"/>
  <c r="B610" i="79"/>
  <c r="B609" i="79"/>
  <c r="B608" i="79"/>
  <c r="B607" i="79"/>
  <c r="B606" i="79"/>
  <c r="B605" i="79"/>
  <c r="B604" i="79"/>
  <c r="B603" i="79"/>
  <c r="B602" i="79"/>
  <c r="B601" i="79"/>
  <c r="B600" i="79"/>
  <c r="B599" i="79"/>
  <c r="B598" i="79"/>
  <c r="B597" i="79"/>
  <c r="B596" i="79"/>
  <c r="B595" i="79"/>
  <c r="B594" i="79"/>
  <c r="B593" i="79"/>
  <c r="B592" i="79"/>
  <c r="B591" i="79"/>
  <c r="B590" i="79"/>
  <c r="B589" i="79"/>
  <c r="B588" i="79"/>
  <c r="B587" i="79"/>
  <c r="B586" i="79"/>
  <c r="B585" i="79"/>
  <c r="B584" i="79"/>
  <c r="B583" i="79"/>
  <c r="B582" i="79"/>
  <c r="B581" i="79"/>
  <c r="F577" i="79"/>
  <c r="G576" i="79"/>
  <c r="B570" i="79"/>
  <c r="B567" i="79"/>
  <c r="C562" i="79"/>
  <c r="L549" i="79"/>
  <c r="I549" i="79"/>
  <c r="I548" i="79"/>
  <c r="M562" i="79"/>
  <c r="L562" i="79"/>
  <c r="K562" i="79"/>
  <c r="J562" i="79"/>
  <c r="I562" i="79"/>
  <c r="G562" i="79"/>
  <c r="F562" i="79"/>
  <c r="M561" i="79"/>
  <c r="L561" i="79"/>
  <c r="K561" i="79"/>
  <c r="J561" i="79"/>
  <c r="I561" i="79"/>
  <c r="G561" i="79"/>
  <c r="F561" i="79"/>
  <c r="M560" i="79"/>
  <c r="L560" i="79"/>
  <c r="K560" i="79"/>
  <c r="J560" i="79"/>
  <c r="I560" i="79"/>
  <c r="G560" i="79"/>
  <c r="F560" i="79"/>
  <c r="E560" i="79"/>
  <c r="M559" i="79"/>
  <c r="L559" i="79"/>
  <c r="K559" i="79"/>
  <c r="J559" i="79"/>
  <c r="I559" i="79"/>
  <c r="G559" i="79"/>
  <c r="F559" i="79"/>
  <c r="M558" i="79"/>
  <c r="L558" i="79"/>
  <c r="K558" i="79"/>
  <c r="J558" i="79"/>
  <c r="I558" i="79"/>
  <c r="G558" i="79"/>
  <c r="F558" i="79"/>
  <c r="M557" i="79"/>
  <c r="L557" i="79"/>
  <c r="K557" i="79"/>
  <c r="J557" i="79"/>
  <c r="I557" i="79"/>
  <c r="G557" i="79"/>
  <c r="F557" i="79"/>
  <c r="M556" i="79"/>
  <c r="L556" i="79"/>
  <c r="L563" i="79" s="1"/>
  <c r="K556" i="79"/>
  <c r="J556" i="79"/>
  <c r="I556" i="79"/>
  <c r="G556" i="79"/>
  <c r="F556" i="79"/>
  <c r="M555" i="79"/>
  <c r="L555" i="79"/>
  <c r="K555" i="79"/>
  <c r="J555" i="79"/>
  <c r="I555" i="79"/>
  <c r="G555" i="79"/>
  <c r="F555" i="79"/>
  <c r="D555" i="79"/>
  <c r="M554" i="79"/>
  <c r="L554" i="79"/>
  <c r="K554" i="79"/>
  <c r="J554" i="79"/>
  <c r="I554" i="79"/>
  <c r="G554" i="79"/>
  <c r="F554" i="79"/>
  <c r="D554" i="79"/>
  <c r="M553" i="79"/>
  <c r="L553" i="79"/>
  <c r="K553" i="79"/>
  <c r="J553" i="79"/>
  <c r="I553" i="79"/>
  <c r="G553" i="79"/>
  <c r="F553" i="79"/>
  <c r="D553" i="79"/>
  <c r="M545" i="79"/>
  <c r="L545" i="79"/>
  <c r="M544" i="79"/>
  <c r="L544" i="79"/>
  <c r="M543" i="79"/>
  <c r="L543" i="79"/>
  <c r="M542" i="79"/>
  <c r="L542" i="79"/>
  <c r="M541" i="79"/>
  <c r="L541" i="79"/>
  <c r="M540" i="79"/>
  <c r="L540" i="79"/>
  <c r="M539" i="79"/>
  <c r="L539" i="79"/>
  <c r="M538" i="79"/>
  <c r="L538" i="79"/>
  <c r="M537" i="79"/>
  <c r="L537" i="79"/>
  <c r="M536" i="79"/>
  <c r="L536" i="79"/>
  <c r="K545" i="79"/>
  <c r="K544" i="79"/>
  <c r="K543" i="79"/>
  <c r="K542" i="79"/>
  <c r="K541" i="79"/>
  <c r="K540" i="79"/>
  <c r="K539" i="79"/>
  <c r="K546" i="79" s="1"/>
  <c r="K538" i="79"/>
  <c r="K537" i="79"/>
  <c r="K536" i="79"/>
  <c r="J545" i="79"/>
  <c r="I545" i="79"/>
  <c r="J544" i="79"/>
  <c r="I544" i="79"/>
  <c r="J543" i="79"/>
  <c r="I543" i="79"/>
  <c r="J542" i="79"/>
  <c r="I542" i="79"/>
  <c r="J541" i="79"/>
  <c r="I541" i="79"/>
  <c r="J540" i="79"/>
  <c r="I540" i="79"/>
  <c r="J539" i="79"/>
  <c r="J546" i="79" s="1"/>
  <c r="I539" i="79"/>
  <c r="J538" i="79"/>
  <c r="I538" i="79"/>
  <c r="J537" i="79"/>
  <c r="I537" i="79"/>
  <c r="J536" i="79"/>
  <c r="I536" i="79"/>
  <c r="G545" i="79"/>
  <c r="G544" i="79"/>
  <c r="G543" i="79"/>
  <c r="G542" i="79"/>
  <c r="G541" i="79"/>
  <c r="G540" i="79"/>
  <c r="G539" i="79"/>
  <c r="G538" i="79"/>
  <c r="G537" i="79"/>
  <c r="G536" i="79"/>
  <c r="C545" i="79"/>
  <c r="F545" i="79"/>
  <c r="E543" i="79"/>
  <c r="F544" i="79"/>
  <c r="F543" i="79"/>
  <c r="F542" i="79"/>
  <c r="F541" i="79"/>
  <c r="F540" i="79"/>
  <c r="F539" i="79"/>
  <c r="F538" i="79"/>
  <c r="F537" i="79"/>
  <c r="F536" i="79"/>
  <c r="D538" i="79"/>
  <c r="D537" i="79"/>
  <c r="D536" i="79"/>
  <c r="L532" i="79"/>
  <c r="I532" i="79"/>
  <c r="I531" i="79"/>
  <c r="J501" i="79"/>
  <c r="M501" i="79"/>
  <c r="P501" i="79"/>
  <c r="P497" i="79"/>
  <c r="J497" i="79"/>
  <c r="P490" i="79"/>
  <c r="P489" i="79"/>
  <c r="P488" i="79"/>
  <c r="P487" i="79"/>
  <c r="P486" i="79"/>
  <c r="P485" i="79"/>
  <c r="J490" i="79"/>
  <c r="J489" i="79"/>
  <c r="J488" i="79"/>
  <c r="J487" i="79"/>
  <c r="J486" i="79"/>
  <c r="J485" i="79"/>
  <c r="K523" i="79"/>
  <c r="A523" i="79"/>
  <c r="J517" i="79"/>
  <c r="Q512" i="79"/>
  <c r="N512" i="79"/>
  <c r="R497" i="79"/>
  <c r="H497" i="79"/>
  <c r="C490" i="79"/>
  <c r="S468" i="79"/>
  <c r="S467" i="79"/>
  <c r="S466" i="79"/>
  <c r="S465" i="79"/>
  <c r="S471" i="79" s="1"/>
  <c r="G468" i="79"/>
  <c r="G467" i="79"/>
  <c r="G466" i="79"/>
  <c r="G465" i="79"/>
  <c r="S455" i="79"/>
  <c r="S454" i="79"/>
  <c r="S453" i="79"/>
  <c r="G455" i="79"/>
  <c r="G454" i="79"/>
  <c r="G453" i="79"/>
  <c r="S474" i="79"/>
  <c r="P474" i="79"/>
  <c r="M474" i="79"/>
  <c r="J474" i="79"/>
  <c r="G474" i="79"/>
  <c r="S473" i="79"/>
  <c r="P473" i="79"/>
  <c r="M473" i="79"/>
  <c r="J473" i="79"/>
  <c r="G473" i="79"/>
  <c r="S470" i="79"/>
  <c r="P470" i="79"/>
  <c r="M470" i="79"/>
  <c r="J470" i="79"/>
  <c r="J471" i="79" s="1"/>
  <c r="G470" i="79"/>
  <c r="S469" i="79"/>
  <c r="P469" i="79"/>
  <c r="M469" i="79"/>
  <c r="J469" i="79"/>
  <c r="G469" i="79"/>
  <c r="S462" i="79"/>
  <c r="P462" i="79"/>
  <c r="M462" i="79"/>
  <c r="J462" i="79"/>
  <c r="G462" i="79"/>
  <c r="S461" i="79"/>
  <c r="P461" i="79"/>
  <c r="M461" i="79"/>
  <c r="J461" i="79"/>
  <c r="G461" i="79"/>
  <c r="S460" i="79"/>
  <c r="P460" i="79"/>
  <c r="M460" i="79"/>
  <c r="J460" i="79"/>
  <c r="G460" i="79"/>
  <c r="S459" i="79"/>
  <c r="P459" i="79"/>
  <c r="M459" i="79"/>
  <c r="J459" i="79"/>
  <c r="G459" i="79"/>
  <c r="S456" i="79"/>
  <c r="P456" i="79"/>
  <c r="P457" i="79" s="1"/>
  <c r="M456" i="79"/>
  <c r="J456" i="79"/>
  <c r="G456" i="79"/>
  <c r="C474" i="79"/>
  <c r="A474" i="79" s="1"/>
  <c r="C470" i="79"/>
  <c r="C456" i="79"/>
  <c r="C450" i="79"/>
  <c r="C449" i="79"/>
  <c r="G450" i="79"/>
  <c r="G449" i="79"/>
  <c r="G448" i="79"/>
  <c r="G447" i="79"/>
  <c r="G446" i="79"/>
  <c r="G445" i="79"/>
  <c r="G444" i="79"/>
  <c r="G443" i="79"/>
  <c r="G442" i="79"/>
  <c r="S450" i="79"/>
  <c r="S449" i="79"/>
  <c r="S448" i="79"/>
  <c r="S447" i="79"/>
  <c r="S446" i="79"/>
  <c r="S445" i="79"/>
  <c r="S444" i="79"/>
  <c r="S443" i="79"/>
  <c r="S442" i="79"/>
  <c r="C436" i="79"/>
  <c r="C422" i="79"/>
  <c r="A422" i="79" s="1"/>
  <c r="S432" i="79"/>
  <c r="S431" i="79"/>
  <c r="G432" i="79"/>
  <c r="G431" i="79"/>
  <c r="E428" i="79"/>
  <c r="E427" i="79"/>
  <c r="C409" i="79"/>
  <c r="C408" i="79"/>
  <c r="S436" i="79"/>
  <c r="G436" i="79"/>
  <c r="S435" i="79"/>
  <c r="G435" i="79"/>
  <c r="S434" i="79"/>
  <c r="J437" i="79"/>
  <c r="G434" i="79"/>
  <c r="S433" i="79"/>
  <c r="G433" i="79"/>
  <c r="S428" i="79"/>
  <c r="P428" i="79"/>
  <c r="M428" i="79"/>
  <c r="J428" i="79"/>
  <c r="G428" i="79"/>
  <c r="S427" i="79"/>
  <c r="P427" i="79"/>
  <c r="M427" i="79"/>
  <c r="J427" i="79"/>
  <c r="G427" i="79"/>
  <c r="S426" i="79"/>
  <c r="P426" i="79"/>
  <c r="M426" i="79"/>
  <c r="J426" i="79"/>
  <c r="G426" i="79"/>
  <c r="S425" i="79"/>
  <c r="P425" i="79"/>
  <c r="M425" i="79"/>
  <c r="J425" i="79"/>
  <c r="J429" i="79" s="1"/>
  <c r="G425" i="79"/>
  <c r="S422" i="79"/>
  <c r="P422" i="79"/>
  <c r="M422" i="79"/>
  <c r="J422" i="79"/>
  <c r="G422" i="79"/>
  <c r="S421" i="79"/>
  <c r="P421" i="79"/>
  <c r="M421" i="79"/>
  <c r="J421" i="79"/>
  <c r="G421" i="79"/>
  <c r="S409" i="79"/>
  <c r="P409" i="79"/>
  <c r="M409" i="79"/>
  <c r="J409" i="79"/>
  <c r="G409" i="79"/>
  <c r="A409" i="79" s="1"/>
  <c r="S408" i="79"/>
  <c r="P408" i="79"/>
  <c r="M408" i="79"/>
  <c r="J408" i="79"/>
  <c r="G408" i="79"/>
  <c r="S420" i="79"/>
  <c r="P420" i="79"/>
  <c r="M420" i="79"/>
  <c r="J420" i="79"/>
  <c r="G420" i="79"/>
  <c r="S419" i="79"/>
  <c r="P419" i="79"/>
  <c r="M419" i="79"/>
  <c r="J419" i="79"/>
  <c r="G419" i="79"/>
  <c r="S418" i="79"/>
  <c r="P418" i="79"/>
  <c r="M418" i="79"/>
  <c r="J418" i="79"/>
  <c r="G418" i="79"/>
  <c r="S417" i="79"/>
  <c r="P417" i="79"/>
  <c r="M417" i="79"/>
  <c r="J417" i="79"/>
  <c r="G417" i="79"/>
  <c r="S416" i="79"/>
  <c r="P416" i="79"/>
  <c r="M416" i="79"/>
  <c r="J416" i="79"/>
  <c r="G416" i="79"/>
  <c r="S415" i="79"/>
  <c r="P415" i="79"/>
  <c r="M415" i="79"/>
  <c r="J415" i="79"/>
  <c r="G415" i="79"/>
  <c r="S414" i="79"/>
  <c r="P414" i="79"/>
  <c r="M414" i="79"/>
  <c r="J414" i="79"/>
  <c r="G414" i="79"/>
  <c r="S413" i="79"/>
  <c r="P413" i="79"/>
  <c r="M413" i="79"/>
  <c r="J413" i="79"/>
  <c r="G413" i="79"/>
  <c r="S412" i="79"/>
  <c r="P412" i="79"/>
  <c r="M412" i="79"/>
  <c r="J412" i="79"/>
  <c r="G412" i="79"/>
  <c r="S407" i="79"/>
  <c r="P407" i="79"/>
  <c r="M407" i="79"/>
  <c r="J407" i="79"/>
  <c r="G407" i="79"/>
  <c r="S406" i="79"/>
  <c r="P406" i="79"/>
  <c r="M406" i="79"/>
  <c r="J406" i="79"/>
  <c r="G406" i="79"/>
  <c r="S405" i="79"/>
  <c r="P405" i="79"/>
  <c r="M405" i="79"/>
  <c r="J405" i="79"/>
  <c r="G405" i="79"/>
  <c r="S404" i="79"/>
  <c r="P404" i="79"/>
  <c r="M404" i="79"/>
  <c r="J404" i="79"/>
  <c r="G404" i="79"/>
  <c r="S403" i="79"/>
  <c r="P403" i="79"/>
  <c r="M403" i="79"/>
  <c r="J403" i="79"/>
  <c r="G403" i="79"/>
  <c r="S402" i="79"/>
  <c r="P402" i="79"/>
  <c r="M402" i="79"/>
  <c r="J402" i="79"/>
  <c r="G402" i="79"/>
  <c r="S401" i="79"/>
  <c r="P401" i="79"/>
  <c r="M401" i="79"/>
  <c r="J401" i="79"/>
  <c r="G401" i="79"/>
  <c r="S400" i="79"/>
  <c r="P400" i="79"/>
  <c r="M400" i="79"/>
  <c r="J400" i="79"/>
  <c r="G400" i="79"/>
  <c r="S399" i="79"/>
  <c r="P399" i="79"/>
  <c r="M399" i="79"/>
  <c r="J399" i="79"/>
  <c r="G399" i="79"/>
  <c r="S387" i="79"/>
  <c r="P387" i="79"/>
  <c r="M387" i="79"/>
  <c r="J387" i="79"/>
  <c r="G387" i="79"/>
  <c r="G388" i="79" s="1"/>
  <c r="S386" i="79"/>
  <c r="P386" i="79"/>
  <c r="M386" i="79"/>
  <c r="J386" i="79"/>
  <c r="G386" i="79"/>
  <c r="S385" i="79"/>
  <c r="P385" i="79"/>
  <c r="M385" i="79"/>
  <c r="J385" i="79"/>
  <c r="G385" i="79"/>
  <c r="C391" i="79"/>
  <c r="G391" i="79"/>
  <c r="J391" i="79"/>
  <c r="M391" i="79"/>
  <c r="P391" i="79"/>
  <c r="S391" i="79"/>
  <c r="P375" i="79"/>
  <c r="P377" i="79" s="1"/>
  <c r="M375" i="79"/>
  <c r="M372" i="79"/>
  <c r="M371" i="79"/>
  <c r="M373" i="79" s="1"/>
  <c r="S376" i="79"/>
  <c r="S375" i="79"/>
  <c r="J376" i="79"/>
  <c r="J375" i="79"/>
  <c r="J377" i="79" s="1"/>
  <c r="G376" i="79"/>
  <c r="G375" i="79"/>
  <c r="S382" i="79"/>
  <c r="P382" i="79"/>
  <c r="M382" i="79"/>
  <c r="J382" i="79"/>
  <c r="G382" i="79"/>
  <c r="S381" i="79"/>
  <c r="S383" i="79" s="1"/>
  <c r="P381" i="79"/>
  <c r="M381" i="79"/>
  <c r="J381" i="79"/>
  <c r="G381" i="79"/>
  <c r="S380" i="79"/>
  <c r="P380" i="79"/>
  <c r="M380" i="79"/>
  <c r="J380" i="79"/>
  <c r="G380" i="79"/>
  <c r="S379" i="79"/>
  <c r="P379" i="79"/>
  <c r="M379" i="79"/>
  <c r="J379" i="79"/>
  <c r="G379" i="79"/>
  <c r="S372" i="79"/>
  <c r="S371" i="79"/>
  <c r="S370" i="79"/>
  <c r="S369" i="79"/>
  <c r="G372" i="79"/>
  <c r="G371" i="79"/>
  <c r="G370" i="79"/>
  <c r="G369" i="79"/>
  <c r="C366" i="79"/>
  <c r="C365" i="79"/>
  <c r="A365" i="79" s="1"/>
  <c r="C364" i="79"/>
  <c r="S366" i="79"/>
  <c r="S365" i="79"/>
  <c r="S364" i="79"/>
  <c r="S363" i="79"/>
  <c r="S362" i="79"/>
  <c r="S361" i="79"/>
  <c r="S360" i="79"/>
  <c r="S359" i="79"/>
  <c r="S358" i="79"/>
  <c r="P366" i="79"/>
  <c r="P365" i="79"/>
  <c r="P364" i="79"/>
  <c r="P363" i="79"/>
  <c r="P362" i="79"/>
  <c r="P361" i="79"/>
  <c r="P360" i="79"/>
  <c r="P359" i="79"/>
  <c r="P358" i="79"/>
  <c r="M366" i="79"/>
  <c r="M365" i="79"/>
  <c r="M364" i="79"/>
  <c r="M363" i="79"/>
  <c r="M362" i="79"/>
  <c r="M361" i="79"/>
  <c r="M360" i="79"/>
  <c r="M359" i="79"/>
  <c r="M358" i="79"/>
  <c r="J366" i="79"/>
  <c r="J365" i="79"/>
  <c r="J364" i="79"/>
  <c r="J363" i="79"/>
  <c r="J362" i="79"/>
  <c r="J361" i="79"/>
  <c r="J360" i="79"/>
  <c r="J359" i="79"/>
  <c r="J358" i="79"/>
  <c r="G366" i="79"/>
  <c r="G365" i="79"/>
  <c r="G364" i="79"/>
  <c r="G363" i="79"/>
  <c r="G362" i="79"/>
  <c r="G361" i="79"/>
  <c r="G360" i="79"/>
  <c r="G359" i="79"/>
  <c r="G358" i="79"/>
  <c r="K349" i="79"/>
  <c r="A349" i="79"/>
  <c r="I342" i="79"/>
  <c r="I341" i="79"/>
  <c r="I340" i="79"/>
  <c r="I339" i="79"/>
  <c r="I338" i="79"/>
  <c r="I337" i="79"/>
  <c r="I336" i="79"/>
  <c r="I335" i="79"/>
  <c r="I334" i="79"/>
  <c r="I333" i="79"/>
  <c r="I332" i="79"/>
  <c r="E342" i="79"/>
  <c r="E341" i="79"/>
  <c r="E340" i="79"/>
  <c r="E339" i="79"/>
  <c r="E338" i="79"/>
  <c r="E337" i="79"/>
  <c r="E336" i="79"/>
  <c r="E335" i="79"/>
  <c r="E334" i="79"/>
  <c r="E333" i="79"/>
  <c r="E332" i="79"/>
  <c r="I330" i="79"/>
  <c r="P328" i="79"/>
  <c r="M328" i="79"/>
  <c r="L328" i="79"/>
  <c r="K328" i="79"/>
  <c r="P326" i="79"/>
  <c r="P325" i="79"/>
  <c r="P324" i="79"/>
  <c r="P323" i="79"/>
  <c r="M326" i="79"/>
  <c r="M325" i="79"/>
  <c r="M324" i="79"/>
  <c r="M323" i="79"/>
  <c r="L326" i="79"/>
  <c r="L325" i="79"/>
  <c r="L324" i="79"/>
  <c r="L323" i="79"/>
  <c r="K326" i="79"/>
  <c r="K325" i="79"/>
  <c r="K324" i="79"/>
  <c r="K323" i="79"/>
  <c r="I328" i="79"/>
  <c r="I327" i="79"/>
  <c r="I326" i="79"/>
  <c r="I325" i="79"/>
  <c r="I324" i="79"/>
  <c r="I323" i="79"/>
  <c r="E328" i="79"/>
  <c r="E327" i="79"/>
  <c r="E326" i="79"/>
  <c r="E325" i="79"/>
  <c r="E324" i="79"/>
  <c r="E323" i="79"/>
  <c r="C342" i="79"/>
  <c r="C341" i="79"/>
  <c r="C340" i="79"/>
  <c r="C326" i="79"/>
  <c r="H313" i="79"/>
  <c r="L318" i="79"/>
  <c r="L317" i="79"/>
  <c r="L316" i="79"/>
  <c r="L315" i="79"/>
  <c r="L314" i="79"/>
  <c r="L313" i="79"/>
  <c r="L312" i="79"/>
  <c r="L311" i="79"/>
  <c r="L310" i="79"/>
  <c r="L309" i="79"/>
  <c r="O311" i="79"/>
  <c r="O309" i="79"/>
  <c r="I318" i="79"/>
  <c r="E318" i="79"/>
  <c r="E316" i="79"/>
  <c r="H311" i="79"/>
  <c r="H310" i="79"/>
  <c r="H309" i="79"/>
  <c r="E314" i="79"/>
  <c r="E313" i="79"/>
  <c r="E312" i="79"/>
  <c r="B318" i="79"/>
  <c r="B317" i="79"/>
  <c r="F317" i="79"/>
  <c r="F316" i="79"/>
  <c r="F315" i="79"/>
  <c r="F314" i="79"/>
  <c r="B316" i="79"/>
  <c r="B315" i="79"/>
  <c r="B314" i="79"/>
  <c r="B313" i="79"/>
  <c r="B312" i="79"/>
  <c r="B311" i="79"/>
  <c r="E310" i="79"/>
  <c r="E309" i="79"/>
  <c r="B310" i="79"/>
  <c r="B309" i="79"/>
  <c r="N304" i="79"/>
  <c r="A304" i="79"/>
  <c r="E301" i="79"/>
  <c r="E300" i="79"/>
  <c r="E299" i="79"/>
  <c r="E298" i="79"/>
  <c r="E297" i="79"/>
  <c r="E296" i="79"/>
  <c r="E295" i="79"/>
  <c r="E294" i="79"/>
  <c r="E293" i="79"/>
  <c r="E292" i="79"/>
  <c r="E291" i="79"/>
  <c r="E290" i="79"/>
  <c r="E289" i="79"/>
  <c r="N301" i="79"/>
  <c r="M301" i="79"/>
  <c r="L301" i="79"/>
  <c r="K301" i="79"/>
  <c r="J301" i="79"/>
  <c r="I301" i="79"/>
  <c r="N300" i="79"/>
  <c r="M300" i="79"/>
  <c r="L300" i="79"/>
  <c r="K300" i="79"/>
  <c r="J300" i="79"/>
  <c r="I300" i="79"/>
  <c r="N299" i="79"/>
  <c r="M299" i="79"/>
  <c r="L299" i="79"/>
  <c r="K299" i="79"/>
  <c r="J299" i="79"/>
  <c r="I299" i="79"/>
  <c r="N298" i="79"/>
  <c r="M298" i="79"/>
  <c r="L298" i="79"/>
  <c r="K298" i="79"/>
  <c r="J298" i="79"/>
  <c r="I298" i="79"/>
  <c r="N297" i="79"/>
  <c r="M297" i="79"/>
  <c r="N296" i="79"/>
  <c r="M296" i="79"/>
  <c r="N295" i="79"/>
  <c r="M295" i="79"/>
  <c r="N294" i="79"/>
  <c r="M294" i="79"/>
  <c r="N293" i="79"/>
  <c r="M293" i="79"/>
  <c r="N292" i="79"/>
  <c r="M292" i="79"/>
  <c r="N291" i="79"/>
  <c r="M291" i="79"/>
  <c r="N290" i="79"/>
  <c r="M290" i="79"/>
  <c r="N289" i="79"/>
  <c r="M289" i="79"/>
  <c r="L297" i="79"/>
  <c r="K297" i="79"/>
  <c r="L296" i="79"/>
  <c r="K296" i="79"/>
  <c r="L295" i="79"/>
  <c r="K295" i="79"/>
  <c r="L294" i="79"/>
  <c r="K294" i="79"/>
  <c r="L293" i="79"/>
  <c r="K293" i="79"/>
  <c r="L292" i="79"/>
  <c r="K292" i="79"/>
  <c r="L291" i="79"/>
  <c r="K291" i="79"/>
  <c r="L290" i="79"/>
  <c r="K290" i="79"/>
  <c r="L289" i="79"/>
  <c r="K289" i="79"/>
  <c r="J297" i="79"/>
  <c r="I297" i="79"/>
  <c r="J296" i="79"/>
  <c r="I296" i="79"/>
  <c r="J295" i="79"/>
  <c r="I295" i="79"/>
  <c r="J294" i="79"/>
  <c r="I294" i="79"/>
  <c r="J293" i="79"/>
  <c r="I293" i="79"/>
  <c r="J292" i="79"/>
  <c r="I292" i="79"/>
  <c r="J291" i="79"/>
  <c r="I291" i="79"/>
  <c r="J290" i="79"/>
  <c r="I290" i="79"/>
  <c r="J289" i="79"/>
  <c r="I289" i="79"/>
  <c r="D280" i="79"/>
  <c r="G280" i="79"/>
  <c r="F280" i="79"/>
  <c r="G279" i="79"/>
  <c r="F279" i="79"/>
  <c r="G278" i="79"/>
  <c r="F278" i="79"/>
  <c r="G277" i="79"/>
  <c r="F277" i="79"/>
  <c r="F276" i="79"/>
  <c r="F275" i="79"/>
  <c r="F274" i="79"/>
  <c r="F273" i="79"/>
  <c r="F272" i="79"/>
  <c r="G276" i="79"/>
  <c r="G275" i="79"/>
  <c r="G274" i="79"/>
  <c r="G273" i="79"/>
  <c r="G272" i="79"/>
  <c r="Q268" i="79"/>
  <c r="Q267" i="79"/>
  <c r="M269" i="79"/>
  <c r="L267" i="79"/>
  <c r="J269" i="79"/>
  <c r="H269" i="79"/>
  <c r="H268" i="79"/>
  <c r="H267" i="79"/>
  <c r="L264" i="79"/>
  <c r="J264" i="79"/>
  <c r="H264" i="79"/>
  <c r="Q263" i="79"/>
  <c r="L263" i="79"/>
  <c r="H263" i="79"/>
  <c r="Q262" i="79"/>
  <c r="L262" i="79"/>
  <c r="H262" i="79"/>
  <c r="Q261" i="79"/>
  <c r="H261" i="79"/>
  <c r="Q260" i="79"/>
  <c r="H260" i="79"/>
  <c r="L258" i="79"/>
  <c r="J258" i="79"/>
  <c r="H258" i="79"/>
  <c r="Q257" i="79"/>
  <c r="L257" i="79"/>
  <c r="H257" i="79"/>
  <c r="Q256" i="79"/>
  <c r="L256" i="79"/>
  <c r="H256" i="79"/>
  <c r="Q255" i="79"/>
  <c r="H255" i="79"/>
  <c r="Q254" i="79"/>
  <c r="H254" i="79"/>
  <c r="L252" i="79"/>
  <c r="J252" i="79"/>
  <c r="H252" i="79"/>
  <c r="Q251" i="79"/>
  <c r="L251" i="79"/>
  <c r="H251" i="79"/>
  <c r="Q250" i="79"/>
  <c r="L250" i="79"/>
  <c r="H250" i="79"/>
  <c r="Q249" i="79"/>
  <c r="H249" i="79"/>
  <c r="Q248" i="79"/>
  <c r="H248" i="79"/>
  <c r="L246" i="79"/>
  <c r="J246" i="79"/>
  <c r="H246" i="79"/>
  <c r="Q245" i="79"/>
  <c r="L245" i="79"/>
  <c r="H245" i="79"/>
  <c r="Q244" i="79"/>
  <c r="L244" i="79"/>
  <c r="H244" i="79"/>
  <c r="Q243" i="79"/>
  <c r="H243" i="79"/>
  <c r="Q242" i="79"/>
  <c r="H242" i="79"/>
  <c r="L240" i="79"/>
  <c r="J240" i="79"/>
  <c r="H240" i="79"/>
  <c r="Q239" i="79"/>
  <c r="L239" i="79"/>
  <c r="H239" i="79"/>
  <c r="Q238" i="79"/>
  <c r="L238" i="79"/>
  <c r="H238" i="79"/>
  <c r="Q237" i="79"/>
  <c r="H237" i="79"/>
  <c r="Q236" i="79"/>
  <c r="H236" i="79"/>
  <c r="L234" i="79"/>
  <c r="J234" i="79"/>
  <c r="H234" i="79"/>
  <c r="Q233" i="79"/>
  <c r="L233" i="79"/>
  <c r="H233" i="79"/>
  <c r="Q232" i="79"/>
  <c r="L232" i="79"/>
  <c r="H232" i="79"/>
  <c r="Q231" i="79"/>
  <c r="H231" i="79"/>
  <c r="Q230" i="79"/>
  <c r="H230" i="79"/>
  <c r="L226" i="79"/>
  <c r="J226" i="79"/>
  <c r="H226" i="79"/>
  <c r="Q225" i="79"/>
  <c r="L225" i="79"/>
  <c r="H225" i="79"/>
  <c r="Q224" i="79"/>
  <c r="L224" i="79"/>
  <c r="H224" i="79"/>
  <c r="Q223" i="79"/>
  <c r="H223" i="79"/>
  <c r="Q222" i="79"/>
  <c r="H222" i="79"/>
  <c r="L220" i="79"/>
  <c r="J220" i="79"/>
  <c r="H220" i="79"/>
  <c r="Q219" i="79"/>
  <c r="L219" i="79"/>
  <c r="H219" i="79"/>
  <c r="Q218" i="79"/>
  <c r="L218" i="79"/>
  <c r="H218" i="79"/>
  <c r="Q217" i="79"/>
  <c r="H217" i="79"/>
  <c r="Q216" i="79"/>
  <c r="H216" i="79"/>
  <c r="L214" i="79"/>
  <c r="J214" i="79"/>
  <c r="H214" i="79"/>
  <c r="Q213" i="79"/>
  <c r="L213" i="79"/>
  <c r="H213" i="79"/>
  <c r="Q212" i="79"/>
  <c r="L212" i="79"/>
  <c r="H212" i="79"/>
  <c r="Q211" i="79"/>
  <c r="H211" i="79"/>
  <c r="Q210" i="79"/>
  <c r="H210" i="79"/>
  <c r="L208" i="79"/>
  <c r="J208" i="79"/>
  <c r="H208" i="79"/>
  <c r="Q207" i="79"/>
  <c r="L207" i="79"/>
  <c r="H207" i="79"/>
  <c r="Q206" i="79"/>
  <c r="L206" i="79"/>
  <c r="H206" i="79"/>
  <c r="Q205" i="79"/>
  <c r="H205" i="79"/>
  <c r="Q204" i="79"/>
  <c r="H204" i="79"/>
  <c r="L193" i="79"/>
  <c r="J193" i="79"/>
  <c r="H193" i="79"/>
  <c r="Q192" i="79"/>
  <c r="L192" i="79"/>
  <c r="H192" i="79"/>
  <c r="Q191" i="79"/>
  <c r="L191" i="79"/>
  <c r="H191" i="79"/>
  <c r="Q190" i="79"/>
  <c r="H190" i="79"/>
  <c r="Q189" i="79"/>
  <c r="H189" i="79"/>
  <c r="L187" i="79"/>
  <c r="J187" i="79"/>
  <c r="H187" i="79"/>
  <c r="Q186" i="79"/>
  <c r="L186" i="79"/>
  <c r="H186" i="79"/>
  <c r="Q185" i="79"/>
  <c r="L185" i="79"/>
  <c r="H185" i="79"/>
  <c r="Q184" i="79"/>
  <c r="H184" i="79"/>
  <c r="Q183" i="79"/>
  <c r="H183" i="79"/>
  <c r="L200" i="79"/>
  <c r="J200" i="79"/>
  <c r="H200" i="79"/>
  <c r="Q199" i="79"/>
  <c r="L199" i="79"/>
  <c r="H199" i="79"/>
  <c r="Q198" i="79"/>
  <c r="L198" i="79"/>
  <c r="H198" i="79"/>
  <c r="Q197" i="79"/>
  <c r="H197" i="79"/>
  <c r="Q196" i="79"/>
  <c r="H196" i="79"/>
  <c r="L180" i="79"/>
  <c r="J180" i="79"/>
  <c r="H180" i="79"/>
  <c r="Q179" i="79"/>
  <c r="L179" i="79"/>
  <c r="H179" i="79"/>
  <c r="Q178" i="79"/>
  <c r="L178" i="79"/>
  <c r="H178" i="79"/>
  <c r="Q177" i="79"/>
  <c r="H177" i="79"/>
  <c r="Q176" i="79"/>
  <c r="H176" i="79"/>
  <c r="L174" i="79"/>
  <c r="J174" i="79"/>
  <c r="H174" i="79"/>
  <c r="Q173" i="79"/>
  <c r="L173" i="79"/>
  <c r="H173" i="79"/>
  <c r="Q172" i="79"/>
  <c r="L172" i="79"/>
  <c r="H172" i="79"/>
  <c r="Q171" i="79"/>
  <c r="H171" i="79"/>
  <c r="Q170" i="79"/>
  <c r="H170" i="79"/>
  <c r="J168" i="79"/>
  <c r="L168" i="79"/>
  <c r="L167" i="79"/>
  <c r="L166" i="79"/>
  <c r="Q167" i="79"/>
  <c r="Q166" i="79"/>
  <c r="Q165" i="79"/>
  <c r="Q164" i="79"/>
  <c r="H168" i="79"/>
  <c r="H167" i="79"/>
  <c r="H166" i="79"/>
  <c r="H165" i="79"/>
  <c r="H164" i="79"/>
  <c r="L159" i="79"/>
  <c r="M158" i="79"/>
  <c r="J159" i="79"/>
  <c r="J158" i="79"/>
  <c r="L157" i="79"/>
  <c r="Q158" i="79"/>
  <c r="Q157" i="79"/>
  <c r="Q156" i="79"/>
  <c r="Q155" i="79"/>
  <c r="H159" i="79"/>
  <c r="H158" i="79"/>
  <c r="H157" i="79"/>
  <c r="H156" i="79"/>
  <c r="H155" i="79"/>
  <c r="K149" i="79"/>
  <c r="A149" i="79"/>
  <c r="H146" i="79"/>
  <c r="O143" i="79"/>
  <c r="H141" i="79"/>
  <c r="H144" i="79"/>
  <c r="H143" i="79"/>
  <c r="O138" i="79"/>
  <c r="O137" i="79"/>
  <c r="O130" i="79"/>
  <c r="O129" i="79"/>
  <c r="O128" i="79"/>
  <c r="I132" i="79"/>
  <c r="I131" i="79"/>
  <c r="I130" i="79"/>
  <c r="H140" i="79"/>
  <c r="H139" i="79"/>
  <c r="H138" i="79"/>
  <c r="H137" i="79"/>
  <c r="H136" i="79"/>
  <c r="E132" i="79"/>
  <c r="E131" i="79"/>
  <c r="E130" i="79"/>
  <c r="E129" i="79"/>
  <c r="E128" i="79"/>
  <c r="H113" i="79"/>
  <c r="P120" i="79"/>
  <c r="P119" i="79"/>
  <c r="H120" i="79"/>
  <c r="H119" i="79"/>
  <c r="H107" i="79"/>
  <c r="H106" i="79"/>
  <c r="O104" i="79"/>
  <c r="O103" i="79"/>
  <c r="M104" i="79"/>
  <c r="M103" i="79"/>
  <c r="K130" i="79"/>
  <c r="L132" i="79"/>
  <c r="M131" i="79"/>
  <c r="H134" i="79"/>
  <c r="H124" i="79"/>
  <c r="H122" i="79"/>
  <c r="P115" i="79"/>
  <c r="P104" i="79"/>
  <c r="H109" i="79"/>
  <c r="H101" i="79"/>
  <c r="N101" i="79"/>
  <c r="P93" i="79"/>
  <c r="H97" i="79"/>
  <c r="H94" i="79"/>
  <c r="H93" i="79"/>
  <c r="P75" i="79"/>
  <c r="H77" i="79"/>
  <c r="I68" i="79"/>
  <c r="J66" i="79"/>
  <c r="N68" i="79"/>
  <c r="N67" i="79"/>
  <c r="N66" i="79"/>
  <c r="N65" i="79"/>
  <c r="F68" i="79"/>
  <c r="F67" i="79"/>
  <c r="F66" i="79"/>
  <c r="F65" i="79"/>
  <c r="P55" i="79"/>
  <c r="P58" i="79"/>
  <c r="N58" i="79"/>
  <c r="J57" i="79"/>
  <c r="J63" i="79"/>
  <c r="J62" i="79"/>
  <c r="H63" i="79"/>
  <c r="H62" i="79"/>
  <c r="F63" i="79"/>
  <c r="F62" i="79"/>
  <c r="F56" i="79"/>
  <c r="F57" i="79"/>
  <c r="F58" i="79"/>
  <c r="F59" i="79"/>
  <c r="O57" i="79"/>
  <c r="O56" i="79"/>
  <c r="O55" i="79"/>
  <c r="O54" i="79"/>
  <c r="O40" i="79"/>
  <c r="L49" i="79"/>
  <c r="F55" i="79"/>
  <c r="F54" i="79"/>
  <c r="O48" i="79"/>
  <c r="O47" i="79"/>
  <c r="O46" i="79"/>
  <c r="J49" i="79"/>
  <c r="J48" i="79"/>
  <c r="F49" i="79"/>
  <c r="F48" i="79"/>
  <c r="F47" i="79"/>
  <c r="F46" i="79"/>
  <c r="N45" i="79"/>
  <c r="F45" i="79"/>
  <c r="F40" i="79"/>
  <c r="O34" i="79"/>
  <c r="G27" i="79"/>
  <c r="G26" i="79"/>
  <c r="G24" i="79"/>
  <c r="G23" i="79"/>
  <c r="G22" i="79"/>
  <c r="G21" i="79"/>
  <c r="G20" i="79"/>
  <c r="G19" i="79"/>
  <c r="G17" i="79"/>
  <c r="G16" i="79"/>
  <c r="G15" i="79"/>
  <c r="G14" i="79"/>
  <c r="G13" i="79"/>
  <c r="G12" i="79"/>
  <c r="G11" i="79"/>
  <c r="G10" i="79"/>
  <c r="G9" i="79"/>
  <c r="G8" i="79"/>
  <c r="G7" i="79"/>
  <c r="G6" i="79"/>
  <c r="G5" i="79"/>
  <c r="E27" i="79"/>
  <c r="E20" i="79"/>
  <c r="E21" i="79"/>
  <c r="E22" i="79"/>
  <c r="E23" i="79"/>
  <c r="E24" i="79"/>
  <c r="C27" i="79"/>
  <c r="E26" i="79"/>
  <c r="E19" i="79"/>
  <c r="E6" i="79"/>
  <c r="E7" i="79"/>
  <c r="E8" i="79"/>
  <c r="E9" i="79"/>
  <c r="E10" i="79"/>
  <c r="E11" i="79"/>
  <c r="E12" i="79"/>
  <c r="E13" i="79"/>
  <c r="E14" i="79"/>
  <c r="E15" i="79"/>
  <c r="E16" i="79"/>
  <c r="E17" i="79"/>
  <c r="E5" i="79"/>
  <c r="J1583" i="79"/>
  <c r="A1510" i="79"/>
  <c r="A1508" i="79"/>
  <c r="A1506" i="79"/>
  <c r="J1487" i="79"/>
  <c r="A1313" i="79"/>
  <c r="L1288" i="79"/>
  <c r="A1132" i="79"/>
  <c r="A1123" i="79"/>
  <c r="C1040" i="79"/>
  <c r="F954" i="79"/>
  <c r="A951" i="79"/>
  <c r="J175" i="63"/>
  <c r="A173" i="63"/>
  <c r="C132" i="63"/>
  <c r="C90" i="63"/>
  <c r="C48" i="63"/>
  <c r="A173" i="67"/>
  <c r="A173" i="66"/>
  <c r="J175" i="66"/>
  <c r="C132" i="66"/>
  <c r="C90" i="66"/>
  <c r="C48" i="66"/>
  <c r="J175" i="67"/>
  <c r="C132" i="67"/>
  <c r="C90" i="67"/>
  <c r="C48" i="67"/>
  <c r="A878" i="79"/>
  <c r="A909" i="79" s="1"/>
  <c r="A939" i="79" s="1"/>
  <c r="A870" i="79"/>
  <c r="A902" i="79" s="1"/>
  <c r="A932" i="79" s="1"/>
  <c r="A869" i="79"/>
  <c r="A901" i="79" s="1"/>
  <c r="A931" i="79" s="1"/>
  <c r="A868" i="79"/>
  <c r="A900" i="79" s="1"/>
  <c r="A930" i="79" s="1"/>
  <c r="A867" i="79"/>
  <c r="A899" i="79" s="1"/>
  <c r="A929" i="79" s="1"/>
  <c r="A845" i="79"/>
  <c r="A877" i="79" s="1"/>
  <c r="A908" i="79" s="1"/>
  <c r="A938" i="79" s="1"/>
  <c r="A844" i="79"/>
  <c r="A876" i="79" s="1"/>
  <c r="A907" i="79" s="1"/>
  <c r="A937" i="79" s="1"/>
  <c r="A843" i="79"/>
  <c r="A875" i="79" s="1"/>
  <c r="A906" i="79" s="1"/>
  <c r="A936" i="79" s="1"/>
  <c r="C823" i="79"/>
  <c r="D823" i="79" s="1"/>
  <c r="N821" i="79"/>
  <c r="C818" i="79"/>
  <c r="K817" i="79"/>
  <c r="G816" i="79"/>
  <c r="K815" i="79"/>
  <c r="N813" i="79"/>
  <c r="A811" i="79"/>
  <c r="N811" i="79" s="1"/>
  <c r="P804" i="79"/>
  <c r="M787" i="79"/>
  <c r="R773" i="79"/>
  <c r="J771" i="79"/>
  <c r="R768" i="79"/>
  <c r="S764" i="79"/>
  <c r="N762" i="79"/>
  <c r="R759" i="79"/>
  <c r="J758" i="79"/>
  <c r="S755" i="79"/>
  <c r="N753" i="79"/>
  <c r="R750" i="79"/>
  <c r="J749" i="79"/>
  <c r="S746" i="79"/>
  <c r="N744" i="79"/>
  <c r="R741" i="79"/>
  <c r="R737" i="79"/>
  <c r="R736" i="79"/>
  <c r="R734" i="79"/>
  <c r="R715" i="79"/>
  <c r="R705" i="79"/>
  <c r="R704" i="79"/>
  <c r="K704" i="79"/>
  <c r="R685" i="79"/>
  <c r="R662" i="79"/>
  <c r="R661" i="79"/>
  <c r="K661" i="79"/>
  <c r="R651" i="79"/>
  <c r="R624" i="79"/>
  <c r="MT619" i="79"/>
  <c r="LO613" i="79"/>
  <c r="LN613" i="79"/>
  <c r="LM613" i="79"/>
  <c r="LL613" i="79"/>
  <c r="LK613" i="79"/>
  <c r="LJ613" i="79"/>
  <c r="LI613" i="79"/>
  <c r="LH613" i="79"/>
  <c r="LG613" i="79"/>
  <c r="LF613" i="79"/>
  <c r="HY613" i="79"/>
  <c r="GE613" i="79"/>
  <c r="GD613" i="79"/>
  <c r="GC613" i="79"/>
  <c r="GB613" i="79"/>
  <c r="GA613" i="79"/>
  <c r="FU613" i="79"/>
  <c r="FT613" i="79"/>
  <c r="FS613" i="79"/>
  <c r="FR613" i="79"/>
  <c r="FQ613" i="79"/>
  <c r="FP613" i="79"/>
  <c r="FO613" i="79"/>
  <c r="FN613" i="79"/>
  <c r="FM613" i="79"/>
  <c r="FL613" i="79"/>
  <c r="FK613" i="79"/>
  <c r="FJ613" i="79"/>
  <c r="FI613" i="79"/>
  <c r="FH613" i="79"/>
  <c r="FG613" i="79"/>
  <c r="FF613" i="79"/>
  <c r="FE613" i="79"/>
  <c r="FD613" i="79"/>
  <c r="FC613" i="79"/>
  <c r="FB613" i="79"/>
  <c r="FA613" i="79"/>
  <c r="EZ613" i="79"/>
  <c r="EY613" i="79"/>
  <c r="EX613" i="79"/>
  <c r="EW613" i="79"/>
  <c r="EV613" i="79"/>
  <c r="EU613" i="79"/>
  <c r="ET613" i="79"/>
  <c r="ES613" i="79"/>
  <c r="ER613" i="79"/>
  <c r="EQ613" i="79"/>
  <c r="EP613" i="79"/>
  <c r="EO613" i="79"/>
  <c r="EN613" i="79"/>
  <c r="EM613" i="79"/>
  <c r="EL613" i="79"/>
  <c r="EK613" i="79"/>
  <c r="EJ613" i="79"/>
  <c r="EI613" i="79"/>
  <c r="EH613" i="79"/>
  <c r="EG613" i="79"/>
  <c r="EF613" i="79"/>
  <c r="EE613" i="79"/>
  <c r="ED613" i="79"/>
  <c r="EC613" i="79"/>
  <c r="BJ613" i="79"/>
  <c r="BI613" i="79"/>
  <c r="BH613" i="79"/>
  <c r="BG613" i="79"/>
  <c r="BF613" i="79"/>
  <c r="BE613" i="79"/>
  <c r="BD613" i="79"/>
  <c r="BC613" i="79"/>
  <c r="BB613" i="79"/>
  <c r="BA613" i="79"/>
  <c r="AZ613" i="79"/>
  <c r="AY613" i="79"/>
  <c r="AX613" i="79"/>
  <c r="AW613" i="79"/>
  <c r="AV613" i="79"/>
  <c r="AU613" i="79"/>
  <c r="AT613" i="79"/>
  <c r="AS613" i="79"/>
  <c r="AR613" i="79"/>
  <c r="AQ613" i="79"/>
  <c r="AP613" i="79"/>
  <c r="AO613" i="79"/>
  <c r="AN613" i="79"/>
  <c r="AM613" i="79"/>
  <c r="AL613" i="79"/>
  <c r="AK613" i="79"/>
  <c r="AJ613" i="79"/>
  <c r="AI613" i="79"/>
  <c r="AH613" i="79"/>
  <c r="AG613" i="79"/>
  <c r="AF613" i="79"/>
  <c r="AE613" i="79"/>
  <c r="AD613" i="79"/>
  <c r="AC613" i="79"/>
  <c r="AB613" i="79"/>
  <c r="AA613" i="79"/>
  <c r="Z613" i="79"/>
  <c r="Y613" i="79"/>
  <c r="X613" i="79"/>
  <c r="W613" i="79"/>
  <c r="MH606" i="79"/>
  <c r="IW606" i="79"/>
  <c r="MD605" i="79"/>
  <c r="LO605" i="79"/>
  <c r="LN605" i="79"/>
  <c r="LM605" i="79"/>
  <c r="LL605" i="79"/>
  <c r="LK605" i="79"/>
  <c r="LJ605" i="79"/>
  <c r="LI605" i="79"/>
  <c r="LH605" i="79"/>
  <c r="LG605" i="79"/>
  <c r="LF605" i="79"/>
  <c r="HV605" i="79"/>
  <c r="GE605" i="79"/>
  <c r="GD605" i="79"/>
  <c r="GC605" i="79"/>
  <c r="GB605" i="79"/>
  <c r="GA605" i="79"/>
  <c r="FU605" i="79"/>
  <c r="FT605" i="79"/>
  <c r="FS605" i="79"/>
  <c r="FR605" i="79"/>
  <c r="FQ605" i="79"/>
  <c r="FP605" i="79"/>
  <c r="FO605" i="79"/>
  <c r="FN605" i="79"/>
  <c r="FM605" i="79"/>
  <c r="FL605" i="79"/>
  <c r="FK605" i="79"/>
  <c r="FJ605" i="79"/>
  <c r="FI605" i="79"/>
  <c r="FH605" i="79"/>
  <c r="FG605" i="79"/>
  <c r="FF605" i="79"/>
  <c r="FE605" i="79"/>
  <c r="FD605" i="79"/>
  <c r="FC605" i="79"/>
  <c r="FB605" i="79"/>
  <c r="FA605" i="79"/>
  <c r="EZ605" i="79"/>
  <c r="EY605" i="79"/>
  <c r="EX605" i="79"/>
  <c r="EW605" i="79"/>
  <c r="EV605" i="79"/>
  <c r="EU605" i="79"/>
  <c r="ET605" i="79"/>
  <c r="ES605" i="79"/>
  <c r="ER605" i="79"/>
  <c r="EQ605" i="79"/>
  <c r="EP605" i="79"/>
  <c r="EO605" i="79"/>
  <c r="EN605" i="79"/>
  <c r="EM605" i="79"/>
  <c r="EL605" i="79"/>
  <c r="EK605" i="79"/>
  <c r="EJ605" i="79"/>
  <c r="EI605" i="79"/>
  <c r="EH605" i="79"/>
  <c r="EG605" i="79"/>
  <c r="EF605" i="79"/>
  <c r="EE605" i="79"/>
  <c r="ED605" i="79"/>
  <c r="EC605" i="79"/>
  <c r="BJ605" i="79"/>
  <c r="BI605" i="79"/>
  <c r="BH605" i="79"/>
  <c r="BG605" i="79"/>
  <c r="BF605" i="79"/>
  <c r="BE605" i="79"/>
  <c r="BD605" i="79"/>
  <c r="BC605" i="79"/>
  <c r="BB605" i="79"/>
  <c r="BA605" i="79"/>
  <c r="AZ605" i="79"/>
  <c r="AY605" i="79"/>
  <c r="AX605" i="79"/>
  <c r="AW605" i="79"/>
  <c r="AV605" i="79"/>
  <c r="AU605" i="79"/>
  <c r="AT605" i="79"/>
  <c r="AS605" i="79"/>
  <c r="AR605" i="79"/>
  <c r="AQ605" i="79"/>
  <c r="AP605" i="79"/>
  <c r="AO605" i="79"/>
  <c r="AN605" i="79"/>
  <c r="AM605" i="79"/>
  <c r="AL605" i="79"/>
  <c r="AK605" i="79"/>
  <c r="AJ605" i="79"/>
  <c r="AI605" i="79"/>
  <c r="AH605" i="79"/>
  <c r="AG605" i="79"/>
  <c r="AF605" i="79"/>
  <c r="AE605" i="79"/>
  <c r="AD605" i="79"/>
  <c r="AC605" i="79"/>
  <c r="AB605" i="79"/>
  <c r="AA605" i="79"/>
  <c r="Z605" i="79"/>
  <c r="Y605" i="79"/>
  <c r="X605" i="79"/>
  <c r="W605" i="79"/>
  <c r="GA599" i="79"/>
  <c r="LC598" i="79"/>
  <c r="KH598" i="79"/>
  <c r="JL598" i="79"/>
  <c r="IQ598" i="79"/>
  <c r="LI597" i="79"/>
  <c r="HZ597" i="79"/>
  <c r="HY597" i="79"/>
  <c r="GE597" i="79"/>
  <c r="GD597" i="79"/>
  <c r="GC597" i="79"/>
  <c r="GB597" i="79"/>
  <c r="GA597" i="79"/>
  <c r="FU597" i="79"/>
  <c r="FM597" i="79"/>
  <c r="FE597" i="79"/>
  <c r="EW597" i="79"/>
  <c r="EO597" i="79"/>
  <c r="EG597" i="79"/>
  <c r="EF597" i="79"/>
  <c r="EE597" i="79"/>
  <c r="ED597" i="79"/>
  <c r="EC597" i="79"/>
  <c r="BE597" i="79"/>
  <c r="AW597" i="79"/>
  <c r="AO597" i="79"/>
  <c r="AG597" i="79"/>
  <c r="Y597" i="79"/>
  <c r="GC595" i="79"/>
  <c r="ED591" i="79"/>
  <c r="MF590" i="79"/>
  <c r="KO590" i="79"/>
  <c r="JY590" i="79"/>
  <c r="JI590" i="79"/>
  <c r="IS590" i="79"/>
  <c r="IC590" i="79"/>
  <c r="MK589" i="79"/>
  <c r="MC589" i="79"/>
  <c r="LX589" i="79"/>
  <c r="LU589" i="79"/>
  <c r="LP589" i="79"/>
  <c r="LO589" i="79"/>
  <c r="LN589" i="79"/>
  <c r="LM589" i="79"/>
  <c r="LL589" i="79"/>
  <c r="LK589" i="79"/>
  <c r="LJ589" i="79"/>
  <c r="LI589" i="79"/>
  <c r="LH589" i="79"/>
  <c r="LG589" i="79"/>
  <c r="LF589" i="79"/>
  <c r="IC589" i="79"/>
  <c r="IA589" i="79"/>
  <c r="HZ589" i="79"/>
  <c r="HX589" i="79"/>
  <c r="HU589" i="79"/>
  <c r="HS589" i="79"/>
  <c r="HR589" i="79"/>
  <c r="HP589" i="79"/>
  <c r="HM589" i="79"/>
  <c r="HJ589" i="79"/>
  <c r="HI589" i="79"/>
  <c r="HH589" i="79"/>
  <c r="HE589" i="79"/>
  <c r="HB589" i="79"/>
  <c r="HA589" i="79"/>
  <c r="GW589" i="79"/>
  <c r="GU589" i="79"/>
  <c r="GT589" i="79"/>
  <c r="GS589" i="79"/>
  <c r="GR589" i="79"/>
  <c r="GO589" i="79"/>
  <c r="GM589" i="79"/>
  <c r="GL589" i="79"/>
  <c r="GK589" i="79"/>
  <c r="GJ589" i="79"/>
  <c r="GG589" i="79"/>
  <c r="GE589" i="79"/>
  <c r="GD589" i="79"/>
  <c r="GC589" i="79"/>
  <c r="GB589" i="79"/>
  <c r="GA589" i="79"/>
  <c r="FU589" i="79"/>
  <c r="FT589" i="79"/>
  <c r="FS589" i="79"/>
  <c r="FR589" i="79"/>
  <c r="FQ589" i="79"/>
  <c r="FP589" i="79"/>
  <c r="FO589" i="79"/>
  <c r="FN589" i="79"/>
  <c r="FM589" i="79"/>
  <c r="FL589" i="79"/>
  <c r="FK589" i="79"/>
  <c r="FJ589" i="79"/>
  <c r="FI589" i="79"/>
  <c r="FH589" i="79"/>
  <c r="FG589" i="79"/>
  <c r="FF589" i="79"/>
  <c r="FE589" i="79"/>
  <c r="FD589" i="79"/>
  <c r="FC589" i="79"/>
  <c r="FB589" i="79"/>
  <c r="FA589" i="79"/>
  <c r="EZ589" i="79"/>
  <c r="EY589" i="79"/>
  <c r="EX589" i="79"/>
  <c r="EW589" i="79"/>
  <c r="EV589" i="79"/>
  <c r="EU589" i="79"/>
  <c r="ET589" i="79"/>
  <c r="ES589" i="79"/>
  <c r="ER589" i="79"/>
  <c r="EQ589" i="79"/>
  <c r="EP589" i="79"/>
  <c r="EO589" i="79"/>
  <c r="EN589" i="79"/>
  <c r="EM589" i="79"/>
  <c r="EL589" i="79"/>
  <c r="EK589" i="79"/>
  <c r="EJ589" i="79"/>
  <c r="EI589" i="79"/>
  <c r="EH589" i="79"/>
  <c r="EG589" i="79"/>
  <c r="EF589" i="79"/>
  <c r="EE589" i="79"/>
  <c r="ED589" i="79"/>
  <c r="EC589" i="79"/>
  <c r="BJ589" i="79"/>
  <c r="BI589" i="79"/>
  <c r="BH589" i="79"/>
  <c r="BG589" i="79"/>
  <c r="BF589" i="79"/>
  <c r="BE589" i="79"/>
  <c r="BD589" i="79"/>
  <c r="BC589" i="79"/>
  <c r="BB589" i="79"/>
  <c r="BA589" i="79"/>
  <c r="AZ589" i="79"/>
  <c r="AY589" i="79"/>
  <c r="AX589" i="79"/>
  <c r="AW589" i="79"/>
  <c r="AV589" i="79"/>
  <c r="AU589" i="79"/>
  <c r="AT589" i="79"/>
  <c r="AS589" i="79"/>
  <c r="AR589" i="79"/>
  <c r="AQ589" i="79"/>
  <c r="AP589" i="79"/>
  <c r="AO589" i="79"/>
  <c r="AN589" i="79"/>
  <c r="AM589" i="79"/>
  <c r="AL589" i="79"/>
  <c r="AK589" i="79"/>
  <c r="AJ589" i="79"/>
  <c r="AI589" i="79"/>
  <c r="AH589" i="79"/>
  <c r="AG589" i="79"/>
  <c r="AF589" i="79"/>
  <c r="AE589" i="79"/>
  <c r="AD589" i="79"/>
  <c r="AC589" i="79"/>
  <c r="AB589" i="79"/>
  <c r="AA589" i="79"/>
  <c r="Z589" i="79"/>
  <c r="Y589" i="79"/>
  <c r="X589" i="79"/>
  <c r="W589" i="79"/>
  <c r="ES588" i="79"/>
  <c r="LS587" i="79"/>
  <c r="ID587" i="79"/>
  <c r="HG587" i="79"/>
  <c r="GO587" i="79"/>
  <c r="FR587" i="79"/>
  <c r="EU587" i="79"/>
  <c r="EC587" i="79"/>
  <c r="AT587" i="79"/>
  <c r="W587" i="79"/>
  <c r="MB586" i="79"/>
  <c r="HH586" i="79"/>
  <c r="FE586" i="79"/>
  <c r="AX586" i="79"/>
  <c r="LE584" i="79"/>
  <c r="KW584" i="79"/>
  <c r="KO584" i="79"/>
  <c r="KG584" i="79"/>
  <c r="JY584" i="79"/>
  <c r="JQ584" i="79"/>
  <c r="JI584" i="79"/>
  <c r="JA584" i="79"/>
  <c r="IS584" i="79"/>
  <c r="IK584" i="79"/>
  <c r="IC584" i="79"/>
  <c r="EO584" i="79"/>
  <c r="GE583" i="79"/>
  <c r="GD583" i="79"/>
  <c r="GC583" i="79"/>
  <c r="GB583" i="79"/>
  <c r="GA583" i="79"/>
  <c r="FW583" i="79"/>
  <c r="EG583" i="79"/>
  <c r="EF583" i="79"/>
  <c r="EE583" i="79"/>
  <c r="ED583" i="79"/>
  <c r="EC583" i="79"/>
  <c r="MR582" i="79"/>
  <c r="MJ582" i="79"/>
  <c r="LC582" i="79"/>
  <c r="KU582" i="79"/>
  <c r="KO582" i="79"/>
  <c r="KI582" i="79"/>
  <c r="KD582" i="79"/>
  <c r="JY582" i="79"/>
  <c r="JS582" i="79"/>
  <c r="JN582" i="79"/>
  <c r="JI582" i="79"/>
  <c r="JC582" i="79"/>
  <c r="IX582" i="79"/>
  <c r="IS582" i="79"/>
  <c r="IM582" i="79"/>
  <c r="IH582" i="79"/>
  <c r="IC582" i="79"/>
  <c r="MS581" i="79"/>
  <c r="MN581" i="79"/>
  <c r="MM581" i="79"/>
  <c r="ML581" i="79"/>
  <c r="MK581" i="79"/>
  <c r="MJ581" i="79"/>
  <c r="MC581" i="79"/>
  <c r="MA581" i="79"/>
  <c r="LX581" i="79"/>
  <c r="LS581" i="79"/>
  <c r="LR581" i="79"/>
  <c r="LO581" i="79"/>
  <c r="LJ581" i="79"/>
  <c r="LI581" i="79"/>
  <c r="LF581" i="79"/>
  <c r="LC581" i="79"/>
  <c r="KM581" i="79"/>
  <c r="JN581" i="79"/>
  <c r="IP581" i="79"/>
  <c r="IC581" i="79"/>
  <c r="IB581" i="79"/>
  <c r="IA581" i="79"/>
  <c r="HZ581" i="79"/>
  <c r="HY581" i="79"/>
  <c r="HV581" i="79"/>
  <c r="HQ581" i="79"/>
  <c r="HP581" i="79"/>
  <c r="HM581" i="79"/>
  <c r="HH581" i="79"/>
  <c r="HG581" i="79"/>
  <c r="HC581" i="79"/>
  <c r="GY581" i="79"/>
  <c r="GX581" i="79"/>
  <c r="GT581" i="79"/>
  <c r="GP581" i="79"/>
  <c r="GO581" i="79"/>
  <c r="GL581" i="79"/>
  <c r="GH581" i="79"/>
  <c r="GG581" i="79"/>
  <c r="GD581" i="79"/>
  <c r="FU581" i="79"/>
  <c r="FR581" i="79"/>
  <c r="FN581" i="79"/>
  <c r="FM581" i="79"/>
  <c r="FJ581" i="79"/>
  <c r="FF581" i="79"/>
  <c r="FE581" i="79"/>
  <c r="FB581" i="79"/>
  <c r="EX581" i="79"/>
  <c r="EW581" i="79"/>
  <c r="ET581" i="79"/>
  <c r="EP581" i="79"/>
  <c r="EO581" i="79"/>
  <c r="EL581" i="79"/>
  <c r="EH581" i="79"/>
  <c r="EG581" i="79"/>
  <c r="ED581" i="79"/>
  <c r="DD581" i="79"/>
  <c r="BI581" i="79"/>
  <c r="BH581" i="79"/>
  <c r="BE581" i="79"/>
  <c r="BA581" i="79"/>
  <c r="AZ581" i="79"/>
  <c r="AW581" i="79"/>
  <c r="AS581" i="79"/>
  <c r="AR581" i="79"/>
  <c r="AO581" i="79"/>
  <c r="AK581" i="79"/>
  <c r="AJ581" i="79"/>
  <c r="AG581" i="79"/>
  <c r="AC581" i="79"/>
  <c r="AB581" i="79"/>
  <c r="Y581" i="79"/>
  <c r="M577" i="79"/>
  <c r="U574" i="79"/>
  <c r="A572" i="79"/>
  <c r="U572" i="79" s="1"/>
  <c r="N3" i="77"/>
  <c r="N11" i="77"/>
  <c r="A525" i="79"/>
  <c r="J510" i="79"/>
  <c r="M475" i="79"/>
  <c r="J475" i="79"/>
  <c r="G475" i="79"/>
  <c r="O472" i="79"/>
  <c r="P471" i="79"/>
  <c r="O464" i="79"/>
  <c r="O458" i="79"/>
  <c r="S457" i="79"/>
  <c r="M457" i="79"/>
  <c r="J457" i="79"/>
  <c r="A456" i="79"/>
  <c r="O452" i="79"/>
  <c r="A450" i="79"/>
  <c r="A449" i="79"/>
  <c r="O441" i="79"/>
  <c r="P437" i="79"/>
  <c r="M437" i="79"/>
  <c r="A436" i="79"/>
  <c r="O430" i="79"/>
  <c r="O424" i="79"/>
  <c r="O411" i="79"/>
  <c r="O398" i="79"/>
  <c r="O390" i="79"/>
  <c r="P388" i="79"/>
  <c r="E387" i="79"/>
  <c r="E386" i="79"/>
  <c r="E385" i="79"/>
  <c r="O384" i="79"/>
  <c r="O378" i="79"/>
  <c r="S377" i="79"/>
  <c r="M377" i="79"/>
  <c r="O374" i="79"/>
  <c r="G373" i="79"/>
  <c r="O368" i="79"/>
  <c r="A366" i="79"/>
  <c r="O357" i="79"/>
  <c r="A351" i="79"/>
  <c r="N327" i="79"/>
  <c r="A151" i="79"/>
  <c r="P109" i="79"/>
  <c r="P107" i="79"/>
  <c r="P106" i="79"/>
  <c r="J38" i="79"/>
  <c r="C1082" i="79" l="1"/>
  <c r="C998" i="79"/>
  <c r="DN589" i="79"/>
  <c r="CH589" i="79"/>
  <c r="FY589" i="79"/>
  <c r="KS587" i="79"/>
  <c r="JS587" i="79"/>
  <c r="MN587" i="79"/>
  <c r="JA587" i="79"/>
  <c r="FM588" i="79"/>
  <c r="ER588" i="79"/>
  <c r="BE588" i="79"/>
  <c r="AA588" i="79"/>
  <c r="FK588" i="79"/>
  <c r="EL588" i="79"/>
  <c r="AT588" i="79"/>
  <c r="Z588" i="79"/>
  <c r="LJ588" i="79"/>
  <c r="FE588" i="79"/>
  <c r="CW588" i="79"/>
  <c r="AR588" i="79"/>
  <c r="FD596" i="79"/>
  <c r="EI596" i="79"/>
  <c r="AW596" i="79"/>
  <c r="MP582" i="79"/>
  <c r="ML582" i="79"/>
  <c r="MH582" i="79"/>
  <c r="LE582" i="79"/>
  <c r="LA582" i="79"/>
  <c r="KW582" i="79"/>
  <c r="KS582" i="79"/>
  <c r="MS582" i="79"/>
  <c r="MO582" i="79"/>
  <c r="MK582" i="79"/>
  <c r="MG582" i="79"/>
  <c r="LD582" i="79"/>
  <c r="KZ582" i="79"/>
  <c r="KV582" i="79"/>
  <c r="KR582" i="79"/>
  <c r="KN582" i="79"/>
  <c r="KJ582" i="79"/>
  <c r="KF582" i="79"/>
  <c r="KB582" i="79"/>
  <c r="JX582" i="79"/>
  <c r="JT582" i="79"/>
  <c r="JP582" i="79"/>
  <c r="JL582" i="79"/>
  <c r="JH582" i="79"/>
  <c r="JD582" i="79"/>
  <c r="IZ582" i="79"/>
  <c r="IV582" i="79"/>
  <c r="IR582" i="79"/>
  <c r="IN582" i="79"/>
  <c r="IJ582" i="79"/>
  <c r="IF582" i="79"/>
  <c r="IB582" i="79"/>
  <c r="GT582" i="79"/>
  <c r="MP598" i="79"/>
  <c r="ML598" i="79"/>
  <c r="MH598" i="79"/>
  <c r="LE598" i="79"/>
  <c r="LA598" i="79"/>
  <c r="KW598" i="79"/>
  <c r="KS598" i="79"/>
  <c r="KO598" i="79"/>
  <c r="KK598" i="79"/>
  <c r="KG598" i="79"/>
  <c r="KC598" i="79"/>
  <c r="JY598" i="79"/>
  <c r="JU598" i="79"/>
  <c r="JQ598" i="79"/>
  <c r="JM598" i="79"/>
  <c r="JI598" i="79"/>
  <c r="JE598" i="79"/>
  <c r="JA598" i="79"/>
  <c r="IW598" i="79"/>
  <c r="IS598" i="79"/>
  <c r="IO598" i="79"/>
  <c r="IK598" i="79"/>
  <c r="IG598" i="79"/>
  <c r="IC598" i="79"/>
  <c r="HY598" i="79"/>
  <c r="MQ598" i="79"/>
  <c r="MK598" i="79"/>
  <c r="MF598" i="79"/>
  <c r="LB598" i="79"/>
  <c r="KV598" i="79"/>
  <c r="KQ598" i="79"/>
  <c r="KL598" i="79"/>
  <c r="KF598" i="79"/>
  <c r="KA598" i="79"/>
  <c r="JV598" i="79"/>
  <c r="JP598" i="79"/>
  <c r="JK598" i="79"/>
  <c r="JF598" i="79"/>
  <c r="IZ598" i="79"/>
  <c r="IU598" i="79"/>
  <c r="IP598" i="79"/>
  <c r="IJ598" i="79"/>
  <c r="IE598" i="79"/>
  <c r="HZ598" i="79"/>
  <c r="MO598" i="79"/>
  <c r="MJ598" i="79"/>
  <c r="ME598" i="79"/>
  <c r="KZ598" i="79"/>
  <c r="KU598" i="79"/>
  <c r="KP598" i="79"/>
  <c r="KJ598" i="79"/>
  <c r="KE598" i="79"/>
  <c r="JZ598" i="79"/>
  <c r="JT598" i="79"/>
  <c r="JO598" i="79"/>
  <c r="JJ598" i="79"/>
  <c r="JD598" i="79"/>
  <c r="IY598" i="79"/>
  <c r="IT598" i="79"/>
  <c r="IN598" i="79"/>
  <c r="II598" i="79"/>
  <c r="ID598" i="79"/>
  <c r="MS598" i="79"/>
  <c r="MN598" i="79"/>
  <c r="MI598" i="79"/>
  <c r="LD598" i="79"/>
  <c r="KY598" i="79"/>
  <c r="KT598" i="79"/>
  <c r="KN598" i="79"/>
  <c r="KI598" i="79"/>
  <c r="KD598" i="79"/>
  <c r="JX598" i="79"/>
  <c r="JS598" i="79"/>
  <c r="JN598" i="79"/>
  <c r="JH598" i="79"/>
  <c r="JC598" i="79"/>
  <c r="IX598" i="79"/>
  <c r="IR598" i="79"/>
  <c r="IM598" i="79"/>
  <c r="IH598" i="79"/>
  <c r="IB598" i="79"/>
  <c r="MK614" i="79"/>
  <c r="LC614" i="79"/>
  <c r="KS614" i="79"/>
  <c r="KF614" i="79"/>
  <c r="JW614" i="79"/>
  <c r="JM614" i="79"/>
  <c r="IZ614" i="79"/>
  <c r="IQ614" i="79"/>
  <c r="IG614" i="79"/>
  <c r="MS614" i="79"/>
  <c r="MJ614" i="79"/>
  <c r="LA614" i="79"/>
  <c r="KN614" i="79"/>
  <c r="KE614" i="79"/>
  <c r="JU614" i="79"/>
  <c r="JH614" i="79"/>
  <c r="IY614" i="79"/>
  <c r="IO614" i="79"/>
  <c r="IB614" i="79"/>
  <c r="MR614" i="79"/>
  <c r="MH614" i="79"/>
  <c r="KV614" i="79"/>
  <c r="KM614" i="79"/>
  <c r="KC614" i="79"/>
  <c r="JP614" i="79"/>
  <c r="JG614" i="79"/>
  <c r="IW614" i="79"/>
  <c r="IJ614" i="79"/>
  <c r="IA614" i="79"/>
  <c r="MP614" i="79"/>
  <c r="JX614" i="79"/>
  <c r="II614" i="79"/>
  <c r="LD614" i="79"/>
  <c r="JO614" i="79"/>
  <c r="HY614" i="79"/>
  <c r="KU614" i="79"/>
  <c r="JE614" i="79"/>
  <c r="HY582" i="79"/>
  <c r="IY582" i="79"/>
  <c r="KK582" i="79"/>
  <c r="LI588" i="79"/>
  <c r="IG590" i="79"/>
  <c r="IW590" i="79"/>
  <c r="JM590" i="79"/>
  <c r="KC590" i="79"/>
  <c r="KS590" i="79"/>
  <c r="IA598" i="79"/>
  <c r="IV598" i="79"/>
  <c r="JR598" i="79"/>
  <c r="KM598" i="79"/>
  <c r="MG598" i="79"/>
  <c r="MQ590" i="79"/>
  <c r="MM590" i="79"/>
  <c r="MI590" i="79"/>
  <c r="ME590" i="79"/>
  <c r="LB590" i="79"/>
  <c r="MO590" i="79"/>
  <c r="MJ590" i="79"/>
  <c r="LE590" i="79"/>
  <c r="KZ590" i="79"/>
  <c r="KV590" i="79"/>
  <c r="KR590" i="79"/>
  <c r="KN590" i="79"/>
  <c r="KJ590" i="79"/>
  <c r="KF590" i="79"/>
  <c r="KB590" i="79"/>
  <c r="JX590" i="79"/>
  <c r="JT590" i="79"/>
  <c r="JP590" i="79"/>
  <c r="JL590" i="79"/>
  <c r="JH590" i="79"/>
  <c r="JD590" i="79"/>
  <c r="IZ590" i="79"/>
  <c r="IV590" i="79"/>
  <c r="IR590" i="79"/>
  <c r="IN590" i="79"/>
  <c r="IJ590" i="79"/>
  <c r="IF590" i="79"/>
  <c r="IB590" i="79"/>
  <c r="MS590" i="79"/>
  <c r="MN590" i="79"/>
  <c r="MH590" i="79"/>
  <c r="LD590" i="79"/>
  <c r="KY590" i="79"/>
  <c r="KU590" i="79"/>
  <c r="KQ590" i="79"/>
  <c r="KM590" i="79"/>
  <c r="KI590" i="79"/>
  <c r="KE590" i="79"/>
  <c r="KA590" i="79"/>
  <c r="JW590" i="79"/>
  <c r="JS590" i="79"/>
  <c r="JO590" i="79"/>
  <c r="JK590" i="79"/>
  <c r="JG590" i="79"/>
  <c r="JC590" i="79"/>
  <c r="IY590" i="79"/>
  <c r="IU590" i="79"/>
  <c r="IQ590" i="79"/>
  <c r="IM590" i="79"/>
  <c r="II590" i="79"/>
  <c r="IE590" i="79"/>
  <c r="IA590" i="79"/>
  <c r="MR590" i="79"/>
  <c r="ML590" i="79"/>
  <c r="MG590" i="79"/>
  <c r="LC590" i="79"/>
  <c r="KX590" i="79"/>
  <c r="KT590" i="79"/>
  <c r="KP590" i="79"/>
  <c r="KL590" i="79"/>
  <c r="KH590" i="79"/>
  <c r="KD590" i="79"/>
  <c r="JZ590" i="79"/>
  <c r="JV590" i="79"/>
  <c r="JR590" i="79"/>
  <c r="JN590" i="79"/>
  <c r="JJ590" i="79"/>
  <c r="JF590" i="79"/>
  <c r="JB590" i="79"/>
  <c r="IX590" i="79"/>
  <c r="IT590" i="79"/>
  <c r="IP590" i="79"/>
  <c r="IL590" i="79"/>
  <c r="IH590" i="79"/>
  <c r="ID590" i="79"/>
  <c r="HZ590" i="79"/>
  <c r="MS606" i="79"/>
  <c r="MO606" i="79"/>
  <c r="MK606" i="79"/>
  <c r="MG606" i="79"/>
  <c r="LD606" i="79"/>
  <c r="KZ606" i="79"/>
  <c r="KV606" i="79"/>
  <c r="KR606" i="79"/>
  <c r="KN606" i="79"/>
  <c r="KJ606" i="79"/>
  <c r="KF606" i="79"/>
  <c r="KB606" i="79"/>
  <c r="JX606" i="79"/>
  <c r="JT606" i="79"/>
  <c r="JP606" i="79"/>
  <c r="JL606" i="79"/>
  <c r="JH606" i="79"/>
  <c r="JD606" i="79"/>
  <c r="IZ606" i="79"/>
  <c r="IV606" i="79"/>
  <c r="IR606" i="79"/>
  <c r="IN606" i="79"/>
  <c r="IJ606" i="79"/>
  <c r="IF606" i="79"/>
  <c r="IB606" i="79"/>
  <c r="MR606" i="79"/>
  <c r="MN606" i="79"/>
  <c r="MJ606" i="79"/>
  <c r="MF606" i="79"/>
  <c r="LC606" i="79"/>
  <c r="KY606" i="79"/>
  <c r="KU606" i="79"/>
  <c r="KQ606" i="79"/>
  <c r="KM606" i="79"/>
  <c r="KI606" i="79"/>
  <c r="KE606" i="79"/>
  <c r="KA606" i="79"/>
  <c r="JW606" i="79"/>
  <c r="JS606" i="79"/>
  <c r="JO606" i="79"/>
  <c r="JK606" i="79"/>
  <c r="JG606" i="79"/>
  <c r="JC606" i="79"/>
  <c r="IY606" i="79"/>
  <c r="IU606" i="79"/>
  <c r="IQ606" i="79"/>
  <c r="IM606" i="79"/>
  <c r="II606" i="79"/>
  <c r="IE606" i="79"/>
  <c r="IA606" i="79"/>
  <c r="MQ606" i="79"/>
  <c r="MM606" i="79"/>
  <c r="MI606" i="79"/>
  <c r="ME606" i="79"/>
  <c r="LB606" i="79"/>
  <c r="KX606" i="79"/>
  <c r="KT606" i="79"/>
  <c r="KP606" i="79"/>
  <c r="KL606" i="79"/>
  <c r="KH606" i="79"/>
  <c r="KD606" i="79"/>
  <c r="JZ606" i="79"/>
  <c r="JV606" i="79"/>
  <c r="JR606" i="79"/>
  <c r="JN606" i="79"/>
  <c r="JJ606" i="79"/>
  <c r="JF606" i="79"/>
  <c r="JB606" i="79"/>
  <c r="IX606" i="79"/>
  <c r="IT606" i="79"/>
  <c r="IP606" i="79"/>
  <c r="IL606" i="79"/>
  <c r="IH606" i="79"/>
  <c r="ID606" i="79"/>
  <c r="HZ606" i="79"/>
  <c r="LE606" i="79"/>
  <c r="KO606" i="79"/>
  <c r="JY606" i="79"/>
  <c r="JI606" i="79"/>
  <c r="IS606" i="79"/>
  <c r="IC606" i="79"/>
  <c r="MP606" i="79"/>
  <c r="LA606" i="79"/>
  <c r="KK606" i="79"/>
  <c r="JU606" i="79"/>
  <c r="JE606" i="79"/>
  <c r="IO606" i="79"/>
  <c r="HY606" i="79"/>
  <c r="ML606" i="79"/>
  <c r="KW606" i="79"/>
  <c r="KG606" i="79"/>
  <c r="JQ606" i="79"/>
  <c r="JA606" i="79"/>
  <c r="IK606" i="79"/>
  <c r="KI589" i="79"/>
  <c r="JC589" i="79"/>
  <c r="KH589" i="79"/>
  <c r="IH589" i="79"/>
  <c r="JL589" i="79"/>
  <c r="IF589" i="79"/>
  <c r="MI581" i="79"/>
  <c r="LA581" i="79"/>
  <c r="KD581" i="79"/>
  <c r="JO581" i="79"/>
  <c r="JA581" i="79"/>
  <c r="IG581" i="79"/>
  <c r="DL581" i="79"/>
  <c r="JQ581" i="79"/>
  <c r="ID582" i="79"/>
  <c r="IO582" i="79"/>
  <c r="JE582" i="79"/>
  <c r="JO582" i="79"/>
  <c r="JZ582" i="79"/>
  <c r="KX582" i="79"/>
  <c r="BZ586" i="79"/>
  <c r="HJ586" i="79"/>
  <c r="IF581" i="79"/>
  <c r="JD581" i="79"/>
  <c r="KB581" i="79"/>
  <c r="KR581" i="79"/>
  <c r="HZ582" i="79"/>
  <c r="IE582" i="79"/>
  <c r="IK582" i="79"/>
  <c r="IP582" i="79"/>
  <c r="IU582" i="79"/>
  <c r="JA582" i="79"/>
  <c r="JF582" i="79"/>
  <c r="JK582" i="79"/>
  <c r="JQ582" i="79"/>
  <c r="JV582" i="79"/>
  <c r="KA582" i="79"/>
  <c r="KG582" i="79"/>
  <c r="KL582" i="79"/>
  <c r="KQ582" i="79"/>
  <c r="KY582" i="79"/>
  <c r="MF582" i="79"/>
  <c r="MN582" i="79"/>
  <c r="AG586" i="79"/>
  <c r="EN586" i="79"/>
  <c r="GA586" i="79"/>
  <c r="AM588" i="79"/>
  <c r="JD589" i="79"/>
  <c r="IK590" i="79"/>
  <c r="JA590" i="79"/>
  <c r="JQ590" i="79"/>
  <c r="KG590" i="79"/>
  <c r="KW590" i="79"/>
  <c r="MP590" i="79"/>
  <c r="IF598" i="79"/>
  <c r="JB598" i="79"/>
  <c r="JW598" i="79"/>
  <c r="KR598" i="79"/>
  <c r="MM598" i="79"/>
  <c r="KC606" i="79"/>
  <c r="IR614" i="79"/>
  <c r="HE584" i="79"/>
  <c r="LU584" i="79"/>
  <c r="LP586" i="79"/>
  <c r="MA586" i="79"/>
  <c r="IC586" i="79"/>
  <c r="GQ586" i="79"/>
  <c r="FU586" i="79"/>
  <c r="FD586" i="79"/>
  <c r="CX586" i="79"/>
  <c r="AW586" i="79"/>
  <c r="AF586" i="79"/>
  <c r="LZ586" i="79"/>
  <c r="HK586" i="79"/>
  <c r="GP586" i="79"/>
  <c r="FT586" i="79"/>
  <c r="EP586" i="79"/>
  <c r="CJ586" i="79"/>
  <c r="AV586" i="79"/>
  <c r="JY613" i="79"/>
  <c r="JP613" i="79"/>
  <c r="JD605" i="79"/>
  <c r="IX605" i="79"/>
  <c r="KH605" i="79"/>
  <c r="JJ597" i="79"/>
  <c r="ID597" i="79"/>
  <c r="KD597" i="79"/>
  <c r="F1135" i="79"/>
  <c r="J1306" i="79"/>
  <c r="C1263" i="79"/>
  <c r="C1179" i="79"/>
  <c r="IE581" i="79"/>
  <c r="IQ581" i="79"/>
  <c r="KO581" i="79"/>
  <c r="II582" i="79"/>
  <c r="IT582" i="79"/>
  <c r="JJ582" i="79"/>
  <c r="JU582" i="79"/>
  <c r="KE582" i="79"/>
  <c r="KP582" i="79"/>
  <c r="ME582" i="79"/>
  <c r="MM582" i="79"/>
  <c r="GG584" i="79"/>
  <c r="LM584" i="79"/>
  <c r="FF586" i="79"/>
  <c r="CF581" i="79"/>
  <c r="IO581" i="79"/>
  <c r="JE581" i="79"/>
  <c r="KC581" i="79"/>
  <c r="LB581" i="79"/>
  <c r="MQ581" i="79"/>
  <c r="IA582" i="79"/>
  <c r="IG582" i="79"/>
  <c r="IL582" i="79"/>
  <c r="IQ582" i="79"/>
  <c r="IW582" i="79"/>
  <c r="JB582" i="79"/>
  <c r="JG582" i="79"/>
  <c r="JM582" i="79"/>
  <c r="JR582" i="79"/>
  <c r="JW582" i="79"/>
  <c r="KC582" i="79"/>
  <c r="KH582" i="79"/>
  <c r="KM582" i="79"/>
  <c r="KT582" i="79"/>
  <c r="LB582" i="79"/>
  <c r="MI582" i="79"/>
  <c r="MQ582" i="79"/>
  <c r="AH586" i="79"/>
  <c r="EO586" i="79"/>
  <c r="GO586" i="79"/>
  <c r="LG586" i="79"/>
  <c r="BZ588" i="79"/>
  <c r="KJ589" i="79"/>
  <c r="HY590" i="79"/>
  <c r="IO590" i="79"/>
  <c r="JE590" i="79"/>
  <c r="JU590" i="79"/>
  <c r="KK590" i="79"/>
  <c r="LA590" i="79"/>
  <c r="KB597" i="79"/>
  <c r="IL598" i="79"/>
  <c r="JG598" i="79"/>
  <c r="KB598" i="79"/>
  <c r="KX598" i="79"/>
  <c r="MR598" i="79"/>
  <c r="IG606" i="79"/>
  <c r="KS606" i="79"/>
  <c r="KK614" i="79"/>
  <c r="G383" i="79"/>
  <c r="G377" i="79"/>
  <c r="J388" i="79"/>
  <c r="S388" i="79"/>
  <c r="L1242" i="79"/>
  <c r="L1250" i="79"/>
  <c r="L1258" i="79"/>
  <c r="L1271" i="79"/>
  <c r="L1279" i="79"/>
  <c r="L1287" i="79"/>
  <c r="L1355" i="79"/>
  <c r="L1347" i="79"/>
  <c r="L1339" i="79"/>
  <c r="L1323" i="79"/>
  <c r="M1323" i="79" s="1"/>
  <c r="L1366" i="79"/>
  <c r="L1390" i="79"/>
  <c r="L1398" i="79"/>
  <c r="L1413" i="79"/>
  <c r="L1436" i="79"/>
  <c r="M1436" i="79" s="1"/>
  <c r="Q1436" i="79" s="1"/>
  <c r="L1437" i="79"/>
  <c r="L1452" i="79"/>
  <c r="L1459" i="79"/>
  <c r="L1460" i="79"/>
  <c r="L1468" i="79"/>
  <c r="L1476" i="79"/>
  <c r="L1189" i="79"/>
  <c r="M1189" i="79" s="1"/>
  <c r="L1197" i="79"/>
  <c r="M1197" i="79" s="1"/>
  <c r="M1368" i="79"/>
  <c r="Q1368" i="79" s="1"/>
  <c r="M1376" i="79"/>
  <c r="Q1376" i="79" s="1"/>
  <c r="M1392" i="79"/>
  <c r="Q1392" i="79" s="1"/>
  <c r="P383" i="79"/>
  <c r="G437" i="79"/>
  <c r="J383" i="79"/>
  <c r="G740" i="79"/>
  <c r="G767" i="79"/>
  <c r="M988" i="79"/>
  <c r="Q988" i="79" s="1"/>
  <c r="F1039" i="79"/>
  <c r="L1205" i="79"/>
  <c r="M1205" i="79" s="1"/>
  <c r="L1239" i="79"/>
  <c r="M1239" i="79" s="1"/>
  <c r="P1239" i="79" s="1"/>
  <c r="R1239" i="79" s="1"/>
  <c r="M1400" i="79"/>
  <c r="Q1400" i="79" s="1"/>
  <c r="M1415" i="79"/>
  <c r="M1423" i="79"/>
  <c r="Q1423" i="79" s="1"/>
  <c r="M1431" i="79"/>
  <c r="M1439" i="79"/>
  <c r="H95" i="79"/>
  <c r="L302" i="79"/>
  <c r="G367" i="79"/>
  <c r="S373" i="79"/>
  <c r="A408" i="79"/>
  <c r="P475" i="79"/>
  <c r="LH593" i="79"/>
  <c r="L1172" i="79"/>
  <c r="M1172" i="79" s="1"/>
  <c r="L1164" i="79"/>
  <c r="M1164" i="79" s="1"/>
  <c r="L1156" i="79"/>
  <c r="M1156" i="79" s="1"/>
  <c r="L1148" i="79"/>
  <c r="M1148" i="79" s="1"/>
  <c r="L1187" i="79"/>
  <c r="L1195" i="79"/>
  <c r="L1211" i="79"/>
  <c r="L1219" i="79"/>
  <c r="M1355" i="79"/>
  <c r="M1347" i="79"/>
  <c r="P1347" i="79" s="1"/>
  <c r="R1347" i="79" s="1"/>
  <c r="L1334" i="79"/>
  <c r="M1334" i="79" s="1"/>
  <c r="Q1334" i="79" s="1"/>
  <c r="M1384" i="79"/>
  <c r="Q1384" i="79" s="1"/>
  <c r="JI613" i="79"/>
  <c r="AD596" i="79"/>
  <c r="IC591" i="79"/>
  <c r="M1339" i="79"/>
  <c r="P1339" i="79" s="1"/>
  <c r="R1339" i="79" s="1"/>
  <c r="L1099" i="79"/>
  <c r="M1099" i="79" s="1"/>
  <c r="C1221" i="79"/>
  <c r="A1304" i="79"/>
  <c r="A364" i="79"/>
  <c r="L1092" i="79"/>
  <c r="M1092" i="79" s="1"/>
  <c r="Q1092" i="79" s="1"/>
  <c r="L1100" i="79"/>
  <c r="M1100" i="79" s="1"/>
  <c r="Q1100" i="79" s="1"/>
  <c r="L1107" i="79"/>
  <c r="M1107" i="79" s="1"/>
  <c r="L1108" i="79"/>
  <c r="M1108" i="79" s="1"/>
  <c r="Q1108" i="79" s="1"/>
  <c r="L1116" i="79"/>
  <c r="M1116" i="79" s="1"/>
  <c r="Q1116" i="79" s="1"/>
  <c r="L1185" i="79"/>
  <c r="M1185" i="79" s="1"/>
  <c r="I1220" i="79"/>
  <c r="L1192" i="79"/>
  <c r="M1192" i="79" s="1"/>
  <c r="Q1192" i="79" s="1"/>
  <c r="L1193" i="79"/>
  <c r="M1193" i="79" s="1"/>
  <c r="L1198" i="79"/>
  <c r="M1198" i="79" s="1"/>
  <c r="L1199" i="79"/>
  <c r="M1199" i="79" s="1"/>
  <c r="P1199" i="79" s="1"/>
  <c r="R1199" i="79" s="1"/>
  <c r="L1200" i="79"/>
  <c r="M1200" i="79" s="1"/>
  <c r="Q1200" i="79" s="1"/>
  <c r="L1206" i="79"/>
  <c r="M1206" i="79" s="1"/>
  <c r="Q1206" i="79" s="1"/>
  <c r="L1207" i="79"/>
  <c r="M1207" i="79" s="1"/>
  <c r="P1207" i="79" s="1"/>
  <c r="R1207" i="79" s="1"/>
  <c r="L1208" i="79"/>
  <c r="M1208" i="79" s="1"/>
  <c r="Q1208" i="79" s="1"/>
  <c r="L1209" i="79"/>
  <c r="M1209" i="79" s="1"/>
  <c r="P1209" i="79" s="1"/>
  <c r="R1209" i="79" s="1"/>
  <c r="L1214" i="79"/>
  <c r="M1214" i="79" s="1"/>
  <c r="L1215" i="79"/>
  <c r="M1215" i="79" s="1"/>
  <c r="Q1215" i="79" s="1"/>
  <c r="L1216" i="79"/>
  <c r="M1216" i="79" s="1"/>
  <c r="Q1216" i="79" s="1"/>
  <c r="L1217" i="79"/>
  <c r="M1217" i="79" s="1"/>
  <c r="L1231" i="79"/>
  <c r="M1231" i="79" s="1"/>
  <c r="L1232" i="79"/>
  <c r="M1232" i="79" s="1"/>
  <c r="Q1232" i="79" s="1"/>
  <c r="L1240" i="79"/>
  <c r="M1240" i="79" s="1"/>
  <c r="Q1240" i="79" s="1"/>
  <c r="L1247" i="79"/>
  <c r="M1247" i="79" s="1"/>
  <c r="P1247" i="79" s="1"/>
  <c r="R1247" i="79" s="1"/>
  <c r="L1248" i="79"/>
  <c r="M1248" i="79" s="1"/>
  <c r="Q1248" i="79" s="1"/>
  <c r="L1255" i="79"/>
  <c r="M1255" i="79" s="1"/>
  <c r="P1255" i="79" s="1"/>
  <c r="R1255" i="79" s="1"/>
  <c r="L1283" i="79"/>
  <c r="M1283" i="79" s="1"/>
  <c r="Q1283" i="79" s="1"/>
  <c r="L1298" i="79"/>
  <c r="M1298" i="79" s="1"/>
  <c r="L1352" i="79"/>
  <c r="M1352" i="79" s="1"/>
  <c r="L1344" i="79"/>
  <c r="M1344" i="79" s="1"/>
  <c r="L1336" i="79"/>
  <c r="M1336" i="79" s="1"/>
  <c r="K1401" i="79"/>
  <c r="I1401" i="79"/>
  <c r="M1374" i="79"/>
  <c r="Q1374" i="79" s="1"/>
  <c r="L1377" i="79"/>
  <c r="M1377" i="79" s="1"/>
  <c r="Q1377" i="79" s="1"/>
  <c r="L1378" i="79"/>
  <c r="M1378" i="79" s="1"/>
  <c r="L1379" i="79"/>
  <c r="M1379" i="79" s="1"/>
  <c r="L1380" i="79"/>
  <c r="M1380" i="79" s="1"/>
  <c r="Q1380" i="79" s="1"/>
  <c r="M1382" i="79"/>
  <c r="Q1382" i="79" s="1"/>
  <c r="L1385" i="79"/>
  <c r="M1385" i="79" s="1"/>
  <c r="Q1385" i="79" s="1"/>
  <c r="L1386" i="79"/>
  <c r="M1386" i="79" s="1"/>
  <c r="L1388" i="79"/>
  <c r="M1388" i="79" s="1"/>
  <c r="Q1388" i="79" s="1"/>
  <c r="M1390" i="79"/>
  <c r="Q1390" i="79" s="1"/>
  <c r="L1393" i="79"/>
  <c r="M1393" i="79" s="1"/>
  <c r="Q1393" i="79" s="1"/>
  <c r="L1394" i="79"/>
  <c r="M1394" i="79" s="1"/>
  <c r="L1395" i="79"/>
  <c r="M1395" i="79" s="1"/>
  <c r="L1396" i="79"/>
  <c r="M1396" i="79" s="1"/>
  <c r="Q1396" i="79" s="1"/>
  <c r="G1443" i="79"/>
  <c r="L1416" i="79"/>
  <c r="M1416" i="79" s="1"/>
  <c r="Q1416" i="79" s="1"/>
  <c r="L1418" i="79"/>
  <c r="L1427" i="79"/>
  <c r="M1427" i="79" s="1"/>
  <c r="L1433" i="79"/>
  <c r="M1433" i="79" s="1"/>
  <c r="H1483" i="79"/>
  <c r="L1464" i="79"/>
  <c r="L1473" i="79"/>
  <c r="L1482" i="79"/>
  <c r="S437" i="79"/>
  <c r="A470" i="79"/>
  <c r="G457" i="79"/>
  <c r="G471" i="79"/>
  <c r="J512" i="79"/>
  <c r="J513" i="79" s="1"/>
  <c r="I546" i="79"/>
  <c r="J563" i="79"/>
  <c r="LK583" i="79"/>
  <c r="LI591" i="79"/>
  <c r="JM594" i="79"/>
  <c r="JW588" i="79"/>
  <c r="JY586" i="79"/>
  <c r="H744" i="79"/>
  <c r="P744" i="79"/>
  <c r="L749" i="79"/>
  <c r="H753" i="79"/>
  <c r="P753" i="79"/>
  <c r="L758" i="79"/>
  <c r="H762" i="79"/>
  <c r="P762" i="79"/>
  <c r="L960" i="79"/>
  <c r="M960" i="79" s="1"/>
  <c r="M986" i="79"/>
  <c r="P986" i="79" s="1"/>
  <c r="R986" i="79" s="1"/>
  <c r="L984" i="79"/>
  <c r="M984" i="79" s="1"/>
  <c r="Q984" i="79" s="1"/>
  <c r="L983" i="79"/>
  <c r="L976" i="79"/>
  <c r="M976" i="79" s="1"/>
  <c r="Q976" i="79" s="1"/>
  <c r="M970" i="79"/>
  <c r="P970" i="79" s="1"/>
  <c r="R970" i="79" s="1"/>
  <c r="L968" i="79"/>
  <c r="M968" i="79" s="1"/>
  <c r="M962" i="79"/>
  <c r="P962" i="79" s="1"/>
  <c r="R962" i="79" s="1"/>
  <c r="L1004" i="79"/>
  <c r="M1004" i="79" s="1"/>
  <c r="P1004" i="79" s="1"/>
  <c r="R1004" i="79" s="1"/>
  <c r="K1039" i="79"/>
  <c r="I1039" i="79"/>
  <c r="L1009" i="79"/>
  <c r="M1009" i="79" s="1"/>
  <c r="L1011" i="79"/>
  <c r="M1011" i="79" s="1"/>
  <c r="Q1011" i="79" s="1"/>
  <c r="L1012" i="79"/>
  <c r="M1012" i="79" s="1"/>
  <c r="L1017" i="79"/>
  <c r="M1017" i="79" s="1"/>
  <c r="Q1017" i="79" s="1"/>
  <c r="L1018" i="79"/>
  <c r="M1018" i="79" s="1"/>
  <c r="Q1018" i="79" s="1"/>
  <c r="L1019" i="79"/>
  <c r="M1019" i="79" s="1"/>
  <c r="Q1019" i="79" s="1"/>
  <c r="L1025" i="79"/>
  <c r="M1025" i="79" s="1"/>
  <c r="P1025" i="79" s="1"/>
  <c r="R1025" i="79" s="1"/>
  <c r="L1026" i="79"/>
  <c r="M1026" i="79" s="1"/>
  <c r="Q1026" i="79" s="1"/>
  <c r="L1027" i="79"/>
  <c r="L1028" i="79"/>
  <c r="M1028" i="79" s="1"/>
  <c r="P1028" i="79" s="1"/>
  <c r="R1028" i="79" s="1"/>
  <c r="M1030" i="79"/>
  <c r="P1030" i="79" s="1"/>
  <c r="R1030" i="79" s="1"/>
  <c r="L1033" i="79"/>
  <c r="M1033" i="79" s="1"/>
  <c r="Q1033" i="79" s="1"/>
  <c r="L1034" i="79"/>
  <c r="M1034" i="79" s="1"/>
  <c r="Q1034" i="79" s="1"/>
  <c r="L1035" i="79"/>
  <c r="M1035" i="79" s="1"/>
  <c r="Q1035" i="79" s="1"/>
  <c r="L1036" i="79"/>
  <c r="M1036" i="79" s="1"/>
  <c r="L1051" i="79"/>
  <c r="M1051" i="79" s="1"/>
  <c r="Q1051" i="79" s="1"/>
  <c r="L1059" i="79"/>
  <c r="L1066" i="79"/>
  <c r="M1066" i="79" s="1"/>
  <c r="Q1066" i="79" s="1"/>
  <c r="L1067" i="79"/>
  <c r="L1073" i="79"/>
  <c r="M1073" i="79" s="1"/>
  <c r="L1074" i="79"/>
  <c r="M1074" i="79" s="1"/>
  <c r="Q1074" i="79" s="1"/>
  <c r="L1093" i="79"/>
  <c r="L1101" i="79"/>
  <c r="M1101" i="79" s="1"/>
  <c r="L1109" i="79"/>
  <c r="L1117" i="79"/>
  <c r="M1117" i="79" s="1"/>
  <c r="L1173" i="79"/>
  <c r="L1165" i="79"/>
  <c r="L1157" i="79"/>
  <c r="M1157" i="79" s="1"/>
  <c r="P1157" i="79" s="1"/>
  <c r="R1157" i="79" s="1"/>
  <c r="L1149" i="79"/>
  <c r="F1220" i="79"/>
  <c r="L1186" i="79"/>
  <c r="M1186" i="79" s="1"/>
  <c r="L1194" i="79"/>
  <c r="M1194" i="79" s="1"/>
  <c r="L1218" i="79"/>
  <c r="M1218" i="79" s="1"/>
  <c r="L1233" i="79"/>
  <c r="M1233" i="79" s="1"/>
  <c r="L1241" i="79"/>
  <c r="M1241" i="79" s="1"/>
  <c r="L1249" i="79"/>
  <c r="M1249" i="79" s="1"/>
  <c r="Q1249" i="79" s="1"/>
  <c r="L1257" i="79"/>
  <c r="M1257" i="79" s="1"/>
  <c r="I1357" i="79"/>
  <c r="L1356" i="79"/>
  <c r="M1356" i="79" s="1"/>
  <c r="Q1356" i="79" s="1"/>
  <c r="L1348" i="79"/>
  <c r="M1348" i="79" s="1"/>
  <c r="Q1348" i="79" s="1"/>
  <c r="L1340" i="79"/>
  <c r="M1340" i="79" s="1"/>
  <c r="Q1340" i="79" s="1"/>
  <c r="L1332" i="79"/>
  <c r="M1332" i="79" s="1"/>
  <c r="Q1332" i="79" s="1"/>
  <c r="L1324" i="79"/>
  <c r="M1324" i="79" s="1"/>
  <c r="Q1324" i="79" s="1"/>
  <c r="M1367" i="79"/>
  <c r="Q1367" i="79" s="1"/>
  <c r="L1373" i="79"/>
  <c r="M1373" i="79" s="1"/>
  <c r="Q1373" i="79" s="1"/>
  <c r="L1389" i="79"/>
  <c r="M1389" i="79" s="1"/>
  <c r="M1391" i="79"/>
  <c r="Q1391" i="79" s="1"/>
  <c r="L1397" i="79"/>
  <c r="M1397" i="79" s="1"/>
  <c r="Q1397" i="79" s="1"/>
  <c r="L1412" i="79"/>
  <c r="M1412" i="79" s="1"/>
  <c r="Q1412" i="79" s="1"/>
  <c r="L1420" i="79"/>
  <c r="M1420" i="79" s="1"/>
  <c r="Q1420" i="79" s="1"/>
  <c r="L1428" i="79"/>
  <c r="M1428" i="79" s="1"/>
  <c r="Q1428" i="79" s="1"/>
  <c r="L1451" i="79"/>
  <c r="L1467" i="79"/>
  <c r="M471" i="79"/>
  <c r="MQ614" i="79"/>
  <c r="Q1198" i="79"/>
  <c r="P1198" i="79"/>
  <c r="R1198" i="79" s="1"/>
  <c r="L1050" i="79"/>
  <c r="M1050" i="79" s="1"/>
  <c r="L1075" i="79"/>
  <c r="M1075" i="79" s="1"/>
  <c r="L1201" i="79"/>
  <c r="M1201" i="79" s="1"/>
  <c r="H1357" i="79"/>
  <c r="L1322" i="79"/>
  <c r="M1322" i="79" s="1"/>
  <c r="Q1322" i="79" s="1"/>
  <c r="Q1357" i="79" s="1"/>
  <c r="H1401" i="79"/>
  <c r="L1369" i="79"/>
  <c r="M1369" i="79" s="1"/>
  <c r="Q1369" i="79" s="1"/>
  <c r="MS584" i="79"/>
  <c r="MK584" i="79"/>
  <c r="IB615" i="79"/>
  <c r="IA615" i="79"/>
  <c r="HZ615" i="79"/>
  <c r="IC615" i="79"/>
  <c r="LE613" i="79"/>
  <c r="JA613" i="79"/>
  <c r="LD613" i="79"/>
  <c r="IZ613" i="79"/>
  <c r="KS613" i="79"/>
  <c r="IO613" i="79"/>
  <c r="KK613" i="79"/>
  <c r="IG613" i="79"/>
  <c r="KF613" i="79"/>
  <c r="IB607" i="79"/>
  <c r="HZ607" i="79"/>
  <c r="IC607" i="79"/>
  <c r="IA607" i="79"/>
  <c r="HY607" i="79"/>
  <c r="KB605" i="79"/>
  <c r="IO605" i="79"/>
  <c r="JU605" i="79"/>
  <c r="IL605" i="79"/>
  <c r="LA605" i="79"/>
  <c r="JR605" i="79"/>
  <c r="IG605" i="79"/>
  <c r="KZ605" i="79"/>
  <c r="JN605" i="79"/>
  <c r="IF605" i="79"/>
  <c r="KS605" i="79"/>
  <c r="JJ605" i="79"/>
  <c r="HY599" i="79"/>
  <c r="IC599" i="79"/>
  <c r="HZ599" i="79"/>
  <c r="IA599" i="79"/>
  <c r="KX597" i="79"/>
  <c r="KH597" i="79"/>
  <c r="JR597" i="79"/>
  <c r="KS597" i="79"/>
  <c r="KC597" i="79"/>
  <c r="JM597" i="79"/>
  <c r="LB597" i="79"/>
  <c r="KL597" i="79"/>
  <c r="JV597" i="79"/>
  <c r="KZ597" i="79"/>
  <c r="JZ597" i="79"/>
  <c r="JD597" i="79"/>
  <c r="IN597" i="79"/>
  <c r="KT597" i="79"/>
  <c r="JU597" i="79"/>
  <c r="JB597" i="79"/>
  <c r="IL597" i="79"/>
  <c r="KR597" i="79"/>
  <c r="JT597" i="79"/>
  <c r="IX597" i="79"/>
  <c r="IH597" i="79"/>
  <c r="KP597" i="79"/>
  <c r="JN597" i="79"/>
  <c r="IW597" i="79"/>
  <c r="IG597" i="79"/>
  <c r="KK597" i="79"/>
  <c r="JL597" i="79"/>
  <c r="IV597" i="79"/>
  <c r="IF597" i="79"/>
  <c r="LB589" i="79"/>
  <c r="KQ589" i="79"/>
  <c r="KG589" i="79"/>
  <c r="JV589" i="79"/>
  <c r="JK589" i="79"/>
  <c r="JA589" i="79"/>
  <c r="IP589" i="79"/>
  <c r="IE589" i="79"/>
  <c r="KZ589" i="79"/>
  <c r="KP589" i="79"/>
  <c r="KE589" i="79"/>
  <c r="JT589" i="79"/>
  <c r="JJ589" i="79"/>
  <c r="IY589" i="79"/>
  <c r="IN589" i="79"/>
  <c r="ID589" i="79"/>
  <c r="KY589" i="79"/>
  <c r="KO589" i="79"/>
  <c r="KD589" i="79"/>
  <c r="JS589" i="79"/>
  <c r="JI589" i="79"/>
  <c r="IX589" i="79"/>
  <c r="IM589" i="79"/>
  <c r="MS589" i="79"/>
  <c r="KX589" i="79"/>
  <c r="KM589" i="79"/>
  <c r="KB589" i="79"/>
  <c r="JR589" i="79"/>
  <c r="JG589" i="79"/>
  <c r="IV589" i="79"/>
  <c r="IL589" i="79"/>
  <c r="MP589" i="79"/>
  <c r="KW589" i="79"/>
  <c r="KL589" i="79"/>
  <c r="KA589" i="79"/>
  <c r="JQ589" i="79"/>
  <c r="JF589" i="79"/>
  <c r="IU589" i="79"/>
  <c r="IK589" i="79"/>
  <c r="LG588" i="79"/>
  <c r="FS588" i="79"/>
  <c r="FJ588" i="79"/>
  <c r="LO588" i="79"/>
  <c r="LF588" i="79"/>
  <c r="FR588" i="79"/>
  <c r="FI588" i="79"/>
  <c r="EZ588" i="79"/>
  <c r="EQ588" i="79"/>
  <c r="EH588" i="79"/>
  <c r="BJ588" i="79"/>
  <c r="AZ588" i="79"/>
  <c r="AQ588" i="79"/>
  <c r="AH588" i="79"/>
  <c r="Y588" i="79"/>
  <c r="LN588" i="79"/>
  <c r="GE588" i="79"/>
  <c r="FQ588" i="79"/>
  <c r="FH588" i="79"/>
  <c r="EY588" i="79"/>
  <c r="EP588" i="79"/>
  <c r="EG588" i="79"/>
  <c r="BH588" i="79"/>
  <c r="AY588" i="79"/>
  <c r="AP588" i="79"/>
  <c r="AG588" i="79"/>
  <c r="X588" i="79"/>
  <c r="LL588" i="79"/>
  <c r="GD588" i="79"/>
  <c r="FP588" i="79"/>
  <c r="FG588" i="79"/>
  <c r="EX588" i="79"/>
  <c r="EO588" i="79"/>
  <c r="EE588" i="79"/>
  <c r="BG588" i="79"/>
  <c r="AX588" i="79"/>
  <c r="AO588" i="79"/>
  <c r="AF588" i="79"/>
  <c r="W588" i="79"/>
  <c r="LK588" i="79"/>
  <c r="GC588" i="79"/>
  <c r="FO588" i="79"/>
  <c r="FF588" i="79"/>
  <c r="EW588" i="79"/>
  <c r="EM588" i="79"/>
  <c r="ED588" i="79"/>
  <c r="BF588" i="79"/>
  <c r="AW588" i="79"/>
  <c r="AN588" i="79"/>
  <c r="AE588" i="79"/>
  <c r="HZ583" i="79"/>
  <c r="HY583" i="79"/>
  <c r="ME581" i="79"/>
  <c r="KY581" i="79"/>
  <c r="KQ581" i="79"/>
  <c r="KI581" i="79"/>
  <c r="KA581" i="79"/>
  <c r="JS581" i="79"/>
  <c r="JK581" i="79"/>
  <c r="JC581" i="79"/>
  <c r="IU581" i="79"/>
  <c r="KX581" i="79"/>
  <c r="KP581" i="79"/>
  <c r="KH581" i="79"/>
  <c r="JZ581" i="79"/>
  <c r="JR581" i="79"/>
  <c r="JJ581" i="79"/>
  <c r="JB581" i="79"/>
  <c r="IT581" i="79"/>
  <c r="IL581" i="79"/>
  <c r="ID581" i="79"/>
  <c r="MR581" i="79"/>
  <c r="LD581" i="79"/>
  <c r="KV581" i="79"/>
  <c r="KN581" i="79"/>
  <c r="KF581" i="79"/>
  <c r="JX581" i="79"/>
  <c r="JP581" i="79"/>
  <c r="JH581" i="79"/>
  <c r="IZ581" i="79"/>
  <c r="IR581" i="79"/>
  <c r="IJ581" i="79"/>
  <c r="H995" i="79"/>
  <c r="K1176" i="79"/>
  <c r="L1175" i="79"/>
  <c r="M1175" i="79" s="1"/>
  <c r="L1174" i="79"/>
  <c r="M1174" i="79" s="1"/>
  <c r="Q1174" i="79" s="1"/>
  <c r="L1167" i="79"/>
  <c r="M1167" i="79" s="1"/>
  <c r="L1166" i="79"/>
  <c r="M1166" i="79" s="1"/>
  <c r="Q1166" i="79" s="1"/>
  <c r="L1159" i="79"/>
  <c r="M1159" i="79" s="1"/>
  <c r="L1158" i="79"/>
  <c r="M1158" i="79" s="1"/>
  <c r="Q1158" i="79" s="1"/>
  <c r="L1151" i="79"/>
  <c r="M1151" i="79" s="1"/>
  <c r="P1151" i="79" s="1"/>
  <c r="R1151" i="79" s="1"/>
  <c r="L1150" i="79"/>
  <c r="M1150" i="79" s="1"/>
  <c r="Q1150" i="79" s="1"/>
  <c r="L1143" i="79"/>
  <c r="M1143" i="79" s="1"/>
  <c r="L1142" i="79"/>
  <c r="M1142" i="79" s="1"/>
  <c r="Q1142" i="79" s="1"/>
  <c r="L1202" i="79"/>
  <c r="M1202" i="79" s="1"/>
  <c r="L1210" i="79"/>
  <c r="M1210" i="79" s="1"/>
  <c r="C1444" i="79"/>
  <c r="C1360" i="79"/>
  <c r="A1485" i="79"/>
  <c r="F1316" i="79"/>
  <c r="C1402" i="79"/>
  <c r="L1351" i="79"/>
  <c r="M1351" i="79" s="1"/>
  <c r="L1350" i="79"/>
  <c r="M1350" i="79" s="1"/>
  <c r="Q1350" i="79" s="1"/>
  <c r="L1349" i="79"/>
  <c r="M1349" i="79" s="1"/>
  <c r="Q1349" i="79" s="1"/>
  <c r="L1343" i="79"/>
  <c r="M1343" i="79" s="1"/>
  <c r="L1342" i="79"/>
  <c r="M1342" i="79" s="1"/>
  <c r="L1341" i="79"/>
  <c r="M1341" i="79" s="1"/>
  <c r="Q1341" i="79" s="1"/>
  <c r="L1335" i="79"/>
  <c r="M1335" i="79" s="1"/>
  <c r="Q1335" i="79" s="1"/>
  <c r="L1333" i="79"/>
  <c r="M1333" i="79" s="1"/>
  <c r="K1357" i="79"/>
  <c r="M1329" i="79"/>
  <c r="E1357" i="79"/>
  <c r="L1327" i="79"/>
  <c r="M1327" i="79" s="1"/>
  <c r="L1326" i="79"/>
  <c r="M1326" i="79" s="1"/>
  <c r="L1325" i="79"/>
  <c r="M1325" i="79" s="1"/>
  <c r="Q1325" i="79" s="1"/>
  <c r="L1381" i="79"/>
  <c r="M1381" i="79" s="1"/>
  <c r="L1475" i="79"/>
  <c r="M1475" i="79" s="1"/>
  <c r="G1220" i="79"/>
  <c r="L1191" i="79"/>
  <c r="M1191" i="79" s="1"/>
  <c r="P1191" i="79" s="1"/>
  <c r="R1191" i="79" s="1"/>
  <c r="L1371" i="79"/>
  <c r="M1371" i="79" s="1"/>
  <c r="P1371" i="79" s="1"/>
  <c r="R1371" i="79" s="1"/>
  <c r="F1401" i="79"/>
  <c r="E1039" i="79"/>
  <c r="LF592" i="79"/>
  <c r="FH592" i="79"/>
  <c r="IH581" i="79"/>
  <c r="JT581" i="79"/>
  <c r="LE581" i="79"/>
  <c r="GO584" i="79"/>
  <c r="AY586" i="79"/>
  <c r="EQ586" i="79"/>
  <c r="HL586" i="79"/>
  <c r="AB588" i="79"/>
  <c r="FN588" i="79"/>
  <c r="KR589" i="79"/>
  <c r="KJ605" i="79"/>
  <c r="JG581" i="79"/>
  <c r="KT581" i="79"/>
  <c r="IC583" i="79"/>
  <c r="GW584" i="79"/>
  <c r="AN586" i="79"/>
  <c r="BD586" i="79"/>
  <c r="EF586" i="79"/>
  <c r="EV586" i="79"/>
  <c r="FL586" i="79"/>
  <c r="GG586" i="79"/>
  <c r="GX586" i="79"/>
  <c r="HS586" i="79"/>
  <c r="LO586" i="79"/>
  <c r="AD588" i="79"/>
  <c r="AV588" i="79"/>
  <c r="EC588" i="79"/>
  <c r="EU588" i="79"/>
  <c r="FU588" i="79"/>
  <c r="IQ589" i="79"/>
  <c r="JO589" i="79"/>
  <c r="KT589" i="79"/>
  <c r="IP597" i="79"/>
  <c r="LA597" i="79"/>
  <c r="KP605" i="79"/>
  <c r="HY615" i="79"/>
  <c r="H1039" i="79"/>
  <c r="E1220" i="79"/>
  <c r="L1328" i="79"/>
  <c r="M1328" i="79" s="1"/>
  <c r="LO585" i="79"/>
  <c r="FD585" i="79"/>
  <c r="M1061" i="79"/>
  <c r="M1187" i="79"/>
  <c r="Q1187" i="79" s="1"/>
  <c r="K1220" i="79"/>
  <c r="L1190" i="79"/>
  <c r="M1190" i="79" s="1"/>
  <c r="H1220" i="79"/>
  <c r="G1401" i="79"/>
  <c r="L1370" i="79"/>
  <c r="M1370" i="79" s="1"/>
  <c r="IS581" i="79"/>
  <c r="KS581" i="79"/>
  <c r="IB583" i="79"/>
  <c r="AI586" i="79"/>
  <c r="GB586" i="79"/>
  <c r="IO597" i="79"/>
  <c r="JU581" i="79"/>
  <c r="X586" i="79"/>
  <c r="IK581" i="79"/>
  <c r="IW581" i="79"/>
  <c r="JI581" i="79"/>
  <c r="JV581" i="79"/>
  <c r="KJ581" i="79"/>
  <c r="KU581" i="79"/>
  <c r="MF581" i="79"/>
  <c r="IJ583" i="79"/>
  <c r="Y586" i="79"/>
  <c r="AO586" i="79"/>
  <c r="BE586" i="79"/>
  <c r="EG586" i="79"/>
  <c r="EW586" i="79"/>
  <c r="FM586" i="79"/>
  <c r="GH586" i="79"/>
  <c r="GY586" i="79"/>
  <c r="HT586" i="79"/>
  <c r="AI588" i="79"/>
  <c r="BB588" i="79"/>
  <c r="EI588" i="79"/>
  <c r="FA588" i="79"/>
  <c r="GA588" i="79"/>
  <c r="IS589" i="79"/>
  <c r="JW589" i="79"/>
  <c r="KU589" i="79"/>
  <c r="IT597" i="79"/>
  <c r="M1027" i="79"/>
  <c r="Q1027" i="79" s="1"/>
  <c r="P1205" i="79"/>
  <c r="R1205" i="79" s="1"/>
  <c r="F1357" i="79"/>
  <c r="M1375" i="79"/>
  <c r="L992" i="79"/>
  <c r="M992" i="79" s="1"/>
  <c r="L1010" i="79"/>
  <c r="M1010" i="79" s="1"/>
  <c r="Q1010" i="79" s="1"/>
  <c r="G1039" i="79"/>
  <c r="L1058" i="79"/>
  <c r="M1058" i="79" s="1"/>
  <c r="L1256" i="79"/>
  <c r="M1256" i="79" s="1"/>
  <c r="Q1256" i="79" s="1"/>
  <c r="FU584" i="79"/>
  <c r="AZ584" i="79"/>
  <c r="FM584" i="79"/>
  <c r="AR584" i="79"/>
  <c r="HU584" i="79"/>
  <c r="FE584" i="79"/>
  <c r="AJ584" i="79"/>
  <c r="HM584" i="79"/>
  <c r="EW584" i="79"/>
  <c r="AB584" i="79"/>
  <c r="MN586" i="79"/>
  <c r="LX586" i="79"/>
  <c r="LN586" i="79"/>
  <c r="IB586" i="79"/>
  <c r="HR586" i="79"/>
  <c r="HG586" i="79"/>
  <c r="GV586" i="79"/>
  <c r="GN586" i="79"/>
  <c r="GF586" i="79"/>
  <c r="FS586" i="79"/>
  <c r="FK586" i="79"/>
  <c r="FC586" i="79"/>
  <c r="EU586" i="79"/>
  <c r="EM586" i="79"/>
  <c r="EE586" i="79"/>
  <c r="BN586" i="79"/>
  <c r="BC586" i="79"/>
  <c r="AU586" i="79"/>
  <c r="AM586" i="79"/>
  <c r="AE586" i="79"/>
  <c r="W586" i="79"/>
  <c r="ML586" i="79"/>
  <c r="LW586" i="79"/>
  <c r="LM586" i="79"/>
  <c r="IA586" i="79"/>
  <c r="HP586" i="79"/>
  <c r="HE586" i="79"/>
  <c r="GU586" i="79"/>
  <c r="GM586" i="79"/>
  <c r="GE586" i="79"/>
  <c r="FR586" i="79"/>
  <c r="FJ586" i="79"/>
  <c r="FB586" i="79"/>
  <c r="ET586" i="79"/>
  <c r="EL586" i="79"/>
  <c r="ED586" i="79"/>
  <c r="BJ586" i="79"/>
  <c r="BB586" i="79"/>
  <c r="AT586" i="79"/>
  <c r="AL586" i="79"/>
  <c r="AD586" i="79"/>
  <c r="MK586" i="79"/>
  <c r="LV586" i="79"/>
  <c r="LK586" i="79"/>
  <c r="HZ586" i="79"/>
  <c r="HN586" i="79"/>
  <c r="HD586" i="79"/>
  <c r="GT586" i="79"/>
  <c r="GL586" i="79"/>
  <c r="GD586" i="79"/>
  <c r="FQ586" i="79"/>
  <c r="FI586" i="79"/>
  <c r="FA586" i="79"/>
  <c r="ES586" i="79"/>
  <c r="EK586" i="79"/>
  <c r="EC586" i="79"/>
  <c r="BI586" i="79"/>
  <c r="BA586" i="79"/>
  <c r="AS586" i="79"/>
  <c r="AK586" i="79"/>
  <c r="AC586" i="79"/>
  <c r="MJ586" i="79"/>
  <c r="LT586" i="79"/>
  <c r="LJ586" i="79"/>
  <c r="HW586" i="79"/>
  <c r="HM586" i="79"/>
  <c r="HC586" i="79"/>
  <c r="GS586" i="79"/>
  <c r="GK586" i="79"/>
  <c r="GC586" i="79"/>
  <c r="FP586" i="79"/>
  <c r="FH586" i="79"/>
  <c r="EZ586" i="79"/>
  <c r="ER586" i="79"/>
  <c r="EJ586" i="79"/>
  <c r="DW586" i="79"/>
  <c r="BH586" i="79"/>
  <c r="AZ586" i="79"/>
  <c r="AR586" i="79"/>
  <c r="AJ586" i="79"/>
  <c r="AB586" i="79"/>
  <c r="JF581" i="79"/>
  <c r="KE581" i="79"/>
  <c r="MC584" i="79"/>
  <c r="LH586" i="79"/>
  <c r="DO588" i="79"/>
  <c r="JN589" i="79"/>
  <c r="KJ597" i="79"/>
  <c r="L1387" i="79"/>
  <c r="M1387" i="79" s="1"/>
  <c r="II581" i="79"/>
  <c r="IM581" i="79"/>
  <c r="IX581" i="79"/>
  <c r="JL581" i="79"/>
  <c r="JW581" i="79"/>
  <c r="KK581" i="79"/>
  <c r="KW581" i="79"/>
  <c r="MG581" i="79"/>
  <c r="MO581" i="79"/>
  <c r="BH584" i="79"/>
  <c r="Z586" i="79"/>
  <c r="AP586" i="79"/>
  <c r="BF586" i="79"/>
  <c r="EH586" i="79"/>
  <c r="EX586" i="79"/>
  <c r="FN586" i="79"/>
  <c r="GI586" i="79"/>
  <c r="GZ586" i="79"/>
  <c r="HU586" i="79"/>
  <c r="LR586" i="79"/>
  <c r="AJ588" i="79"/>
  <c r="BC588" i="79"/>
  <c r="EJ588" i="79"/>
  <c r="FB588" i="79"/>
  <c r="GB588" i="79"/>
  <c r="IT589" i="79"/>
  <c r="JY589" i="79"/>
  <c r="LC589" i="79"/>
  <c r="MF589" i="79"/>
  <c r="JE597" i="79"/>
  <c r="M1271" i="79"/>
  <c r="P1271" i="79" s="1"/>
  <c r="R1271" i="79" s="1"/>
  <c r="G1357" i="79"/>
  <c r="L1020" i="79"/>
  <c r="M1020" i="79" s="1"/>
  <c r="L1372" i="79"/>
  <c r="M1372" i="79" s="1"/>
  <c r="Q1372" i="79" s="1"/>
  <c r="E1401" i="79"/>
  <c r="DJ586" i="79"/>
  <c r="FG586" i="79"/>
  <c r="GR586" i="79"/>
  <c r="MC586" i="79"/>
  <c r="AU588" i="79"/>
  <c r="ET588" i="79"/>
  <c r="II589" i="79"/>
  <c r="IB599" i="79"/>
  <c r="M985" i="79"/>
  <c r="Q985" i="79" s="1"/>
  <c r="IV581" i="79"/>
  <c r="KG581" i="79"/>
  <c r="IN581" i="79"/>
  <c r="IY581" i="79"/>
  <c r="JM581" i="79"/>
  <c r="JY581" i="79"/>
  <c r="KL581" i="79"/>
  <c r="KZ581" i="79"/>
  <c r="MH581" i="79"/>
  <c r="MP581" i="79"/>
  <c r="DC584" i="79"/>
  <c r="AA586" i="79"/>
  <c r="AQ586" i="79"/>
  <c r="BG586" i="79"/>
  <c r="EI586" i="79"/>
  <c r="EY586" i="79"/>
  <c r="FO586" i="79"/>
  <c r="GJ586" i="79"/>
  <c r="HB586" i="79"/>
  <c r="HV586" i="79"/>
  <c r="LS586" i="79"/>
  <c r="AL588" i="79"/>
  <c r="BD588" i="79"/>
  <c r="EK588" i="79"/>
  <c r="FC588" i="79"/>
  <c r="LH588" i="79"/>
  <c r="JB589" i="79"/>
  <c r="JZ589" i="79"/>
  <c r="LE589" i="79"/>
  <c r="MH589" i="79"/>
  <c r="JF597" i="79"/>
  <c r="IW605" i="79"/>
  <c r="M994" i="79"/>
  <c r="P994" i="79" s="1"/>
  <c r="R994" i="79" s="1"/>
  <c r="E384" i="79"/>
  <c r="M1007" i="79"/>
  <c r="Q1007" i="79" s="1"/>
  <c r="M1399" i="79"/>
  <c r="Q1399" i="79" s="1"/>
  <c r="M1031" i="79"/>
  <c r="Q1031" i="79" s="1"/>
  <c r="M1422" i="79"/>
  <c r="Q1422" i="79" s="1"/>
  <c r="S463" i="79"/>
  <c r="M463" i="79"/>
  <c r="EV594" i="79"/>
  <c r="KV613" i="79"/>
  <c r="JU613" i="79"/>
  <c r="IR613" i="79"/>
  <c r="KO613" i="79"/>
  <c r="JM613" i="79"/>
  <c r="IJ613" i="79"/>
  <c r="KG613" i="79"/>
  <c r="JE613" i="79"/>
  <c r="IC613" i="79"/>
  <c r="LA613" i="79"/>
  <c r="JX613" i="79"/>
  <c r="IS613" i="79"/>
  <c r="KT605" i="79"/>
  <c r="KC605" i="79"/>
  <c r="JL605" i="79"/>
  <c r="IT605" i="79"/>
  <c r="HY605" i="79"/>
  <c r="KR605" i="79"/>
  <c r="JZ605" i="79"/>
  <c r="JE605" i="79"/>
  <c r="IN605" i="79"/>
  <c r="KK605" i="79"/>
  <c r="JT605" i="79"/>
  <c r="JB605" i="79"/>
  <c r="IH605" i="79"/>
  <c r="KX605" i="79"/>
  <c r="KD605" i="79"/>
  <c r="JM605" i="79"/>
  <c r="IV605" i="79"/>
  <c r="ID605" i="79"/>
  <c r="M1212" i="79"/>
  <c r="Q1212" i="79" s="1"/>
  <c r="M1353" i="79"/>
  <c r="Q1353" i="79" s="1"/>
  <c r="P1213" i="79"/>
  <c r="R1213" i="79" s="1"/>
  <c r="M1288" i="79"/>
  <c r="Q1288" i="79" s="1"/>
  <c r="Q1331" i="79"/>
  <c r="M1014" i="79"/>
  <c r="M1295" i="79"/>
  <c r="P1295" i="79" s="1"/>
  <c r="R1295" i="79" s="1"/>
  <c r="M1345" i="79"/>
  <c r="Q1345" i="79" s="1"/>
  <c r="M1383" i="79"/>
  <c r="Q1383" i="79" s="1"/>
  <c r="M1453" i="79"/>
  <c r="P1453" i="79" s="1"/>
  <c r="R1453" i="79" s="1"/>
  <c r="M978" i="79"/>
  <c r="P978" i="79" s="1"/>
  <c r="R978" i="79" s="1"/>
  <c r="M1038" i="79"/>
  <c r="M1069" i="79"/>
  <c r="P1069" i="79" s="1"/>
  <c r="R1069" i="79" s="1"/>
  <c r="M1188" i="79"/>
  <c r="Q1188" i="79" s="1"/>
  <c r="M1195" i="79"/>
  <c r="Q1195" i="79" s="1"/>
  <c r="M1211" i="79"/>
  <c r="Q1211" i="79" s="1"/>
  <c r="M1219" i="79"/>
  <c r="Q1219" i="79" s="1"/>
  <c r="M1258" i="79"/>
  <c r="P1258" i="79" s="1"/>
  <c r="R1258" i="79" s="1"/>
  <c r="M1287" i="79"/>
  <c r="P1287" i="79" s="1"/>
  <c r="R1287" i="79" s="1"/>
  <c r="M1338" i="79"/>
  <c r="Q1338" i="79" s="1"/>
  <c r="M1398" i="79"/>
  <c r="Q1398" i="79" s="1"/>
  <c r="M1421" i="79"/>
  <c r="P1421" i="79" s="1"/>
  <c r="R1421" i="79" s="1"/>
  <c r="M1452" i="79"/>
  <c r="Q1452" i="79" s="1"/>
  <c r="M1469" i="79"/>
  <c r="Q1469" i="79" s="1"/>
  <c r="M383" i="79"/>
  <c r="J463" i="79"/>
  <c r="FJ582" i="79"/>
  <c r="BD590" i="79"/>
  <c r="FV584" i="79"/>
  <c r="HS600" i="79"/>
  <c r="LU608" i="79"/>
  <c r="AN616" i="79"/>
  <c r="LP588" i="79"/>
  <c r="KV583" i="79"/>
  <c r="ED582" i="79"/>
  <c r="G744" i="79"/>
  <c r="O744" i="79"/>
  <c r="M749" i="79"/>
  <c r="G753" i="79"/>
  <c r="O753" i="79"/>
  <c r="M758" i="79"/>
  <c r="K758" i="79"/>
  <c r="G762" i="79"/>
  <c r="O762" i="79"/>
  <c r="L1091" i="79"/>
  <c r="L1274" i="79"/>
  <c r="M1274" i="79" s="1"/>
  <c r="L1276" i="79"/>
  <c r="M1276" i="79" s="1"/>
  <c r="Q1276" i="79" s="1"/>
  <c r="L1282" i="79"/>
  <c r="M1282" i="79" s="1"/>
  <c r="P1282" i="79" s="1"/>
  <c r="R1282" i="79" s="1"/>
  <c r="L1284" i="79"/>
  <c r="M1284" i="79" s="1"/>
  <c r="Q1284" i="79" s="1"/>
  <c r="L1290" i="79"/>
  <c r="M1290" i="79" s="1"/>
  <c r="Q1290" i="79" s="1"/>
  <c r="L1292" i="79"/>
  <c r="M1292" i="79" s="1"/>
  <c r="Q1292" i="79" s="1"/>
  <c r="L1299" i="79"/>
  <c r="L1300" i="79"/>
  <c r="M1300" i="79" s="1"/>
  <c r="Q1300" i="79" s="1"/>
  <c r="M1015" i="79"/>
  <c r="Q1015" i="79" s="1"/>
  <c r="M1095" i="79"/>
  <c r="Q1095" i="79" s="1"/>
  <c r="M1234" i="79"/>
  <c r="Q1234" i="79" s="1"/>
  <c r="M1250" i="79"/>
  <c r="M1272" i="79"/>
  <c r="Q1272" i="79" s="1"/>
  <c r="M1296" i="79"/>
  <c r="Q1296" i="79" s="1"/>
  <c r="M1438" i="79"/>
  <c r="Q1438" i="79" s="1"/>
  <c r="M1022" i="79"/>
  <c r="P1022" i="79" s="1"/>
  <c r="R1022" i="79" s="1"/>
  <c r="M1053" i="79"/>
  <c r="M1203" i="79"/>
  <c r="Q1203" i="79" s="1"/>
  <c r="M1279" i="79"/>
  <c r="P1279" i="79" s="1"/>
  <c r="R1279" i="79" s="1"/>
  <c r="M1354" i="79"/>
  <c r="Q1354" i="79" s="1"/>
  <c r="M1477" i="79"/>
  <c r="Q1477" i="79" s="1"/>
  <c r="M1023" i="79"/>
  <c r="Q1023" i="79" s="1"/>
  <c r="M1077" i="79"/>
  <c r="M1141" i="79"/>
  <c r="M1204" i="79"/>
  <c r="Q1204" i="79" s="1"/>
  <c r="M1280" i="79"/>
  <c r="Q1280" i="79" s="1"/>
  <c r="M1330" i="79"/>
  <c r="Q1330" i="79" s="1"/>
  <c r="M1430" i="79"/>
  <c r="Q1430" i="79" s="1"/>
  <c r="M1078" i="79"/>
  <c r="Q1078" i="79" s="1"/>
  <c r="M1242" i="79"/>
  <c r="M1337" i="79"/>
  <c r="M1366" i="79"/>
  <c r="M1401" i="79" s="1"/>
  <c r="M367" i="79"/>
  <c r="M388" i="79"/>
  <c r="L546" i="79"/>
  <c r="I563" i="79"/>
  <c r="K563" i="79"/>
  <c r="M563" i="79"/>
  <c r="G1121" i="79"/>
  <c r="I1121" i="79"/>
  <c r="L1105" i="79"/>
  <c r="M1105" i="79" s="1"/>
  <c r="JP583" i="79"/>
  <c r="DK584" i="79"/>
  <c r="FW584" i="79"/>
  <c r="HV584" i="79"/>
  <c r="JZ584" i="79"/>
  <c r="EF608" i="79"/>
  <c r="AD584" i="79"/>
  <c r="AL584" i="79"/>
  <c r="AT584" i="79"/>
  <c r="BB584" i="79"/>
  <c r="BJ584" i="79"/>
  <c r="DS584" i="79"/>
  <c r="EI584" i="79"/>
  <c r="EQ584" i="79"/>
  <c r="EY584" i="79"/>
  <c r="FG584" i="79"/>
  <c r="FO584" i="79"/>
  <c r="GA584" i="79"/>
  <c r="GI584" i="79"/>
  <c r="GQ584" i="79"/>
  <c r="GY584" i="79"/>
  <c r="HG584" i="79"/>
  <c r="HO584" i="79"/>
  <c r="HW584" i="79"/>
  <c r="IE584" i="79"/>
  <c r="IM584" i="79"/>
  <c r="IU584" i="79"/>
  <c r="JC584" i="79"/>
  <c r="JK584" i="79"/>
  <c r="JS584" i="79"/>
  <c r="KA584" i="79"/>
  <c r="KI584" i="79"/>
  <c r="KQ584" i="79"/>
  <c r="KY584" i="79"/>
  <c r="LG584" i="79"/>
  <c r="LO584" i="79"/>
  <c r="LW584" i="79"/>
  <c r="ME584" i="79"/>
  <c r="MM584" i="79"/>
  <c r="GN585" i="79"/>
  <c r="GA592" i="79"/>
  <c r="EL600" i="79"/>
  <c r="MB608" i="79"/>
  <c r="AK584" i="79"/>
  <c r="EH584" i="79"/>
  <c r="GH584" i="79"/>
  <c r="ID584" i="79"/>
  <c r="JR584" i="79"/>
  <c r="LN584" i="79"/>
  <c r="EE600" i="79"/>
  <c r="W584" i="79"/>
  <c r="AE584" i="79"/>
  <c r="AM584" i="79"/>
  <c r="AU584" i="79"/>
  <c r="BC584" i="79"/>
  <c r="BO584" i="79"/>
  <c r="EA584" i="79"/>
  <c r="EJ584" i="79"/>
  <c r="ER584" i="79"/>
  <c r="EZ584" i="79"/>
  <c r="FH584" i="79"/>
  <c r="FP584" i="79"/>
  <c r="GB584" i="79"/>
  <c r="GJ584" i="79"/>
  <c r="GR584" i="79"/>
  <c r="GZ584" i="79"/>
  <c r="HH584" i="79"/>
  <c r="HP584" i="79"/>
  <c r="HX584" i="79"/>
  <c r="IF584" i="79"/>
  <c r="IN584" i="79"/>
  <c r="IV584" i="79"/>
  <c r="JD584" i="79"/>
  <c r="JL584" i="79"/>
  <c r="JT584" i="79"/>
  <c r="KB584" i="79"/>
  <c r="KJ584" i="79"/>
  <c r="KR584" i="79"/>
  <c r="KZ584" i="79"/>
  <c r="LH584" i="79"/>
  <c r="LP584" i="79"/>
  <c r="LX584" i="79"/>
  <c r="MF584" i="79"/>
  <c r="MN584" i="79"/>
  <c r="HB588" i="79"/>
  <c r="EL591" i="79"/>
  <c r="HJ592" i="79"/>
  <c r="HY600" i="79"/>
  <c r="AC584" i="79"/>
  <c r="EP584" i="79"/>
  <c r="GP584" i="79"/>
  <c r="IT584" i="79"/>
  <c r="LF584" i="79"/>
  <c r="X584" i="79"/>
  <c r="AF584" i="79"/>
  <c r="AN584" i="79"/>
  <c r="AV584" i="79"/>
  <c r="BD584" i="79"/>
  <c r="BW584" i="79"/>
  <c r="EC584" i="79"/>
  <c r="EK584" i="79"/>
  <c r="ES584" i="79"/>
  <c r="FA584" i="79"/>
  <c r="FI584" i="79"/>
  <c r="FQ584" i="79"/>
  <c r="GC584" i="79"/>
  <c r="GK584" i="79"/>
  <c r="GS584" i="79"/>
  <c r="HA584" i="79"/>
  <c r="HI584" i="79"/>
  <c r="HQ584" i="79"/>
  <c r="HY584" i="79"/>
  <c r="IG584" i="79"/>
  <c r="IO584" i="79"/>
  <c r="IW584" i="79"/>
  <c r="JE584" i="79"/>
  <c r="JM584" i="79"/>
  <c r="JU584" i="79"/>
  <c r="KC584" i="79"/>
  <c r="KK584" i="79"/>
  <c r="KS584" i="79"/>
  <c r="LA584" i="79"/>
  <c r="LI584" i="79"/>
  <c r="LQ584" i="79"/>
  <c r="LY584" i="79"/>
  <c r="MG584" i="79"/>
  <c r="MO584" i="79"/>
  <c r="IM588" i="79"/>
  <c r="HY592" i="79"/>
  <c r="IC600" i="79"/>
  <c r="EE616" i="79"/>
  <c r="O740" i="79"/>
  <c r="BA584" i="79"/>
  <c r="FF584" i="79"/>
  <c r="GX584" i="79"/>
  <c r="IL584" i="79"/>
  <c r="JJ584" i="79"/>
  <c r="KH584" i="79"/>
  <c r="KX584" i="79"/>
  <c r="LV584" i="79"/>
  <c r="MD584" i="79"/>
  <c r="ML584" i="79"/>
  <c r="FQ592" i="79"/>
  <c r="AO582" i="79"/>
  <c r="Y584" i="79"/>
  <c r="AG584" i="79"/>
  <c r="AO584" i="79"/>
  <c r="AW584" i="79"/>
  <c r="BE584" i="79"/>
  <c r="CE584" i="79"/>
  <c r="ED584" i="79"/>
  <c r="EL584" i="79"/>
  <c r="ET584" i="79"/>
  <c r="FB584" i="79"/>
  <c r="FJ584" i="79"/>
  <c r="FR584" i="79"/>
  <c r="GD584" i="79"/>
  <c r="GL584" i="79"/>
  <c r="GT584" i="79"/>
  <c r="HB584" i="79"/>
  <c r="HJ584" i="79"/>
  <c r="HR584" i="79"/>
  <c r="HZ584" i="79"/>
  <c r="IH584" i="79"/>
  <c r="IP584" i="79"/>
  <c r="IX584" i="79"/>
  <c r="JF584" i="79"/>
  <c r="JN584" i="79"/>
  <c r="JV584" i="79"/>
  <c r="KD584" i="79"/>
  <c r="KL584" i="79"/>
  <c r="KT584" i="79"/>
  <c r="LB584" i="79"/>
  <c r="LJ584" i="79"/>
  <c r="LR584" i="79"/>
  <c r="LZ584" i="79"/>
  <c r="MH584" i="79"/>
  <c r="MP584" i="79"/>
  <c r="KI588" i="79"/>
  <c r="AV592" i="79"/>
  <c r="HZ592" i="79"/>
  <c r="FJ616" i="79"/>
  <c r="AS584" i="79"/>
  <c r="EX584" i="79"/>
  <c r="HF584" i="79"/>
  <c r="LY582" i="79"/>
  <c r="AK583" i="79"/>
  <c r="Z584" i="79"/>
  <c r="AH584" i="79"/>
  <c r="AP584" i="79"/>
  <c r="AX584" i="79"/>
  <c r="BF584" i="79"/>
  <c r="CM584" i="79"/>
  <c r="EE584" i="79"/>
  <c r="EM584" i="79"/>
  <c r="EU584" i="79"/>
  <c r="FC584" i="79"/>
  <c r="FK584" i="79"/>
  <c r="FS584" i="79"/>
  <c r="GE584" i="79"/>
  <c r="GM584" i="79"/>
  <c r="GU584" i="79"/>
  <c r="HC584" i="79"/>
  <c r="HK584" i="79"/>
  <c r="HS584" i="79"/>
  <c r="IA584" i="79"/>
  <c r="II584" i="79"/>
  <c r="IQ584" i="79"/>
  <c r="IY584" i="79"/>
  <c r="JG584" i="79"/>
  <c r="JO584" i="79"/>
  <c r="JW584" i="79"/>
  <c r="KE584" i="79"/>
  <c r="KM584" i="79"/>
  <c r="KU584" i="79"/>
  <c r="LC584" i="79"/>
  <c r="LK584" i="79"/>
  <c r="LS584" i="79"/>
  <c r="MA584" i="79"/>
  <c r="MI584" i="79"/>
  <c r="MQ584" i="79"/>
  <c r="BE592" i="79"/>
  <c r="KJ592" i="79"/>
  <c r="BI584" i="79"/>
  <c r="FN584" i="79"/>
  <c r="HN584" i="79"/>
  <c r="JB584" i="79"/>
  <c r="KP584" i="79"/>
  <c r="AS583" i="79"/>
  <c r="AA584" i="79"/>
  <c r="AI584" i="79"/>
  <c r="AQ584" i="79"/>
  <c r="AY584" i="79"/>
  <c r="BG584" i="79"/>
  <c r="CU584" i="79"/>
  <c r="EF584" i="79"/>
  <c r="EN584" i="79"/>
  <c r="EV584" i="79"/>
  <c r="FD584" i="79"/>
  <c r="FL584" i="79"/>
  <c r="FT584" i="79"/>
  <c r="GF584" i="79"/>
  <c r="GN584" i="79"/>
  <c r="GV584" i="79"/>
  <c r="HD584" i="79"/>
  <c r="HL584" i="79"/>
  <c r="HT584" i="79"/>
  <c r="IB584" i="79"/>
  <c r="IJ584" i="79"/>
  <c r="IR584" i="79"/>
  <c r="IZ584" i="79"/>
  <c r="JH584" i="79"/>
  <c r="JP584" i="79"/>
  <c r="JX584" i="79"/>
  <c r="KF584" i="79"/>
  <c r="KN584" i="79"/>
  <c r="KV584" i="79"/>
  <c r="LD584" i="79"/>
  <c r="LL584" i="79"/>
  <c r="LT584" i="79"/>
  <c r="MB584" i="79"/>
  <c r="MJ584" i="79"/>
  <c r="MR584" i="79"/>
  <c r="DM592" i="79"/>
  <c r="LE592" i="79"/>
  <c r="BA583" i="79"/>
  <c r="EH583" i="79"/>
  <c r="HT585" i="79"/>
  <c r="HV590" i="79"/>
  <c r="EF592" i="79"/>
  <c r="GE592" i="79"/>
  <c r="IF592" i="79"/>
  <c r="LV592" i="79"/>
  <c r="FI600" i="79"/>
  <c r="KK600" i="79"/>
  <c r="EG608" i="79"/>
  <c r="IC614" i="79"/>
  <c r="IK614" i="79"/>
  <c r="IS614" i="79"/>
  <c r="JA614" i="79"/>
  <c r="JI614" i="79"/>
  <c r="JQ614" i="79"/>
  <c r="JY614" i="79"/>
  <c r="KG614" i="79"/>
  <c r="KO614" i="79"/>
  <c r="KW614" i="79"/>
  <c r="LE614" i="79"/>
  <c r="ML614" i="79"/>
  <c r="GC616" i="79"/>
  <c r="MD583" i="79"/>
  <c r="BI583" i="79"/>
  <c r="EP583" i="79"/>
  <c r="LW585" i="79"/>
  <c r="MI586" i="79"/>
  <c r="X592" i="79"/>
  <c r="EJ592" i="79"/>
  <c r="GL592" i="79"/>
  <c r="IT592" i="79"/>
  <c r="MD592" i="79"/>
  <c r="GA600" i="79"/>
  <c r="LC600" i="79"/>
  <c r="GC608" i="79"/>
  <c r="ID614" i="79"/>
  <c r="IL614" i="79"/>
  <c r="IT614" i="79"/>
  <c r="JB614" i="79"/>
  <c r="JJ614" i="79"/>
  <c r="JR614" i="79"/>
  <c r="JZ614" i="79"/>
  <c r="KH614" i="79"/>
  <c r="KP614" i="79"/>
  <c r="KX614" i="79"/>
  <c r="ME614" i="79"/>
  <c r="MM614" i="79"/>
  <c r="HY616" i="79"/>
  <c r="JY587" i="79"/>
  <c r="K740" i="79"/>
  <c r="K767" i="79"/>
  <c r="I771" i="79"/>
  <c r="K787" i="79"/>
  <c r="DK583" i="79"/>
  <c r="EX583" i="79"/>
  <c r="Y592" i="79"/>
  <c r="EK592" i="79"/>
  <c r="GS592" i="79"/>
  <c r="IZ592" i="79"/>
  <c r="AU593" i="79"/>
  <c r="GB600" i="79"/>
  <c r="LX600" i="79"/>
  <c r="GE608" i="79"/>
  <c r="IE614" i="79"/>
  <c r="IM614" i="79"/>
  <c r="IU614" i="79"/>
  <c r="JC614" i="79"/>
  <c r="JK614" i="79"/>
  <c r="JS614" i="79"/>
  <c r="KA614" i="79"/>
  <c r="KI614" i="79"/>
  <c r="KQ614" i="79"/>
  <c r="KY614" i="79"/>
  <c r="MF614" i="79"/>
  <c r="MN614" i="79"/>
  <c r="IB616" i="79"/>
  <c r="BH604" i="79"/>
  <c r="ER612" i="79"/>
  <c r="M744" i="79"/>
  <c r="I749" i="79"/>
  <c r="O749" i="79"/>
  <c r="M753" i="79"/>
  <c r="P779" i="79"/>
  <c r="FF583" i="79"/>
  <c r="GR583" i="79"/>
  <c r="AF592" i="79"/>
  <c r="ER592" i="79"/>
  <c r="GT592" i="79"/>
  <c r="JH592" i="79"/>
  <c r="BD600" i="79"/>
  <c r="GU600" i="79"/>
  <c r="GV608" i="79"/>
  <c r="IF614" i="79"/>
  <c r="IN614" i="79"/>
  <c r="IV614" i="79"/>
  <c r="JD614" i="79"/>
  <c r="JL614" i="79"/>
  <c r="JT614" i="79"/>
  <c r="KB614" i="79"/>
  <c r="KJ614" i="79"/>
  <c r="KR614" i="79"/>
  <c r="KZ614" i="79"/>
  <c r="MG614" i="79"/>
  <c r="MO614" i="79"/>
  <c r="IC616" i="79"/>
  <c r="FN583" i="79"/>
  <c r="HX583" i="79"/>
  <c r="AI585" i="79"/>
  <c r="IT586" i="79"/>
  <c r="EC600" i="79"/>
  <c r="HR600" i="79"/>
  <c r="IB608" i="79"/>
  <c r="AC583" i="79"/>
  <c r="LM583" i="79"/>
  <c r="CU585" i="79"/>
  <c r="KI586" i="79"/>
  <c r="Z591" i="79"/>
  <c r="BD592" i="79"/>
  <c r="FP592" i="79"/>
  <c r="HR592" i="79"/>
  <c r="ED600" i="79"/>
  <c r="HZ614" i="79"/>
  <c r="IH614" i="79"/>
  <c r="IP614" i="79"/>
  <c r="IX614" i="79"/>
  <c r="JF614" i="79"/>
  <c r="JN614" i="79"/>
  <c r="JV614" i="79"/>
  <c r="KD614" i="79"/>
  <c r="KL614" i="79"/>
  <c r="KT614" i="79"/>
  <c r="LB614" i="79"/>
  <c r="MI614" i="79"/>
  <c r="AB583" i="79"/>
  <c r="AJ583" i="79"/>
  <c r="AR583" i="79"/>
  <c r="AZ583" i="79"/>
  <c r="BH583" i="79"/>
  <c r="DC583" i="79"/>
  <c r="EO583" i="79"/>
  <c r="EW583" i="79"/>
  <c r="FE583" i="79"/>
  <c r="FM583" i="79"/>
  <c r="FU583" i="79"/>
  <c r="GK583" i="79"/>
  <c r="HQ583" i="79"/>
  <c r="LL583" i="79"/>
  <c r="AH585" i="79"/>
  <c r="CM585" i="79"/>
  <c r="FC585" i="79"/>
  <c r="GM585" i="79"/>
  <c r="HS585" i="79"/>
  <c r="LV585" i="79"/>
  <c r="IS586" i="79"/>
  <c r="KH586" i="79"/>
  <c r="IL588" i="79"/>
  <c r="KH588" i="79"/>
  <c r="EI591" i="79"/>
  <c r="IZ607" i="79"/>
  <c r="KS599" i="79"/>
  <c r="KQ591" i="79"/>
  <c r="JH583" i="79"/>
  <c r="AD583" i="79"/>
  <c r="AL583" i="79"/>
  <c r="AT583" i="79"/>
  <c r="BB583" i="79"/>
  <c r="BJ583" i="79"/>
  <c r="DS583" i="79"/>
  <c r="EI583" i="79"/>
  <c r="EQ583" i="79"/>
  <c r="EY583" i="79"/>
  <c r="FG583" i="79"/>
  <c r="FO583" i="79"/>
  <c r="GS583" i="79"/>
  <c r="LF583" i="79"/>
  <c r="LN583" i="79"/>
  <c r="AP585" i="79"/>
  <c r="EE585" i="79"/>
  <c r="FK585" i="79"/>
  <c r="GU585" i="79"/>
  <c r="IV585" i="79"/>
  <c r="MD585" i="79"/>
  <c r="JC586" i="79"/>
  <c r="KR586" i="79"/>
  <c r="IW588" i="79"/>
  <c r="KS588" i="79"/>
  <c r="AH591" i="79"/>
  <c r="FB591" i="79"/>
  <c r="BD593" i="79"/>
  <c r="W583" i="79"/>
  <c r="AE583" i="79"/>
  <c r="AM583" i="79"/>
  <c r="AU583" i="79"/>
  <c r="BC583" i="79"/>
  <c r="BO583" i="79"/>
  <c r="EA583" i="79"/>
  <c r="EJ583" i="79"/>
  <c r="ER583" i="79"/>
  <c r="EZ583" i="79"/>
  <c r="FH583" i="79"/>
  <c r="FP583" i="79"/>
  <c r="GZ583" i="79"/>
  <c r="LG583" i="79"/>
  <c r="LO583" i="79"/>
  <c r="AQ585" i="79"/>
  <c r="EF585" i="79"/>
  <c r="FL585" i="79"/>
  <c r="GV585" i="79"/>
  <c r="KB585" i="79"/>
  <c r="ME585" i="79"/>
  <c r="JD586" i="79"/>
  <c r="KU586" i="79"/>
  <c r="IX588" i="79"/>
  <c r="KU588" i="79"/>
  <c r="AM591" i="79"/>
  <c r="FJ591" i="79"/>
  <c r="AZ607" i="79"/>
  <c r="X583" i="79"/>
  <c r="AF583" i="79"/>
  <c r="AN583" i="79"/>
  <c r="AV583" i="79"/>
  <c r="BD583" i="79"/>
  <c r="BW583" i="79"/>
  <c r="EK583" i="79"/>
  <c r="ES583" i="79"/>
  <c r="FA583" i="79"/>
  <c r="FI583" i="79"/>
  <c r="FQ583" i="79"/>
  <c r="HA583" i="79"/>
  <c r="LH583" i="79"/>
  <c r="LU583" i="79"/>
  <c r="AX585" i="79"/>
  <c r="EM585" i="79"/>
  <c r="FS585" i="79"/>
  <c r="HC585" i="79"/>
  <c r="LF585" i="79"/>
  <c r="JN586" i="79"/>
  <c r="LD586" i="79"/>
  <c r="JH588" i="79"/>
  <c r="AP591" i="79"/>
  <c r="FO591" i="79"/>
  <c r="MN589" i="79"/>
  <c r="MO597" i="79"/>
  <c r="KN613" i="79"/>
  <c r="GD610" i="79"/>
  <c r="CG591" i="79"/>
  <c r="O758" i="79"/>
  <c r="M762" i="79"/>
  <c r="Y583" i="79"/>
  <c r="AG583" i="79"/>
  <c r="AO583" i="79"/>
  <c r="AW583" i="79"/>
  <c r="BE583" i="79"/>
  <c r="CE583" i="79"/>
  <c r="EL583" i="79"/>
  <c r="ET583" i="79"/>
  <c r="FB583" i="79"/>
  <c r="FJ583" i="79"/>
  <c r="FR583" i="79"/>
  <c r="HH583" i="79"/>
  <c r="LI583" i="79"/>
  <c r="LV583" i="79"/>
  <c r="AY585" i="79"/>
  <c r="EN585" i="79"/>
  <c r="FT585" i="79"/>
  <c r="HD585" i="79"/>
  <c r="LG585" i="79"/>
  <c r="JO586" i="79"/>
  <c r="LE586" i="79"/>
  <c r="JK588" i="79"/>
  <c r="AU591" i="79"/>
  <c r="FR591" i="79"/>
  <c r="Z583" i="79"/>
  <c r="AH583" i="79"/>
  <c r="AP583" i="79"/>
  <c r="AX583" i="79"/>
  <c r="BF583" i="79"/>
  <c r="CM583" i="79"/>
  <c r="EM583" i="79"/>
  <c r="EU583" i="79"/>
  <c r="FC583" i="79"/>
  <c r="FK583" i="79"/>
  <c r="FS583" i="79"/>
  <c r="HI583" i="79"/>
  <c r="LJ583" i="79"/>
  <c r="MC583" i="79"/>
  <c r="Z585" i="79"/>
  <c r="BF585" i="79"/>
  <c r="EU585" i="79"/>
  <c r="GE585" i="79"/>
  <c r="HK585" i="79"/>
  <c r="LN585" i="79"/>
  <c r="II586" i="79"/>
  <c r="JX586" i="79"/>
  <c r="MS586" i="79"/>
  <c r="JV588" i="79"/>
  <c r="BF591" i="79"/>
  <c r="AA583" i="79"/>
  <c r="AI583" i="79"/>
  <c r="AQ583" i="79"/>
  <c r="AY583" i="79"/>
  <c r="BG583" i="79"/>
  <c r="CU583" i="79"/>
  <c r="EN583" i="79"/>
  <c r="EV583" i="79"/>
  <c r="FD583" i="79"/>
  <c r="FL583" i="79"/>
  <c r="FT583" i="79"/>
  <c r="GJ583" i="79"/>
  <c r="HP583" i="79"/>
  <c r="AA585" i="79"/>
  <c r="BG585" i="79"/>
  <c r="EV585" i="79"/>
  <c r="GF585" i="79"/>
  <c r="HL585" i="79"/>
  <c r="IJ586" i="79"/>
  <c r="HZ588" i="79"/>
  <c r="LU592" i="79"/>
  <c r="KA592" i="79"/>
  <c r="IC592" i="79"/>
  <c r="HI592" i="79"/>
  <c r="GD592" i="79"/>
  <c r="FA592" i="79"/>
  <c r="EE592" i="79"/>
  <c r="AO592" i="79"/>
  <c r="LN592" i="79"/>
  <c r="JX592" i="79"/>
  <c r="IB592" i="79"/>
  <c r="HB592" i="79"/>
  <c r="GC592" i="79"/>
  <c r="EZ592" i="79"/>
  <c r="ED592" i="79"/>
  <c r="AN592" i="79"/>
  <c r="LM592" i="79"/>
  <c r="JN592" i="79"/>
  <c r="IA592" i="79"/>
  <c r="HA592" i="79"/>
  <c r="GB592" i="79"/>
  <c r="ES592" i="79"/>
  <c r="EC592" i="79"/>
  <c r="AG592" i="79"/>
  <c r="MC592" i="79"/>
  <c r="KP592" i="79"/>
  <c r="IK592" i="79"/>
  <c r="HQ592" i="79"/>
  <c r="GK592" i="79"/>
  <c r="FI592" i="79"/>
  <c r="EG592" i="79"/>
  <c r="AW592" i="79"/>
  <c r="IB600" i="79"/>
  <c r="GE600" i="79"/>
  <c r="EK600" i="79"/>
  <c r="AM600" i="79"/>
  <c r="IA600" i="79"/>
  <c r="GD600" i="79"/>
  <c r="EG600" i="79"/>
  <c r="AK600" i="79"/>
  <c r="MJ600" i="79"/>
  <c r="HZ600" i="79"/>
  <c r="GC600" i="79"/>
  <c r="EF600" i="79"/>
  <c r="JL600" i="79"/>
  <c r="GZ600" i="79"/>
  <c r="FG600" i="79"/>
  <c r="BI600" i="79"/>
  <c r="IA608" i="79"/>
  <c r="GB608" i="79"/>
  <c r="EC608" i="79"/>
  <c r="HZ608" i="79"/>
  <c r="GA608" i="79"/>
  <c r="AH608" i="79"/>
  <c r="HY608" i="79"/>
  <c r="FC608" i="79"/>
  <c r="AG608" i="79"/>
  <c r="IC608" i="79"/>
  <c r="GD608" i="79"/>
  <c r="EE608" i="79"/>
  <c r="HK616" i="79"/>
  <c r="FC616" i="79"/>
  <c r="HD616" i="79"/>
  <c r="EG616" i="79"/>
  <c r="MN616" i="79"/>
  <c r="GE616" i="79"/>
  <c r="EF616" i="79"/>
  <c r="IA616" i="79"/>
  <c r="GB616" i="79"/>
  <c r="EC616" i="79"/>
  <c r="HZ616" i="79"/>
  <c r="GA616" i="79"/>
  <c r="AO616" i="79"/>
  <c r="DN603" i="79"/>
  <c r="GY596" i="79"/>
  <c r="LI590" i="79"/>
  <c r="LJ582" i="79"/>
  <c r="GW608" i="79"/>
  <c r="IB613" i="79"/>
  <c r="IW613" i="79"/>
  <c r="JQ613" i="79"/>
  <c r="GD616" i="79"/>
  <c r="HM593" i="79"/>
  <c r="FP593" i="79"/>
  <c r="FD593" i="79"/>
  <c r="LY595" i="79"/>
  <c r="MP595" i="79"/>
  <c r="KJ595" i="79"/>
  <c r="HY595" i="79"/>
  <c r="LG603" i="79"/>
  <c r="IZ603" i="79"/>
  <c r="MB611" i="79"/>
  <c r="KF611" i="79"/>
  <c r="EC599" i="79"/>
  <c r="AM599" i="79"/>
  <c r="EY591" i="79"/>
  <c r="BC591" i="79"/>
  <c r="W591" i="79"/>
  <c r="GE591" i="79"/>
  <c r="ET591" i="79"/>
  <c r="AX591" i="79"/>
  <c r="GB591" i="79"/>
  <c r="EQ591" i="79"/>
  <c r="LL591" i="79"/>
  <c r="FG591" i="79"/>
  <c r="AE591" i="79"/>
  <c r="LR589" i="79"/>
  <c r="HK589" i="79"/>
  <c r="GZ589" i="79"/>
  <c r="LZ589" i="79"/>
  <c r="HQ589" i="79"/>
  <c r="HC589" i="79"/>
  <c r="LG596" i="79"/>
  <c r="AQ596" i="79"/>
  <c r="KZ613" i="79"/>
  <c r="KR613" i="79"/>
  <c r="KJ613" i="79"/>
  <c r="KB613" i="79"/>
  <c r="JT613" i="79"/>
  <c r="JL613" i="79"/>
  <c r="JD613" i="79"/>
  <c r="IV613" i="79"/>
  <c r="IN613" i="79"/>
  <c r="IF613" i="79"/>
  <c r="KY613" i="79"/>
  <c r="KQ613" i="79"/>
  <c r="KI613" i="79"/>
  <c r="KA613" i="79"/>
  <c r="JS613" i="79"/>
  <c r="JK613" i="79"/>
  <c r="JC613" i="79"/>
  <c r="IU613" i="79"/>
  <c r="IM613" i="79"/>
  <c r="IE613" i="79"/>
  <c r="KX613" i="79"/>
  <c r="KP613" i="79"/>
  <c r="KH613" i="79"/>
  <c r="JZ613" i="79"/>
  <c r="JR613" i="79"/>
  <c r="JJ613" i="79"/>
  <c r="JB613" i="79"/>
  <c r="IT613" i="79"/>
  <c r="IL613" i="79"/>
  <c r="ID613" i="79"/>
  <c r="LC613" i="79"/>
  <c r="KU613" i="79"/>
  <c r="KM613" i="79"/>
  <c r="KE613" i="79"/>
  <c r="JW613" i="79"/>
  <c r="JO613" i="79"/>
  <c r="JG613" i="79"/>
  <c r="IY613" i="79"/>
  <c r="IQ613" i="79"/>
  <c r="II613" i="79"/>
  <c r="IA613" i="79"/>
  <c r="LB613" i="79"/>
  <c r="KT613" i="79"/>
  <c r="KL613" i="79"/>
  <c r="KD613" i="79"/>
  <c r="JV613" i="79"/>
  <c r="JN613" i="79"/>
  <c r="JF613" i="79"/>
  <c r="IX613" i="79"/>
  <c r="IP613" i="79"/>
  <c r="IH613" i="79"/>
  <c r="HZ613" i="79"/>
  <c r="LE605" i="79"/>
  <c r="KW605" i="79"/>
  <c r="KO605" i="79"/>
  <c r="KG605" i="79"/>
  <c r="JY605" i="79"/>
  <c r="JQ605" i="79"/>
  <c r="JI605" i="79"/>
  <c r="JA605" i="79"/>
  <c r="IS605" i="79"/>
  <c r="IK605" i="79"/>
  <c r="IC605" i="79"/>
  <c r="LD605" i="79"/>
  <c r="KV605" i="79"/>
  <c r="KN605" i="79"/>
  <c r="KF605" i="79"/>
  <c r="JX605" i="79"/>
  <c r="JP605" i="79"/>
  <c r="JH605" i="79"/>
  <c r="IZ605" i="79"/>
  <c r="IR605" i="79"/>
  <c r="IJ605" i="79"/>
  <c r="IB605" i="79"/>
  <c r="LC605" i="79"/>
  <c r="KU605" i="79"/>
  <c r="KM605" i="79"/>
  <c r="KE605" i="79"/>
  <c r="JW605" i="79"/>
  <c r="JO605" i="79"/>
  <c r="JG605" i="79"/>
  <c r="IY605" i="79"/>
  <c r="IQ605" i="79"/>
  <c r="II605" i="79"/>
  <c r="IA605" i="79"/>
  <c r="KY605" i="79"/>
  <c r="KQ605" i="79"/>
  <c r="KI605" i="79"/>
  <c r="KA605" i="79"/>
  <c r="JS605" i="79"/>
  <c r="JK605" i="79"/>
  <c r="JC605" i="79"/>
  <c r="IU605" i="79"/>
  <c r="IM605" i="79"/>
  <c r="IE605" i="79"/>
  <c r="LE597" i="79"/>
  <c r="KW597" i="79"/>
  <c r="KO597" i="79"/>
  <c r="KG597" i="79"/>
  <c r="JY597" i="79"/>
  <c r="JQ597" i="79"/>
  <c r="JI597" i="79"/>
  <c r="JA597" i="79"/>
  <c r="IS597" i="79"/>
  <c r="IK597" i="79"/>
  <c r="IC597" i="79"/>
  <c r="LD597" i="79"/>
  <c r="KV597" i="79"/>
  <c r="KN597" i="79"/>
  <c r="KF597" i="79"/>
  <c r="JX597" i="79"/>
  <c r="JP597" i="79"/>
  <c r="JH597" i="79"/>
  <c r="IZ597" i="79"/>
  <c r="IR597" i="79"/>
  <c r="IJ597" i="79"/>
  <c r="IB597" i="79"/>
  <c r="LC597" i="79"/>
  <c r="KU597" i="79"/>
  <c r="KM597" i="79"/>
  <c r="KE597" i="79"/>
  <c r="JW597" i="79"/>
  <c r="JO597" i="79"/>
  <c r="JG597" i="79"/>
  <c r="IY597" i="79"/>
  <c r="IQ597" i="79"/>
  <c r="II597" i="79"/>
  <c r="IA597" i="79"/>
  <c r="KY597" i="79"/>
  <c r="KQ597" i="79"/>
  <c r="KI597" i="79"/>
  <c r="KA597" i="79"/>
  <c r="JS597" i="79"/>
  <c r="JK597" i="79"/>
  <c r="JC597" i="79"/>
  <c r="IU597" i="79"/>
  <c r="IM597" i="79"/>
  <c r="IE597" i="79"/>
  <c r="LA589" i="79"/>
  <c r="KS589" i="79"/>
  <c r="KK589" i="79"/>
  <c r="KC589" i="79"/>
  <c r="JU589" i="79"/>
  <c r="JM589" i="79"/>
  <c r="JE589" i="79"/>
  <c r="IW589" i="79"/>
  <c r="IO589" i="79"/>
  <c r="IG589" i="79"/>
  <c r="HY589" i="79"/>
  <c r="LD589" i="79"/>
  <c r="KV589" i="79"/>
  <c r="KN589" i="79"/>
  <c r="KF589" i="79"/>
  <c r="JX589" i="79"/>
  <c r="JP589" i="79"/>
  <c r="JH589" i="79"/>
  <c r="IZ589" i="79"/>
  <c r="IR589" i="79"/>
  <c r="IJ589" i="79"/>
  <c r="IB589" i="79"/>
  <c r="HZ605" i="79"/>
  <c r="IP605" i="79"/>
  <c r="JF605" i="79"/>
  <c r="JV605" i="79"/>
  <c r="KL605" i="79"/>
  <c r="LB605" i="79"/>
  <c r="EV608" i="79"/>
  <c r="IK613" i="79"/>
  <c r="JH613" i="79"/>
  <c r="KC613" i="79"/>
  <c r="KW613" i="79"/>
  <c r="ED616" i="79"/>
  <c r="EL617" i="79"/>
  <c r="HH609" i="79"/>
  <c r="HG601" i="79"/>
  <c r="BW598" i="79"/>
  <c r="IW594" i="79"/>
  <c r="MR586" i="79"/>
  <c r="MC585" i="79"/>
  <c r="MB583" i="79"/>
  <c r="I740" i="79"/>
  <c r="L740" i="79"/>
  <c r="G771" i="79"/>
  <c r="K744" i="79"/>
  <c r="K753" i="79"/>
  <c r="I758" i="79"/>
  <c r="LR593" i="79"/>
  <c r="HW593" i="79"/>
  <c r="HI593" i="79"/>
  <c r="GT593" i="79"/>
  <c r="GE593" i="79"/>
  <c r="FN593" i="79"/>
  <c r="EY593" i="79"/>
  <c r="EN593" i="79"/>
  <c r="EC593" i="79"/>
  <c r="BB593" i="79"/>
  <c r="AQ593" i="79"/>
  <c r="AF593" i="79"/>
  <c r="LP593" i="79"/>
  <c r="HU593" i="79"/>
  <c r="HG593" i="79"/>
  <c r="GR593" i="79"/>
  <c r="GD593" i="79"/>
  <c r="FJ593" i="79"/>
  <c r="EX593" i="79"/>
  <c r="EL593" i="79"/>
  <c r="DD593" i="79"/>
  <c r="BA593" i="79"/>
  <c r="AO593" i="79"/>
  <c r="AE593" i="79"/>
  <c r="LO593" i="79"/>
  <c r="HS593" i="79"/>
  <c r="HE593" i="79"/>
  <c r="GQ593" i="79"/>
  <c r="GC593" i="79"/>
  <c r="FI593" i="79"/>
  <c r="EV593" i="79"/>
  <c r="EK593" i="79"/>
  <c r="BJ593" i="79"/>
  <c r="AY593" i="79"/>
  <c r="AN593" i="79"/>
  <c r="AD593" i="79"/>
  <c r="LM593" i="79"/>
  <c r="HQ593" i="79"/>
  <c r="HB593" i="79"/>
  <c r="GO593" i="79"/>
  <c r="GA593" i="79"/>
  <c r="FG593" i="79"/>
  <c r="ET593" i="79"/>
  <c r="EJ593" i="79"/>
  <c r="BI593" i="79"/>
  <c r="AW593" i="79"/>
  <c r="AM593" i="79"/>
  <c r="AC593" i="79"/>
  <c r="LZ593" i="79"/>
  <c r="LK593" i="79"/>
  <c r="HP593" i="79"/>
  <c r="HA593" i="79"/>
  <c r="GM593" i="79"/>
  <c r="FT593" i="79"/>
  <c r="FF593" i="79"/>
  <c r="ES593" i="79"/>
  <c r="EI593" i="79"/>
  <c r="BG593" i="79"/>
  <c r="AV593" i="79"/>
  <c r="AL593" i="79"/>
  <c r="AA593" i="79"/>
  <c r="LS593" i="79"/>
  <c r="HX593" i="79"/>
  <c r="HJ593" i="79"/>
  <c r="GU593" i="79"/>
  <c r="GG593" i="79"/>
  <c r="FO593" i="79"/>
  <c r="EZ593" i="79"/>
  <c r="EP593" i="79"/>
  <c r="ED593" i="79"/>
  <c r="BC593" i="79"/>
  <c r="AS593" i="79"/>
  <c r="AG593" i="79"/>
  <c r="W593" i="79"/>
  <c r="KV588" i="79"/>
  <c r="KM588" i="79"/>
  <c r="KD588" i="79"/>
  <c r="JU588" i="79"/>
  <c r="JL588" i="79"/>
  <c r="JC588" i="79"/>
  <c r="IT588" i="79"/>
  <c r="IJ588" i="79"/>
  <c r="IA588" i="79"/>
  <c r="LC588" i="79"/>
  <c r="KT588" i="79"/>
  <c r="KK588" i="79"/>
  <c r="KB588" i="79"/>
  <c r="JS588" i="79"/>
  <c r="JJ588" i="79"/>
  <c r="IZ588" i="79"/>
  <c r="IQ588" i="79"/>
  <c r="IH588" i="79"/>
  <c r="HY588" i="79"/>
  <c r="GL583" i="79"/>
  <c r="GT583" i="79"/>
  <c r="HB583" i="79"/>
  <c r="HJ583" i="79"/>
  <c r="HR583" i="79"/>
  <c r="LW583" i="79"/>
  <c r="MJ583" i="79"/>
  <c r="AB585" i="79"/>
  <c r="AJ585" i="79"/>
  <c r="AR585" i="79"/>
  <c r="AZ585" i="79"/>
  <c r="BH585" i="79"/>
  <c r="DC585" i="79"/>
  <c r="EG585" i="79"/>
  <c r="EO585" i="79"/>
  <c r="EW585" i="79"/>
  <c r="FE585" i="79"/>
  <c r="FM585" i="79"/>
  <c r="FU585" i="79"/>
  <c r="GG585" i="79"/>
  <c r="GO585" i="79"/>
  <c r="GW585" i="79"/>
  <c r="HE585" i="79"/>
  <c r="HM585" i="79"/>
  <c r="HU585" i="79"/>
  <c r="LH585" i="79"/>
  <c r="LP585" i="79"/>
  <c r="LX585" i="79"/>
  <c r="A586" i="79"/>
  <c r="IK586" i="79"/>
  <c r="IU586" i="79"/>
  <c r="JF586" i="79"/>
  <c r="JP586" i="79"/>
  <c r="JZ586" i="79"/>
  <c r="KL586" i="79"/>
  <c r="KV586" i="79"/>
  <c r="IB588" i="79"/>
  <c r="IN588" i="79"/>
  <c r="IY588" i="79"/>
  <c r="JM588" i="79"/>
  <c r="JX588" i="79"/>
  <c r="KJ588" i="79"/>
  <c r="KX588" i="79"/>
  <c r="MO588" i="79"/>
  <c r="BE593" i="79"/>
  <c r="FQ593" i="79"/>
  <c r="LI593" i="79"/>
  <c r="MA592" i="79"/>
  <c r="LS592" i="79"/>
  <c r="LK592" i="79"/>
  <c r="HW592" i="79"/>
  <c r="HO592" i="79"/>
  <c r="HG592" i="79"/>
  <c r="GY592" i="79"/>
  <c r="GQ592" i="79"/>
  <c r="GI592" i="79"/>
  <c r="FN592" i="79"/>
  <c r="FF592" i="79"/>
  <c r="EX592" i="79"/>
  <c r="EP592" i="79"/>
  <c r="EH592" i="79"/>
  <c r="BJ592" i="79"/>
  <c r="BB592" i="79"/>
  <c r="AT592" i="79"/>
  <c r="AL592" i="79"/>
  <c r="AD592" i="79"/>
  <c r="LZ592" i="79"/>
  <c r="LR592" i="79"/>
  <c r="LJ592" i="79"/>
  <c r="HV592" i="79"/>
  <c r="HN592" i="79"/>
  <c r="HF592" i="79"/>
  <c r="GX592" i="79"/>
  <c r="GP592" i="79"/>
  <c r="GH592" i="79"/>
  <c r="FU592" i="79"/>
  <c r="FM592" i="79"/>
  <c r="FE592" i="79"/>
  <c r="EW592" i="79"/>
  <c r="EO592" i="79"/>
  <c r="BI592" i="79"/>
  <c r="BA592" i="79"/>
  <c r="AS592" i="79"/>
  <c r="AK592" i="79"/>
  <c r="AC592" i="79"/>
  <c r="LY592" i="79"/>
  <c r="LQ592" i="79"/>
  <c r="LI592" i="79"/>
  <c r="HU592" i="79"/>
  <c r="HM592" i="79"/>
  <c r="HE592" i="79"/>
  <c r="GW592" i="79"/>
  <c r="GO592" i="79"/>
  <c r="GG592" i="79"/>
  <c r="FT592" i="79"/>
  <c r="FL592" i="79"/>
  <c r="FD592" i="79"/>
  <c r="EV592" i="79"/>
  <c r="EN592" i="79"/>
  <c r="BH592" i="79"/>
  <c r="AZ592" i="79"/>
  <c r="AR592" i="79"/>
  <c r="AJ592" i="79"/>
  <c r="AB592" i="79"/>
  <c r="LX592" i="79"/>
  <c r="LP592" i="79"/>
  <c r="LH592" i="79"/>
  <c r="HT592" i="79"/>
  <c r="HL592" i="79"/>
  <c r="HD592" i="79"/>
  <c r="GV592" i="79"/>
  <c r="GN592" i="79"/>
  <c r="GF592" i="79"/>
  <c r="FS592" i="79"/>
  <c r="FK592" i="79"/>
  <c r="FC592" i="79"/>
  <c r="EU592" i="79"/>
  <c r="EM592" i="79"/>
  <c r="BG592" i="79"/>
  <c r="AY592" i="79"/>
  <c r="AQ592" i="79"/>
  <c r="AI592" i="79"/>
  <c r="AA592" i="79"/>
  <c r="LW592" i="79"/>
  <c r="LO592" i="79"/>
  <c r="LG592" i="79"/>
  <c r="HS592" i="79"/>
  <c r="HK592" i="79"/>
  <c r="HC592" i="79"/>
  <c r="GU592" i="79"/>
  <c r="GM592" i="79"/>
  <c r="FR592" i="79"/>
  <c r="FJ592" i="79"/>
  <c r="FB592" i="79"/>
  <c r="ET592" i="79"/>
  <c r="EL592" i="79"/>
  <c r="BF592" i="79"/>
  <c r="AX592" i="79"/>
  <c r="AP592" i="79"/>
  <c r="AH592" i="79"/>
  <c r="Z592" i="79"/>
  <c r="MB592" i="79"/>
  <c r="LT592" i="79"/>
  <c r="LL592" i="79"/>
  <c r="HX592" i="79"/>
  <c r="HP592" i="79"/>
  <c r="HH592" i="79"/>
  <c r="GZ592" i="79"/>
  <c r="GR592" i="79"/>
  <c r="GJ592" i="79"/>
  <c r="FO592" i="79"/>
  <c r="FG592" i="79"/>
  <c r="EY592" i="79"/>
  <c r="EQ592" i="79"/>
  <c r="EI592" i="79"/>
  <c r="CG592" i="79"/>
  <c r="BC592" i="79"/>
  <c r="AU592" i="79"/>
  <c r="AM592" i="79"/>
  <c r="AE592" i="79"/>
  <c r="W592" i="79"/>
  <c r="MD600" i="79"/>
  <c r="LV600" i="79"/>
  <c r="LN600" i="79"/>
  <c r="LF600" i="79"/>
  <c r="HQ600" i="79"/>
  <c r="HI600" i="79"/>
  <c r="HA600" i="79"/>
  <c r="GS600" i="79"/>
  <c r="GK600" i="79"/>
  <c r="FP600" i="79"/>
  <c r="FH600" i="79"/>
  <c r="EZ600" i="79"/>
  <c r="ER600" i="79"/>
  <c r="EJ600" i="79"/>
  <c r="BJ600" i="79"/>
  <c r="BB600" i="79"/>
  <c r="AT600" i="79"/>
  <c r="AL600" i="79"/>
  <c r="AD600" i="79"/>
  <c r="MC600" i="79"/>
  <c r="LU600" i="79"/>
  <c r="LM600" i="79"/>
  <c r="MB600" i="79"/>
  <c r="LT600" i="79"/>
  <c r="LL600" i="79"/>
  <c r="HW600" i="79"/>
  <c r="HO600" i="79"/>
  <c r="HG600" i="79"/>
  <c r="GY600" i="79"/>
  <c r="GQ600" i="79"/>
  <c r="GI600" i="79"/>
  <c r="FN600" i="79"/>
  <c r="FF600" i="79"/>
  <c r="EX600" i="79"/>
  <c r="EP600" i="79"/>
  <c r="EH600" i="79"/>
  <c r="BH600" i="79"/>
  <c r="AZ600" i="79"/>
  <c r="AR600" i="79"/>
  <c r="AJ600" i="79"/>
  <c r="AB600" i="79"/>
  <c r="MA600" i="79"/>
  <c r="LS600" i="79"/>
  <c r="LK600" i="79"/>
  <c r="HV600" i="79"/>
  <c r="HN600" i="79"/>
  <c r="HF600" i="79"/>
  <c r="GX600" i="79"/>
  <c r="GP600" i="79"/>
  <c r="GH600" i="79"/>
  <c r="FU600" i="79"/>
  <c r="FM600" i="79"/>
  <c r="FE600" i="79"/>
  <c r="EW600" i="79"/>
  <c r="EO600" i="79"/>
  <c r="BG600" i="79"/>
  <c r="AY600" i="79"/>
  <c r="AQ600" i="79"/>
  <c r="AI600" i="79"/>
  <c r="AA600" i="79"/>
  <c r="LZ600" i="79"/>
  <c r="LR600" i="79"/>
  <c r="LJ600" i="79"/>
  <c r="HU600" i="79"/>
  <c r="HM600" i="79"/>
  <c r="HE600" i="79"/>
  <c r="GW600" i="79"/>
  <c r="GO600" i="79"/>
  <c r="GG600" i="79"/>
  <c r="FT600" i="79"/>
  <c r="FL600" i="79"/>
  <c r="FD600" i="79"/>
  <c r="EV600" i="79"/>
  <c r="EN600" i="79"/>
  <c r="BF600" i="79"/>
  <c r="AX600" i="79"/>
  <c r="AP600" i="79"/>
  <c r="AH600" i="79"/>
  <c r="Z600" i="79"/>
  <c r="LY600" i="79"/>
  <c r="LQ600" i="79"/>
  <c r="LI600" i="79"/>
  <c r="HT600" i="79"/>
  <c r="HL600" i="79"/>
  <c r="HD600" i="79"/>
  <c r="GV600" i="79"/>
  <c r="GN600" i="79"/>
  <c r="GF600" i="79"/>
  <c r="FS600" i="79"/>
  <c r="FK600" i="79"/>
  <c r="FC600" i="79"/>
  <c r="EU600" i="79"/>
  <c r="EM600" i="79"/>
  <c r="BE600" i="79"/>
  <c r="AW600" i="79"/>
  <c r="AO600" i="79"/>
  <c r="AG600" i="79"/>
  <c r="Y600" i="79"/>
  <c r="LP600" i="79"/>
  <c r="HK600" i="79"/>
  <c r="GR600" i="79"/>
  <c r="FA600" i="79"/>
  <c r="BA600" i="79"/>
  <c r="AE600" i="79"/>
  <c r="LO600" i="79"/>
  <c r="HJ600" i="79"/>
  <c r="GM600" i="79"/>
  <c r="FR600" i="79"/>
  <c r="EY600" i="79"/>
  <c r="AV600" i="79"/>
  <c r="AC600" i="79"/>
  <c r="LH600" i="79"/>
  <c r="HH600" i="79"/>
  <c r="GL600" i="79"/>
  <c r="FQ600" i="79"/>
  <c r="ET600" i="79"/>
  <c r="AU600" i="79"/>
  <c r="X600" i="79"/>
  <c r="LG600" i="79"/>
  <c r="HC600" i="79"/>
  <c r="GJ600" i="79"/>
  <c r="FO600" i="79"/>
  <c r="ES600" i="79"/>
  <c r="AS600" i="79"/>
  <c r="W600" i="79"/>
  <c r="HX600" i="79"/>
  <c r="HB600" i="79"/>
  <c r="FJ600" i="79"/>
  <c r="EQ600" i="79"/>
  <c r="AN600" i="79"/>
  <c r="LW600" i="79"/>
  <c r="HP600" i="79"/>
  <c r="GT600" i="79"/>
  <c r="FB600" i="79"/>
  <c r="EI600" i="79"/>
  <c r="BC600" i="79"/>
  <c r="AF600" i="79"/>
  <c r="MA608" i="79"/>
  <c r="LS608" i="79"/>
  <c r="LK608" i="79"/>
  <c r="HS608" i="79"/>
  <c r="HK608" i="79"/>
  <c r="HC608" i="79"/>
  <c r="GU608" i="79"/>
  <c r="GM608" i="79"/>
  <c r="FR608" i="79"/>
  <c r="FJ608" i="79"/>
  <c r="FB608" i="79"/>
  <c r="ET608" i="79"/>
  <c r="EL608" i="79"/>
  <c r="BD608" i="79"/>
  <c r="AV608" i="79"/>
  <c r="AN608" i="79"/>
  <c r="AF608" i="79"/>
  <c r="X608" i="79"/>
  <c r="LZ608" i="79"/>
  <c r="LR608" i="79"/>
  <c r="LJ608" i="79"/>
  <c r="HR608" i="79"/>
  <c r="HJ608" i="79"/>
  <c r="HB608" i="79"/>
  <c r="GT608" i="79"/>
  <c r="GL608" i="79"/>
  <c r="FQ608" i="79"/>
  <c r="FI608" i="79"/>
  <c r="FA608" i="79"/>
  <c r="ES608" i="79"/>
  <c r="EK608" i="79"/>
  <c r="BC608" i="79"/>
  <c r="AU608" i="79"/>
  <c r="AM608" i="79"/>
  <c r="AE608" i="79"/>
  <c r="W608" i="79"/>
  <c r="LY608" i="79"/>
  <c r="LQ608" i="79"/>
  <c r="LI608" i="79"/>
  <c r="HQ608" i="79"/>
  <c r="HI608" i="79"/>
  <c r="HA608" i="79"/>
  <c r="GS608" i="79"/>
  <c r="GK608" i="79"/>
  <c r="FP608" i="79"/>
  <c r="FH608" i="79"/>
  <c r="EZ608" i="79"/>
  <c r="ER608" i="79"/>
  <c r="EJ608" i="79"/>
  <c r="BJ608" i="79"/>
  <c r="BB608" i="79"/>
  <c r="AT608" i="79"/>
  <c r="AL608" i="79"/>
  <c r="AD608" i="79"/>
  <c r="LX608" i="79"/>
  <c r="LP608" i="79"/>
  <c r="LH608" i="79"/>
  <c r="HX608" i="79"/>
  <c r="HP608" i="79"/>
  <c r="HH608" i="79"/>
  <c r="GZ608" i="79"/>
  <c r="GR608" i="79"/>
  <c r="GJ608" i="79"/>
  <c r="FO608" i="79"/>
  <c r="FG608" i="79"/>
  <c r="EY608" i="79"/>
  <c r="EQ608" i="79"/>
  <c r="EI608" i="79"/>
  <c r="BI608" i="79"/>
  <c r="BA608" i="79"/>
  <c r="AS608" i="79"/>
  <c r="AK608" i="79"/>
  <c r="AC608" i="79"/>
  <c r="LW608" i="79"/>
  <c r="LO608" i="79"/>
  <c r="LG608" i="79"/>
  <c r="HW608" i="79"/>
  <c r="HO608" i="79"/>
  <c r="HG608" i="79"/>
  <c r="GY608" i="79"/>
  <c r="GQ608" i="79"/>
  <c r="GI608" i="79"/>
  <c r="FN608" i="79"/>
  <c r="FF608" i="79"/>
  <c r="EX608" i="79"/>
  <c r="EP608" i="79"/>
  <c r="EH608" i="79"/>
  <c r="BH608" i="79"/>
  <c r="AZ608" i="79"/>
  <c r="AR608" i="79"/>
  <c r="AJ608" i="79"/>
  <c r="AB608" i="79"/>
  <c r="MD608" i="79"/>
  <c r="LV608" i="79"/>
  <c r="LN608" i="79"/>
  <c r="LF608" i="79"/>
  <c r="HV608" i="79"/>
  <c r="HN608" i="79"/>
  <c r="HF608" i="79"/>
  <c r="GX608" i="79"/>
  <c r="GP608" i="79"/>
  <c r="GH608" i="79"/>
  <c r="FU608" i="79"/>
  <c r="FM608" i="79"/>
  <c r="FE608" i="79"/>
  <c r="EW608" i="79"/>
  <c r="EO608" i="79"/>
  <c r="BG608" i="79"/>
  <c r="AY608" i="79"/>
  <c r="AQ608" i="79"/>
  <c r="AI608" i="79"/>
  <c r="AA608" i="79"/>
  <c r="LM608" i="79"/>
  <c r="HT608" i="79"/>
  <c r="GN608" i="79"/>
  <c r="FT608" i="79"/>
  <c r="EN608" i="79"/>
  <c r="BE608" i="79"/>
  <c r="Y608" i="79"/>
  <c r="LL608" i="79"/>
  <c r="HM608" i="79"/>
  <c r="GG608" i="79"/>
  <c r="FS608" i="79"/>
  <c r="EM608" i="79"/>
  <c r="AX608" i="79"/>
  <c r="HL608" i="79"/>
  <c r="GF608" i="79"/>
  <c r="FL608" i="79"/>
  <c r="AW608" i="79"/>
  <c r="HE608" i="79"/>
  <c r="FK608" i="79"/>
  <c r="AP608" i="79"/>
  <c r="MC608" i="79"/>
  <c r="HD608" i="79"/>
  <c r="FD608" i="79"/>
  <c r="AO608" i="79"/>
  <c r="LT608" i="79"/>
  <c r="HU608" i="79"/>
  <c r="GO608" i="79"/>
  <c r="EU608" i="79"/>
  <c r="BF608" i="79"/>
  <c r="Z608" i="79"/>
  <c r="LZ616" i="79"/>
  <c r="LR616" i="79"/>
  <c r="LJ616" i="79"/>
  <c r="HR616" i="79"/>
  <c r="HJ616" i="79"/>
  <c r="HB616" i="79"/>
  <c r="GT616" i="79"/>
  <c r="GL616" i="79"/>
  <c r="FQ616" i="79"/>
  <c r="FI616" i="79"/>
  <c r="FA616" i="79"/>
  <c r="ES616" i="79"/>
  <c r="EK616" i="79"/>
  <c r="BC616" i="79"/>
  <c r="AU616" i="79"/>
  <c r="AM616" i="79"/>
  <c r="AE616" i="79"/>
  <c r="W616" i="79"/>
  <c r="LY616" i="79"/>
  <c r="LQ616" i="79"/>
  <c r="LI616" i="79"/>
  <c r="HQ616" i="79"/>
  <c r="HI616" i="79"/>
  <c r="HA616" i="79"/>
  <c r="GS616" i="79"/>
  <c r="GK616" i="79"/>
  <c r="FP616" i="79"/>
  <c r="FH616" i="79"/>
  <c r="EZ616" i="79"/>
  <c r="ER616" i="79"/>
  <c r="EJ616" i="79"/>
  <c r="BJ616" i="79"/>
  <c r="BB616" i="79"/>
  <c r="AT616" i="79"/>
  <c r="AL616" i="79"/>
  <c r="AD616" i="79"/>
  <c r="LX616" i="79"/>
  <c r="LP616" i="79"/>
  <c r="LH616" i="79"/>
  <c r="HX616" i="79"/>
  <c r="HP616" i="79"/>
  <c r="HH616" i="79"/>
  <c r="GZ616" i="79"/>
  <c r="GR616" i="79"/>
  <c r="GJ616" i="79"/>
  <c r="FO616" i="79"/>
  <c r="FG616" i="79"/>
  <c r="EY616" i="79"/>
  <c r="EQ616" i="79"/>
  <c r="EI616" i="79"/>
  <c r="BI616" i="79"/>
  <c r="BA616" i="79"/>
  <c r="AS616" i="79"/>
  <c r="AK616" i="79"/>
  <c r="AC616" i="79"/>
  <c r="LW616" i="79"/>
  <c r="LO616" i="79"/>
  <c r="LG616" i="79"/>
  <c r="HW616" i="79"/>
  <c r="HO616" i="79"/>
  <c r="HG616" i="79"/>
  <c r="GY616" i="79"/>
  <c r="GQ616" i="79"/>
  <c r="GI616" i="79"/>
  <c r="FN616" i="79"/>
  <c r="FF616" i="79"/>
  <c r="EX616" i="79"/>
  <c r="EP616" i="79"/>
  <c r="EH616" i="79"/>
  <c r="BH616" i="79"/>
  <c r="AZ616" i="79"/>
  <c r="AR616" i="79"/>
  <c r="AJ616" i="79"/>
  <c r="AB616" i="79"/>
  <c r="MD616" i="79"/>
  <c r="LV616" i="79"/>
  <c r="LN616" i="79"/>
  <c r="LF616" i="79"/>
  <c r="HV616" i="79"/>
  <c r="HN616" i="79"/>
  <c r="HF616" i="79"/>
  <c r="GX616" i="79"/>
  <c r="GP616" i="79"/>
  <c r="GH616" i="79"/>
  <c r="FU616" i="79"/>
  <c r="FM616" i="79"/>
  <c r="FE616" i="79"/>
  <c r="EW616" i="79"/>
  <c r="EO616" i="79"/>
  <c r="BG616" i="79"/>
  <c r="AY616" i="79"/>
  <c r="AQ616" i="79"/>
  <c r="AI616" i="79"/>
  <c r="AA616" i="79"/>
  <c r="MC616" i="79"/>
  <c r="LU616" i="79"/>
  <c r="LM616" i="79"/>
  <c r="HU616" i="79"/>
  <c r="HM616" i="79"/>
  <c r="HE616" i="79"/>
  <c r="GW616" i="79"/>
  <c r="GO616" i="79"/>
  <c r="GG616" i="79"/>
  <c r="FT616" i="79"/>
  <c r="FL616" i="79"/>
  <c r="FD616" i="79"/>
  <c r="EV616" i="79"/>
  <c r="EN616" i="79"/>
  <c r="BF616" i="79"/>
  <c r="AX616" i="79"/>
  <c r="AP616" i="79"/>
  <c r="AH616" i="79"/>
  <c r="Z616" i="79"/>
  <c r="MA616" i="79"/>
  <c r="GV616" i="79"/>
  <c r="EU616" i="79"/>
  <c r="AF616" i="79"/>
  <c r="LT616" i="79"/>
  <c r="GU616" i="79"/>
  <c r="ET616" i="79"/>
  <c r="BE616" i="79"/>
  <c r="Y616" i="79"/>
  <c r="LS616" i="79"/>
  <c r="HT616" i="79"/>
  <c r="GN616" i="79"/>
  <c r="FS616" i="79"/>
  <c r="EM616" i="79"/>
  <c r="BD616" i="79"/>
  <c r="X616" i="79"/>
  <c r="LL616" i="79"/>
  <c r="HS616" i="79"/>
  <c r="GM616" i="79"/>
  <c r="FR616" i="79"/>
  <c r="EL616" i="79"/>
  <c r="AW616" i="79"/>
  <c r="LK616" i="79"/>
  <c r="HL616" i="79"/>
  <c r="GF616" i="79"/>
  <c r="FK616" i="79"/>
  <c r="AV616" i="79"/>
  <c r="MB616" i="79"/>
  <c r="HC616" i="79"/>
  <c r="FB616" i="79"/>
  <c r="AG616" i="79"/>
  <c r="FZ586" i="79"/>
  <c r="MM586" i="79"/>
  <c r="MD586" i="79"/>
  <c r="LU586" i="79"/>
  <c r="LL586" i="79"/>
  <c r="LC586" i="79"/>
  <c r="KT586" i="79"/>
  <c r="KJ586" i="79"/>
  <c r="KA586" i="79"/>
  <c r="JR586" i="79"/>
  <c r="JI586" i="79"/>
  <c r="IZ586" i="79"/>
  <c r="IQ586" i="79"/>
  <c r="IH586" i="79"/>
  <c r="HX586" i="79"/>
  <c r="HO586" i="79"/>
  <c r="HF586" i="79"/>
  <c r="GW586" i="79"/>
  <c r="MG594" i="79"/>
  <c r="JH594" i="79"/>
  <c r="GF594" i="79"/>
  <c r="FJ594" i="79"/>
  <c r="BE594" i="79"/>
  <c r="LL594" i="79"/>
  <c r="IO594" i="79"/>
  <c r="GD594" i="79"/>
  <c r="EH594" i="79"/>
  <c r="AE594" i="79"/>
  <c r="KR594" i="79"/>
  <c r="HY594" i="79"/>
  <c r="GB594" i="79"/>
  <c r="EF594" i="79"/>
  <c r="KE594" i="79"/>
  <c r="HJ594" i="79"/>
  <c r="GA594" i="79"/>
  <c r="EE594" i="79"/>
  <c r="GT594" i="79"/>
  <c r="ED594" i="79"/>
  <c r="MN594" i="79"/>
  <c r="GL594" i="79"/>
  <c r="EC594" i="79"/>
  <c r="LT594" i="79"/>
  <c r="GE594" i="79"/>
  <c r="AQ594" i="79"/>
  <c r="KZ594" i="79"/>
  <c r="GC594" i="79"/>
  <c r="X594" i="79"/>
  <c r="JX594" i="79"/>
  <c r="FY594" i="79"/>
  <c r="IF594" i="79"/>
  <c r="EG594" i="79"/>
  <c r="GA602" i="79"/>
  <c r="MD602" i="79"/>
  <c r="EK602" i="79"/>
  <c r="LE602" i="79"/>
  <c r="EG602" i="79"/>
  <c r="IV602" i="79"/>
  <c r="EF602" i="79"/>
  <c r="GE602" i="79"/>
  <c r="EE602" i="79"/>
  <c r="GD602" i="79"/>
  <c r="ED602" i="79"/>
  <c r="GC602" i="79"/>
  <c r="GB602" i="79"/>
  <c r="EC602" i="79"/>
  <c r="Y602" i="79"/>
  <c r="GB610" i="79"/>
  <c r="GA610" i="79"/>
  <c r="EG610" i="79"/>
  <c r="EF610" i="79"/>
  <c r="MH610" i="79"/>
  <c r="EE610" i="79"/>
  <c r="GE610" i="79"/>
  <c r="ED610" i="79"/>
  <c r="EC610" i="79"/>
  <c r="GC610" i="79"/>
  <c r="EG618" i="79"/>
  <c r="EF618" i="79"/>
  <c r="EE618" i="79"/>
  <c r="GE618" i="79"/>
  <c r="ED618" i="79"/>
  <c r="GD618" i="79"/>
  <c r="EC618" i="79"/>
  <c r="GC618" i="79"/>
  <c r="GB618" i="79"/>
  <c r="GA618" i="79"/>
  <c r="MN592" i="79"/>
  <c r="MM592" i="79"/>
  <c r="ML592" i="79"/>
  <c r="MK592" i="79"/>
  <c r="MJ592" i="79"/>
  <c r="MN600" i="79"/>
  <c r="MM600" i="79"/>
  <c r="ML600" i="79"/>
  <c r="MK600" i="79"/>
  <c r="MN608" i="79"/>
  <c r="MM608" i="79"/>
  <c r="ML608" i="79"/>
  <c r="MK608" i="79"/>
  <c r="MJ608" i="79"/>
  <c r="MM616" i="79"/>
  <c r="ML616" i="79"/>
  <c r="MK616" i="79"/>
  <c r="MJ616" i="79"/>
  <c r="ML599" i="79"/>
  <c r="MB599" i="79"/>
  <c r="GX599" i="79"/>
  <c r="HI599" i="79"/>
  <c r="MJ599" i="79"/>
  <c r="GM583" i="79"/>
  <c r="GU583" i="79"/>
  <c r="HC583" i="79"/>
  <c r="HK583" i="79"/>
  <c r="HS583" i="79"/>
  <c r="LP583" i="79"/>
  <c r="LX583" i="79"/>
  <c r="MK583" i="79"/>
  <c r="AC585" i="79"/>
  <c r="AK585" i="79"/>
  <c r="AS585" i="79"/>
  <c r="BA585" i="79"/>
  <c r="BI585" i="79"/>
  <c r="DK585" i="79"/>
  <c r="EH585" i="79"/>
  <c r="EP585" i="79"/>
  <c r="EX585" i="79"/>
  <c r="FF585" i="79"/>
  <c r="FN585" i="79"/>
  <c r="FW585" i="79"/>
  <c r="GH585" i="79"/>
  <c r="GP585" i="79"/>
  <c r="GX585" i="79"/>
  <c r="HF585" i="79"/>
  <c r="HN585" i="79"/>
  <c r="HV585" i="79"/>
  <c r="LI585" i="79"/>
  <c r="LQ585" i="79"/>
  <c r="LY585" i="79"/>
  <c r="IL586" i="79"/>
  <c r="IV586" i="79"/>
  <c r="JG586" i="79"/>
  <c r="JQ586" i="79"/>
  <c r="KB586" i="79"/>
  <c r="KM586" i="79"/>
  <c r="KW586" i="79"/>
  <c r="ID588" i="79"/>
  <c r="IO588" i="79"/>
  <c r="JB588" i="79"/>
  <c r="JN588" i="79"/>
  <c r="JZ588" i="79"/>
  <c r="KL588" i="79"/>
  <c r="KY588" i="79"/>
  <c r="MP588" i="79"/>
  <c r="X593" i="79"/>
  <c r="EF593" i="79"/>
  <c r="GJ593" i="79"/>
  <c r="LW593" i="79"/>
  <c r="GF601" i="79"/>
  <c r="KW596" i="79"/>
  <c r="JG596" i="79"/>
  <c r="IH596" i="79"/>
  <c r="KG596" i="79"/>
  <c r="GF583" i="79"/>
  <c r="GN583" i="79"/>
  <c r="GV583" i="79"/>
  <c r="HD583" i="79"/>
  <c r="HL583" i="79"/>
  <c r="HT583" i="79"/>
  <c r="LQ583" i="79"/>
  <c r="LY583" i="79"/>
  <c r="ML583" i="79"/>
  <c r="AD585" i="79"/>
  <c r="AL585" i="79"/>
  <c r="AT585" i="79"/>
  <c r="BB585" i="79"/>
  <c r="BJ585" i="79"/>
  <c r="DS585" i="79"/>
  <c r="EI585" i="79"/>
  <c r="EQ585" i="79"/>
  <c r="EY585" i="79"/>
  <c r="FG585" i="79"/>
  <c r="FO585" i="79"/>
  <c r="GA585" i="79"/>
  <c r="GI585" i="79"/>
  <c r="GQ585" i="79"/>
  <c r="GY585" i="79"/>
  <c r="HG585" i="79"/>
  <c r="HO585" i="79"/>
  <c r="HW585" i="79"/>
  <c r="LJ585" i="79"/>
  <c r="LR585" i="79"/>
  <c r="LZ585" i="79"/>
  <c r="IM586" i="79"/>
  <c r="IX586" i="79"/>
  <c r="JH586" i="79"/>
  <c r="JS586" i="79"/>
  <c r="KD586" i="79"/>
  <c r="KN586" i="79"/>
  <c r="KX586" i="79"/>
  <c r="IE588" i="79"/>
  <c r="IP588" i="79"/>
  <c r="JD588" i="79"/>
  <c r="JO588" i="79"/>
  <c r="KA588" i="79"/>
  <c r="KN588" i="79"/>
  <c r="KZ588" i="79"/>
  <c r="MQ588" i="79"/>
  <c r="Y593" i="79"/>
  <c r="EH593" i="79"/>
  <c r="GK593" i="79"/>
  <c r="LY593" i="79"/>
  <c r="EP601" i="79"/>
  <c r="EG601" i="79"/>
  <c r="FR601" i="79"/>
  <c r="MM591" i="79"/>
  <c r="HU591" i="79"/>
  <c r="ML591" i="79"/>
  <c r="HM591" i="79"/>
  <c r="MK591" i="79"/>
  <c r="GX591" i="79"/>
  <c r="MD591" i="79"/>
  <c r="GP591" i="79"/>
  <c r="LV591" i="79"/>
  <c r="GG583" i="79"/>
  <c r="GO583" i="79"/>
  <c r="GW583" i="79"/>
  <c r="HE583" i="79"/>
  <c r="HM583" i="79"/>
  <c r="HU583" i="79"/>
  <c r="LR583" i="79"/>
  <c r="LZ583" i="79"/>
  <c r="MM583" i="79"/>
  <c r="W585" i="79"/>
  <c r="AE585" i="79"/>
  <c r="AM585" i="79"/>
  <c r="AU585" i="79"/>
  <c r="BC585" i="79"/>
  <c r="BO585" i="79"/>
  <c r="EA585" i="79"/>
  <c r="EJ585" i="79"/>
  <c r="ER585" i="79"/>
  <c r="EZ585" i="79"/>
  <c r="FH585" i="79"/>
  <c r="FP585" i="79"/>
  <c r="GB585" i="79"/>
  <c r="GJ585" i="79"/>
  <c r="GR585" i="79"/>
  <c r="GZ585" i="79"/>
  <c r="HH585" i="79"/>
  <c r="HP585" i="79"/>
  <c r="HX585" i="79"/>
  <c r="LK585" i="79"/>
  <c r="LS585" i="79"/>
  <c r="MA585" i="79"/>
  <c r="ID586" i="79"/>
  <c r="IN586" i="79"/>
  <c r="IY586" i="79"/>
  <c r="JJ586" i="79"/>
  <c r="JT586" i="79"/>
  <c r="KE586" i="79"/>
  <c r="KO586" i="79"/>
  <c r="KY586" i="79"/>
  <c r="ME586" i="79"/>
  <c r="MP586" i="79"/>
  <c r="IF588" i="79"/>
  <c r="IR588" i="79"/>
  <c r="JE588" i="79"/>
  <c r="JP588" i="79"/>
  <c r="KC588" i="79"/>
  <c r="KP588" i="79"/>
  <c r="LA588" i="79"/>
  <c r="MR588" i="79"/>
  <c r="AI593" i="79"/>
  <c r="EQ593" i="79"/>
  <c r="GY593" i="79"/>
  <c r="GP583" i="79"/>
  <c r="MN583" i="79"/>
  <c r="X585" i="79"/>
  <c r="AF585" i="79"/>
  <c r="AN585" i="79"/>
  <c r="AV585" i="79"/>
  <c r="BD585" i="79"/>
  <c r="BW585" i="79"/>
  <c r="EC585" i="79"/>
  <c r="EK585" i="79"/>
  <c r="ES585" i="79"/>
  <c r="FA585" i="79"/>
  <c r="FI585" i="79"/>
  <c r="FQ585" i="79"/>
  <c r="GC585" i="79"/>
  <c r="GK585" i="79"/>
  <c r="GS585" i="79"/>
  <c r="HA585" i="79"/>
  <c r="HI585" i="79"/>
  <c r="HQ585" i="79"/>
  <c r="LL585" i="79"/>
  <c r="LT585" i="79"/>
  <c r="MB585" i="79"/>
  <c r="IE586" i="79"/>
  <c r="IP586" i="79"/>
  <c r="JA586" i="79"/>
  <c r="JK586" i="79"/>
  <c r="JV586" i="79"/>
  <c r="KF586" i="79"/>
  <c r="KP586" i="79"/>
  <c r="KZ586" i="79"/>
  <c r="MF586" i="79"/>
  <c r="MQ586" i="79"/>
  <c r="IG588" i="79"/>
  <c r="IU588" i="79"/>
  <c r="JF588" i="79"/>
  <c r="JR588" i="79"/>
  <c r="KE588" i="79"/>
  <c r="KQ588" i="79"/>
  <c r="LB588" i="79"/>
  <c r="AK593" i="79"/>
  <c r="ER593" i="79"/>
  <c r="GZ593" i="79"/>
  <c r="GH583" i="79"/>
  <c r="GX583" i="79"/>
  <c r="HF583" i="79"/>
  <c r="HN583" i="79"/>
  <c r="HV583" i="79"/>
  <c r="LS583" i="79"/>
  <c r="MA583" i="79"/>
  <c r="GI583" i="79"/>
  <c r="GQ583" i="79"/>
  <c r="GY583" i="79"/>
  <c r="HG583" i="79"/>
  <c r="HO583" i="79"/>
  <c r="HW583" i="79"/>
  <c r="LT583" i="79"/>
  <c r="Y585" i="79"/>
  <c r="AG585" i="79"/>
  <c r="AO585" i="79"/>
  <c r="AW585" i="79"/>
  <c r="BE585" i="79"/>
  <c r="CE585" i="79"/>
  <c r="ED585" i="79"/>
  <c r="EL585" i="79"/>
  <c r="ET585" i="79"/>
  <c r="FB585" i="79"/>
  <c r="FJ585" i="79"/>
  <c r="FR585" i="79"/>
  <c r="GD585" i="79"/>
  <c r="GL585" i="79"/>
  <c r="GT585" i="79"/>
  <c r="HB585" i="79"/>
  <c r="HJ585" i="79"/>
  <c r="HR585" i="79"/>
  <c r="LM585" i="79"/>
  <c r="LU585" i="79"/>
  <c r="IF586" i="79"/>
  <c r="IR586" i="79"/>
  <c r="JB586" i="79"/>
  <c r="JL586" i="79"/>
  <c r="JW586" i="79"/>
  <c r="KG586" i="79"/>
  <c r="KQ586" i="79"/>
  <c r="LB586" i="79"/>
  <c r="MH586" i="79"/>
  <c r="II588" i="79"/>
  <c r="IV588" i="79"/>
  <c r="JG588" i="79"/>
  <c r="JT588" i="79"/>
  <c r="KF588" i="79"/>
  <c r="KR588" i="79"/>
  <c r="LD588" i="79"/>
  <c r="AT593" i="79"/>
  <c r="FB593" i="79"/>
  <c r="HK593" i="79"/>
  <c r="AD599" i="79"/>
  <c r="LN599" i="79"/>
  <c r="FL599" i="79"/>
  <c r="EN599" i="79"/>
  <c r="FV585" i="79"/>
  <c r="LX593" i="79"/>
  <c r="LU593" i="79"/>
  <c r="LJ593" i="79"/>
  <c r="HR593" i="79"/>
  <c r="HH593" i="79"/>
  <c r="GW593" i="79"/>
  <c r="GL593" i="79"/>
  <c r="GB593" i="79"/>
  <c r="FL593" i="79"/>
  <c r="FA593" i="79"/>
  <c r="MC593" i="79"/>
  <c r="MA593" i="79"/>
  <c r="LQ593" i="79"/>
  <c r="LG593" i="79"/>
  <c r="HO593" i="79"/>
  <c r="HC593" i="79"/>
  <c r="GS593" i="79"/>
  <c r="GI593" i="79"/>
  <c r="FR593" i="79"/>
  <c r="FH593" i="79"/>
  <c r="MD601" i="79"/>
  <c r="HF601" i="79"/>
  <c r="FQ601" i="79"/>
  <c r="EF601" i="79"/>
  <c r="AG601" i="79"/>
  <c r="LW601" i="79"/>
  <c r="GY601" i="79"/>
  <c r="FJ601" i="79"/>
  <c r="BG601" i="79"/>
  <c r="AA601" i="79"/>
  <c r="LV601" i="79"/>
  <c r="GX601" i="79"/>
  <c r="FI601" i="79"/>
  <c r="BF601" i="79"/>
  <c r="Z601" i="79"/>
  <c r="LM601" i="79"/>
  <c r="GO601" i="79"/>
  <c r="EZ601" i="79"/>
  <c r="AX601" i="79"/>
  <c r="LL601" i="79"/>
  <c r="GN601" i="79"/>
  <c r="EX601" i="79"/>
  <c r="AW601" i="79"/>
  <c r="HR601" i="79"/>
  <c r="GG601" i="79"/>
  <c r="ER601" i="79"/>
  <c r="AQ601" i="79"/>
  <c r="HG609" i="79"/>
  <c r="FR609" i="79"/>
  <c r="FQ609" i="79"/>
  <c r="EX609" i="79"/>
  <c r="ER609" i="79"/>
  <c r="AV609" i="79"/>
  <c r="EX617" i="79"/>
  <c r="MN604" i="79"/>
  <c r="MI588" i="79"/>
  <c r="IN585" i="79"/>
  <c r="O682" i="79"/>
  <c r="F780" i="79"/>
  <c r="K797" i="79"/>
  <c r="F789" i="79"/>
  <c r="HQ601" i="79"/>
  <c r="AH601" i="79"/>
  <c r="W609" i="79"/>
  <c r="AP601" i="79"/>
  <c r="AU609" i="79"/>
  <c r="HA594" i="79"/>
  <c r="AR602" i="79"/>
  <c r="E619" i="79"/>
  <c r="GQ607" i="79"/>
  <c r="IW600" i="79"/>
  <c r="J744" i="79"/>
  <c r="K778" i="79"/>
  <c r="LB617" i="79"/>
  <c r="KT617" i="79"/>
  <c r="KL617" i="79"/>
  <c r="KD617" i="79"/>
  <c r="JV617" i="79"/>
  <c r="JN617" i="79"/>
  <c r="JF617" i="79"/>
  <c r="IX617" i="79"/>
  <c r="IP617" i="79"/>
  <c r="IH617" i="79"/>
  <c r="HZ617" i="79"/>
  <c r="LA617" i="79"/>
  <c r="KS617" i="79"/>
  <c r="KK617" i="79"/>
  <c r="KC617" i="79"/>
  <c r="JU617" i="79"/>
  <c r="JM617" i="79"/>
  <c r="JE617" i="79"/>
  <c r="IW617" i="79"/>
  <c r="IO617" i="79"/>
  <c r="IG617" i="79"/>
  <c r="HY617" i="79"/>
  <c r="KZ617" i="79"/>
  <c r="KR617" i="79"/>
  <c r="KJ617" i="79"/>
  <c r="KB617" i="79"/>
  <c r="JT617" i="79"/>
  <c r="JL617" i="79"/>
  <c r="JD617" i="79"/>
  <c r="IV617" i="79"/>
  <c r="IN617" i="79"/>
  <c r="IF617" i="79"/>
  <c r="LE617" i="79"/>
  <c r="KW617" i="79"/>
  <c r="KO617" i="79"/>
  <c r="KG617" i="79"/>
  <c r="JY617" i="79"/>
  <c r="JQ617" i="79"/>
  <c r="JI617" i="79"/>
  <c r="JA617" i="79"/>
  <c r="IS617" i="79"/>
  <c r="IK617" i="79"/>
  <c r="IC617" i="79"/>
  <c r="LC617" i="79"/>
  <c r="KM617" i="79"/>
  <c r="JW617" i="79"/>
  <c r="JG617" i="79"/>
  <c r="IQ617" i="79"/>
  <c r="IA617" i="79"/>
  <c r="KY617" i="79"/>
  <c r="KI617" i="79"/>
  <c r="JS617" i="79"/>
  <c r="JC617" i="79"/>
  <c r="IM617" i="79"/>
  <c r="KU617" i="79"/>
  <c r="JZ617" i="79"/>
  <c r="JB617" i="79"/>
  <c r="II617" i="79"/>
  <c r="KQ617" i="79"/>
  <c r="JX617" i="79"/>
  <c r="IZ617" i="79"/>
  <c r="IE617" i="79"/>
  <c r="KP617" i="79"/>
  <c r="JR617" i="79"/>
  <c r="IY617" i="79"/>
  <c r="ID617" i="79"/>
  <c r="KN617" i="79"/>
  <c r="JP617" i="79"/>
  <c r="IU617" i="79"/>
  <c r="IB617" i="79"/>
  <c r="LD617" i="79"/>
  <c r="KF617" i="79"/>
  <c r="JK617" i="79"/>
  <c r="IR617" i="79"/>
  <c r="KV617" i="79"/>
  <c r="IL617" i="79"/>
  <c r="KH617" i="79"/>
  <c r="IJ617" i="79"/>
  <c r="KE617" i="79"/>
  <c r="KA617" i="79"/>
  <c r="JO617" i="79"/>
  <c r="IT617" i="79"/>
  <c r="KX617" i="79"/>
  <c r="JJ617" i="79"/>
  <c r="JH617" i="79"/>
  <c r="LX598" i="79"/>
  <c r="LP598" i="79"/>
  <c r="LH598" i="79"/>
  <c r="HX598" i="79"/>
  <c r="HP598" i="79"/>
  <c r="HH598" i="79"/>
  <c r="GZ598" i="79"/>
  <c r="GR598" i="79"/>
  <c r="GJ598" i="79"/>
  <c r="GB598" i="79"/>
  <c r="FO598" i="79"/>
  <c r="FG598" i="79"/>
  <c r="EY598" i="79"/>
  <c r="EQ598" i="79"/>
  <c r="EI598" i="79"/>
  <c r="BI598" i="79"/>
  <c r="BA598" i="79"/>
  <c r="AS598" i="79"/>
  <c r="AK598" i="79"/>
  <c r="AC598" i="79"/>
  <c r="MD598" i="79"/>
  <c r="LV598" i="79"/>
  <c r="LN598" i="79"/>
  <c r="LF598" i="79"/>
  <c r="HV598" i="79"/>
  <c r="HN598" i="79"/>
  <c r="HF598" i="79"/>
  <c r="GX598" i="79"/>
  <c r="GP598" i="79"/>
  <c r="GH598" i="79"/>
  <c r="FU598" i="79"/>
  <c r="FM598" i="79"/>
  <c r="FE598" i="79"/>
  <c r="EW598" i="79"/>
  <c r="EO598" i="79"/>
  <c r="EG598" i="79"/>
  <c r="BG598" i="79"/>
  <c r="AY598" i="79"/>
  <c r="AQ598" i="79"/>
  <c r="AI598" i="79"/>
  <c r="AA598" i="79"/>
  <c r="MA598" i="79"/>
  <c r="LS598" i="79"/>
  <c r="LK598" i="79"/>
  <c r="HS598" i="79"/>
  <c r="HK598" i="79"/>
  <c r="HC598" i="79"/>
  <c r="GU598" i="79"/>
  <c r="GM598" i="79"/>
  <c r="GE598" i="79"/>
  <c r="FR598" i="79"/>
  <c r="FJ598" i="79"/>
  <c r="FB598" i="79"/>
  <c r="ET598" i="79"/>
  <c r="EL598" i="79"/>
  <c r="ED598" i="79"/>
  <c r="BD598" i="79"/>
  <c r="AV598" i="79"/>
  <c r="AN598" i="79"/>
  <c r="AF598" i="79"/>
  <c r="X598" i="79"/>
  <c r="MC598" i="79"/>
  <c r="LQ598" i="79"/>
  <c r="HQ598" i="79"/>
  <c r="HD598" i="79"/>
  <c r="GQ598" i="79"/>
  <c r="GD598" i="79"/>
  <c r="FL598" i="79"/>
  <c r="EZ598" i="79"/>
  <c r="EM598" i="79"/>
  <c r="BH598" i="79"/>
  <c r="AU598" i="79"/>
  <c r="AH598" i="79"/>
  <c r="LZ598" i="79"/>
  <c r="LM598" i="79"/>
  <c r="HM598" i="79"/>
  <c r="HA598" i="79"/>
  <c r="GN598" i="79"/>
  <c r="GA598" i="79"/>
  <c r="FI598" i="79"/>
  <c r="EV598" i="79"/>
  <c r="EJ598" i="79"/>
  <c r="BE598" i="79"/>
  <c r="AR598" i="79"/>
  <c r="AE598" i="79"/>
  <c r="LU598" i="79"/>
  <c r="LI598" i="79"/>
  <c r="HU598" i="79"/>
  <c r="HI598" i="79"/>
  <c r="GV598" i="79"/>
  <c r="GI598" i="79"/>
  <c r="FQ598" i="79"/>
  <c r="FD598" i="79"/>
  <c r="ER598" i="79"/>
  <c r="EE598" i="79"/>
  <c r="AZ598" i="79"/>
  <c r="AM598" i="79"/>
  <c r="Z598" i="79"/>
  <c r="LT598" i="79"/>
  <c r="LG598" i="79"/>
  <c r="HT598" i="79"/>
  <c r="HG598" i="79"/>
  <c r="GT598" i="79"/>
  <c r="GG598" i="79"/>
  <c r="FP598" i="79"/>
  <c r="FC598" i="79"/>
  <c r="EP598" i="79"/>
  <c r="EC598" i="79"/>
  <c r="AX598" i="79"/>
  <c r="AL598" i="79"/>
  <c r="Y598" i="79"/>
  <c r="MB598" i="79"/>
  <c r="HJ598" i="79"/>
  <c r="GK598" i="79"/>
  <c r="FF598" i="79"/>
  <c r="EF598" i="79"/>
  <c r="AO598" i="79"/>
  <c r="LY598" i="79"/>
  <c r="HE598" i="79"/>
  <c r="GF598" i="79"/>
  <c r="FA598" i="79"/>
  <c r="BJ598" i="79"/>
  <c r="AJ598" i="79"/>
  <c r="LW598" i="79"/>
  <c r="HB598" i="79"/>
  <c r="GC598" i="79"/>
  <c r="EX598" i="79"/>
  <c r="BF598" i="79"/>
  <c r="AG598" i="79"/>
  <c r="LR598" i="79"/>
  <c r="GY598" i="79"/>
  <c r="FT598" i="79"/>
  <c r="EU598" i="79"/>
  <c r="BC598" i="79"/>
  <c r="AD598" i="79"/>
  <c r="LL598" i="79"/>
  <c r="HR598" i="79"/>
  <c r="GS598" i="79"/>
  <c r="FN598" i="79"/>
  <c r="EN598" i="79"/>
  <c r="AW598" i="79"/>
  <c r="W598" i="79"/>
  <c r="LJ598" i="79"/>
  <c r="HO598" i="79"/>
  <c r="GO598" i="79"/>
  <c r="FK598" i="79"/>
  <c r="EK598" i="79"/>
  <c r="AT598" i="79"/>
  <c r="GL598" i="79"/>
  <c r="FS598" i="79"/>
  <c r="FH598" i="79"/>
  <c r="ES598" i="79"/>
  <c r="EH598" i="79"/>
  <c r="HW598" i="79"/>
  <c r="BB598" i="79"/>
  <c r="HL598" i="79"/>
  <c r="AP598" i="79"/>
  <c r="KX593" i="79"/>
  <c r="KP593" i="79"/>
  <c r="KH593" i="79"/>
  <c r="JZ593" i="79"/>
  <c r="JR593" i="79"/>
  <c r="JJ593" i="79"/>
  <c r="JB593" i="79"/>
  <c r="IT593" i="79"/>
  <c r="IL593" i="79"/>
  <c r="ID593" i="79"/>
  <c r="LD593" i="79"/>
  <c r="KV593" i="79"/>
  <c r="KN593" i="79"/>
  <c r="KF593" i="79"/>
  <c r="JX593" i="79"/>
  <c r="JP593" i="79"/>
  <c r="JH593" i="79"/>
  <c r="IZ593" i="79"/>
  <c r="IR593" i="79"/>
  <c r="IJ593" i="79"/>
  <c r="IB593" i="79"/>
  <c r="KZ593" i="79"/>
  <c r="KO593" i="79"/>
  <c r="KD593" i="79"/>
  <c r="JT593" i="79"/>
  <c r="JI593" i="79"/>
  <c r="IX593" i="79"/>
  <c r="IN593" i="79"/>
  <c r="IC593" i="79"/>
  <c r="KW593" i="79"/>
  <c r="KL593" i="79"/>
  <c r="KB593" i="79"/>
  <c r="JQ593" i="79"/>
  <c r="JF593" i="79"/>
  <c r="IV593" i="79"/>
  <c r="IK593" i="79"/>
  <c r="HZ593" i="79"/>
  <c r="KY593" i="79"/>
  <c r="KJ593" i="79"/>
  <c r="JV593" i="79"/>
  <c r="JG593" i="79"/>
  <c r="IS593" i="79"/>
  <c r="IF593" i="79"/>
  <c r="KU593" i="79"/>
  <c r="KI593" i="79"/>
  <c r="JU593" i="79"/>
  <c r="JE593" i="79"/>
  <c r="IQ593" i="79"/>
  <c r="IE593" i="79"/>
  <c r="KT593" i="79"/>
  <c r="KG593" i="79"/>
  <c r="JS593" i="79"/>
  <c r="JD593" i="79"/>
  <c r="IP593" i="79"/>
  <c r="IA593" i="79"/>
  <c r="KS593" i="79"/>
  <c r="KE593" i="79"/>
  <c r="JO593" i="79"/>
  <c r="JC593" i="79"/>
  <c r="IO593" i="79"/>
  <c r="HY593" i="79"/>
  <c r="LC593" i="79"/>
  <c r="KQ593" i="79"/>
  <c r="KA593" i="79"/>
  <c r="JM593" i="79"/>
  <c r="IY593" i="79"/>
  <c r="II593" i="79"/>
  <c r="LB593" i="79"/>
  <c r="KM593" i="79"/>
  <c r="JY593" i="79"/>
  <c r="JL593" i="79"/>
  <c r="IW593" i="79"/>
  <c r="IH593" i="79"/>
  <c r="MM593" i="79"/>
  <c r="KC593" i="79"/>
  <c r="MH593" i="79"/>
  <c r="JW593" i="79"/>
  <c r="JN593" i="79"/>
  <c r="JK593" i="79"/>
  <c r="LE593" i="79"/>
  <c r="JA593" i="79"/>
  <c r="KR593" i="79"/>
  <c r="IM593" i="79"/>
  <c r="LA593" i="79"/>
  <c r="IU593" i="79"/>
  <c r="EK582" i="79"/>
  <c r="LZ582" i="79"/>
  <c r="IQ583" i="79"/>
  <c r="JW583" i="79"/>
  <c r="HJ588" i="79"/>
  <c r="LQ588" i="79"/>
  <c r="IG593" i="79"/>
  <c r="AW582" i="79"/>
  <c r="FR582" i="79"/>
  <c r="MQ583" i="79"/>
  <c r="JD585" i="79"/>
  <c r="KJ585" i="79"/>
  <c r="MM585" i="79"/>
  <c r="HK588" i="79"/>
  <c r="LY588" i="79"/>
  <c r="EO590" i="79"/>
  <c r="KK593" i="79"/>
  <c r="LE609" i="79"/>
  <c r="KW609" i="79"/>
  <c r="KO609" i="79"/>
  <c r="KG609" i="79"/>
  <c r="JY609" i="79"/>
  <c r="JQ609" i="79"/>
  <c r="JI609" i="79"/>
  <c r="JA609" i="79"/>
  <c r="IS609" i="79"/>
  <c r="IK609" i="79"/>
  <c r="IC609" i="79"/>
  <c r="KV609" i="79"/>
  <c r="KM609" i="79"/>
  <c r="KD609" i="79"/>
  <c r="JU609" i="79"/>
  <c r="JL609" i="79"/>
  <c r="JC609" i="79"/>
  <c r="IT609" i="79"/>
  <c r="IJ609" i="79"/>
  <c r="IA609" i="79"/>
  <c r="KU609" i="79"/>
  <c r="KK609" i="79"/>
  <c r="KA609" i="79"/>
  <c r="JP609" i="79"/>
  <c r="JF609" i="79"/>
  <c r="IV609" i="79"/>
  <c r="IL609" i="79"/>
  <c r="HZ609" i="79"/>
  <c r="LD609" i="79"/>
  <c r="KT609" i="79"/>
  <c r="KJ609" i="79"/>
  <c r="JZ609" i="79"/>
  <c r="JO609" i="79"/>
  <c r="JE609" i="79"/>
  <c r="IU609" i="79"/>
  <c r="II609" i="79"/>
  <c r="HY609" i="79"/>
  <c r="LC609" i="79"/>
  <c r="KS609" i="79"/>
  <c r="KI609" i="79"/>
  <c r="JX609" i="79"/>
  <c r="JN609" i="79"/>
  <c r="JD609" i="79"/>
  <c r="IR609" i="79"/>
  <c r="IH609" i="79"/>
  <c r="LB609" i="79"/>
  <c r="KR609" i="79"/>
  <c r="KH609" i="79"/>
  <c r="JW609" i="79"/>
  <c r="JM609" i="79"/>
  <c r="JB609" i="79"/>
  <c r="IQ609" i="79"/>
  <c r="IG609" i="79"/>
  <c r="KZ609" i="79"/>
  <c r="KE609" i="79"/>
  <c r="JJ609" i="79"/>
  <c r="IO609" i="79"/>
  <c r="KY609" i="79"/>
  <c r="KC609" i="79"/>
  <c r="JH609" i="79"/>
  <c r="IN609" i="79"/>
  <c r="KQ609" i="79"/>
  <c r="JV609" i="79"/>
  <c r="IZ609" i="79"/>
  <c r="IF609" i="79"/>
  <c r="KP609" i="79"/>
  <c r="JK609" i="79"/>
  <c r="ID609" i="79"/>
  <c r="KN609" i="79"/>
  <c r="JG609" i="79"/>
  <c r="IB609" i="79"/>
  <c r="KL609" i="79"/>
  <c r="IY609" i="79"/>
  <c r="KF609" i="79"/>
  <c r="IX609" i="79"/>
  <c r="JR609" i="79"/>
  <c r="IW609" i="79"/>
  <c r="IP609" i="79"/>
  <c r="KB609" i="79"/>
  <c r="LA609" i="79"/>
  <c r="JT609" i="79"/>
  <c r="IE609" i="79"/>
  <c r="JS609" i="79"/>
  <c r="IM609" i="79"/>
  <c r="KX609" i="79"/>
  <c r="MQ599" i="79"/>
  <c r="LC599" i="79"/>
  <c r="KU599" i="79"/>
  <c r="KM599" i="79"/>
  <c r="KE599" i="79"/>
  <c r="JW599" i="79"/>
  <c r="JO599" i="79"/>
  <c r="JG599" i="79"/>
  <c r="IY599" i="79"/>
  <c r="IQ599" i="79"/>
  <c r="II599" i="79"/>
  <c r="KZ599" i="79"/>
  <c r="KR599" i="79"/>
  <c r="KJ599" i="79"/>
  <c r="KB599" i="79"/>
  <c r="JT599" i="79"/>
  <c r="JL599" i="79"/>
  <c r="JD599" i="79"/>
  <c r="IV599" i="79"/>
  <c r="IN599" i="79"/>
  <c r="IF599" i="79"/>
  <c r="KW599" i="79"/>
  <c r="KL599" i="79"/>
  <c r="KA599" i="79"/>
  <c r="JQ599" i="79"/>
  <c r="JF599" i="79"/>
  <c r="IU599" i="79"/>
  <c r="IK599" i="79"/>
  <c r="LE599" i="79"/>
  <c r="KT599" i="79"/>
  <c r="KI599" i="79"/>
  <c r="JY599" i="79"/>
  <c r="JN599" i="79"/>
  <c r="JC599" i="79"/>
  <c r="IS599" i="79"/>
  <c r="IH599" i="79"/>
  <c r="MR599" i="79"/>
  <c r="LA599" i="79"/>
  <c r="KP599" i="79"/>
  <c r="KF599" i="79"/>
  <c r="JU599" i="79"/>
  <c r="JJ599" i="79"/>
  <c r="IZ599" i="79"/>
  <c r="IO599" i="79"/>
  <c r="ID599" i="79"/>
  <c r="MH599" i="79"/>
  <c r="KY599" i="79"/>
  <c r="KH599" i="79"/>
  <c r="JR599" i="79"/>
  <c r="JA599" i="79"/>
  <c r="IJ599" i="79"/>
  <c r="KV599" i="79"/>
  <c r="KD599" i="79"/>
  <c r="JM599" i="79"/>
  <c r="IW599" i="79"/>
  <c r="IE599" i="79"/>
  <c r="MO599" i="79"/>
  <c r="KO599" i="79"/>
  <c r="JX599" i="79"/>
  <c r="JH599" i="79"/>
  <c r="IP599" i="79"/>
  <c r="LD599" i="79"/>
  <c r="KN599" i="79"/>
  <c r="JV599" i="79"/>
  <c r="JE599" i="79"/>
  <c r="IM599" i="79"/>
  <c r="MP599" i="79"/>
  <c r="KC599" i="79"/>
  <c r="IT599" i="79"/>
  <c r="JZ599" i="79"/>
  <c r="IR599" i="79"/>
  <c r="LB599" i="79"/>
  <c r="JS599" i="79"/>
  <c r="IL599" i="79"/>
  <c r="ME599" i="79"/>
  <c r="KX599" i="79"/>
  <c r="JP599" i="79"/>
  <c r="IG599" i="79"/>
  <c r="KQ599" i="79"/>
  <c r="JI599" i="79"/>
  <c r="KK599" i="79"/>
  <c r="JB599" i="79"/>
  <c r="KG599" i="79"/>
  <c r="JK599" i="79"/>
  <c r="MS599" i="79"/>
  <c r="IX599" i="79"/>
  <c r="EL590" i="79"/>
  <c r="EL582" i="79"/>
  <c r="HB582" i="79"/>
  <c r="IR583" i="79"/>
  <c r="JX583" i="79"/>
  <c r="LD583" i="79"/>
  <c r="X582" i="79"/>
  <c r="BD582" i="79"/>
  <c r="ES582" i="79"/>
  <c r="GC582" i="79"/>
  <c r="HI582" i="79"/>
  <c r="IY583" i="79"/>
  <c r="KE583" i="79"/>
  <c r="MR583" i="79"/>
  <c r="IE585" i="79"/>
  <c r="JK585" i="79"/>
  <c r="KQ585" i="79"/>
  <c r="MN585" i="79"/>
  <c r="GI588" i="79"/>
  <c r="HS588" i="79"/>
  <c r="LZ588" i="79"/>
  <c r="FH590" i="79"/>
  <c r="LW596" i="79"/>
  <c r="Y582" i="79"/>
  <c r="BE582" i="79"/>
  <c r="ET582" i="79"/>
  <c r="GD582" i="79"/>
  <c r="HJ582" i="79"/>
  <c r="LI582" i="79"/>
  <c r="IZ583" i="79"/>
  <c r="KF583" i="79"/>
  <c r="MI583" i="79"/>
  <c r="IF585" i="79"/>
  <c r="JL585" i="79"/>
  <c r="KR585" i="79"/>
  <c r="GJ588" i="79"/>
  <c r="HT588" i="79"/>
  <c r="MH588" i="79"/>
  <c r="FJ590" i="79"/>
  <c r="LO598" i="79"/>
  <c r="KZ615" i="79"/>
  <c r="KR615" i="79"/>
  <c r="KJ615" i="79"/>
  <c r="KB615" i="79"/>
  <c r="JT615" i="79"/>
  <c r="JL615" i="79"/>
  <c r="JD615" i="79"/>
  <c r="IV615" i="79"/>
  <c r="IN615" i="79"/>
  <c r="IF615" i="79"/>
  <c r="KY615" i="79"/>
  <c r="KQ615" i="79"/>
  <c r="KI615" i="79"/>
  <c r="KA615" i="79"/>
  <c r="JS615" i="79"/>
  <c r="JK615" i="79"/>
  <c r="JC615" i="79"/>
  <c r="IU615" i="79"/>
  <c r="IM615" i="79"/>
  <c r="IE615" i="79"/>
  <c r="MS615" i="79"/>
  <c r="LC615" i="79"/>
  <c r="KS615" i="79"/>
  <c r="KG615" i="79"/>
  <c r="JW615" i="79"/>
  <c r="JM615" i="79"/>
  <c r="JA615" i="79"/>
  <c r="IQ615" i="79"/>
  <c r="IG615" i="79"/>
  <c r="MR615" i="79"/>
  <c r="LB615" i="79"/>
  <c r="KP615" i="79"/>
  <c r="KF615" i="79"/>
  <c r="JV615" i="79"/>
  <c r="JJ615" i="79"/>
  <c r="IZ615" i="79"/>
  <c r="IP615" i="79"/>
  <c r="ID615" i="79"/>
  <c r="MQ615" i="79"/>
  <c r="LA615" i="79"/>
  <c r="KO615" i="79"/>
  <c r="KE615" i="79"/>
  <c r="JU615" i="79"/>
  <c r="JI615" i="79"/>
  <c r="IY615" i="79"/>
  <c r="IO615" i="79"/>
  <c r="MP615" i="79"/>
  <c r="KX615" i="79"/>
  <c r="KN615" i="79"/>
  <c r="KD615" i="79"/>
  <c r="JR615" i="79"/>
  <c r="JH615" i="79"/>
  <c r="IX615" i="79"/>
  <c r="IL615" i="79"/>
  <c r="KV615" i="79"/>
  <c r="KL615" i="79"/>
  <c r="JZ615" i="79"/>
  <c r="JP615" i="79"/>
  <c r="KT615" i="79"/>
  <c r="JO615" i="79"/>
  <c r="IS615" i="79"/>
  <c r="KM615" i="79"/>
  <c r="JN615" i="79"/>
  <c r="IR615" i="79"/>
  <c r="MO615" i="79"/>
  <c r="KK615" i="79"/>
  <c r="JG615" i="79"/>
  <c r="IK615" i="79"/>
  <c r="KH615" i="79"/>
  <c r="JF615" i="79"/>
  <c r="IJ615" i="79"/>
  <c r="KW615" i="79"/>
  <c r="IW615" i="79"/>
  <c r="JY615" i="79"/>
  <c r="IH615" i="79"/>
  <c r="KC615" i="79"/>
  <c r="JX615" i="79"/>
  <c r="JQ615" i="79"/>
  <c r="JE615" i="79"/>
  <c r="LE615" i="79"/>
  <c r="KU615" i="79"/>
  <c r="LD615" i="79"/>
  <c r="JB615" i="79"/>
  <c r="IT615" i="79"/>
  <c r="II615" i="79"/>
  <c r="LX606" i="79"/>
  <c r="LP606" i="79"/>
  <c r="LH606" i="79"/>
  <c r="HX606" i="79"/>
  <c r="HP606" i="79"/>
  <c r="HH606" i="79"/>
  <c r="GZ606" i="79"/>
  <c r="GR606" i="79"/>
  <c r="GJ606" i="79"/>
  <c r="GB606" i="79"/>
  <c r="FO606" i="79"/>
  <c r="FG606" i="79"/>
  <c r="EY606" i="79"/>
  <c r="EQ606" i="79"/>
  <c r="EI606" i="79"/>
  <c r="BI606" i="79"/>
  <c r="BA606" i="79"/>
  <c r="AS606" i="79"/>
  <c r="AK606" i="79"/>
  <c r="AC606" i="79"/>
  <c r="MD606" i="79"/>
  <c r="LV606" i="79"/>
  <c r="LN606" i="79"/>
  <c r="LF606" i="79"/>
  <c r="HV606" i="79"/>
  <c r="HN606" i="79"/>
  <c r="HF606" i="79"/>
  <c r="GX606" i="79"/>
  <c r="GP606" i="79"/>
  <c r="GH606" i="79"/>
  <c r="FU606" i="79"/>
  <c r="FM606" i="79"/>
  <c r="FE606" i="79"/>
  <c r="EW606" i="79"/>
  <c r="EO606" i="79"/>
  <c r="EG606" i="79"/>
  <c r="BG606" i="79"/>
  <c r="AY606" i="79"/>
  <c r="AQ606" i="79"/>
  <c r="AI606" i="79"/>
  <c r="AA606" i="79"/>
  <c r="MC606" i="79"/>
  <c r="LU606" i="79"/>
  <c r="LM606" i="79"/>
  <c r="HU606" i="79"/>
  <c r="HM606" i="79"/>
  <c r="HE606" i="79"/>
  <c r="GW606" i="79"/>
  <c r="GO606" i="79"/>
  <c r="GG606" i="79"/>
  <c r="FT606" i="79"/>
  <c r="FL606" i="79"/>
  <c r="FD606" i="79"/>
  <c r="EV606" i="79"/>
  <c r="EN606" i="79"/>
  <c r="EF606" i="79"/>
  <c r="BF606" i="79"/>
  <c r="AX606" i="79"/>
  <c r="AP606" i="79"/>
  <c r="AH606" i="79"/>
  <c r="Z606" i="79"/>
  <c r="MB606" i="79"/>
  <c r="LQ606" i="79"/>
  <c r="HQ606" i="79"/>
  <c r="HC606" i="79"/>
  <c r="GQ606" i="79"/>
  <c r="GD606" i="79"/>
  <c r="FK606" i="79"/>
  <c r="EZ606" i="79"/>
  <c r="EL606" i="79"/>
  <c r="BH606" i="79"/>
  <c r="AU606" i="79"/>
  <c r="AG606" i="79"/>
  <c r="MA606" i="79"/>
  <c r="LO606" i="79"/>
  <c r="HO606" i="79"/>
  <c r="HB606" i="79"/>
  <c r="GN606" i="79"/>
  <c r="GC606" i="79"/>
  <c r="FJ606" i="79"/>
  <c r="EX606" i="79"/>
  <c r="EK606" i="79"/>
  <c r="BE606" i="79"/>
  <c r="AT606" i="79"/>
  <c r="AF606" i="79"/>
  <c r="LY606" i="79"/>
  <c r="LK606" i="79"/>
  <c r="HK606" i="79"/>
  <c r="GY606" i="79"/>
  <c r="GL606" i="79"/>
  <c r="FS606" i="79"/>
  <c r="FH606" i="79"/>
  <c r="ET606" i="79"/>
  <c r="EH606" i="79"/>
  <c r="BC606" i="79"/>
  <c r="AO606" i="79"/>
  <c r="AD606" i="79"/>
  <c r="LT606" i="79"/>
  <c r="HL606" i="79"/>
  <c r="GT606" i="79"/>
  <c r="FR606" i="79"/>
  <c r="FA606" i="79"/>
  <c r="ED606" i="79"/>
  <c r="AR606" i="79"/>
  <c r="X606" i="79"/>
  <c r="LS606" i="79"/>
  <c r="HJ606" i="79"/>
  <c r="GS606" i="79"/>
  <c r="FQ606" i="79"/>
  <c r="EU606" i="79"/>
  <c r="EC606" i="79"/>
  <c r="AN606" i="79"/>
  <c r="W606" i="79"/>
  <c r="LR606" i="79"/>
  <c r="HI606" i="79"/>
  <c r="GM606" i="79"/>
  <c r="FP606" i="79"/>
  <c r="ES606" i="79"/>
  <c r="BJ606" i="79"/>
  <c r="AM606" i="79"/>
  <c r="LL606" i="79"/>
  <c r="HG606" i="79"/>
  <c r="GK606" i="79"/>
  <c r="FN606" i="79"/>
  <c r="ER606" i="79"/>
  <c r="BD606" i="79"/>
  <c r="AL606" i="79"/>
  <c r="HR606" i="79"/>
  <c r="GA606" i="79"/>
  <c r="EE606" i="79"/>
  <c r="Y606" i="79"/>
  <c r="HD606" i="79"/>
  <c r="FI606" i="79"/>
  <c r="BB606" i="79"/>
  <c r="HA606" i="79"/>
  <c r="FF606" i="79"/>
  <c r="AZ606" i="79"/>
  <c r="LJ606" i="79"/>
  <c r="HW606" i="79"/>
  <c r="GI606" i="79"/>
  <c r="EP606" i="79"/>
  <c r="AJ606" i="79"/>
  <c r="FC606" i="79"/>
  <c r="LW606" i="79"/>
  <c r="HT606" i="79"/>
  <c r="EM606" i="79"/>
  <c r="GU606" i="79"/>
  <c r="AV606" i="79"/>
  <c r="GF606" i="79"/>
  <c r="AE606" i="79"/>
  <c r="LZ606" i="79"/>
  <c r="HS606" i="79"/>
  <c r="LI606" i="79"/>
  <c r="GV606" i="79"/>
  <c r="LG606" i="79"/>
  <c r="GE606" i="79"/>
  <c r="FB606" i="79"/>
  <c r="AW606" i="79"/>
  <c r="AB606" i="79"/>
  <c r="EJ606" i="79"/>
  <c r="KP591" i="79"/>
  <c r="JS591" i="79"/>
  <c r="JA591" i="79"/>
  <c r="ID591" i="79"/>
  <c r="KO591" i="79"/>
  <c r="JR591" i="79"/>
  <c r="IU591" i="79"/>
  <c r="KI591" i="79"/>
  <c r="JQ591" i="79"/>
  <c r="IT591" i="79"/>
  <c r="ME591" i="79"/>
  <c r="LE591" i="79"/>
  <c r="KH591" i="79"/>
  <c r="JK591" i="79"/>
  <c r="IS591" i="79"/>
  <c r="KX591" i="79"/>
  <c r="KA591" i="79"/>
  <c r="JI591" i="79"/>
  <c r="IL591" i="79"/>
  <c r="KW591" i="79"/>
  <c r="JZ591" i="79"/>
  <c r="JC591" i="79"/>
  <c r="IK591" i="79"/>
  <c r="KG591" i="79"/>
  <c r="KY591" i="79"/>
  <c r="JY591" i="79"/>
  <c r="MS591" i="79"/>
  <c r="JJ591" i="79"/>
  <c r="JB591" i="79"/>
  <c r="IM591" i="79"/>
  <c r="IE591" i="79"/>
  <c r="FQ582" i="79"/>
  <c r="AF582" i="79"/>
  <c r="BW582" i="79"/>
  <c r="FA582" i="79"/>
  <c r="GK582" i="79"/>
  <c r="HQ582" i="79"/>
  <c r="JG583" i="79"/>
  <c r="KM583" i="79"/>
  <c r="IM585" i="79"/>
  <c r="JS585" i="79"/>
  <c r="KY585" i="79"/>
  <c r="GR588" i="79"/>
  <c r="AF590" i="79"/>
  <c r="GK590" i="79"/>
  <c r="AB598" i="79"/>
  <c r="MB614" i="79"/>
  <c r="LT614" i="79"/>
  <c r="LL614" i="79"/>
  <c r="HT614" i="79"/>
  <c r="HL614" i="79"/>
  <c r="HD614" i="79"/>
  <c r="GV614" i="79"/>
  <c r="GN614" i="79"/>
  <c r="GF614" i="79"/>
  <c r="FS614" i="79"/>
  <c r="FK614" i="79"/>
  <c r="FC614" i="79"/>
  <c r="EU614" i="79"/>
  <c r="EM614" i="79"/>
  <c r="EE614" i="79"/>
  <c r="BE614" i="79"/>
  <c r="MA614" i="79"/>
  <c r="LS614" i="79"/>
  <c r="LK614" i="79"/>
  <c r="LW614" i="79"/>
  <c r="LM614" i="79"/>
  <c r="HR614" i="79"/>
  <c r="HI614" i="79"/>
  <c r="GZ614" i="79"/>
  <c r="GQ614" i="79"/>
  <c r="GH614" i="79"/>
  <c r="FT614" i="79"/>
  <c r="FJ614" i="79"/>
  <c r="FA614" i="79"/>
  <c r="ER614" i="79"/>
  <c r="EI614" i="79"/>
  <c r="BH614" i="79"/>
  <c r="AY614" i="79"/>
  <c r="AQ614" i="79"/>
  <c r="AI614" i="79"/>
  <c r="AA614" i="79"/>
  <c r="LV614" i="79"/>
  <c r="LJ614" i="79"/>
  <c r="HQ614" i="79"/>
  <c r="HH614" i="79"/>
  <c r="GY614" i="79"/>
  <c r="GP614" i="79"/>
  <c r="GG614" i="79"/>
  <c r="FR614" i="79"/>
  <c r="FI614" i="79"/>
  <c r="EZ614" i="79"/>
  <c r="LU614" i="79"/>
  <c r="LI614" i="79"/>
  <c r="HP614" i="79"/>
  <c r="HG614" i="79"/>
  <c r="GX614" i="79"/>
  <c r="GO614" i="79"/>
  <c r="GE614" i="79"/>
  <c r="FQ614" i="79"/>
  <c r="FH614" i="79"/>
  <c r="EY614" i="79"/>
  <c r="EP614" i="79"/>
  <c r="EG614" i="79"/>
  <c r="BF614" i="79"/>
  <c r="AW614" i="79"/>
  <c r="AO614" i="79"/>
  <c r="AG614" i="79"/>
  <c r="Y614" i="79"/>
  <c r="MD614" i="79"/>
  <c r="LR614" i="79"/>
  <c r="LH614" i="79"/>
  <c r="HX614" i="79"/>
  <c r="HO614" i="79"/>
  <c r="HF614" i="79"/>
  <c r="GW614" i="79"/>
  <c r="GM614" i="79"/>
  <c r="GD614" i="79"/>
  <c r="FP614" i="79"/>
  <c r="FG614" i="79"/>
  <c r="EX614" i="79"/>
  <c r="EO614" i="79"/>
  <c r="EF614" i="79"/>
  <c r="BD614" i="79"/>
  <c r="AV614" i="79"/>
  <c r="AN614" i="79"/>
  <c r="AF614" i="79"/>
  <c r="LP614" i="79"/>
  <c r="HK614" i="79"/>
  <c r="GS614" i="79"/>
  <c r="GA614" i="79"/>
  <c r="FD614" i="79"/>
  <c r="EL614" i="79"/>
  <c r="BG614" i="79"/>
  <c r="AS614" i="79"/>
  <c r="AE614" i="79"/>
  <c r="LO614" i="79"/>
  <c r="HJ614" i="79"/>
  <c r="GR614" i="79"/>
  <c r="FU614" i="79"/>
  <c r="FB614" i="79"/>
  <c r="EK614" i="79"/>
  <c r="BC614" i="79"/>
  <c r="AR614" i="79"/>
  <c r="AD614" i="79"/>
  <c r="LN614" i="79"/>
  <c r="HW614" i="79"/>
  <c r="HE614" i="79"/>
  <c r="GL614" i="79"/>
  <c r="FO614" i="79"/>
  <c r="EW614" i="79"/>
  <c r="EJ614" i="79"/>
  <c r="BB614" i="79"/>
  <c r="AP614" i="79"/>
  <c r="AC614" i="79"/>
  <c r="MC614" i="79"/>
  <c r="LG614" i="79"/>
  <c r="HV614" i="79"/>
  <c r="HC614" i="79"/>
  <c r="GK614" i="79"/>
  <c r="FN614" i="79"/>
  <c r="EV614" i="79"/>
  <c r="EH614" i="79"/>
  <c r="BA614" i="79"/>
  <c r="AM614" i="79"/>
  <c r="AB614" i="79"/>
  <c r="LZ614" i="79"/>
  <c r="GU614" i="79"/>
  <c r="FF614" i="79"/>
  <c r="BJ614" i="79"/>
  <c r="AJ614" i="79"/>
  <c r="LQ614" i="79"/>
  <c r="HS614" i="79"/>
  <c r="GI614" i="79"/>
  <c r="ES614" i="79"/>
  <c r="AX614" i="79"/>
  <c r="X614" i="79"/>
  <c r="HB614" i="79"/>
  <c r="FE614" i="79"/>
  <c r="AU614" i="79"/>
  <c r="HA614" i="79"/>
  <c r="ET614" i="79"/>
  <c r="AT614" i="79"/>
  <c r="GT614" i="79"/>
  <c r="EQ614" i="79"/>
  <c r="AL614" i="79"/>
  <c r="GJ614" i="79"/>
  <c r="EN614" i="79"/>
  <c r="AK614" i="79"/>
  <c r="GC614" i="79"/>
  <c r="AH614" i="79"/>
  <c r="GB614" i="79"/>
  <c r="Z614" i="79"/>
  <c r="FL614" i="79"/>
  <c r="BI614" i="79"/>
  <c r="AZ614" i="79"/>
  <c r="LY614" i="79"/>
  <c r="HU614" i="79"/>
  <c r="W614" i="79"/>
  <c r="LX614" i="79"/>
  <c r="HN614" i="79"/>
  <c r="HM614" i="79"/>
  <c r="EC614" i="79"/>
  <c r="ED614" i="79"/>
  <c r="LF614" i="79"/>
  <c r="FM614" i="79"/>
  <c r="MQ607" i="79"/>
  <c r="LC607" i="79"/>
  <c r="KU607" i="79"/>
  <c r="KM607" i="79"/>
  <c r="KE607" i="79"/>
  <c r="JW607" i="79"/>
  <c r="JO607" i="79"/>
  <c r="JG607" i="79"/>
  <c r="IY607" i="79"/>
  <c r="IQ607" i="79"/>
  <c r="II607" i="79"/>
  <c r="MP607" i="79"/>
  <c r="LB607" i="79"/>
  <c r="KT607" i="79"/>
  <c r="KL607" i="79"/>
  <c r="KD607" i="79"/>
  <c r="JV607" i="79"/>
  <c r="JN607" i="79"/>
  <c r="JF607" i="79"/>
  <c r="IX607" i="79"/>
  <c r="IP607" i="79"/>
  <c r="IH607" i="79"/>
  <c r="MO607" i="79"/>
  <c r="LA607" i="79"/>
  <c r="KS607" i="79"/>
  <c r="KK607" i="79"/>
  <c r="KC607" i="79"/>
  <c r="JU607" i="79"/>
  <c r="JM607" i="79"/>
  <c r="JE607" i="79"/>
  <c r="IW607" i="79"/>
  <c r="IO607" i="79"/>
  <c r="IG607" i="79"/>
  <c r="KZ607" i="79"/>
  <c r="KR607" i="79"/>
  <c r="KJ607" i="79"/>
  <c r="KB607" i="79"/>
  <c r="JT607" i="79"/>
  <c r="JL607" i="79"/>
  <c r="JD607" i="79"/>
  <c r="IV607" i="79"/>
  <c r="IN607" i="79"/>
  <c r="IF607" i="79"/>
  <c r="LE607" i="79"/>
  <c r="KO607" i="79"/>
  <c r="JY607" i="79"/>
  <c r="JI607" i="79"/>
  <c r="IS607" i="79"/>
  <c r="LD607" i="79"/>
  <c r="KN607" i="79"/>
  <c r="JX607" i="79"/>
  <c r="JH607" i="79"/>
  <c r="IR607" i="79"/>
  <c r="KX607" i="79"/>
  <c r="KH607" i="79"/>
  <c r="JR607" i="79"/>
  <c r="JB607" i="79"/>
  <c r="IL607" i="79"/>
  <c r="MS607" i="79"/>
  <c r="KV607" i="79"/>
  <c r="JS607" i="79"/>
  <c r="IU607" i="79"/>
  <c r="MR607" i="79"/>
  <c r="KQ607" i="79"/>
  <c r="JQ607" i="79"/>
  <c r="IT607" i="79"/>
  <c r="KP607" i="79"/>
  <c r="JP607" i="79"/>
  <c r="IM607" i="79"/>
  <c r="KI607" i="79"/>
  <c r="JK607" i="79"/>
  <c r="IK607" i="79"/>
  <c r="JZ607" i="79"/>
  <c r="JJ607" i="79"/>
  <c r="JC607" i="79"/>
  <c r="KG607" i="79"/>
  <c r="IJ607" i="79"/>
  <c r="IE607" i="79"/>
  <c r="KY607" i="79"/>
  <c r="KA607" i="79"/>
  <c r="JA607" i="79"/>
  <c r="KW607" i="79"/>
  <c r="KF607" i="79"/>
  <c r="ID607" i="79"/>
  <c r="KZ601" i="79"/>
  <c r="KR601" i="79"/>
  <c r="KJ601" i="79"/>
  <c r="KB601" i="79"/>
  <c r="JT601" i="79"/>
  <c r="JL601" i="79"/>
  <c r="JD601" i="79"/>
  <c r="IV601" i="79"/>
  <c r="IN601" i="79"/>
  <c r="IF601" i="79"/>
  <c r="LB601" i="79"/>
  <c r="KS601" i="79"/>
  <c r="KI601" i="79"/>
  <c r="JZ601" i="79"/>
  <c r="JQ601" i="79"/>
  <c r="JH601" i="79"/>
  <c r="IY601" i="79"/>
  <c r="IP601" i="79"/>
  <c r="IG601" i="79"/>
  <c r="LA601" i="79"/>
  <c r="KQ601" i="79"/>
  <c r="KH601" i="79"/>
  <c r="JY601" i="79"/>
  <c r="JP601" i="79"/>
  <c r="JG601" i="79"/>
  <c r="IX601" i="79"/>
  <c r="IO601" i="79"/>
  <c r="IE601" i="79"/>
  <c r="KY601" i="79"/>
  <c r="KP601" i="79"/>
  <c r="KG601" i="79"/>
  <c r="JX601" i="79"/>
  <c r="JO601" i="79"/>
  <c r="JF601" i="79"/>
  <c r="IW601" i="79"/>
  <c r="IM601" i="79"/>
  <c r="ID601" i="79"/>
  <c r="KX601" i="79"/>
  <c r="KO601" i="79"/>
  <c r="KF601" i="79"/>
  <c r="JW601" i="79"/>
  <c r="JN601" i="79"/>
  <c r="JE601" i="79"/>
  <c r="IU601" i="79"/>
  <c r="IL601" i="79"/>
  <c r="IC601" i="79"/>
  <c r="LC601" i="79"/>
  <c r="KK601" i="79"/>
  <c r="JR601" i="79"/>
  <c r="IZ601" i="79"/>
  <c r="IH601" i="79"/>
  <c r="KW601" i="79"/>
  <c r="KE601" i="79"/>
  <c r="JM601" i="79"/>
  <c r="IT601" i="79"/>
  <c r="IB601" i="79"/>
  <c r="KV601" i="79"/>
  <c r="KD601" i="79"/>
  <c r="JK601" i="79"/>
  <c r="IS601" i="79"/>
  <c r="IA601" i="79"/>
  <c r="KN601" i="79"/>
  <c r="JV601" i="79"/>
  <c r="JC601" i="79"/>
  <c r="IK601" i="79"/>
  <c r="KT601" i="79"/>
  <c r="JI601" i="79"/>
  <c r="HY601" i="79"/>
  <c r="KL601" i="79"/>
  <c r="JA601" i="79"/>
  <c r="LE601" i="79"/>
  <c r="JU601" i="79"/>
  <c r="IJ601" i="79"/>
  <c r="LD601" i="79"/>
  <c r="JS601" i="79"/>
  <c r="II601" i="79"/>
  <c r="KC601" i="79"/>
  <c r="KA601" i="79"/>
  <c r="JJ601" i="79"/>
  <c r="JB601" i="79"/>
  <c r="IQ601" i="79"/>
  <c r="KU601" i="79"/>
  <c r="HZ601" i="79"/>
  <c r="KM601" i="79"/>
  <c r="IR601" i="79"/>
  <c r="MG588" i="79"/>
  <c r="LX588" i="79"/>
  <c r="HR588" i="79"/>
  <c r="HI588" i="79"/>
  <c r="GZ588" i="79"/>
  <c r="GQ588" i="79"/>
  <c r="GH588" i="79"/>
  <c r="MF588" i="79"/>
  <c r="LW588" i="79"/>
  <c r="HQ588" i="79"/>
  <c r="HH588" i="79"/>
  <c r="GY588" i="79"/>
  <c r="GP588" i="79"/>
  <c r="GF588" i="79"/>
  <c r="MN588" i="79"/>
  <c r="ME588" i="79"/>
  <c r="LV588" i="79"/>
  <c r="HP588" i="79"/>
  <c r="HG588" i="79"/>
  <c r="GX588" i="79"/>
  <c r="GN588" i="79"/>
  <c r="MM588" i="79"/>
  <c r="MD588" i="79"/>
  <c r="LT588" i="79"/>
  <c r="HX588" i="79"/>
  <c r="HO588" i="79"/>
  <c r="HF588" i="79"/>
  <c r="GV588" i="79"/>
  <c r="GM588" i="79"/>
  <c r="ML588" i="79"/>
  <c r="MB588" i="79"/>
  <c r="LS588" i="79"/>
  <c r="HW588" i="79"/>
  <c r="HN588" i="79"/>
  <c r="HD588" i="79"/>
  <c r="GU588" i="79"/>
  <c r="GL588" i="79"/>
  <c r="MJ588" i="79"/>
  <c r="MA588" i="79"/>
  <c r="LR588" i="79"/>
  <c r="HV588" i="79"/>
  <c r="HL588" i="79"/>
  <c r="HC588" i="79"/>
  <c r="GT588" i="79"/>
  <c r="GK588" i="79"/>
  <c r="FV582" i="79"/>
  <c r="LX582" i="79"/>
  <c r="LP582" i="79"/>
  <c r="LH582" i="79"/>
  <c r="HX582" i="79"/>
  <c r="HP582" i="79"/>
  <c r="HH582" i="79"/>
  <c r="GZ582" i="79"/>
  <c r="GR582" i="79"/>
  <c r="GJ582" i="79"/>
  <c r="GB582" i="79"/>
  <c r="FP582" i="79"/>
  <c r="FH582" i="79"/>
  <c r="EZ582" i="79"/>
  <c r="ER582" i="79"/>
  <c r="EJ582" i="79"/>
  <c r="EA582" i="79"/>
  <c r="BO582" i="79"/>
  <c r="BC582" i="79"/>
  <c r="AU582" i="79"/>
  <c r="AM582" i="79"/>
  <c r="AE582" i="79"/>
  <c r="W582" i="79"/>
  <c r="GX582" i="79"/>
  <c r="GH582" i="79"/>
  <c r="FN582" i="79"/>
  <c r="EP582" i="79"/>
  <c r="DK582" i="79"/>
  <c r="BA582" i="79"/>
  <c r="LW582" i="79"/>
  <c r="LO582" i="79"/>
  <c r="LG582" i="79"/>
  <c r="HW582" i="79"/>
  <c r="HO582" i="79"/>
  <c r="HG582" i="79"/>
  <c r="GY582" i="79"/>
  <c r="GQ582" i="79"/>
  <c r="GI582" i="79"/>
  <c r="GA582" i="79"/>
  <c r="FO582" i="79"/>
  <c r="FG582" i="79"/>
  <c r="EY582" i="79"/>
  <c r="EQ582" i="79"/>
  <c r="EI582" i="79"/>
  <c r="DS582" i="79"/>
  <c r="BJ582" i="79"/>
  <c r="BB582" i="79"/>
  <c r="AT582" i="79"/>
  <c r="AL582" i="79"/>
  <c r="AD582" i="79"/>
  <c r="A582" i="79"/>
  <c r="MD582" i="79"/>
  <c r="LV582" i="79"/>
  <c r="LN582" i="79"/>
  <c r="LF582" i="79"/>
  <c r="HV582" i="79"/>
  <c r="HF582" i="79"/>
  <c r="GP582" i="79"/>
  <c r="FW582" i="79"/>
  <c r="FF582" i="79"/>
  <c r="EH582" i="79"/>
  <c r="BI582" i="79"/>
  <c r="AS582" i="79"/>
  <c r="AC582" i="79"/>
  <c r="HN582" i="79"/>
  <c r="EX582" i="79"/>
  <c r="AK582" i="79"/>
  <c r="MC582" i="79"/>
  <c r="LU582" i="79"/>
  <c r="LM582" i="79"/>
  <c r="HU582" i="79"/>
  <c r="HM582" i="79"/>
  <c r="HE582" i="79"/>
  <c r="GW582" i="79"/>
  <c r="GO582" i="79"/>
  <c r="GG582" i="79"/>
  <c r="FU582" i="79"/>
  <c r="FM582" i="79"/>
  <c r="FE582" i="79"/>
  <c r="EW582" i="79"/>
  <c r="EO582" i="79"/>
  <c r="EG582" i="79"/>
  <c r="DC582" i="79"/>
  <c r="BH582" i="79"/>
  <c r="AZ582" i="79"/>
  <c r="AR582" i="79"/>
  <c r="AJ582" i="79"/>
  <c r="AB582" i="79"/>
  <c r="MB582" i="79"/>
  <c r="LT582" i="79"/>
  <c r="LL582" i="79"/>
  <c r="HT582" i="79"/>
  <c r="HL582" i="79"/>
  <c r="HD582" i="79"/>
  <c r="GV582" i="79"/>
  <c r="GN582" i="79"/>
  <c r="GF582" i="79"/>
  <c r="FT582" i="79"/>
  <c r="FL582" i="79"/>
  <c r="FD582" i="79"/>
  <c r="EV582" i="79"/>
  <c r="EN582" i="79"/>
  <c r="EF582" i="79"/>
  <c r="CU582" i="79"/>
  <c r="BG582" i="79"/>
  <c r="AY582" i="79"/>
  <c r="AQ582" i="79"/>
  <c r="AI582" i="79"/>
  <c r="AA582" i="79"/>
  <c r="MA582" i="79"/>
  <c r="LS582" i="79"/>
  <c r="LK582" i="79"/>
  <c r="HS582" i="79"/>
  <c r="HK582" i="79"/>
  <c r="HC582" i="79"/>
  <c r="GU582" i="79"/>
  <c r="GM582" i="79"/>
  <c r="GE582" i="79"/>
  <c r="FS582" i="79"/>
  <c r="FK582" i="79"/>
  <c r="FC582" i="79"/>
  <c r="EU582" i="79"/>
  <c r="EM582" i="79"/>
  <c r="EE582" i="79"/>
  <c r="CM582" i="79"/>
  <c r="BF582" i="79"/>
  <c r="AX582" i="79"/>
  <c r="AP582" i="79"/>
  <c r="AH582" i="79"/>
  <c r="Z582" i="79"/>
  <c r="AV582" i="79"/>
  <c r="HA582" i="79"/>
  <c r="LC583" i="79"/>
  <c r="JC585" i="79"/>
  <c r="KI585" i="79"/>
  <c r="MF585" i="79"/>
  <c r="CE582" i="79"/>
  <c r="HR582" i="79"/>
  <c r="GS588" i="79"/>
  <c r="AH590" i="79"/>
  <c r="GP590" i="79"/>
  <c r="GW598" i="79"/>
  <c r="GI596" i="79"/>
  <c r="MF596" i="79"/>
  <c r="HH596" i="79"/>
  <c r="MC590" i="79"/>
  <c r="LU590" i="79"/>
  <c r="LM590" i="79"/>
  <c r="HU590" i="79"/>
  <c r="HM590" i="79"/>
  <c r="HE590" i="79"/>
  <c r="GW590" i="79"/>
  <c r="GO590" i="79"/>
  <c r="GG590" i="79"/>
  <c r="FT590" i="79"/>
  <c r="FL590" i="79"/>
  <c r="FD590" i="79"/>
  <c r="EV590" i="79"/>
  <c r="EN590" i="79"/>
  <c r="EF590" i="79"/>
  <c r="BH590" i="79"/>
  <c r="AZ590" i="79"/>
  <c r="AR590" i="79"/>
  <c r="AJ590" i="79"/>
  <c r="AB590" i="79"/>
  <c r="MB590" i="79"/>
  <c r="LT590" i="79"/>
  <c r="LL590" i="79"/>
  <c r="HT590" i="79"/>
  <c r="HL590" i="79"/>
  <c r="HD590" i="79"/>
  <c r="GV590" i="79"/>
  <c r="GN590" i="79"/>
  <c r="GF590" i="79"/>
  <c r="FS590" i="79"/>
  <c r="FK590" i="79"/>
  <c r="FC590" i="79"/>
  <c r="EU590" i="79"/>
  <c r="EM590" i="79"/>
  <c r="EE590" i="79"/>
  <c r="BG590" i="79"/>
  <c r="AY590" i="79"/>
  <c r="AQ590" i="79"/>
  <c r="AI590" i="79"/>
  <c r="AA590" i="79"/>
  <c r="MA590" i="79"/>
  <c r="LS590" i="79"/>
  <c r="LK590" i="79"/>
  <c r="HS590" i="79"/>
  <c r="HK590" i="79"/>
  <c r="HC590" i="79"/>
  <c r="GU590" i="79"/>
  <c r="GM590" i="79"/>
  <c r="GE590" i="79"/>
  <c r="LZ590" i="79"/>
  <c r="LR590" i="79"/>
  <c r="LJ590" i="79"/>
  <c r="HR590" i="79"/>
  <c r="HJ590" i="79"/>
  <c r="HB590" i="79"/>
  <c r="GT590" i="79"/>
  <c r="GL590" i="79"/>
  <c r="GD590" i="79"/>
  <c r="FQ590" i="79"/>
  <c r="FI590" i="79"/>
  <c r="FA590" i="79"/>
  <c r="ES590" i="79"/>
  <c r="EK590" i="79"/>
  <c r="EC590" i="79"/>
  <c r="BE590" i="79"/>
  <c r="AW590" i="79"/>
  <c r="AO590" i="79"/>
  <c r="AG590" i="79"/>
  <c r="Y590" i="79"/>
  <c r="LX590" i="79"/>
  <c r="LP590" i="79"/>
  <c r="LH590" i="79"/>
  <c r="HX590" i="79"/>
  <c r="HP590" i="79"/>
  <c r="HH590" i="79"/>
  <c r="GZ590" i="79"/>
  <c r="GR590" i="79"/>
  <c r="GJ590" i="79"/>
  <c r="GB590" i="79"/>
  <c r="FO590" i="79"/>
  <c r="FG590" i="79"/>
  <c r="EY590" i="79"/>
  <c r="EQ590" i="79"/>
  <c r="EI590" i="79"/>
  <c r="CG590" i="79"/>
  <c r="BC590" i="79"/>
  <c r="AU590" i="79"/>
  <c r="AM590" i="79"/>
  <c r="AE590" i="79"/>
  <c r="W590" i="79"/>
  <c r="LW590" i="79"/>
  <c r="LO590" i="79"/>
  <c r="LG590" i="79"/>
  <c r="HW590" i="79"/>
  <c r="HO590" i="79"/>
  <c r="HG590" i="79"/>
  <c r="GY590" i="79"/>
  <c r="GQ590" i="79"/>
  <c r="GI590" i="79"/>
  <c r="GA590" i="79"/>
  <c r="FN590" i="79"/>
  <c r="FF590" i="79"/>
  <c r="EX590" i="79"/>
  <c r="EP590" i="79"/>
  <c r="EH590" i="79"/>
  <c r="BJ590" i="79"/>
  <c r="BB590" i="79"/>
  <c r="AT590" i="79"/>
  <c r="AL590" i="79"/>
  <c r="AD590" i="79"/>
  <c r="LF590" i="79"/>
  <c r="HN590" i="79"/>
  <c r="GH590" i="79"/>
  <c r="FE590" i="79"/>
  <c r="EJ590" i="79"/>
  <c r="AX590" i="79"/>
  <c r="AC590" i="79"/>
  <c r="HI590" i="79"/>
  <c r="GC590" i="79"/>
  <c r="FB590" i="79"/>
  <c r="EG590" i="79"/>
  <c r="AV590" i="79"/>
  <c r="Z590" i="79"/>
  <c r="MD590" i="79"/>
  <c r="HF590" i="79"/>
  <c r="FU590" i="79"/>
  <c r="EZ590" i="79"/>
  <c r="ED590" i="79"/>
  <c r="AS590" i="79"/>
  <c r="X590" i="79"/>
  <c r="LY590" i="79"/>
  <c r="HA590" i="79"/>
  <c r="FR590" i="79"/>
  <c r="EW590" i="79"/>
  <c r="DM590" i="79"/>
  <c r="AP590" i="79"/>
  <c r="LV590" i="79"/>
  <c r="GX590" i="79"/>
  <c r="FP590" i="79"/>
  <c r="ET590" i="79"/>
  <c r="BI590" i="79"/>
  <c r="AN590" i="79"/>
  <c r="LN590" i="79"/>
  <c r="LQ590" i="79"/>
  <c r="GS590" i="79"/>
  <c r="FM590" i="79"/>
  <c r="ER590" i="79"/>
  <c r="BF590" i="79"/>
  <c r="AK590" i="79"/>
  <c r="ML585" i="79"/>
  <c r="KX585" i="79"/>
  <c r="KP585" i="79"/>
  <c r="KH585" i="79"/>
  <c r="JZ585" i="79"/>
  <c r="JR585" i="79"/>
  <c r="JJ585" i="79"/>
  <c r="JB585" i="79"/>
  <c r="IT585" i="79"/>
  <c r="IL585" i="79"/>
  <c r="ID585" i="79"/>
  <c r="MS585" i="79"/>
  <c r="MK585" i="79"/>
  <c r="LE585" i="79"/>
  <c r="KW585" i="79"/>
  <c r="KO585" i="79"/>
  <c r="KG585" i="79"/>
  <c r="JY585" i="79"/>
  <c r="JQ585" i="79"/>
  <c r="JI585" i="79"/>
  <c r="JA585" i="79"/>
  <c r="IS585" i="79"/>
  <c r="IK585" i="79"/>
  <c r="IC585" i="79"/>
  <c r="MR585" i="79"/>
  <c r="MJ585" i="79"/>
  <c r="LD585" i="79"/>
  <c r="KV585" i="79"/>
  <c r="KN585" i="79"/>
  <c r="KF585" i="79"/>
  <c r="JX585" i="79"/>
  <c r="JP585" i="79"/>
  <c r="JH585" i="79"/>
  <c r="IZ585" i="79"/>
  <c r="IR585" i="79"/>
  <c r="IJ585" i="79"/>
  <c r="IB585" i="79"/>
  <c r="MQ585" i="79"/>
  <c r="MI585" i="79"/>
  <c r="LC585" i="79"/>
  <c r="KU585" i="79"/>
  <c r="KM585" i="79"/>
  <c r="KE585" i="79"/>
  <c r="JW585" i="79"/>
  <c r="JO585" i="79"/>
  <c r="JG585" i="79"/>
  <c r="IY585" i="79"/>
  <c r="IQ585" i="79"/>
  <c r="II585" i="79"/>
  <c r="IA585" i="79"/>
  <c r="MP585" i="79"/>
  <c r="MH585" i="79"/>
  <c r="LB585" i="79"/>
  <c r="KT585" i="79"/>
  <c r="KL585" i="79"/>
  <c r="KD585" i="79"/>
  <c r="JV585" i="79"/>
  <c r="JN585" i="79"/>
  <c r="JF585" i="79"/>
  <c r="IX585" i="79"/>
  <c r="IP585" i="79"/>
  <c r="IH585" i="79"/>
  <c r="HZ585" i="79"/>
  <c r="MO585" i="79"/>
  <c r="MG585" i="79"/>
  <c r="LA585" i="79"/>
  <c r="KS585" i="79"/>
  <c r="KK585" i="79"/>
  <c r="KC585" i="79"/>
  <c r="JU585" i="79"/>
  <c r="JM585" i="79"/>
  <c r="JE585" i="79"/>
  <c r="IW585" i="79"/>
  <c r="IO585" i="79"/>
  <c r="IG585" i="79"/>
  <c r="HY585" i="79"/>
  <c r="MP583" i="79"/>
  <c r="MH583" i="79"/>
  <c r="LB583" i="79"/>
  <c r="KT583" i="79"/>
  <c r="KL583" i="79"/>
  <c r="KD583" i="79"/>
  <c r="JV583" i="79"/>
  <c r="JN583" i="79"/>
  <c r="JF583" i="79"/>
  <c r="IX583" i="79"/>
  <c r="IP583" i="79"/>
  <c r="IH583" i="79"/>
  <c r="IV583" i="79"/>
  <c r="IF583" i="79"/>
  <c r="MO583" i="79"/>
  <c r="MG583" i="79"/>
  <c r="LA583" i="79"/>
  <c r="KS583" i="79"/>
  <c r="KK583" i="79"/>
  <c r="KC583" i="79"/>
  <c r="JU583" i="79"/>
  <c r="JM583" i="79"/>
  <c r="JE583" i="79"/>
  <c r="IW583" i="79"/>
  <c r="IO583" i="79"/>
  <c r="IG583" i="79"/>
  <c r="KZ583" i="79"/>
  <c r="KR583" i="79"/>
  <c r="KJ583" i="79"/>
  <c r="KB583" i="79"/>
  <c r="JT583" i="79"/>
  <c r="JD583" i="79"/>
  <c r="IN583" i="79"/>
  <c r="MF583" i="79"/>
  <c r="JL583" i="79"/>
  <c r="ME583" i="79"/>
  <c r="KY583" i="79"/>
  <c r="KQ583" i="79"/>
  <c r="KI583" i="79"/>
  <c r="KA583" i="79"/>
  <c r="JS583" i="79"/>
  <c r="JK583" i="79"/>
  <c r="JC583" i="79"/>
  <c r="IU583" i="79"/>
  <c r="IM583" i="79"/>
  <c r="IE583" i="79"/>
  <c r="KX583" i="79"/>
  <c r="KP583" i="79"/>
  <c r="KH583" i="79"/>
  <c r="JZ583" i="79"/>
  <c r="JR583" i="79"/>
  <c r="JJ583" i="79"/>
  <c r="JB583" i="79"/>
  <c r="IT583" i="79"/>
  <c r="IL583" i="79"/>
  <c r="ID583" i="79"/>
  <c r="MS583" i="79"/>
  <c r="LE583" i="79"/>
  <c r="KW583" i="79"/>
  <c r="KO583" i="79"/>
  <c r="KG583" i="79"/>
  <c r="JY583" i="79"/>
  <c r="JQ583" i="79"/>
  <c r="JI583" i="79"/>
  <c r="JA583" i="79"/>
  <c r="IS583" i="79"/>
  <c r="IK583" i="79"/>
  <c r="AG582" i="79"/>
  <c r="FB582" i="79"/>
  <c r="GL582" i="79"/>
  <c r="LQ582" i="79"/>
  <c r="KN583" i="79"/>
  <c r="JT585" i="79"/>
  <c r="KZ585" i="79"/>
  <c r="AN582" i="79"/>
  <c r="EC582" i="79"/>
  <c r="FI582" i="79"/>
  <c r="GS582" i="79"/>
  <c r="LR582" i="79"/>
  <c r="II583" i="79"/>
  <c r="JO583" i="79"/>
  <c r="KU583" i="79"/>
  <c r="IU585" i="79"/>
  <c r="KA585" i="79"/>
  <c r="HA588" i="79"/>
  <c r="BA590" i="79"/>
  <c r="HQ590" i="79"/>
  <c r="AM594" i="79"/>
  <c r="BJ596" i="79"/>
  <c r="HX596" i="79"/>
  <c r="LY586" i="79"/>
  <c r="LQ586" i="79"/>
  <c r="LI586" i="79"/>
  <c r="HQ586" i="79"/>
  <c r="HI586" i="79"/>
  <c r="HA586" i="79"/>
  <c r="LW594" i="79"/>
  <c r="LO594" i="79"/>
  <c r="LG594" i="79"/>
  <c r="HW594" i="79"/>
  <c r="HO594" i="79"/>
  <c r="HG594" i="79"/>
  <c r="GY594" i="79"/>
  <c r="GQ594" i="79"/>
  <c r="GI594" i="79"/>
  <c r="FO594" i="79"/>
  <c r="FG594" i="79"/>
  <c r="EY594" i="79"/>
  <c r="EQ594" i="79"/>
  <c r="EI594" i="79"/>
  <c r="BJ594" i="79"/>
  <c r="BB594" i="79"/>
  <c r="AT594" i="79"/>
  <c r="AL594" i="79"/>
  <c r="AD594" i="79"/>
  <c r="A594" i="79"/>
  <c r="MC594" i="79"/>
  <c r="LU594" i="79"/>
  <c r="LM594" i="79"/>
  <c r="HU594" i="79"/>
  <c r="HM594" i="79"/>
  <c r="HE594" i="79"/>
  <c r="GW594" i="79"/>
  <c r="GO594" i="79"/>
  <c r="GG594" i="79"/>
  <c r="FU594" i="79"/>
  <c r="FM594" i="79"/>
  <c r="FE594" i="79"/>
  <c r="EW594" i="79"/>
  <c r="EO594" i="79"/>
  <c r="BH594" i="79"/>
  <c r="AZ594" i="79"/>
  <c r="AR594" i="79"/>
  <c r="AJ594" i="79"/>
  <c r="AB594" i="79"/>
  <c r="LZ594" i="79"/>
  <c r="LR594" i="79"/>
  <c r="LJ594" i="79"/>
  <c r="HR594" i="79"/>
  <c r="LS594" i="79"/>
  <c r="LF594" i="79"/>
  <c r="HT594" i="79"/>
  <c r="HI594" i="79"/>
  <c r="GX594" i="79"/>
  <c r="GM594" i="79"/>
  <c r="FP594" i="79"/>
  <c r="FD594" i="79"/>
  <c r="ET594" i="79"/>
  <c r="EJ594" i="79"/>
  <c r="BI594" i="79"/>
  <c r="AX594" i="79"/>
  <c r="AN594" i="79"/>
  <c r="AC594" i="79"/>
  <c r="MB594" i="79"/>
  <c r="LP594" i="79"/>
  <c r="HQ594" i="79"/>
  <c r="HF594" i="79"/>
  <c r="GU594" i="79"/>
  <c r="GK594" i="79"/>
  <c r="FL594" i="79"/>
  <c r="FB594" i="79"/>
  <c r="ER594" i="79"/>
  <c r="BF594" i="79"/>
  <c r="AV594" i="79"/>
  <c r="AK594" i="79"/>
  <c r="Z594" i="79"/>
  <c r="LX594" i="79"/>
  <c r="LK594" i="79"/>
  <c r="MD594" i="79"/>
  <c r="LI594" i="79"/>
  <c r="HX594" i="79"/>
  <c r="HH594" i="79"/>
  <c r="GS594" i="79"/>
  <c r="FR594" i="79"/>
  <c r="FC594" i="79"/>
  <c r="EN594" i="79"/>
  <c r="AY594" i="79"/>
  <c r="AI594" i="79"/>
  <c r="W594" i="79"/>
  <c r="MA594" i="79"/>
  <c r="LH594" i="79"/>
  <c r="HV594" i="79"/>
  <c r="HD594" i="79"/>
  <c r="GR594" i="79"/>
  <c r="FQ594" i="79"/>
  <c r="FA594" i="79"/>
  <c r="EM594" i="79"/>
  <c r="AW594" i="79"/>
  <c r="AH594" i="79"/>
  <c r="LY594" i="79"/>
  <c r="HS594" i="79"/>
  <c r="HC594" i="79"/>
  <c r="GP594" i="79"/>
  <c r="FN594" i="79"/>
  <c r="EZ594" i="79"/>
  <c r="EL594" i="79"/>
  <c r="DC594" i="79"/>
  <c r="AU594" i="79"/>
  <c r="AG594" i="79"/>
  <c r="LV594" i="79"/>
  <c r="HP594" i="79"/>
  <c r="HB594" i="79"/>
  <c r="GN594" i="79"/>
  <c r="FK594" i="79"/>
  <c r="EX594" i="79"/>
  <c r="EK594" i="79"/>
  <c r="BG594" i="79"/>
  <c r="AS594" i="79"/>
  <c r="AF594" i="79"/>
  <c r="LQ594" i="79"/>
  <c r="HL594" i="79"/>
  <c r="GZ594" i="79"/>
  <c r="GJ594" i="79"/>
  <c r="FI594" i="79"/>
  <c r="EU594" i="79"/>
  <c r="BD594" i="79"/>
  <c r="AP594" i="79"/>
  <c r="AA594" i="79"/>
  <c r="LN594" i="79"/>
  <c r="HK594" i="79"/>
  <c r="GV594" i="79"/>
  <c r="GH594" i="79"/>
  <c r="FT594" i="79"/>
  <c r="FH594" i="79"/>
  <c r="ES594" i="79"/>
  <c r="BC594" i="79"/>
  <c r="AO594" i="79"/>
  <c r="Y594" i="79"/>
  <c r="MA602" i="79"/>
  <c r="LS602" i="79"/>
  <c r="LK602" i="79"/>
  <c r="HS602" i="79"/>
  <c r="HK602" i="79"/>
  <c r="HC602" i="79"/>
  <c r="GU602" i="79"/>
  <c r="GM602" i="79"/>
  <c r="FR602" i="79"/>
  <c r="FJ602" i="79"/>
  <c r="FB602" i="79"/>
  <c r="ET602" i="79"/>
  <c r="EL602" i="79"/>
  <c r="BD602" i="79"/>
  <c r="AV602" i="79"/>
  <c r="AN602" i="79"/>
  <c r="AF602" i="79"/>
  <c r="X602" i="79"/>
  <c r="LZ602" i="79"/>
  <c r="LR602" i="79"/>
  <c r="LJ602" i="79"/>
  <c r="HR602" i="79"/>
  <c r="HJ602" i="79"/>
  <c r="HB602" i="79"/>
  <c r="GT602" i="79"/>
  <c r="GL602" i="79"/>
  <c r="LX602" i="79"/>
  <c r="LN602" i="79"/>
  <c r="HV602" i="79"/>
  <c r="HL602" i="79"/>
  <c r="GZ602" i="79"/>
  <c r="GP602" i="79"/>
  <c r="GF602" i="79"/>
  <c r="FS602" i="79"/>
  <c r="FI602" i="79"/>
  <c r="EZ602" i="79"/>
  <c r="EQ602" i="79"/>
  <c r="EH602" i="79"/>
  <c r="BH602" i="79"/>
  <c r="AY602" i="79"/>
  <c r="AP602" i="79"/>
  <c r="AG602" i="79"/>
  <c r="W602" i="79"/>
  <c r="LW602" i="79"/>
  <c r="LM602" i="79"/>
  <c r="HU602" i="79"/>
  <c r="HI602" i="79"/>
  <c r="GY602" i="79"/>
  <c r="GO602" i="79"/>
  <c r="FQ602" i="79"/>
  <c r="FH602" i="79"/>
  <c r="EY602" i="79"/>
  <c r="EP602" i="79"/>
  <c r="BG602" i="79"/>
  <c r="AX602" i="79"/>
  <c r="AO602" i="79"/>
  <c r="AE602" i="79"/>
  <c r="A602" i="79"/>
  <c r="LV602" i="79"/>
  <c r="LL602" i="79"/>
  <c r="HT602" i="79"/>
  <c r="HH602" i="79"/>
  <c r="GX602" i="79"/>
  <c r="GN602" i="79"/>
  <c r="FP602" i="79"/>
  <c r="FG602" i="79"/>
  <c r="EX602" i="79"/>
  <c r="EO602" i="79"/>
  <c r="BF602" i="79"/>
  <c r="AW602" i="79"/>
  <c r="AM602" i="79"/>
  <c r="AD602" i="79"/>
  <c r="LU602" i="79"/>
  <c r="LI602" i="79"/>
  <c r="HQ602" i="79"/>
  <c r="HG602" i="79"/>
  <c r="GW602" i="79"/>
  <c r="GK602" i="79"/>
  <c r="FO602" i="79"/>
  <c r="FF602" i="79"/>
  <c r="EW602" i="79"/>
  <c r="EN602" i="79"/>
  <c r="BE602" i="79"/>
  <c r="AU602" i="79"/>
  <c r="AL602" i="79"/>
  <c r="AC602" i="79"/>
  <c r="LQ602" i="79"/>
  <c r="HO602" i="79"/>
  <c r="GS602" i="79"/>
  <c r="FL602" i="79"/>
  <c r="ES602" i="79"/>
  <c r="AZ602" i="79"/>
  <c r="AH602" i="79"/>
  <c r="LP602" i="79"/>
  <c r="HN602" i="79"/>
  <c r="GR602" i="79"/>
  <c r="FK602" i="79"/>
  <c r="ER602" i="79"/>
  <c r="AT602" i="79"/>
  <c r="AB602" i="79"/>
  <c r="LO602" i="79"/>
  <c r="HM602" i="79"/>
  <c r="GQ602" i="79"/>
  <c r="FE602" i="79"/>
  <c r="EM602" i="79"/>
  <c r="AS602" i="79"/>
  <c r="AA602" i="79"/>
  <c r="MB602" i="79"/>
  <c r="LF602" i="79"/>
  <c r="HX602" i="79"/>
  <c r="HD602" i="79"/>
  <c r="GH602" i="79"/>
  <c r="FT602" i="79"/>
  <c r="FA602" i="79"/>
  <c r="EI602" i="79"/>
  <c r="BC602" i="79"/>
  <c r="AK602" i="79"/>
  <c r="HP602" i="79"/>
  <c r="FD602" i="79"/>
  <c r="AQ602" i="79"/>
  <c r="MC602" i="79"/>
  <c r="HE602" i="79"/>
  <c r="EV602" i="79"/>
  <c r="AI602" i="79"/>
  <c r="LH602" i="79"/>
  <c r="GJ602" i="79"/>
  <c r="FU602" i="79"/>
  <c r="EJ602" i="79"/>
  <c r="BB602" i="79"/>
  <c r="LG602" i="79"/>
  <c r="GI602" i="79"/>
  <c r="FN602" i="79"/>
  <c r="BA602" i="79"/>
  <c r="HF602" i="79"/>
  <c r="HA602" i="79"/>
  <c r="FM602" i="79"/>
  <c r="GV602" i="79"/>
  <c r="FC602" i="79"/>
  <c r="BJ602" i="79"/>
  <c r="GG602" i="79"/>
  <c r="EU602" i="79"/>
  <c r="BI602" i="79"/>
  <c r="LY602" i="79"/>
  <c r="AJ602" i="79"/>
  <c r="LT602" i="79"/>
  <c r="Z602" i="79"/>
  <c r="LX610" i="79"/>
  <c r="LP610" i="79"/>
  <c r="LH610" i="79"/>
  <c r="HX610" i="79"/>
  <c r="HP610" i="79"/>
  <c r="HH610" i="79"/>
  <c r="GZ610" i="79"/>
  <c r="GR610" i="79"/>
  <c r="GJ610" i="79"/>
  <c r="FO610" i="79"/>
  <c r="FG610" i="79"/>
  <c r="EY610" i="79"/>
  <c r="EQ610" i="79"/>
  <c r="EI610" i="79"/>
  <c r="BI610" i="79"/>
  <c r="BA610" i="79"/>
  <c r="AS610" i="79"/>
  <c r="AK610" i="79"/>
  <c r="AC610" i="79"/>
  <c r="LW610" i="79"/>
  <c r="LO610" i="79"/>
  <c r="LG610" i="79"/>
  <c r="LU610" i="79"/>
  <c r="LK610" i="79"/>
  <c r="HU610" i="79"/>
  <c r="HL610" i="79"/>
  <c r="HC610" i="79"/>
  <c r="GT610" i="79"/>
  <c r="GK610" i="79"/>
  <c r="FN610" i="79"/>
  <c r="FE610" i="79"/>
  <c r="EV610" i="79"/>
  <c r="EM610" i="79"/>
  <c r="BC610" i="79"/>
  <c r="AT610" i="79"/>
  <c r="AJ610" i="79"/>
  <c r="AA610" i="79"/>
  <c r="MA610" i="79"/>
  <c r="LN610" i="79"/>
  <c r="HW610" i="79"/>
  <c r="HM610" i="79"/>
  <c r="HB610" i="79"/>
  <c r="GQ610" i="79"/>
  <c r="GG610" i="79"/>
  <c r="FT610" i="79"/>
  <c r="FJ610" i="79"/>
  <c r="EZ610" i="79"/>
  <c r="EO610" i="79"/>
  <c r="BD610" i="79"/>
  <c r="AR610" i="79"/>
  <c r="AH610" i="79"/>
  <c r="X610" i="79"/>
  <c r="LZ610" i="79"/>
  <c r="LM610" i="79"/>
  <c r="HV610" i="79"/>
  <c r="HK610" i="79"/>
  <c r="HA610" i="79"/>
  <c r="GP610" i="79"/>
  <c r="GF610" i="79"/>
  <c r="FS610" i="79"/>
  <c r="FI610" i="79"/>
  <c r="EX610" i="79"/>
  <c r="EN610" i="79"/>
  <c r="BB610" i="79"/>
  <c r="AQ610" i="79"/>
  <c r="AG610" i="79"/>
  <c r="W610" i="79"/>
  <c r="LY610" i="79"/>
  <c r="LL610" i="79"/>
  <c r="HT610" i="79"/>
  <c r="HJ610" i="79"/>
  <c r="GY610" i="79"/>
  <c r="GO610" i="79"/>
  <c r="FR610" i="79"/>
  <c r="FH610" i="79"/>
  <c r="EW610" i="79"/>
  <c r="EL610" i="79"/>
  <c r="AZ610" i="79"/>
  <c r="AP610" i="79"/>
  <c r="AF610" i="79"/>
  <c r="A610" i="79"/>
  <c r="LV610" i="79"/>
  <c r="LJ610" i="79"/>
  <c r="HS610" i="79"/>
  <c r="HI610" i="79"/>
  <c r="GX610" i="79"/>
  <c r="GN610" i="79"/>
  <c r="FQ610" i="79"/>
  <c r="FF610" i="79"/>
  <c r="EU610" i="79"/>
  <c r="EK610" i="79"/>
  <c r="BJ610" i="79"/>
  <c r="AY610" i="79"/>
  <c r="AO610" i="79"/>
  <c r="AE610" i="79"/>
  <c r="MC610" i="79"/>
  <c r="HO610" i="79"/>
  <c r="GU610" i="79"/>
  <c r="FD610" i="79"/>
  <c r="EJ610" i="79"/>
  <c r="BG610" i="79"/>
  <c r="AM610" i="79"/>
  <c r="MB610" i="79"/>
  <c r="HN610" i="79"/>
  <c r="GS610" i="79"/>
  <c r="FC610" i="79"/>
  <c r="EH610" i="79"/>
  <c r="BF610" i="79"/>
  <c r="AL610" i="79"/>
  <c r="LS610" i="79"/>
  <c r="HF610" i="79"/>
  <c r="GL610" i="79"/>
  <c r="FU610" i="79"/>
  <c r="FA610" i="79"/>
  <c r="AX610" i="79"/>
  <c r="AD610" i="79"/>
  <c r="LQ610" i="79"/>
  <c r="HE610" i="79"/>
  <c r="FB610" i="79"/>
  <c r="AI610" i="79"/>
  <c r="LI610" i="79"/>
  <c r="HD610" i="79"/>
  <c r="ET610" i="79"/>
  <c r="AB610" i="79"/>
  <c r="LF610" i="79"/>
  <c r="GW610" i="79"/>
  <c r="ES610" i="79"/>
  <c r="BH610" i="79"/>
  <c r="Z610" i="79"/>
  <c r="GV610" i="79"/>
  <c r="ER610" i="79"/>
  <c r="BE610" i="79"/>
  <c r="Y610" i="79"/>
  <c r="MD610" i="79"/>
  <c r="GI610" i="79"/>
  <c r="FM610" i="79"/>
  <c r="LT610" i="79"/>
  <c r="GH610" i="79"/>
  <c r="FL610" i="79"/>
  <c r="AW610" i="79"/>
  <c r="LR610" i="79"/>
  <c r="FK610" i="79"/>
  <c r="AV610" i="79"/>
  <c r="HQ610" i="79"/>
  <c r="HR610" i="79"/>
  <c r="FP610" i="79"/>
  <c r="AN610" i="79"/>
  <c r="HG610" i="79"/>
  <c r="EP610" i="79"/>
  <c r="GM610" i="79"/>
  <c r="AU610" i="79"/>
  <c r="MC618" i="79"/>
  <c r="LU618" i="79"/>
  <c r="LM618" i="79"/>
  <c r="HU618" i="79"/>
  <c r="HM618" i="79"/>
  <c r="HE618" i="79"/>
  <c r="GW618" i="79"/>
  <c r="GO618" i="79"/>
  <c r="GG618" i="79"/>
  <c r="FT618" i="79"/>
  <c r="FL618" i="79"/>
  <c r="FD618" i="79"/>
  <c r="EV618" i="79"/>
  <c r="EN618" i="79"/>
  <c r="BF618" i="79"/>
  <c r="AX618" i="79"/>
  <c r="AP618" i="79"/>
  <c r="AH618" i="79"/>
  <c r="Z618" i="79"/>
  <c r="MB618" i="79"/>
  <c r="LT618" i="79"/>
  <c r="LL618" i="79"/>
  <c r="HT618" i="79"/>
  <c r="HL618" i="79"/>
  <c r="HD618" i="79"/>
  <c r="GV618" i="79"/>
  <c r="GN618" i="79"/>
  <c r="GF618" i="79"/>
  <c r="FS618" i="79"/>
  <c r="FK618" i="79"/>
  <c r="FC618" i="79"/>
  <c r="EU618" i="79"/>
  <c r="EM618" i="79"/>
  <c r="BE618" i="79"/>
  <c r="AW618" i="79"/>
  <c r="AO618" i="79"/>
  <c r="AG618" i="79"/>
  <c r="Y618" i="79"/>
  <c r="MA618" i="79"/>
  <c r="LS618" i="79"/>
  <c r="LK618" i="79"/>
  <c r="HS618" i="79"/>
  <c r="HK618" i="79"/>
  <c r="HC618" i="79"/>
  <c r="GU618" i="79"/>
  <c r="GM618" i="79"/>
  <c r="FR618" i="79"/>
  <c r="FJ618" i="79"/>
  <c r="FB618" i="79"/>
  <c r="ET618" i="79"/>
  <c r="EL618" i="79"/>
  <c r="BD618" i="79"/>
  <c r="AV618" i="79"/>
  <c r="AN618" i="79"/>
  <c r="AF618" i="79"/>
  <c r="X618" i="79"/>
  <c r="LZ618" i="79"/>
  <c r="LR618" i="79"/>
  <c r="LJ618" i="79"/>
  <c r="HR618" i="79"/>
  <c r="HJ618" i="79"/>
  <c r="HB618" i="79"/>
  <c r="GT618" i="79"/>
  <c r="GL618" i="79"/>
  <c r="FQ618" i="79"/>
  <c r="LX618" i="79"/>
  <c r="LP618" i="79"/>
  <c r="LH618" i="79"/>
  <c r="HX618" i="79"/>
  <c r="HP618" i="79"/>
  <c r="HH618" i="79"/>
  <c r="GZ618" i="79"/>
  <c r="GR618" i="79"/>
  <c r="GJ618" i="79"/>
  <c r="FO618" i="79"/>
  <c r="FG618" i="79"/>
  <c r="EY618" i="79"/>
  <c r="EQ618" i="79"/>
  <c r="EI618" i="79"/>
  <c r="BI618" i="79"/>
  <c r="BA618" i="79"/>
  <c r="AS618" i="79"/>
  <c r="AK618" i="79"/>
  <c r="AC618" i="79"/>
  <c r="LI618" i="79"/>
  <c r="HG618" i="79"/>
  <c r="GK618" i="79"/>
  <c r="FU618" i="79"/>
  <c r="FA618" i="79"/>
  <c r="EK618" i="79"/>
  <c r="BJ618" i="79"/>
  <c r="AT618" i="79"/>
  <c r="AD618" i="79"/>
  <c r="LY618" i="79"/>
  <c r="LF618" i="79"/>
  <c r="HW618" i="79"/>
  <c r="HA618" i="79"/>
  <c r="GH618" i="79"/>
  <c r="FN618" i="79"/>
  <c r="EX618" i="79"/>
  <c r="EH618" i="79"/>
  <c r="BG618" i="79"/>
  <c r="AQ618" i="79"/>
  <c r="AA618" i="79"/>
  <c r="LW618" i="79"/>
  <c r="HV618" i="79"/>
  <c r="GY618" i="79"/>
  <c r="FM618" i="79"/>
  <c r="EW618" i="79"/>
  <c r="BC618" i="79"/>
  <c r="AM618" i="79"/>
  <c r="W618" i="79"/>
  <c r="HF618" i="79"/>
  <c r="EZ618" i="79"/>
  <c r="AR618" i="79"/>
  <c r="GX618" i="79"/>
  <c r="ES618" i="79"/>
  <c r="AL618" i="79"/>
  <c r="MD618" i="79"/>
  <c r="GS618" i="79"/>
  <c r="ER618" i="79"/>
  <c r="AJ618" i="79"/>
  <c r="LV618" i="79"/>
  <c r="GQ618" i="79"/>
  <c r="FP618" i="79"/>
  <c r="EP618" i="79"/>
  <c r="BH618" i="79"/>
  <c r="AI618" i="79"/>
  <c r="LO618" i="79"/>
  <c r="HO618" i="79"/>
  <c r="GI618" i="79"/>
  <c r="FH618" i="79"/>
  <c r="EJ618" i="79"/>
  <c r="AZ618" i="79"/>
  <c r="AB618" i="79"/>
  <c r="AE618" i="79"/>
  <c r="A618" i="79"/>
  <c r="LQ618" i="79"/>
  <c r="LN618" i="79"/>
  <c r="HQ618" i="79"/>
  <c r="HN618" i="79"/>
  <c r="FI618" i="79"/>
  <c r="EO618" i="79"/>
  <c r="AU618" i="79"/>
  <c r="BB618" i="79"/>
  <c r="FF618" i="79"/>
  <c r="AY618" i="79"/>
  <c r="HI618" i="79"/>
  <c r="FE618" i="79"/>
  <c r="GP618" i="79"/>
  <c r="LG618" i="79"/>
  <c r="MS588" i="79"/>
  <c r="MK588" i="79"/>
  <c r="MC588" i="79"/>
  <c r="LU588" i="79"/>
  <c r="LM588" i="79"/>
  <c r="LE588" i="79"/>
  <c r="KW588" i="79"/>
  <c r="KO588" i="79"/>
  <c r="KG588" i="79"/>
  <c r="JY588" i="79"/>
  <c r="JQ588" i="79"/>
  <c r="JI588" i="79"/>
  <c r="JA588" i="79"/>
  <c r="IS588" i="79"/>
  <c r="IK588" i="79"/>
  <c r="IC588" i="79"/>
  <c r="HU588" i="79"/>
  <c r="HM588" i="79"/>
  <c r="HE588" i="79"/>
  <c r="GW588" i="79"/>
  <c r="GO588" i="79"/>
  <c r="GG588" i="79"/>
  <c r="FT588" i="79"/>
  <c r="FL588" i="79"/>
  <c r="FD588" i="79"/>
  <c r="EV588" i="79"/>
  <c r="EN588" i="79"/>
  <c r="EF588" i="79"/>
  <c r="BI588" i="79"/>
  <c r="BA588" i="79"/>
  <c r="AS588" i="79"/>
  <c r="AK588" i="79"/>
  <c r="AC588" i="79"/>
  <c r="DW596" i="79"/>
  <c r="ML596" i="79"/>
  <c r="MD596" i="79"/>
  <c r="LV596" i="79"/>
  <c r="LN596" i="79"/>
  <c r="LF596" i="79"/>
  <c r="KX596" i="79"/>
  <c r="KP596" i="79"/>
  <c r="KH596" i="79"/>
  <c r="JZ596" i="79"/>
  <c r="JR596" i="79"/>
  <c r="JJ596" i="79"/>
  <c r="JB596" i="79"/>
  <c r="IT596" i="79"/>
  <c r="IL596" i="79"/>
  <c r="ID596" i="79"/>
  <c r="HV596" i="79"/>
  <c r="HN596" i="79"/>
  <c r="HF596" i="79"/>
  <c r="GX596" i="79"/>
  <c r="GP596" i="79"/>
  <c r="GH596" i="79"/>
  <c r="FU596" i="79"/>
  <c r="FM596" i="79"/>
  <c r="FE596" i="79"/>
  <c r="EW596" i="79"/>
  <c r="EO596" i="79"/>
  <c r="EG596" i="79"/>
  <c r="BH596" i="79"/>
  <c r="AZ596" i="79"/>
  <c r="AR596" i="79"/>
  <c r="AJ596" i="79"/>
  <c r="AB596" i="79"/>
  <c r="MR596" i="79"/>
  <c r="MJ596" i="79"/>
  <c r="MB596" i="79"/>
  <c r="LT596" i="79"/>
  <c r="LL596" i="79"/>
  <c r="LD596" i="79"/>
  <c r="KV596" i="79"/>
  <c r="KN596" i="79"/>
  <c r="KF596" i="79"/>
  <c r="JX596" i="79"/>
  <c r="JP596" i="79"/>
  <c r="JH596" i="79"/>
  <c r="IZ596" i="79"/>
  <c r="IR596" i="79"/>
  <c r="IJ596" i="79"/>
  <c r="IB596" i="79"/>
  <c r="HT596" i="79"/>
  <c r="HL596" i="79"/>
  <c r="HD596" i="79"/>
  <c r="GV596" i="79"/>
  <c r="GN596" i="79"/>
  <c r="GF596" i="79"/>
  <c r="FS596" i="79"/>
  <c r="FK596" i="79"/>
  <c r="FC596" i="79"/>
  <c r="EU596" i="79"/>
  <c r="EM596" i="79"/>
  <c r="EE596" i="79"/>
  <c r="BF596" i="79"/>
  <c r="AX596" i="79"/>
  <c r="AP596" i="79"/>
  <c r="AH596" i="79"/>
  <c r="Z596" i="79"/>
  <c r="MO596" i="79"/>
  <c r="MG596" i="79"/>
  <c r="LY596" i="79"/>
  <c r="LQ596" i="79"/>
  <c r="LI596" i="79"/>
  <c r="LA596" i="79"/>
  <c r="KS596" i="79"/>
  <c r="KK596" i="79"/>
  <c r="KC596" i="79"/>
  <c r="JU596" i="79"/>
  <c r="JM596" i="79"/>
  <c r="JE596" i="79"/>
  <c r="IW596" i="79"/>
  <c r="IO596" i="79"/>
  <c r="IG596" i="79"/>
  <c r="HY596" i="79"/>
  <c r="HQ596" i="79"/>
  <c r="HI596" i="79"/>
  <c r="HA596" i="79"/>
  <c r="GS596" i="79"/>
  <c r="GK596" i="79"/>
  <c r="GC596" i="79"/>
  <c r="FP596" i="79"/>
  <c r="FH596" i="79"/>
  <c r="EZ596" i="79"/>
  <c r="ER596" i="79"/>
  <c r="EJ596" i="79"/>
  <c r="CK596" i="79"/>
  <c r="BC596" i="79"/>
  <c r="AU596" i="79"/>
  <c r="AM596" i="79"/>
  <c r="AE596" i="79"/>
  <c r="W596" i="79"/>
  <c r="MH596" i="79"/>
  <c r="LU596" i="79"/>
  <c r="LH596" i="79"/>
  <c r="KU596" i="79"/>
  <c r="KI596" i="79"/>
  <c r="JV596" i="79"/>
  <c r="JI596" i="79"/>
  <c r="IV596" i="79"/>
  <c r="II596" i="79"/>
  <c r="HW596" i="79"/>
  <c r="HJ596" i="79"/>
  <c r="GW596" i="79"/>
  <c r="GJ596" i="79"/>
  <c r="FR596" i="79"/>
  <c r="FF596" i="79"/>
  <c r="ES596" i="79"/>
  <c r="EF596" i="79"/>
  <c r="BB596" i="79"/>
  <c r="AO596" i="79"/>
  <c r="AC596" i="79"/>
  <c r="MQ596" i="79"/>
  <c r="ME596" i="79"/>
  <c r="LR596" i="79"/>
  <c r="LE596" i="79"/>
  <c r="KR596" i="79"/>
  <c r="KE596" i="79"/>
  <c r="JS596" i="79"/>
  <c r="JF596" i="79"/>
  <c r="IS596" i="79"/>
  <c r="IF596" i="79"/>
  <c r="HS596" i="79"/>
  <c r="HG596" i="79"/>
  <c r="GT596" i="79"/>
  <c r="GG596" i="79"/>
  <c r="FO596" i="79"/>
  <c r="FB596" i="79"/>
  <c r="EP596" i="79"/>
  <c r="EC596" i="79"/>
  <c r="AY596" i="79"/>
  <c r="AL596" i="79"/>
  <c r="Y596" i="79"/>
  <c r="MM596" i="79"/>
  <c r="LZ596" i="79"/>
  <c r="LM596" i="79"/>
  <c r="KZ596" i="79"/>
  <c r="KM596" i="79"/>
  <c r="KA596" i="79"/>
  <c r="JN596" i="79"/>
  <c r="JA596" i="79"/>
  <c r="IN596" i="79"/>
  <c r="IA596" i="79"/>
  <c r="HO596" i="79"/>
  <c r="HB596" i="79"/>
  <c r="GO596" i="79"/>
  <c r="GB596" i="79"/>
  <c r="FJ596" i="79"/>
  <c r="EX596" i="79"/>
  <c r="EK596" i="79"/>
  <c r="BG596" i="79"/>
  <c r="AT596" i="79"/>
  <c r="AG596" i="79"/>
  <c r="MK596" i="79"/>
  <c r="LX596" i="79"/>
  <c r="LK596" i="79"/>
  <c r="KY596" i="79"/>
  <c r="KL596" i="79"/>
  <c r="JY596" i="79"/>
  <c r="JL596" i="79"/>
  <c r="IY596" i="79"/>
  <c r="IM596" i="79"/>
  <c r="HZ596" i="79"/>
  <c r="HM596" i="79"/>
  <c r="GZ596" i="79"/>
  <c r="GM596" i="79"/>
  <c r="GA596" i="79"/>
  <c r="FI596" i="79"/>
  <c r="MS596" i="79"/>
  <c r="LS596" i="79"/>
  <c r="KT596" i="79"/>
  <c r="JT596" i="79"/>
  <c r="IU596" i="79"/>
  <c r="HU596" i="79"/>
  <c r="GU596" i="79"/>
  <c r="FQ596" i="79"/>
  <c r="ET596" i="79"/>
  <c r="BI596" i="79"/>
  <c r="AN596" i="79"/>
  <c r="MP596" i="79"/>
  <c r="LP596" i="79"/>
  <c r="KQ596" i="79"/>
  <c r="JQ596" i="79"/>
  <c r="IQ596" i="79"/>
  <c r="HR596" i="79"/>
  <c r="GR596" i="79"/>
  <c r="FN596" i="79"/>
  <c r="EQ596" i="79"/>
  <c r="BE596" i="79"/>
  <c r="AK596" i="79"/>
  <c r="MN596" i="79"/>
  <c r="LO596" i="79"/>
  <c r="KO596" i="79"/>
  <c r="JO596" i="79"/>
  <c r="IP596" i="79"/>
  <c r="HP596" i="79"/>
  <c r="GQ596" i="79"/>
  <c r="FL596" i="79"/>
  <c r="EN596" i="79"/>
  <c r="BD596" i="79"/>
  <c r="AI596" i="79"/>
  <c r="MI596" i="79"/>
  <c r="LJ596" i="79"/>
  <c r="KJ596" i="79"/>
  <c r="JK596" i="79"/>
  <c r="IK596" i="79"/>
  <c r="HK596" i="79"/>
  <c r="GL596" i="79"/>
  <c r="FG596" i="79"/>
  <c r="EL596" i="79"/>
  <c r="BA596" i="79"/>
  <c r="AF596" i="79"/>
  <c r="MC596" i="79"/>
  <c r="LC596" i="79"/>
  <c r="KD596" i="79"/>
  <c r="JD596" i="79"/>
  <c r="IE596" i="79"/>
  <c r="HE596" i="79"/>
  <c r="GE596" i="79"/>
  <c r="FA596" i="79"/>
  <c r="EH596" i="79"/>
  <c r="AV596" i="79"/>
  <c r="AA596" i="79"/>
  <c r="MA596" i="79"/>
  <c r="LB596" i="79"/>
  <c r="KB596" i="79"/>
  <c r="JC596" i="79"/>
  <c r="IC596" i="79"/>
  <c r="HC596" i="79"/>
  <c r="GD596" i="79"/>
  <c r="EY596" i="79"/>
  <c r="ED596" i="79"/>
  <c r="AS596" i="79"/>
  <c r="X596" i="79"/>
  <c r="MM604" i="79"/>
  <c r="ME604" i="79"/>
  <c r="LW604" i="79"/>
  <c r="LO604" i="79"/>
  <c r="LG604" i="79"/>
  <c r="KY604" i="79"/>
  <c r="KQ604" i="79"/>
  <c r="KI604" i="79"/>
  <c r="KA604" i="79"/>
  <c r="JS604" i="79"/>
  <c r="JK604" i="79"/>
  <c r="JC604" i="79"/>
  <c r="IU604" i="79"/>
  <c r="IM604" i="79"/>
  <c r="IE604" i="79"/>
  <c r="HW604" i="79"/>
  <c r="MK604" i="79"/>
  <c r="MB604" i="79"/>
  <c r="LS604" i="79"/>
  <c r="LJ604" i="79"/>
  <c r="LA604" i="79"/>
  <c r="KR604" i="79"/>
  <c r="KH604" i="79"/>
  <c r="JY604" i="79"/>
  <c r="JP604" i="79"/>
  <c r="JG604" i="79"/>
  <c r="IX604" i="79"/>
  <c r="IO604" i="79"/>
  <c r="IF604" i="79"/>
  <c r="HV604" i="79"/>
  <c r="HN604" i="79"/>
  <c r="HF604" i="79"/>
  <c r="GX604" i="79"/>
  <c r="GP604" i="79"/>
  <c r="GH604" i="79"/>
  <c r="FU604" i="79"/>
  <c r="FM604" i="79"/>
  <c r="FE604" i="79"/>
  <c r="EW604" i="79"/>
  <c r="EO604" i="79"/>
  <c r="EG604" i="79"/>
  <c r="BG604" i="79"/>
  <c r="AY604" i="79"/>
  <c r="AQ604" i="79"/>
  <c r="AI604" i="79"/>
  <c r="AA604" i="79"/>
  <c r="MS604" i="79"/>
  <c r="MJ604" i="79"/>
  <c r="MA604" i="79"/>
  <c r="LR604" i="79"/>
  <c r="LI604" i="79"/>
  <c r="KZ604" i="79"/>
  <c r="KP604" i="79"/>
  <c r="KG604" i="79"/>
  <c r="JX604" i="79"/>
  <c r="JO604" i="79"/>
  <c r="JF604" i="79"/>
  <c r="IW604" i="79"/>
  <c r="IN604" i="79"/>
  <c r="ID604" i="79"/>
  <c r="HU604" i="79"/>
  <c r="HM604" i="79"/>
  <c r="HE604" i="79"/>
  <c r="GW604" i="79"/>
  <c r="GO604" i="79"/>
  <c r="GG604" i="79"/>
  <c r="FT604" i="79"/>
  <c r="FL604" i="79"/>
  <c r="FD604" i="79"/>
  <c r="EV604" i="79"/>
  <c r="EN604" i="79"/>
  <c r="EF604" i="79"/>
  <c r="BF604" i="79"/>
  <c r="AX604" i="79"/>
  <c r="AP604" i="79"/>
  <c r="AH604" i="79"/>
  <c r="Z604" i="79"/>
  <c r="MH604" i="79"/>
  <c r="LV604" i="79"/>
  <c r="LK604" i="79"/>
  <c r="KW604" i="79"/>
  <c r="KL604" i="79"/>
  <c r="JZ604" i="79"/>
  <c r="JM604" i="79"/>
  <c r="JA604" i="79"/>
  <c r="IP604" i="79"/>
  <c r="IB604" i="79"/>
  <c r="HQ604" i="79"/>
  <c r="HG604" i="79"/>
  <c r="GU604" i="79"/>
  <c r="GK604" i="79"/>
  <c r="GA604" i="79"/>
  <c r="FJ604" i="79"/>
  <c r="EZ604" i="79"/>
  <c r="EP604" i="79"/>
  <c r="ED604" i="79"/>
  <c r="BB604" i="79"/>
  <c r="AR604" i="79"/>
  <c r="AF604" i="79"/>
  <c r="MR604" i="79"/>
  <c r="MG604" i="79"/>
  <c r="LU604" i="79"/>
  <c r="LH604" i="79"/>
  <c r="KV604" i="79"/>
  <c r="KK604" i="79"/>
  <c r="JW604" i="79"/>
  <c r="JL604" i="79"/>
  <c r="IZ604" i="79"/>
  <c r="IL604" i="79"/>
  <c r="IA604" i="79"/>
  <c r="HP604" i="79"/>
  <c r="HD604" i="79"/>
  <c r="GT604" i="79"/>
  <c r="GJ604" i="79"/>
  <c r="FS604" i="79"/>
  <c r="FI604" i="79"/>
  <c r="EY604" i="79"/>
  <c r="EM604" i="79"/>
  <c r="EC604" i="79"/>
  <c r="BA604" i="79"/>
  <c r="AO604" i="79"/>
  <c r="AE604" i="79"/>
  <c r="MQ604" i="79"/>
  <c r="MF604" i="79"/>
  <c r="LT604" i="79"/>
  <c r="LF604" i="79"/>
  <c r="KU604" i="79"/>
  <c r="KJ604" i="79"/>
  <c r="JV604" i="79"/>
  <c r="JJ604" i="79"/>
  <c r="IY604" i="79"/>
  <c r="IK604" i="79"/>
  <c r="HZ604" i="79"/>
  <c r="HO604" i="79"/>
  <c r="HC604" i="79"/>
  <c r="GS604" i="79"/>
  <c r="GI604" i="79"/>
  <c r="FR604" i="79"/>
  <c r="FH604" i="79"/>
  <c r="EX604" i="79"/>
  <c r="EL604" i="79"/>
  <c r="BJ604" i="79"/>
  <c r="AZ604" i="79"/>
  <c r="AN604" i="79"/>
  <c r="AD604" i="79"/>
  <c r="MP604" i="79"/>
  <c r="MD604" i="79"/>
  <c r="LQ604" i="79"/>
  <c r="LE604" i="79"/>
  <c r="KT604" i="79"/>
  <c r="KF604" i="79"/>
  <c r="JU604" i="79"/>
  <c r="JI604" i="79"/>
  <c r="IV604" i="79"/>
  <c r="IJ604" i="79"/>
  <c r="HY604" i="79"/>
  <c r="HL604" i="79"/>
  <c r="HB604" i="79"/>
  <c r="GR604" i="79"/>
  <c r="GF604" i="79"/>
  <c r="FQ604" i="79"/>
  <c r="FG604" i="79"/>
  <c r="EU604" i="79"/>
  <c r="EK604" i="79"/>
  <c r="BI604" i="79"/>
  <c r="AW604" i="79"/>
  <c r="AM604" i="79"/>
  <c r="AC604" i="79"/>
  <c r="LY604" i="79"/>
  <c r="LB604" i="79"/>
  <c r="KC604" i="79"/>
  <c r="JD604" i="79"/>
  <c r="IG604" i="79"/>
  <c r="HI604" i="79"/>
  <c r="GM604" i="79"/>
  <c r="FN604" i="79"/>
  <c r="ER604" i="79"/>
  <c r="BD604" i="79"/>
  <c r="AJ604" i="79"/>
  <c r="LX604" i="79"/>
  <c r="KX604" i="79"/>
  <c r="KB604" i="79"/>
  <c r="JB604" i="79"/>
  <c r="IC604" i="79"/>
  <c r="HH604" i="79"/>
  <c r="GL604" i="79"/>
  <c r="FK604" i="79"/>
  <c r="EQ604" i="79"/>
  <c r="BC604" i="79"/>
  <c r="AG604" i="79"/>
  <c r="MO604" i="79"/>
  <c r="LP604" i="79"/>
  <c r="KS604" i="79"/>
  <c r="JT604" i="79"/>
  <c r="IT604" i="79"/>
  <c r="HX604" i="79"/>
  <c r="HA604" i="79"/>
  <c r="GE604" i="79"/>
  <c r="FF604" i="79"/>
  <c r="EJ604" i="79"/>
  <c r="AV604" i="79"/>
  <c r="AB604" i="79"/>
  <c r="MI604" i="79"/>
  <c r="LL604" i="79"/>
  <c r="KM604" i="79"/>
  <c r="JN604" i="79"/>
  <c r="IQ604" i="79"/>
  <c r="HR604" i="79"/>
  <c r="GV604" i="79"/>
  <c r="GB604" i="79"/>
  <c r="FA604" i="79"/>
  <c r="EE604" i="79"/>
  <c r="AS604" i="79"/>
  <c r="W604" i="79"/>
  <c r="LC604" i="79"/>
  <c r="JE604" i="79"/>
  <c r="HJ604" i="79"/>
  <c r="FO604" i="79"/>
  <c r="BE604" i="79"/>
  <c r="ML604" i="79"/>
  <c r="KN604" i="79"/>
  <c r="IR604" i="79"/>
  <c r="GY604" i="79"/>
  <c r="FB604" i="79"/>
  <c r="AT604" i="79"/>
  <c r="LN604" i="79"/>
  <c r="JR604" i="79"/>
  <c r="HT604" i="79"/>
  <c r="GD604" i="79"/>
  <c r="EI604" i="79"/>
  <c r="Y604" i="79"/>
  <c r="LM604" i="79"/>
  <c r="JQ604" i="79"/>
  <c r="HS604" i="79"/>
  <c r="GC604" i="79"/>
  <c r="EH604" i="79"/>
  <c r="X604" i="79"/>
  <c r="KO604" i="79"/>
  <c r="GZ604" i="79"/>
  <c r="AU604" i="79"/>
  <c r="KE604" i="79"/>
  <c r="GQ604" i="79"/>
  <c r="AL604" i="79"/>
  <c r="KD604" i="79"/>
  <c r="GN604" i="79"/>
  <c r="AK604" i="79"/>
  <c r="JH604" i="79"/>
  <c r="FP604" i="79"/>
  <c r="MC604" i="79"/>
  <c r="II604" i="79"/>
  <c r="ET604" i="79"/>
  <c r="LZ604" i="79"/>
  <c r="IH604" i="79"/>
  <c r="ES604" i="79"/>
  <c r="MM612" i="79"/>
  <c r="ME612" i="79"/>
  <c r="LW612" i="79"/>
  <c r="LO612" i="79"/>
  <c r="LG612" i="79"/>
  <c r="KY612" i="79"/>
  <c r="KQ612" i="79"/>
  <c r="MS612" i="79"/>
  <c r="MK612" i="79"/>
  <c r="MC612" i="79"/>
  <c r="LU612" i="79"/>
  <c r="LM612" i="79"/>
  <c r="LE612" i="79"/>
  <c r="KW612" i="79"/>
  <c r="KO612" i="79"/>
  <c r="KG612" i="79"/>
  <c r="JY612" i="79"/>
  <c r="JQ612" i="79"/>
  <c r="MR612" i="79"/>
  <c r="MH612" i="79"/>
  <c r="LX612" i="79"/>
  <c r="LL612" i="79"/>
  <c r="LB612" i="79"/>
  <c r="KR612" i="79"/>
  <c r="KH612" i="79"/>
  <c r="JX612" i="79"/>
  <c r="JO612" i="79"/>
  <c r="JG612" i="79"/>
  <c r="IY612" i="79"/>
  <c r="IQ612" i="79"/>
  <c r="II612" i="79"/>
  <c r="IA612" i="79"/>
  <c r="HS612" i="79"/>
  <c r="HK612" i="79"/>
  <c r="HC612" i="79"/>
  <c r="GU612" i="79"/>
  <c r="GM612" i="79"/>
  <c r="GE612" i="79"/>
  <c r="FR612" i="79"/>
  <c r="FJ612" i="79"/>
  <c r="FB612" i="79"/>
  <c r="ET612" i="79"/>
  <c r="EL612" i="79"/>
  <c r="ED612" i="79"/>
  <c r="BD612" i="79"/>
  <c r="AV612" i="79"/>
  <c r="AN612" i="79"/>
  <c r="AF612" i="79"/>
  <c r="X612" i="79"/>
  <c r="MQ612" i="79"/>
  <c r="MG612" i="79"/>
  <c r="LV612" i="79"/>
  <c r="LK612" i="79"/>
  <c r="LA612" i="79"/>
  <c r="KP612" i="79"/>
  <c r="KF612" i="79"/>
  <c r="JW612" i="79"/>
  <c r="JN612" i="79"/>
  <c r="JF612" i="79"/>
  <c r="IX612" i="79"/>
  <c r="IP612" i="79"/>
  <c r="IH612" i="79"/>
  <c r="HZ612" i="79"/>
  <c r="HR612" i="79"/>
  <c r="HJ612" i="79"/>
  <c r="HB612" i="79"/>
  <c r="GT612" i="79"/>
  <c r="GL612" i="79"/>
  <c r="GD612" i="79"/>
  <c r="FQ612" i="79"/>
  <c r="FI612" i="79"/>
  <c r="FA612" i="79"/>
  <c r="ES612" i="79"/>
  <c r="EK612" i="79"/>
  <c r="EC612" i="79"/>
  <c r="BC612" i="79"/>
  <c r="AU612" i="79"/>
  <c r="AM612" i="79"/>
  <c r="AE612" i="79"/>
  <c r="W612" i="79"/>
  <c r="MD612" i="79"/>
  <c r="LQ612" i="79"/>
  <c r="LC612" i="79"/>
  <c r="KM612" i="79"/>
  <c r="KB612" i="79"/>
  <c r="JP612" i="79"/>
  <c r="JD612" i="79"/>
  <c r="IT612" i="79"/>
  <c r="IJ612" i="79"/>
  <c r="HX612" i="79"/>
  <c r="HN612" i="79"/>
  <c r="HD612" i="79"/>
  <c r="GR612" i="79"/>
  <c r="GH612" i="79"/>
  <c r="FS612" i="79"/>
  <c r="FG612" i="79"/>
  <c r="EW612" i="79"/>
  <c r="EM612" i="79"/>
  <c r="BI612" i="79"/>
  <c r="AY612" i="79"/>
  <c r="AO612" i="79"/>
  <c r="AC612" i="79"/>
  <c r="ML612" i="79"/>
  <c r="LT612" i="79"/>
  <c r="LF612" i="79"/>
  <c r="KN612" i="79"/>
  <c r="KA612" i="79"/>
  <c r="JL612" i="79"/>
  <c r="JA612" i="79"/>
  <c r="IN612" i="79"/>
  <c r="IC612" i="79"/>
  <c r="HP612" i="79"/>
  <c r="HE612" i="79"/>
  <c r="GQ612" i="79"/>
  <c r="GF612" i="79"/>
  <c r="FN612" i="79"/>
  <c r="FC612" i="79"/>
  <c r="EP612" i="79"/>
  <c r="EE612" i="79"/>
  <c r="AZ612" i="79"/>
  <c r="AL612" i="79"/>
  <c r="AA612" i="79"/>
  <c r="MJ612" i="79"/>
  <c r="LS612" i="79"/>
  <c r="LD612" i="79"/>
  <c r="KL612" i="79"/>
  <c r="JZ612" i="79"/>
  <c r="JK612" i="79"/>
  <c r="IZ612" i="79"/>
  <c r="IM612" i="79"/>
  <c r="IB612" i="79"/>
  <c r="HO612" i="79"/>
  <c r="HA612" i="79"/>
  <c r="GP612" i="79"/>
  <c r="GC612" i="79"/>
  <c r="FM612" i="79"/>
  <c r="EZ612" i="79"/>
  <c r="EO612" i="79"/>
  <c r="BJ612" i="79"/>
  <c r="AX612" i="79"/>
  <c r="AK612" i="79"/>
  <c r="Z612" i="79"/>
  <c r="MI612" i="79"/>
  <c r="LR612" i="79"/>
  <c r="KZ612" i="79"/>
  <c r="KK612" i="79"/>
  <c r="JV612" i="79"/>
  <c r="JJ612" i="79"/>
  <c r="IW612" i="79"/>
  <c r="IL612" i="79"/>
  <c r="HY612" i="79"/>
  <c r="HM612" i="79"/>
  <c r="GZ612" i="79"/>
  <c r="GO612" i="79"/>
  <c r="GB612" i="79"/>
  <c r="FL612" i="79"/>
  <c r="EY612" i="79"/>
  <c r="EN612" i="79"/>
  <c r="BH612" i="79"/>
  <c r="AW612" i="79"/>
  <c r="AJ612" i="79"/>
  <c r="Y612" i="79"/>
  <c r="MF612" i="79"/>
  <c r="LP612" i="79"/>
  <c r="KX612" i="79"/>
  <c r="KJ612" i="79"/>
  <c r="JU612" i="79"/>
  <c r="JI612" i="79"/>
  <c r="IV612" i="79"/>
  <c r="IK612" i="79"/>
  <c r="HW612" i="79"/>
  <c r="HL612" i="79"/>
  <c r="GY612" i="79"/>
  <c r="GN612" i="79"/>
  <c r="GA612" i="79"/>
  <c r="FK612" i="79"/>
  <c r="EX612" i="79"/>
  <c r="EJ612" i="79"/>
  <c r="BG612" i="79"/>
  <c r="AT612" i="79"/>
  <c r="AI612" i="79"/>
  <c r="LY612" i="79"/>
  <c r="KS612" i="79"/>
  <c r="JM612" i="79"/>
  <c r="IO612" i="79"/>
  <c r="HQ612" i="79"/>
  <c r="GS612" i="79"/>
  <c r="FO612" i="79"/>
  <c r="EQ612" i="79"/>
  <c r="BA612" i="79"/>
  <c r="AB612" i="79"/>
  <c r="LN612" i="79"/>
  <c r="KI612" i="79"/>
  <c r="JH612" i="79"/>
  <c r="IG612" i="79"/>
  <c r="HI612" i="79"/>
  <c r="GK612" i="79"/>
  <c r="FH612" i="79"/>
  <c r="EI612" i="79"/>
  <c r="AS612" i="79"/>
  <c r="MO612" i="79"/>
  <c r="LI612" i="79"/>
  <c r="KD612" i="79"/>
  <c r="JC612" i="79"/>
  <c r="IE612" i="79"/>
  <c r="HG612" i="79"/>
  <c r="GI612" i="79"/>
  <c r="FE612" i="79"/>
  <c r="EG612" i="79"/>
  <c r="AQ612" i="79"/>
  <c r="MB612" i="79"/>
  <c r="KE612" i="79"/>
  <c r="IS612" i="79"/>
  <c r="HF612" i="79"/>
  <c r="FP612" i="79"/>
  <c r="BF612" i="79"/>
  <c r="MA612" i="79"/>
  <c r="KC612" i="79"/>
  <c r="IR612" i="79"/>
  <c r="GX612" i="79"/>
  <c r="FF612" i="79"/>
  <c r="BE612" i="79"/>
  <c r="LZ612" i="79"/>
  <c r="JT612" i="79"/>
  <c r="IF612" i="79"/>
  <c r="GW612" i="79"/>
  <c r="FD612" i="79"/>
  <c r="BB612" i="79"/>
  <c r="LJ612" i="79"/>
  <c r="JS612" i="79"/>
  <c r="ID612" i="79"/>
  <c r="GV612" i="79"/>
  <c r="EV612" i="79"/>
  <c r="AR612" i="79"/>
  <c r="KU612" i="79"/>
  <c r="HT612" i="79"/>
  <c r="EH612" i="79"/>
  <c r="KT612" i="79"/>
  <c r="HH612" i="79"/>
  <c r="EF612" i="79"/>
  <c r="JR612" i="79"/>
  <c r="GJ612" i="79"/>
  <c r="AP612" i="79"/>
  <c r="MN612" i="79"/>
  <c r="IU612" i="79"/>
  <c r="FT612" i="79"/>
  <c r="AD612" i="79"/>
  <c r="GG612" i="79"/>
  <c r="MP612" i="79"/>
  <c r="FU612" i="79"/>
  <c r="LH612" i="79"/>
  <c r="EU612" i="79"/>
  <c r="JB612" i="79"/>
  <c r="AG612" i="79"/>
  <c r="HV612" i="79"/>
  <c r="KV612" i="79"/>
  <c r="JE612" i="79"/>
  <c r="HU612" i="79"/>
  <c r="AH612" i="79"/>
  <c r="B620" i="79"/>
  <c r="MR589" i="79"/>
  <c r="MJ589" i="79"/>
  <c r="MQ589" i="79"/>
  <c r="MI589" i="79"/>
  <c r="E620" i="79"/>
  <c r="MO589" i="79"/>
  <c r="MG589" i="79"/>
  <c r="MM589" i="79"/>
  <c r="ME589" i="79"/>
  <c r="ML589" i="79"/>
  <c r="ML593" i="79"/>
  <c r="MR593" i="79"/>
  <c r="MJ593" i="79"/>
  <c r="MP593" i="79"/>
  <c r="MF593" i="79"/>
  <c r="MN593" i="79"/>
  <c r="MG593" i="79"/>
  <c r="MS593" i="79"/>
  <c r="ME593" i="79"/>
  <c r="MQ593" i="79"/>
  <c r="MO593" i="79"/>
  <c r="MK593" i="79"/>
  <c r="MI593" i="79"/>
  <c r="MS597" i="79"/>
  <c r="MK597" i="79"/>
  <c r="MQ597" i="79"/>
  <c r="MI597" i="79"/>
  <c r="MN597" i="79"/>
  <c r="MF597" i="79"/>
  <c r="MG597" i="79"/>
  <c r="MP597" i="79"/>
  <c r="ML597" i="79"/>
  <c r="MJ597" i="79"/>
  <c r="MM597" i="79"/>
  <c r="MH597" i="79"/>
  <c r="ME597" i="79"/>
  <c r="MR597" i="79"/>
  <c r="MN601" i="79"/>
  <c r="MF601" i="79"/>
  <c r="ML601" i="79"/>
  <c r="MK601" i="79"/>
  <c r="MS601" i="79"/>
  <c r="MJ601" i="79"/>
  <c r="MR601" i="79"/>
  <c r="MI601" i="79"/>
  <c r="MM601" i="79"/>
  <c r="MH601" i="79"/>
  <c r="MG601" i="79"/>
  <c r="MQ601" i="79"/>
  <c r="MP601" i="79"/>
  <c r="MO601" i="79"/>
  <c r="ME601" i="79"/>
  <c r="MS605" i="79"/>
  <c r="MK605" i="79"/>
  <c r="MQ605" i="79"/>
  <c r="MI605" i="79"/>
  <c r="MP605" i="79"/>
  <c r="MH605" i="79"/>
  <c r="MF605" i="79"/>
  <c r="MR605" i="79"/>
  <c r="ME605" i="79"/>
  <c r="MN605" i="79"/>
  <c r="MO605" i="79"/>
  <c r="MM605" i="79"/>
  <c r="ML605" i="79"/>
  <c r="MJ605" i="79"/>
  <c r="MG605" i="79"/>
  <c r="MS609" i="79"/>
  <c r="MK609" i="79"/>
  <c r="MP609" i="79"/>
  <c r="MG609" i="79"/>
  <c r="ML609" i="79"/>
  <c r="MJ609" i="79"/>
  <c r="MI609" i="79"/>
  <c r="MR609" i="79"/>
  <c r="MH609" i="79"/>
  <c r="MO609" i="79"/>
  <c r="MN609" i="79"/>
  <c r="MF609" i="79"/>
  <c r="MQ609" i="79"/>
  <c r="MM609" i="79"/>
  <c r="ME609" i="79"/>
  <c r="MQ613" i="79"/>
  <c r="MI613" i="79"/>
  <c r="MO613" i="79"/>
  <c r="MG613" i="79"/>
  <c r="MS613" i="79"/>
  <c r="MH613" i="79"/>
  <c r="MR613" i="79"/>
  <c r="MF613" i="79"/>
  <c r="MP613" i="79"/>
  <c r="ME613" i="79"/>
  <c r="MN613" i="79"/>
  <c r="MK613" i="79"/>
  <c r="MM613" i="79"/>
  <c r="ML613" i="79"/>
  <c r="MJ613" i="79"/>
  <c r="MP617" i="79"/>
  <c r="MH617" i="79"/>
  <c r="MO617" i="79"/>
  <c r="MG617" i="79"/>
  <c r="MN617" i="79"/>
  <c r="MF617" i="79"/>
  <c r="MS617" i="79"/>
  <c r="MK617" i="79"/>
  <c r="ML617" i="79"/>
  <c r="MI617" i="79"/>
  <c r="ME617" i="79"/>
  <c r="MQ617" i="79"/>
  <c r="MM617" i="79"/>
  <c r="MJ617" i="79"/>
  <c r="MR617" i="79"/>
  <c r="A590" i="79"/>
  <c r="A598" i="79"/>
  <c r="A606" i="79"/>
  <c r="A614" i="79"/>
  <c r="LE618" i="79"/>
  <c r="KW618" i="79"/>
  <c r="KO618" i="79"/>
  <c r="KG618" i="79"/>
  <c r="JY618" i="79"/>
  <c r="JQ618" i="79"/>
  <c r="JI618" i="79"/>
  <c r="JA618" i="79"/>
  <c r="IS618" i="79"/>
  <c r="IK618" i="79"/>
  <c r="IC618" i="79"/>
  <c r="LD618" i="79"/>
  <c r="KV618" i="79"/>
  <c r="KN618" i="79"/>
  <c r="KF618" i="79"/>
  <c r="JX618" i="79"/>
  <c r="JP618" i="79"/>
  <c r="JH618" i="79"/>
  <c r="IZ618" i="79"/>
  <c r="IR618" i="79"/>
  <c r="IJ618" i="79"/>
  <c r="IB618" i="79"/>
  <c r="LC618" i="79"/>
  <c r="KU618" i="79"/>
  <c r="KM618" i="79"/>
  <c r="KE618" i="79"/>
  <c r="JW618" i="79"/>
  <c r="JO618" i="79"/>
  <c r="JG618" i="79"/>
  <c r="IY618" i="79"/>
  <c r="IQ618" i="79"/>
  <c r="II618" i="79"/>
  <c r="IA618" i="79"/>
  <c r="LB618" i="79"/>
  <c r="KT618" i="79"/>
  <c r="KL618" i="79"/>
  <c r="KD618" i="79"/>
  <c r="JV618" i="79"/>
  <c r="JN618" i="79"/>
  <c r="JF618" i="79"/>
  <c r="IX618" i="79"/>
  <c r="IP618" i="79"/>
  <c r="IH618" i="79"/>
  <c r="HZ618" i="79"/>
  <c r="KZ618" i="79"/>
  <c r="KR618" i="79"/>
  <c r="KJ618" i="79"/>
  <c r="KB618" i="79"/>
  <c r="JT618" i="79"/>
  <c r="JL618" i="79"/>
  <c r="JD618" i="79"/>
  <c r="IV618" i="79"/>
  <c r="IN618" i="79"/>
  <c r="IF618" i="79"/>
  <c r="ME618" i="79"/>
  <c r="KP618" i="79"/>
  <c r="JS618" i="79"/>
  <c r="IW618" i="79"/>
  <c r="ID618" i="79"/>
  <c r="KI618" i="79"/>
  <c r="JM618" i="79"/>
  <c r="IT618" i="79"/>
  <c r="LA618" i="79"/>
  <c r="KH618" i="79"/>
  <c r="JK618" i="79"/>
  <c r="IO618" i="79"/>
  <c r="ML618" i="79"/>
  <c r="KY618" i="79"/>
  <c r="JU618" i="79"/>
  <c r="IL618" i="79"/>
  <c r="MG618" i="79"/>
  <c r="KX618" i="79"/>
  <c r="JR618" i="79"/>
  <c r="IG618" i="79"/>
  <c r="KS618" i="79"/>
  <c r="JJ618" i="79"/>
  <c r="IE618" i="79"/>
  <c r="KQ618" i="79"/>
  <c r="JE618" i="79"/>
  <c r="HY618" i="79"/>
  <c r="KC618" i="79"/>
  <c r="JB618" i="79"/>
  <c r="MO618" i="79"/>
  <c r="JC618" i="79"/>
  <c r="MM618" i="79"/>
  <c r="IU618" i="79"/>
  <c r="IM618" i="79"/>
  <c r="KA618" i="79"/>
  <c r="JZ618" i="79"/>
  <c r="KK618" i="79"/>
  <c r="MS616" i="79"/>
  <c r="LE616" i="79"/>
  <c r="KW616" i="79"/>
  <c r="KO616" i="79"/>
  <c r="KG616" i="79"/>
  <c r="JY616" i="79"/>
  <c r="JQ616" i="79"/>
  <c r="JI616" i="79"/>
  <c r="JA616" i="79"/>
  <c r="IS616" i="79"/>
  <c r="IK616" i="79"/>
  <c r="MR616" i="79"/>
  <c r="LD616" i="79"/>
  <c r="KV616" i="79"/>
  <c r="KN616" i="79"/>
  <c r="KF616" i="79"/>
  <c r="JX616" i="79"/>
  <c r="JP616" i="79"/>
  <c r="MO616" i="79"/>
  <c r="MG616" i="79"/>
  <c r="LA616" i="79"/>
  <c r="KS616" i="79"/>
  <c r="KK616" i="79"/>
  <c r="KC616" i="79"/>
  <c r="JU616" i="79"/>
  <c r="JM616" i="79"/>
  <c r="JE616" i="79"/>
  <c r="IW616" i="79"/>
  <c r="IO616" i="79"/>
  <c r="IG616" i="79"/>
  <c r="KR616" i="79"/>
  <c r="KE616" i="79"/>
  <c r="JS616" i="79"/>
  <c r="JG616" i="79"/>
  <c r="IV616" i="79"/>
  <c r="IL616" i="79"/>
  <c r="LC616" i="79"/>
  <c r="KQ616" i="79"/>
  <c r="KD616" i="79"/>
  <c r="JR616" i="79"/>
  <c r="JF616" i="79"/>
  <c r="IU616" i="79"/>
  <c r="IJ616" i="79"/>
  <c r="MP616" i="79"/>
  <c r="MF616" i="79"/>
  <c r="KT616" i="79"/>
  <c r="KA616" i="79"/>
  <c r="JK616" i="79"/>
  <c r="IX616" i="79"/>
  <c r="IH616" i="79"/>
  <c r="ME616" i="79"/>
  <c r="KP616" i="79"/>
  <c r="JZ616" i="79"/>
  <c r="JJ616" i="79"/>
  <c r="IT616" i="79"/>
  <c r="IF616" i="79"/>
  <c r="KM616" i="79"/>
  <c r="JW616" i="79"/>
  <c r="JH616" i="79"/>
  <c r="IR616" i="79"/>
  <c r="IE616" i="79"/>
  <c r="LB616" i="79"/>
  <c r="KL616" i="79"/>
  <c r="JV616" i="79"/>
  <c r="JD616" i="79"/>
  <c r="IQ616" i="79"/>
  <c r="ID616" i="79"/>
  <c r="KY616" i="79"/>
  <c r="KI616" i="79"/>
  <c r="JO616" i="79"/>
  <c r="JB616" i="79"/>
  <c r="IN616" i="79"/>
  <c r="KX616" i="79"/>
  <c r="JC616" i="79"/>
  <c r="KU616" i="79"/>
  <c r="IZ616" i="79"/>
  <c r="KJ616" i="79"/>
  <c r="IY616" i="79"/>
  <c r="KH616" i="79"/>
  <c r="IP616" i="79"/>
  <c r="KB616" i="79"/>
  <c r="JL616" i="79"/>
  <c r="MQ616" i="79"/>
  <c r="KZ616" i="79"/>
  <c r="JT616" i="79"/>
  <c r="JN616" i="79"/>
  <c r="MH616" i="79"/>
  <c r="II616" i="79"/>
  <c r="MI616" i="79"/>
  <c r="IM616" i="79"/>
  <c r="LH615" i="79"/>
  <c r="GB615" i="79"/>
  <c r="FO615" i="79"/>
  <c r="FG615" i="79"/>
  <c r="EY615" i="79"/>
  <c r="EQ615" i="79"/>
  <c r="EI615" i="79"/>
  <c r="BI615" i="79"/>
  <c r="BA615" i="79"/>
  <c r="AS615" i="79"/>
  <c r="AK615" i="79"/>
  <c r="AC615" i="79"/>
  <c r="LO615" i="79"/>
  <c r="LG615" i="79"/>
  <c r="GA615" i="79"/>
  <c r="FN615" i="79"/>
  <c r="FF615" i="79"/>
  <c r="EX615" i="79"/>
  <c r="EP615" i="79"/>
  <c r="EH615" i="79"/>
  <c r="BH615" i="79"/>
  <c r="AZ615" i="79"/>
  <c r="AR615" i="79"/>
  <c r="AJ615" i="79"/>
  <c r="AB615" i="79"/>
  <c r="LM615" i="79"/>
  <c r="GE615" i="79"/>
  <c r="FP615" i="79"/>
  <c r="FD615" i="79"/>
  <c r="ET615" i="79"/>
  <c r="EJ615" i="79"/>
  <c r="BF615" i="79"/>
  <c r="AV615" i="79"/>
  <c r="AL615" i="79"/>
  <c r="Z615" i="79"/>
  <c r="LL615" i="79"/>
  <c r="GD615" i="79"/>
  <c r="FM615" i="79"/>
  <c r="FC615" i="79"/>
  <c r="ES615" i="79"/>
  <c r="EG615" i="79"/>
  <c r="BE615" i="79"/>
  <c r="AU615" i="79"/>
  <c r="AI615" i="79"/>
  <c r="Y615" i="79"/>
  <c r="LK615" i="79"/>
  <c r="GC615" i="79"/>
  <c r="FL615" i="79"/>
  <c r="FB615" i="79"/>
  <c r="ER615" i="79"/>
  <c r="EF615" i="79"/>
  <c r="BD615" i="79"/>
  <c r="AT615" i="79"/>
  <c r="AH615" i="79"/>
  <c r="X615" i="79"/>
  <c r="LJ615" i="79"/>
  <c r="FU615" i="79"/>
  <c r="FK615" i="79"/>
  <c r="FA615" i="79"/>
  <c r="EO615" i="79"/>
  <c r="EE615" i="79"/>
  <c r="BC615" i="79"/>
  <c r="AQ615" i="79"/>
  <c r="AG615" i="79"/>
  <c r="W615" i="79"/>
  <c r="LF615" i="79"/>
  <c r="FJ615" i="79"/>
  <c r="EN615" i="79"/>
  <c r="BB615" i="79"/>
  <c r="AF615" i="79"/>
  <c r="FI615" i="79"/>
  <c r="EM615" i="79"/>
  <c r="AY615" i="79"/>
  <c r="AE615" i="79"/>
  <c r="LN615" i="79"/>
  <c r="FH615" i="79"/>
  <c r="EL615" i="79"/>
  <c r="AX615" i="79"/>
  <c r="AD615" i="79"/>
  <c r="LI615" i="79"/>
  <c r="FE615" i="79"/>
  <c r="EK615" i="79"/>
  <c r="AW615" i="79"/>
  <c r="AA615" i="79"/>
  <c r="EU615" i="79"/>
  <c r="AM615" i="79"/>
  <c r="FR615" i="79"/>
  <c r="BJ615" i="79"/>
  <c r="ED615" i="79"/>
  <c r="EC615" i="79"/>
  <c r="FT615" i="79"/>
  <c r="BG615" i="79"/>
  <c r="FS615" i="79"/>
  <c r="AP615" i="79"/>
  <c r="FQ615" i="79"/>
  <c r="EZ615" i="79"/>
  <c r="EV615" i="79"/>
  <c r="EW615" i="79"/>
  <c r="AO615" i="79"/>
  <c r="AN615" i="79"/>
  <c r="HL615" i="79"/>
  <c r="GU615" i="79"/>
  <c r="MA613" i="79"/>
  <c r="LS613" i="79"/>
  <c r="HS613" i="79"/>
  <c r="HK613" i="79"/>
  <c r="HC613" i="79"/>
  <c r="GU613" i="79"/>
  <c r="GM613" i="79"/>
  <c r="LY613" i="79"/>
  <c r="LQ613" i="79"/>
  <c r="HQ613" i="79"/>
  <c r="HI613" i="79"/>
  <c r="HA613" i="79"/>
  <c r="GS613" i="79"/>
  <c r="GK613" i="79"/>
  <c r="LW613" i="79"/>
  <c r="LV613" i="79"/>
  <c r="LU613" i="79"/>
  <c r="HR613" i="79"/>
  <c r="HG613" i="79"/>
  <c r="GW613" i="79"/>
  <c r="GL613" i="79"/>
  <c r="MD613" i="79"/>
  <c r="LT613" i="79"/>
  <c r="HP613" i="79"/>
  <c r="HF613" i="79"/>
  <c r="GV613" i="79"/>
  <c r="GJ613" i="79"/>
  <c r="HW613" i="79"/>
  <c r="HJ613" i="79"/>
  <c r="GT613" i="79"/>
  <c r="GG613" i="79"/>
  <c r="MB613" i="79"/>
  <c r="HT613" i="79"/>
  <c r="HD613" i="79"/>
  <c r="GP613" i="79"/>
  <c r="HV613" i="79"/>
  <c r="HB613" i="79"/>
  <c r="GI613" i="79"/>
  <c r="HU613" i="79"/>
  <c r="GZ613" i="79"/>
  <c r="GH613" i="79"/>
  <c r="HO613" i="79"/>
  <c r="GY613" i="79"/>
  <c r="GF613" i="79"/>
  <c r="MC613" i="79"/>
  <c r="HN613" i="79"/>
  <c r="GX613" i="79"/>
  <c r="HM613" i="79"/>
  <c r="HL613" i="79"/>
  <c r="HE613" i="79"/>
  <c r="GR613" i="79"/>
  <c r="GQ613" i="79"/>
  <c r="GO613" i="79"/>
  <c r="LZ613" i="79"/>
  <c r="GN613" i="79"/>
  <c r="LP613" i="79"/>
  <c r="HX613" i="79"/>
  <c r="HH613" i="79"/>
  <c r="LX613" i="79"/>
  <c r="MN610" i="79"/>
  <c r="MF610" i="79"/>
  <c r="KZ610" i="79"/>
  <c r="KR610" i="79"/>
  <c r="KJ610" i="79"/>
  <c r="KB610" i="79"/>
  <c r="JT610" i="79"/>
  <c r="JL610" i="79"/>
  <c r="JD610" i="79"/>
  <c r="IV610" i="79"/>
  <c r="IN610" i="79"/>
  <c r="IF610" i="79"/>
  <c r="MM610" i="79"/>
  <c r="ME610" i="79"/>
  <c r="KY610" i="79"/>
  <c r="KQ610" i="79"/>
  <c r="KI610" i="79"/>
  <c r="KA610" i="79"/>
  <c r="JS610" i="79"/>
  <c r="JK610" i="79"/>
  <c r="JC610" i="79"/>
  <c r="IU610" i="79"/>
  <c r="IM610" i="79"/>
  <c r="MQ610" i="79"/>
  <c r="MG610" i="79"/>
  <c r="LA610" i="79"/>
  <c r="KO610" i="79"/>
  <c r="KE610" i="79"/>
  <c r="JU610" i="79"/>
  <c r="JI610" i="79"/>
  <c r="IY610" i="79"/>
  <c r="IO610" i="79"/>
  <c r="ID610" i="79"/>
  <c r="ML610" i="79"/>
  <c r="LC610" i="79"/>
  <c r="KP610" i="79"/>
  <c r="KD610" i="79"/>
  <c r="JQ610" i="79"/>
  <c r="JF610" i="79"/>
  <c r="IS610" i="79"/>
  <c r="IH610" i="79"/>
  <c r="MK610" i="79"/>
  <c r="LB610" i="79"/>
  <c r="KN610" i="79"/>
  <c r="KC610" i="79"/>
  <c r="JP610" i="79"/>
  <c r="JE610" i="79"/>
  <c r="IR610" i="79"/>
  <c r="IG610" i="79"/>
  <c r="MJ610" i="79"/>
  <c r="KX610" i="79"/>
  <c r="KM610" i="79"/>
  <c r="JZ610" i="79"/>
  <c r="JO610" i="79"/>
  <c r="JB610" i="79"/>
  <c r="IQ610" i="79"/>
  <c r="IE610" i="79"/>
  <c r="MI610" i="79"/>
  <c r="KW610" i="79"/>
  <c r="KL610" i="79"/>
  <c r="JY610" i="79"/>
  <c r="JN610" i="79"/>
  <c r="JA610" i="79"/>
  <c r="IP610" i="79"/>
  <c r="IC610" i="79"/>
  <c r="LE610" i="79"/>
  <c r="KG610" i="79"/>
  <c r="JH610" i="79"/>
  <c r="IJ610" i="79"/>
  <c r="LD610" i="79"/>
  <c r="KF610" i="79"/>
  <c r="JG610" i="79"/>
  <c r="II610" i="79"/>
  <c r="MR610" i="79"/>
  <c r="KU610" i="79"/>
  <c r="JW610" i="79"/>
  <c r="IX610" i="79"/>
  <c r="IA610" i="79"/>
  <c r="JX610" i="79"/>
  <c r="IL610" i="79"/>
  <c r="MS610" i="79"/>
  <c r="JV610" i="79"/>
  <c r="IK610" i="79"/>
  <c r="MP610" i="79"/>
  <c r="JR610" i="79"/>
  <c r="IB610" i="79"/>
  <c r="MO610" i="79"/>
  <c r="KV610" i="79"/>
  <c r="JM610" i="79"/>
  <c r="HZ610" i="79"/>
  <c r="IZ610" i="79"/>
  <c r="IW610" i="79"/>
  <c r="IT610" i="79"/>
  <c r="KK610" i="79"/>
  <c r="KT610" i="79"/>
  <c r="KS610" i="79"/>
  <c r="KH610" i="79"/>
  <c r="JJ610" i="79"/>
  <c r="HY610" i="79"/>
  <c r="MO608" i="79"/>
  <c r="MG608" i="79"/>
  <c r="LA608" i="79"/>
  <c r="KS608" i="79"/>
  <c r="KK608" i="79"/>
  <c r="KC608" i="79"/>
  <c r="JU608" i="79"/>
  <c r="JM608" i="79"/>
  <c r="JE608" i="79"/>
  <c r="IW608" i="79"/>
  <c r="IO608" i="79"/>
  <c r="IG608" i="79"/>
  <c r="MP608" i="79"/>
  <c r="MF608" i="79"/>
  <c r="KY608" i="79"/>
  <c r="KP608" i="79"/>
  <c r="KG608" i="79"/>
  <c r="JX608" i="79"/>
  <c r="JO608" i="79"/>
  <c r="JF608" i="79"/>
  <c r="IV608" i="79"/>
  <c r="IM608" i="79"/>
  <c r="ID608" i="79"/>
  <c r="ME608" i="79"/>
  <c r="KX608" i="79"/>
  <c r="KO608" i="79"/>
  <c r="KF608" i="79"/>
  <c r="JW608" i="79"/>
  <c r="JN608" i="79"/>
  <c r="JD608" i="79"/>
  <c r="IU608" i="79"/>
  <c r="IL608" i="79"/>
  <c r="KW608" i="79"/>
  <c r="KN608" i="79"/>
  <c r="KE608" i="79"/>
  <c r="JV608" i="79"/>
  <c r="JL608" i="79"/>
  <c r="JC608" i="79"/>
  <c r="IT608" i="79"/>
  <c r="IK608" i="79"/>
  <c r="LE608" i="79"/>
  <c r="KV608" i="79"/>
  <c r="KM608" i="79"/>
  <c r="KD608" i="79"/>
  <c r="JT608" i="79"/>
  <c r="JK608" i="79"/>
  <c r="JB608" i="79"/>
  <c r="IS608" i="79"/>
  <c r="IJ608" i="79"/>
  <c r="MS608" i="79"/>
  <c r="MI608" i="79"/>
  <c r="KT608" i="79"/>
  <c r="KA608" i="79"/>
  <c r="JI608" i="79"/>
  <c r="IQ608" i="79"/>
  <c r="MR608" i="79"/>
  <c r="MH608" i="79"/>
  <c r="KR608" i="79"/>
  <c r="JZ608" i="79"/>
  <c r="JH608" i="79"/>
  <c r="IP608" i="79"/>
  <c r="LD608" i="79"/>
  <c r="KL608" i="79"/>
  <c r="JS608" i="79"/>
  <c r="JA608" i="79"/>
  <c r="II608" i="79"/>
  <c r="A608" i="79"/>
  <c r="KU608" i="79"/>
  <c r="JQ608" i="79"/>
  <c r="IN608" i="79"/>
  <c r="KQ608" i="79"/>
  <c r="JP608" i="79"/>
  <c r="IH608" i="79"/>
  <c r="KJ608" i="79"/>
  <c r="JJ608" i="79"/>
  <c r="IF608" i="79"/>
  <c r="KI608" i="79"/>
  <c r="JG608" i="79"/>
  <c r="IE608" i="79"/>
  <c r="KZ608" i="79"/>
  <c r="IR608" i="79"/>
  <c r="KH608" i="79"/>
  <c r="KB608" i="79"/>
  <c r="IZ608" i="79"/>
  <c r="JY608" i="79"/>
  <c r="IY608" i="79"/>
  <c r="LC608" i="79"/>
  <c r="LB608" i="79"/>
  <c r="MQ608" i="79"/>
  <c r="JR608" i="79"/>
  <c r="LK607" i="79"/>
  <c r="GE607" i="79"/>
  <c r="FR607" i="79"/>
  <c r="FJ607" i="79"/>
  <c r="FB607" i="79"/>
  <c r="ET607" i="79"/>
  <c r="EL607" i="79"/>
  <c r="ED607" i="79"/>
  <c r="BE607" i="79"/>
  <c r="AW607" i="79"/>
  <c r="AO607" i="79"/>
  <c r="AG607" i="79"/>
  <c r="Y607" i="79"/>
  <c r="LJ607" i="79"/>
  <c r="GD607" i="79"/>
  <c r="FQ607" i="79"/>
  <c r="FI607" i="79"/>
  <c r="FA607" i="79"/>
  <c r="ES607" i="79"/>
  <c r="EK607" i="79"/>
  <c r="EC607" i="79"/>
  <c r="BD607" i="79"/>
  <c r="AV607" i="79"/>
  <c r="AN607" i="79"/>
  <c r="AF607" i="79"/>
  <c r="X607" i="79"/>
  <c r="LI607" i="79"/>
  <c r="GC607" i="79"/>
  <c r="FP607" i="79"/>
  <c r="FH607" i="79"/>
  <c r="EZ607" i="79"/>
  <c r="ER607" i="79"/>
  <c r="EJ607" i="79"/>
  <c r="BV607" i="79"/>
  <c r="BC607" i="79"/>
  <c r="AU607" i="79"/>
  <c r="AM607" i="79"/>
  <c r="AE607" i="79"/>
  <c r="W607" i="79"/>
  <c r="LH607" i="79"/>
  <c r="GB607" i="79"/>
  <c r="FO607" i="79"/>
  <c r="FG607" i="79"/>
  <c r="EY607" i="79"/>
  <c r="EQ607" i="79"/>
  <c r="EI607" i="79"/>
  <c r="BJ607" i="79"/>
  <c r="BB607" i="79"/>
  <c r="AT607" i="79"/>
  <c r="AL607" i="79"/>
  <c r="AD607" i="79"/>
  <c r="FS607" i="79"/>
  <c r="FC607" i="79"/>
  <c r="EM607" i="79"/>
  <c r="BF607" i="79"/>
  <c r="AP607" i="79"/>
  <c r="Z607" i="79"/>
  <c r="FN607" i="79"/>
  <c r="EX607" i="79"/>
  <c r="EH607" i="79"/>
  <c r="BA607" i="79"/>
  <c r="AK607" i="79"/>
  <c r="LN607" i="79"/>
  <c r="FL607" i="79"/>
  <c r="EV607" i="79"/>
  <c r="EF607" i="79"/>
  <c r="AY607" i="79"/>
  <c r="AI607" i="79"/>
  <c r="FF607" i="79"/>
  <c r="EG607" i="79"/>
  <c r="AR607" i="79"/>
  <c r="LO607" i="79"/>
  <c r="FE607" i="79"/>
  <c r="EE607" i="79"/>
  <c r="AQ607" i="79"/>
  <c r="LM607" i="79"/>
  <c r="FD607" i="79"/>
  <c r="BI607" i="79"/>
  <c r="AJ607" i="79"/>
  <c r="LL607" i="79"/>
  <c r="GA607" i="79"/>
  <c r="EW607" i="79"/>
  <c r="BH607" i="79"/>
  <c r="AH607" i="79"/>
  <c r="FK607" i="79"/>
  <c r="AS607" i="79"/>
  <c r="LG607" i="79"/>
  <c r="EU607" i="79"/>
  <c r="AC607" i="79"/>
  <c r="LF607" i="79"/>
  <c r="EP607" i="79"/>
  <c r="AB607" i="79"/>
  <c r="FU607" i="79"/>
  <c r="BG607" i="79"/>
  <c r="MC607" i="79"/>
  <c r="HU607" i="79"/>
  <c r="AX607" i="79"/>
  <c r="GP607" i="79"/>
  <c r="EO607" i="79"/>
  <c r="EN607" i="79"/>
  <c r="AA607" i="79"/>
  <c r="MB607" i="79"/>
  <c r="HV607" i="79"/>
  <c r="FT607" i="79"/>
  <c r="FM607" i="79"/>
  <c r="MC605" i="79"/>
  <c r="LU605" i="79"/>
  <c r="HU605" i="79"/>
  <c r="HM605" i="79"/>
  <c r="HE605" i="79"/>
  <c r="GW605" i="79"/>
  <c r="GO605" i="79"/>
  <c r="GG605" i="79"/>
  <c r="MA605" i="79"/>
  <c r="LS605" i="79"/>
  <c r="HS605" i="79"/>
  <c r="HK605" i="79"/>
  <c r="HC605" i="79"/>
  <c r="GU605" i="79"/>
  <c r="GM605" i="79"/>
  <c r="LZ605" i="79"/>
  <c r="LR605" i="79"/>
  <c r="HR605" i="79"/>
  <c r="HJ605" i="79"/>
  <c r="HB605" i="79"/>
  <c r="GT605" i="79"/>
  <c r="GL605" i="79"/>
  <c r="LT605" i="79"/>
  <c r="HO605" i="79"/>
  <c r="HA605" i="79"/>
  <c r="GP605" i="79"/>
  <c r="LQ605" i="79"/>
  <c r="HN605" i="79"/>
  <c r="GZ605" i="79"/>
  <c r="GN605" i="79"/>
  <c r="MB605" i="79"/>
  <c r="HW605" i="79"/>
  <c r="HI605" i="79"/>
  <c r="GX605" i="79"/>
  <c r="GJ605" i="79"/>
  <c r="LY605" i="79"/>
  <c r="HP605" i="79"/>
  <c r="GS605" i="79"/>
  <c r="LX605" i="79"/>
  <c r="HL605" i="79"/>
  <c r="GR605" i="79"/>
  <c r="LW605" i="79"/>
  <c r="HH605" i="79"/>
  <c r="GQ605" i="79"/>
  <c r="LV605" i="79"/>
  <c r="HG605" i="79"/>
  <c r="GK605" i="79"/>
  <c r="HQ605" i="79"/>
  <c r="HF605" i="79"/>
  <c r="HD605" i="79"/>
  <c r="LP605" i="79"/>
  <c r="HX605" i="79"/>
  <c r="GI605" i="79"/>
  <c r="HT605" i="79"/>
  <c r="GH605" i="79"/>
  <c r="GF605" i="79"/>
  <c r="GY605" i="79"/>
  <c r="GV605" i="79"/>
  <c r="MQ602" i="79"/>
  <c r="MI602" i="79"/>
  <c r="LC602" i="79"/>
  <c r="KU602" i="79"/>
  <c r="KM602" i="79"/>
  <c r="KE602" i="79"/>
  <c r="JW602" i="79"/>
  <c r="JO602" i="79"/>
  <c r="JG602" i="79"/>
  <c r="IY602" i="79"/>
  <c r="IQ602" i="79"/>
  <c r="II602" i="79"/>
  <c r="IA602" i="79"/>
  <c r="MP602" i="79"/>
  <c r="MH602" i="79"/>
  <c r="LB602" i="79"/>
  <c r="KT602" i="79"/>
  <c r="KL602" i="79"/>
  <c r="KD602" i="79"/>
  <c r="JV602" i="79"/>
  <c r="JN602" i="79"/>
  <c r="JF602" i="79"/>
  <c r="IX602" i="79"/>
  <c r="IP602" i="79"/>
  <c r="IH602" i="79"/>
  <c r="HZ602" i="79"/>
  <c r="MJ602" i="79"/>
  <c r="LD602" i="79"/>
  <c r="KR602" i="79"/>
  <c r="KH602" i="79"/>
  <c r="JX602" i="79"/>
  <c r="JL602" i="79"/>
  <c r="JB602" i="79"/>
  <c r="IR602" i="79"/>
  <c r="IF602" i="79"/>
  <c r="MS602" i="79"/>
  <c r="MG602" i="79"/>
  <c r="LA602" i="79"/>
  <c r="KQ602" i="79"/>
  <c r="KG602" i="79"/>
  <c r="JU602" i="79"/>
  <c r="JK602" i="79"/>
  <c r="JA602" i="79"/>
  <c r="IO602" i="79"/>
  <c r="IE602" i="79"/>
  <c r="MR602" i="79"/>
  <c r="MF602" i="79"/>
  <c r="KZ602" i="79"/>
  <c r="KP602" i="79"/>
  <c r="KF602" i="79"/>
  <c r="JT602" i="79"/>
  <c r="JJ602" i="79"/>
  <c r="IZ602" i="79"/>
  <c r="IN602" i="79"/>
  <c r="ID602" i="79"/>
  <c r="MO602" i="79"/>
  <c r="ME602" i="79"/>
  <c r="KY602" i="79"/>
  <c r="KO602" i="79"/>
  <c r="KC602" i="79"/>
  <c r="JS602" i="79"/>
  <c r="JI602" i="79"/>
  <c r="IW602" i="79"/>
  <c r="IM602" i="79"/>
  <c r="IC602" i="79"/>
  <c r="MM602" i="79"/>
  <c r="KW602" i="79"/>
  <c r="KA602" i="79"/>
  <c r="JE602" i="79"/>
  <c r="IK602" i="79"/>
  <c r="ML602" i="79"/>
  <c r="KV602" i="79"/>
  <c r="JZ602" i="79"/>
  <c r="JD602" i="79"/>
  <c r="IJ602" i="79"/>
  <c r="MK602" i="79"/>
  <c r="KS602" i="79"/>
  <c r="JY602" i="79"/>
  <c r="JC602" i="79"/>
  <c r="IG602" i="79"/>
  <c r="KJ602" i="79"/>
  <c r="JP602" i="79"/>
  <c r="IT602" i="79"/>
  <c r="MN602" i="79"/>
  <c r="KX602" i="79"/>
  <c r="JH602" i="79"/>
  <c r="KK602" i="79"/>
  <c r="IU602" i="79"/>
  <c r="JR602" i="79"/>
  <c r="IB602" i="79"/>
  <c r="JQ602" i="79"/>
  <c r="HY602" i="79"/>
  <c r="KN602" i="79"/>
  <c r="KI602" i="79"/>
  <c r="KB602" i="79"/>
  <c r="JM602" i="79"/>
  <c r="IS602" i="79"/>
  <c r="IL602" i="79"/>
  <c r="ME600" i="79"/>
  <c r="KY600" i="79"/>
  <c r="KQ600" i="79"/>
  <c r="KI600" i="79"/>
  <c r="KA600" i="79"/>
  <c r="JS600" i="79"/>
  <c r="JK600" i="79"/>
  <c r="JC600" i="79"/>
  <c r="IU600" i="79"/>
  <c r="IM600" i="79"/>
  <c r="IE600" i="79"/>
  <c r="KX600" i="79"/>
  <c r="KP600" i="79"/>
  <c r="KH600" i="79"/>
  <c r="JZ600" i="79"/>
  <c r="JR600" i="79"/>
  <c r="JJ600" i="79"/>
  <c r="JB600" i="79"/>
  <c r="IT600" i="79"/>
  <c r="IL600" i="79"/>
  <c r="ID600" i="79"/>
  <c r="MS600" i="79"/>
  <c r="MR600" i="79"/>
  <c r="LD600" i="79"/>
  <c r="KV600" i="79"/>
  <c r="KN600" i="79"/>
  <c r="KF600" i="79"/>
  <c r="JX600" i="79"/>
  <c r="JP600" i="79"/>
  <c r="JH600" i="79"/>
  <c r="IZ600" i="79"/>
  <c r="IR600" i="79"/>
  <c r="IJ600" i="79"/>
  <c r="LB600" i="79"/>
  <c r="KO600" i="79"/>
  <c r="KC600" i="79"/>
  <c r="JO600" i="79"/>
  <c r="JD600" i="79"/>
  <c r="IP600" i="79"/>
  <c r="MQ600" i="79"/>
  <c r="MI600" i="79"/>
  <c r="LA600" i="79"/>
  <c r="MP600" i="79"/>
  <c r="MH600" i="79"/>
  <c r="KZ600" i="79"/>
  <c r="KL600" i="79"/>
  <c r="JY600" i="79"/>
  <c r="JM600" i="79"/>
  <c r="IY600" i="79"/>
  <c r="IN600" i="79"/>
  <c r="KT600" i="79"/>
  <c r="KG600" i="79"/>
  <c r="JU600" i="79"/>
  <c r="JG600" i="79"/>
  <c r="IV600" i="79"/>
  <c r="IH600" i="79"/>
  <c r="LE600" i="79"/>
  <c r="KJ600" i="79"/>
  <c r="JN600" i="79"/>
  <c r="IS600" i="79"/>
  <c r="KW600" i="79"/>
  <c r="KD600" i="79"/>
  <c r="JI600" i="79"/>
  <c r="IO600" i="79"/>
  <c r="MG600" i="79"/>
  <c r="KR600" i="79"/>
  <c r="JV600" i="79"/>
  <c r="JA600" i="79"/>
  <c r="IG600" i="79"/>
  <c r="MF600" i="79"/>
  <c r="KM600" i="79"/>
  <c r="JT600" i="79"/>
  <c r="IX600" i="79"/>
  <c r="IF600" i="79"/>
  <c r="KE600" i="79"/>
  <c r="IQ600" i="79"/>
  <c r="KB600" i="79"/>
  <c r="IK600" i="79"/>
  <c r="JW600" i="79"/>
  <c r="II600" i="79"/>
  <c r="JQ600" i="79"/>
  <c r="MO600" i="79"/>
  <c r="KU600" i="79"/>
  <c r="JF600" i="79"/>
  <c r="KS600" i="79"/>
  <c r="JE600" i="79"/>
  <c r="LK599" i="79"/>
  <c r="GE599" i="79"/>
  <c r="FR599" i="79"/>
  <c r="FJ599" i="79"/>
  <c r="FB599" i="79"/>
  <c r="ET599" i="79"/>
  <c r="EL599" i="79"/>
  <c r="ED599" i="79"/>
  <c r="BD599" i="79"/>
  <c r="AV599" i="79"/>
  <c r="AN599" i="79"/>
  <c r="LH599" i="79"/>
  <c r="GB599" i="79"/>
  <c r="FO599" i="79"/>
  <c r="FG599" i="79"/>
  <c r="EY599" i="79"/>
  <c r="EQ599" i="79"/>
  <c r="EI599" i="79"/>
  <c r="BI599" i="79"/>
  <c r="BA599" i="79"/>
  <c r="AS599" i="79"/>
  <c r="AK599" i="79"/>
  <c r="LG599" i="79"/>
  <c r="FU599" i="79"/>
  <c r="FK599" i="79"/>
  <c r="EZ599" i="79"/>
  <c r="EO599" i="79"/>
  <c r="EE599" i="79"/>
  <c r="BB599" i="79"/>
  <c r="AQ599" i="79"/>
  <c r="AG599" i="79"/>
  <c r="Y599" i="79"/>
  <c r="LO599" i="79"/>
  <c r="FS599" i="79"/>
  <c r="FH599" i="79"/>
  <c r="EW599" i="79"/>
  <c r="EM599" i="79"/>
  <c r="BJ599" i="79"/>
  <c r="AY599" i="79"/>
  <c r="AO599" i="79"/>
  <c r="AE599" i="79"/>
  <c r="W599" i="79"/>
  <c r="LL599" i="79"/>
  <c r="GD599" i="79"/>
  <c r="FN599" i="79"/>
  <c r="FD599" i="79"/>
  <c r="ES599" i="79"/>
  <c r="EH599" i="79"/>
  <c r="BF599" i="79"/>
  <c r="AU599" i="79"/>
  <c r="AJ599" i="79"/>
  <c r="AB599" i="79"/>
  <c r="LQ599" i="79"/>
  <c r="HW599" i="79"/>
  <c r="HG599" i="79"/>
  <c r="GP599" i="79"/>
  <c r="FT599" i="79"/>
  <c r="FC599" i="79"/>
  <c r="EK599" i="79"/>
  <c r="BC599" i="79"/>
  <c r="AL599" i="79"/>
  <c r="X599" i="79"/>
  <c r="MD599" i="79"/>
  <c r="LM599" i="79"/>
  <c r="HT599" i="79"/>
  <c r="HB599" i="79"/>
  <c r="GL599" i="79"/>
  <c r="FP599" i="79"/>
  <c r="EX599" i="79"/>
  <c r="EG599" i="79"/>
  <c r="AX599" i="79"/>
  <c r="AH599" i="79"/>
  <c r="LW599" i="79"/>
  <c r="LF599" i="79"/>
  <c r="HM599" i="79"/>
  <c r="GW599" i="79"/>
  <c r="GF599" i="79"/>
  <c r="FI599" i="79"/>
  <c r="ER599" i="79"/>
  <c r="BH599" i="79"/>
  <c r="AR599" i="79"/>
  <c r="AC599" i="79"/>
  <c r="LU599" i="79"/>
  <c r="HL599" i="79"/>
  <c r="GT599" i="79"/>
  <c r="GC599" i="79"/>
  <c r="FF599" i="79"/>
  <c r="EP599" i="79"/>
  <c r="BG599" i="79"/>
  <c r="AP599" i="79"/>
  <c r="AA599" i="79"/>
  <c r="LJ599" i="79"/>
  <c r="GQ599" i="79"/>
  <c r="FE599" i="79"/>
  <c r="BE599" i="79"/>
  <c r="Z599" i="79"/>
  <c r="LI599" i="79"/>
  <c r="HV599" i="79"/>
  <c r="GN599" i="79"/>
  <c r="FA599" i="79"/>
  <c r="AZ599" i="79"/>
  <c r="HR599" i="79"/>
  <c r="GI599" i="79"/>
  <c r="EV599" i="79"/>
  <c r="AW599" i="79"/>
  <c r="HO599" i="79"/>
  <c r="GG599" i="79"/>
  <c r="EU599" i="79"/>
  <c r="AT599" i="79"/>
  <c r="LY599" i="79"/>
  <c r="HE599" i="79"/>
  <c r="FQ599" i="79"/>
  <c r="EJ599" i="79"/>
  <c r="AI599" i="79"/>
  <c r="LT599" i="79"/>
  <c r="HA599" i="79"/>
  <c r="FM599" i="79"/>
  <c r="EF599" i="79"/>
  <c r="AF599" i="79"/>
  <c r="LQ597" i="79"/>
  <c r="HI597" i="79"/>
  <c r="GS597" i="79"/>
  <c r="LY597" i="79"/>
  <c r="HA597" i="79"/>
  <c r="HQ597" i="79"/>
  <c r="GK597" i="79"/>
  <c r="MM594" i="79"/>
  <c r="ME594" i="79"/>
  <c r="KY594" i="79"/>
  <c r="KQ594" i="79"/>
  <c r="KI594" i="79"/>
  <c r="KA594" i="79"/>
  <c r="JS594" i="79"/>
  <c r="JK594" i="79"/>
  <c r="JC594" i="79"/>
  <c r="IU594" i="79"/>
  <c r="IM594" i="79"/>
  <c r="IE594" i="79"/>
  <c r="MS594" i="79"/>
  <c r="MK594" i="79"/>
  <c r="LE594" i="79"/>
  <c r="KW594" i="79"/>
  <c r="KO594" i="79"/>
  <c r="KG594" i="79"/>
  <c r="JY594" i="79"/>
  <c r="JQ594" i="79"/>
  <c r="JI594" i="79"/>
  <c r="JA594" i="79"/>
  <c r="IS594" i="79"/>
  <c r="IK594" i="79"/>
  <c r="IC594" i="79"/>
  <c r="MP594" i="79"/>
  <c r="MH594" i="79"/>
  <c r="LB594" i="79"/>
  <c r="KT594" i="79"/>
  <c r="KL594" i="79"/>
  <c r="KD594" i="79"/>
  <c r="JV594" i="79"/>
  <c r="JN594" i="79"/>
  <c r="JF594" i="79"/>
  <c r="IX594" i="79"/>
  <c r="IP594" i="79"/>
  <c r="IH594" i="79"/>
  <c r="HZ594" i="79"/>
  <c r="MR594" i="79"/>
  <c r="MF594" i="79"/>
  <c r="KS594" i="79"/>
  <c r="KF594" i="79"/>
  <c r="JT594" i="79"/>
  <c r="JG594" i="79"/>
  <c r="IT594" i="79"/>
  <c r="IG594" i="79"/>
  <c r="MO594" i="79"/>
  <c r="LC594" i="79"/>
  <c r="KP594" i="79"/>
  <c r="KC594" i="79"/>
  <c r="JP594" i="79"/>
  <c r="JD594" i="79"/>
  <c r="IQ594" i="79"/>
  <c r="ID594" i="79"/>
  <c r="MJ594" i="79"/>
  <c r="KX594" i="79"/>
  <c r="KK594" i="79"/>
  <c r="KN594" i="79"/>
  <c r="JW594" i="79"/>
  <c r="JE594" i="79"/>
  <c r="IN594" i="79"/>
  <c r="KM594" i="79"/>
  <c r="JU594" i="79"/>
  <c r="JB594" i="79"/>
  <c r="IL594" i="79"/>
  <c r="LD594" i="79"/>
  <c r="KJ594" i="79"/>
  <c r="JR594" i="79"/>
  <c r="IZ594" i="79"/>
  <c r="IJ594" i="79"/>
  <c r="MQ594" i="79"/>
  <c r="LA594" i="79"/>
  <c r="KH594" i="79"/>
  <c r="JO594" i="79"/>
  <c r="IY594" i="79"/>
  <c r="II594" i="79"/>
  <c r="ML594" i="79"/>
  <c r="KV594" i="79"/>
  <c r="KB594" i="79"/>
  <c r="JL594" i="79"/>
  <c r="IV594" i="79"/>
  <c r="IB594" i="79"/>
  <c r="MI594" i="79"/>
  <c r="KU594" i="79"/>
  <c r="JZ594" i="79"/>
  <c r="JJ594" i="79"/>
  <c r="IR594" i="79"/>
  <c r="IA594" i="79"/>
  <c r="MQ592" i="79"/>
  <c r="MI592" i="79"/>
  <c r="LC592" i="79"/>
  <c r="KU592" i="79"/>
  <c r="KM592" i="79"/>
  <c r="KE592" i="79"/>
  <c r="JW592" i="79"/>
  <c r="JO592" i="79"/>
  <c r="JG592" i="79"/>
  <c r="IY592" i="79"/>
  <c r="IQ592" i="79"/>
  <c r="II592" i="79"/>
  <c r="MO592" i="79"/>
  <c r="MG592" i="79"/>
  <c r="LA592" i="79"/>
  <c r="KS592" i="79"/>
  <c r="KK592" i="79"/>
  <c r="KC592" i="79"/>
  <c r="JU592" i="79"/>
  <c r="JM592" i="79"/>
  <c r="JE592" i="79"/>
  <c r="IW592" i="79"/>
  <c r="IO592" i="79"/>
  <c r="IG592" i="79"/>
  <c r="LB592" i="79"/>
  <c r="KQ592" i="79"/>
  <c r="KG592" i="79"/>
  <c r="JV592" i="79"/>
  <c r="JK592" i="79"/>
  <c r="JA592" i="79"/>
  <c r="IP592" i="79"/>
  <c r="IE592" i="79"/>
  <c r="MS592" i="79"/>
  <c r="MH592" i="79"/>
  <c r="KY592" i="79"/>
  <c r="KO592" i="79"/>
  <c r="KD592" i="79"/>
  <c r="JS592" i="79"/>
  <c r="JI592" i="79"/>
  <c r="IX592" i="79"/>
  <c r="IM592" i="79"/>
  <c r="KW592" i="79"/>
  <c r="KI592" i="79"/>
  <c r="JT592" i="79"/>
  <c r="JF592" i="79"/>
  <c r="IS592" i="79"/>
  <c r="ID592" i="79"/>
  <c r="MF592" i="79"/>
  <c r="KV592" i="79"/>
  <c r="KH592" i="79"/>
  <c r="JR592" i="79"/>
  <c r="JD592" i="79"/>
  <c r="IR592" i="79"/>
  <c r="MR592" i="79"/>
  <c r="ME592" i="79"/>
  <c r="KT592" i="79"/>
  <c r="KF592" i="79"/>
  <c r="JQ592" i="79"/>
  <c r="JC592" i="79"/>
  <c r="IN592" i="79"/>
  <c r="MP592" i="79"/>
  <c r="KR592" i="79"/>
  <c r="KB592" i="79"/>
  <c r="JP592" i="79"/>
  <c r="JB592" i="79"/>
  <c r="IL592" i="79"/>
  <c r="LD592" i="79"/>
  <c r="KN592" i="79"/>
  <c r="JZ592" i="79"/>
  <c r="JL592" i="79"/>
  <c r="IV592" i="79"/>
  <c r="IJ592" i="79"/>
  <c r="KZ592" i="79"/>
  <c r="KL592" i="79"/>
  <c r="JY592" i="79"/>
  <c r="JJ592" i="79"/>
  <c r="IU592" i="79"/>
  <c r="IH592" i="79"/>
  <c r="LU591" i="79"/>
  <c r="LH591" i="79"/>
  <c r="HG591" i="79"/>
  <c r="GO591" i="79"/>
  <c r="GA591" i="79"/>
  <c r="FN591" i="79"/>
  <c r="FF591" i="79"/>
  <c r="EX591" i="79"/>
  <c r="EP591" i="79"/>
  <c r="EH591" i="79"/>
  <c r="BJ591" i="79"/>
  <c r="BB591" i="79"/>
  <c r="AT591" i="79"/>
  <c r="AL591" i="79"/>
  <c r="AD591" i="79"/>
  <c r="LO591" i="79"/>
  <c r="LG591" i="79"/>
  <c r="HF591" i="79"/>
  <c r="GI591" i="79"/>
  <c r="FU591" i="79"/>
  <c r="FM591" i="79"/>
  <c r="FE591" i="79"/>
  <c r="EW591" i="79"/>
  <c r="EO591" i="79"/>
  <c r="EG591" i="79"/>
  <c r="BI591" i="79"/>
  <c r="BA591" i="79"/>
  <c r="AS591" i="79"/>
  <c r="AK591" i="79"/>
  <c r="AC591" i="79"/>
  <c r="LN591" i="79"/>
  <c r="LF591" i="79"/>
  <c r="HW591" i="79"/>
  <c r="HE591" i="79"/>
  <c r="GH591" i="79"/>
  <c r="FT591" i="79"/>
  <c r="FL591" i="79"/>
  <c r="FD591" i="79"/>
  <c r="EV591" i="79"/>
  <c r="EN591" i="79"/>
  <c r="EF591" i="79"/>
  <c r="BH591" i="79"/>
  <c r="AZ591" i="79"/>
  <c r="AR591" i="79"/>
  <c r="AJ591" i="79"/>
  <c r="AB591" i="79"/>
  <c r="LM591" i="79"/>
  <c r="HV591" i="79"/>
  <c r="GY591" i="79"/>
  <c r="GG591" i="79"/>
  <c r="FS591" i="79"/>
  <c r="FK591" i="79"/>
  <c r="FC591" i="79"/>
  <c r="EU591" i="79"/>
  <c r="EM591" i="79"/>
  <c r="EE591" i="79"/>
  <c r="BG591" i="79"/>
  <c r="AY591" i="79"/>
  <c r="AQ591" i="79"/>
  <c r="AI591" i="79"/>
  <c r="AA591" i="79"/>
  <c r="MC591" i="79"/>
  <c r="LK591" i="79"/>
  <c r="HO591" i="79"/>
  <c r="GW591" i="79"/>
  <c r="GD591" i="79"/>
  <c r="FQ591" i="79"/>
  <c r="FI591" i="79"/>
  <c r="FA591" i="79"/>
  <c r="ES591" i="79"/>
  <c r="EK591" i="79"/>
  <c r="EC591" i="79"/>
  <c r="BE591" i="79"/>
  <c r="AW591" i="79"/>
  <c r="AO591" i="79"/>
  <c r="AG591" i="79"/>
  <c r="Y591" i="79"/>
  <c r="LW591" i="79"/>
  <c r="LJ591" i="79"/>
  <c r="HN591" i="79"/>
  <c r="GQ591" i="79"/>
  <c r="GC591" i="79"/>
  <c r="FP591" i="79"/>
  <c r="FH591" i="79"/>
  <c r="EZ591" i="79"/>
  <c r="ER591" i="79"/>
  <c r="EJ591" i="79"/>
  <c r="DM591" i="79"/>
  <c r="BD591" i="79"/>
  <c r="AV591" i="79"/>
  <c r="AN591" i="79"/>
  <c r="AF591" i="79"/>
  <c r="X591" i="79"/>
  <c r="MB589" i="79"/>
  <c r="LT589" i="79"/>
  <c r="HT589" i="79"/>
  <c r="HL589" i="79"/>
  <c r="HD589" i="79"/>
  <c r="GV589" i="79"/>
  <c r="GN589" i="79"/>
  <c r="GF589" i="79"/>
  <c r="MA589" i="79"/>
  <c r="LS589" i="79"/>
  <c r="LY589" i="79"/>
  <c r="LQ589" i="79"/>
  <c r="LW589" i="79"/>
  <c r="HW589" i="79"/>
  <c r="HO589" i="79"/>
  <c r="HG589" i="79"/>
  <c r="GY589" i="79"/>
  <c r="GQ589" i="79"/>
  <c r="GI589" i="79"/>
  <c r="MD589" i="79"/>
  <c r="LV589" i="79"/>
  <c r="HV589" i="79"/>
  <c r="HN589" i="79"/>
  <c r="HF589" i="79"/>
  <c r="GX589" i="79"/>
  <c r="GP589" i="79"/>
  <c r="GH589" i="79"/>
  <c r="MO586" i="79"/>
  <c r="MG586" i="79"/>
  <c r="LA586" i="79"/>
  <c r="KS586" i="79"/>
  <c r="KK586" i="79"/>
  <c r="KC586" i="79"/>
  <c r="JU586" i="79"/>
  <c r="JM586" i="79"/>
  <c r="JE586" i="79"/>
  <c r="IW586" i="79"/>
  <c r="IO586" i="79"/>
  <c r="IG586" i="79"/>
  <c r="HY586" i="79"/>
  <c r="H740" i="79"/>
  <c r="H767" i="79"/>
  <c r="F800" i="79"/>
  <c r="BA594" i="79"/>
  <c r="EP594" i="79"/>
  <c r="HN594" i="79"/>
  <c r="EV596" i="79"/>
  <c r="IX596" i="79"/>
  <c r="FC604" i="79"/>
  <c r="LR613" i="79"/>
  <c r="HK604" i="79"/>
  <c r="IX608" i="79"/>
  <c r="FF594" i="79"/>
  <c r="FT596" i="79"/>
  <c r="JW596" i="79"/>
  <c r="HW602" i="79"/>
  <c r="IS604" i="79"/>
  <c r="LD604" i="79"/>
  <c r="GD617" i="79"/>
  <c r="EC617" i="79"/>
  <c r="GC617" i="79"/>
  <c r="GB617" i="79"/>
  <c r="EF617" i="79"/>
  <c r="GE617" i="79"/>
  <c r="ED617" i="79"/>
  <c r="GA617" i="79"/>
  <c r="LN617" i="79"/>
  <c r="HN617" i="79"/>
  <c r="GP617" i="79"/>
  <c r="FR617" i="79"/>
  <c r="EW617" i="79"/>
  <c r="BG617" i="79"/>
  <c r="AN617" i="79"/>
  <c r="HL617" i="79"/>
  <c r="GN617" i="79"/>
  <c r="FN617" i="79"/>
  <c r="EU617" i="79"/>
  <c r="BE617" i="79"/>
  <c r="AJ617" i="79"/>
  <c r="LK617" i="79"/>
  <c r="HF617" i="79"/>
  <c r="GM617" i="79"/>
  <c r="FM617" i="79"/>
  <c r="EO617" i="79"/>
  <c r="BD617" i="79"/>
  <c r="AI617" i="79"/>
  <c r="MD617" i="79"/>
  <c r="LG617" i="79"/>
  <c r="HD617" i="79"/>
  <c r="GI617" i="79"/>
  <c r="FK617" i="79"/>
  <c r="EM617" i="79"/>
  <c r="AZ617" i="79"/>
  <c r="AG617" i="79"/>
  <c r="MA617" i="79"/>
  <c r="HT617" i="79"/>
  <c r="GY617" i="79"/>
  <c r="GF617" i="79"/>
  <c r="FC617" i="79"/>
  <c r="EH617" i="79"/>
  <c r="AW617" i="79"/>
  <c r="Y617" i="79"/>
  <c r="GH617" i="79"/>
  <c r="EE617" i="79"/>
  <c r="FU617" i="79"/>
  <c r="AY617" i="79"/>
  <c r="HV617" i="79"/>
  <c r="FS617" i="79"/>
  <c r="AQ617" i="79"/>
  <c r="MB617" i="79"/>
  <c r="HS617" i="79"/>
  <c r="FE617" i="79"/>
  <c r="AO617" i="79"/>
  <c r="FB617" i="79"/>
  <c r="EG617" i="79"/>
  <c r="HO617" i="79"/>
  <c r="HC617" i="79"/>
  <c r="LW617" i="79"/>
  <c r="GX617" i="79"/>
  <c r="LT617" i="79"/>
  <c r="GV617" i="79"/>
  <c r="AA617" i="79"/>
  <c r="X617" i="79"/>
  <c r="LF617" i="79"/>
  <c r="MN615" i="79"/>
  <c r="MF615" i="79"/>
  <c r="LX615" i="79"/>
  <c r="LP615" i="79"/>
  <c r="HX615" i="79"/>
  <c r="HP615" i="79"/>
  <c r="HH615" i="79"/>
  <c r="GZ615" i="79"/>
  <c r="GR615" i="79"/>
  <c r="GJ615" i="79"/>
  <c r="MM615" i="79"/>
  <c r="ME615" i="79"/>
  <c r="LW615" i="79"/>
  <c r="HW615" i="79"/>
  <c r="HO615" i="79"/>
  <c r="HG615" i="79"/>
  <c r="GY615" i="79"/>
  <c r="GQ615" i="79"/>
  <c r="GI615" i="79"/>
  <c r="MI615" i="79"/>
  <c r="LY615" i="79"/>
  <c r="HU615" i="79"/>
  <c r="HK615" i="79"/>
  <c r="HA615" i="79"/>
  <c r="GO615" i="79"/>
  <c r="MH615" i="79"/>
  <c r="LV615" i="79"/>
  <c r="HT615" i="79"/>
  <c r="HJ615" i="79"/>
  <c r="GX615" i="79"/>
  <c r="GN615" i="79"/>
  <c r="MG615" i="79"/>
  <c r="LU615" i="79"/>
  <c r="HS615" i="79"/>
  <c r="HI615" i="79"/>
  <c r="GW615" i="79"/>
  <c r="GM615" i="79"/>
  <c r="MD615" i="79"/>
  <c r="LT615" i="79"/>
  <c r="HR615" i="79"/>
  <c r="HF615" i="79"/>
  <c r="GV615" i="79"/>
  <c r="GL615" i="79"/>
  <c r="ML615" i="79"/>
  <c r="MB615" i="79"/>
  <c r="LR615" i="79"/>
  <c r="LS615" i="79"/>
  <c r="HE615" i="79"/>
  <c r="GK615" i="79"/>
  <c r="LQ615" i="79"/>
  <c r="HD615" i="79"/>
  <c r="GH615" i="79"/>
  <c r="HC615" i="79"/>
  <c r="GG615" i="79"/>
  <c r="MK615" i="79"/>
  <c r="HV615" i="79"/>
  <c r="HB615" i="79"/>
  <c r="GF615" i="79"/>
  <c r="GP615" i="79"/>
  <c r="MC615" i="79"/>
  <c r="HM615" i="79"/>
  <c r="GT615" i="79"/>
  <c r="GS615" i="79"/>
  <c r="MJ615" i="79"/>
  <c r="MA615" i="79"/>
  <c r="LZ615" i="79"/>
  <c r="HQ615" i="79"/>
  <c r="HN615" i="79"/>
  <c r="MC609" i="79"/>
  <c r="LU609" i="79"/>
  <c r="LM609" i="79"/>
  <c r="HU609" i="79"/>
  <c r="HM609" i="79"/>
  <c r="HE609" i="79"/>
  <c r="GW609" i="79"/>
  <c r="GO609" i="79"/>
  <c r="GG609" i="79"/>
  <c r="FT609" i="79"/>
  <c r="FL609" i="79"/>
  <c r="FD609" i="79"/>
  <c r="EV609" i="79"/>
  <c r="EN609" i="79"/>
  <c r="EF609" i="79"/>
  <c r="BF609" i="79"/>
  <c r="AX609" i="79"/>
  <c r="AP609" i="79"/>
  <c r="AH609" i="79"/>
  <c r="Z609" i="79"/>
  <c r="LX609" i="79"/>
  <c r="LO609" i="79"/>
  <c r="LF609" i="79"/>
  <c r="HR609" i="79"/>
  <c r="HI609" i="79"/>
  <c r="GZ609" i="79"/>
  <c r="MA609" i="79"/>
  <c r="LQ609" i="79"/>
  <c r="LG609" i="79"/>
  <c r="HP609" i="79"/>
  <c r="HF609" i="79"/>
  <c r="GU609" i="79"/>
  <c r="GL609" i="79"/>
  <c r="GC609" i="79"/>
  <c r="FO609" i="79"/>
  <c r="FF609" i="79"/>
  <c r="EW609" i="79"/>
  <c r="EM609" i="79"/>
  <c r="ED609" i="79"/>
  <c r="BC609" i="79"/>
  <c r="AT609" i="79"/>
  <c r="AK609" i="79"/>
  <c r="AB609" i="79"/>
  <c r="LZ609" i="79"/>
  <c r="LP609" i="79"/>
  <c r="HO609" i="79"/>
  <c r="HD609" i="79"/>
  <c r="GT609" i="79"/>
  <c r="GK609" i="79"/>
  <c r="GB609" i="79"/>
  <c r="FN609" i="79"/>
  <c r="FE609" i="79"/>
  <c r="EU609" i="79"/>
  <c r="EL609" i="79"/>
  <c r="EC609" i="79"/>
  <c r="BB609" i="79"/>
  <c r="AS609" i="79"/>
  <c r="AJ609" i="79"/>
  <c r="AA609" i="79"/>
  <c r="LY609" i="79"/>
  <c r="LN609" i="79"/>
  <c r="HX609" i="79"/>
  <c r="HN609" i="79"/>
  <c r="HC609" i="79"/>
  <c r="GS609" i="79"/>
  <c r="GJ609" i="79"/>
  <c r="GA609" i="79"/>
  <c r="FM609" i="79"/>
  <c r="FC609" i="79"/>
  <c r="ET609" i="79"/>
  <c r="EK609" i="79"/>
  <c r="BJ609" i="79"/>
  <c r="BA609" i="79"/>
  <c r="AR609" i="79"/>
  <c r="AI609" i="79"/>
  <c r="Y609" i="79"/>
  <c r="LW609" i="79"/>
  <c r="LL609" i="79"/>
  <c r="HW609" i="79"/>
  <c r="HL609" i="79"/>
  <c r="HB609" i="79"/>
  <c r="GR609" i="79"/>
  <c r="GI609" i="79"/>
  <c r="FU609" i="79"/>
  <c r="FK609" i="79"/>
  <c r="FB609" i="79"/>
  <c r="ES609" i="79"/>
  <c r="EJ609" i="79"/>
  <c r="BI609" i="79"/>
  <c r="AZ609" i="79"/>
  <c r="AQ609" i="79"/>
  <c r="AG609" i="79"/>
  <c r="X609" i="79"/>
  <c r="LT609" i="79"/>
  <c r="HT609" i="79"/>
  <c r="GY609" i="79"/>
  <c r="GF609" i="79"/>
  <c r="FI609" i="79"/>
  <c r="EQ609" i="79"/>
  <c r="BG609" i="79"/>
  <c r="AN609" i="79"/>
  <c r="LS609" i="79"/>
  <c r="HS609" i="79"/>
  <c r="GX609" i="79"/>
  <c r="GE609" i="79"/>
  <c r="FH609" i="79"/>
  <c r="EP609" i="79"/>
  <c r="BE609" i="79"/>
  <c r="AM609" i="79"/>
  <c r="LK609" i="79"/>
  <c r="HK609" i="79"/>
  <c r="GQ609" i="79"/>
  <c r="FS609" i="79"/>
  <c r="FA609" i="79"/>
  <c r="EI609" i="79"/>
  <c r="AY609" i="79"/>
  <c r="AF609" i="79"/>
  <c r="MB609" i="79"/>
  <c r="GV609" i="79"/>
  <c r="FP609" i="79"/>
  <c r="EH609" i="79"/>
  <c r="AO609" i="79"/>
  <c r="LV609" i="79"/>
  <c r="GP609" i="79"/>
  <c r="FJ609" i="79"/>
  <c r="EG609" i="79"/>
  <c r="AL609" i="79"/>
  <c r="LR609" i="79"/>
  <c r="HV609" i="79"/>
  <c r="GN609" i="79"/>
  <c r="FG609" i="79"/>
  <c r="EE609" i="79"/>
  <c r="AE609" i="79"/>
  <c r="LJ609" i="79"/>
  <c r="HQ609" i="79"/>
  <c r="GM609" i="79"/>
  <c r="EZ609" i="79"/>
  <c r="BH609" i="79"/>
  <c r="AD609" i="79"/>
  <c r="MD609" i="79"/>
  <c r="HA609" i="79"/>
  <c r="EO609" i="79"/>
  <c r="LI609" i="79"/>
  <c r="GH609" i="79"/>
  <c r="BD609" i="79"/>
  <c r="LH609" i="79"/>
  <c r="GD609" i="79"/>
  <c r="AW609" i="79"/>
  <c r="HJ609" i="79"/>
  <c r="EY609" i="79"/>
  <c r="AC609" i="79"/>
  <c r="MI607" i="79"/>
  <c r="MA607" i="79"/>
  <c r="LS607" i="79"/>
  <c r="HS607" i="79"/>
  <c r="HK607" i="79"/>
  <c r="HC607" i="79"/>
  <c r="GU607" i="79"/>
  <c r="GM607" i="79"/>
  <c r="MH607" i="79"/>
  <c r="LZ607" i="79"/>
  <c r="LR607" i="79"/>
  <c r="HR607" i="79"/>
  <c r="HJ607" i="79"/>
  <c r="HB607" i="79"/>
  <c r="GT607" i="79"/>
  <c r="GL607" i="79"/>
  <c r="MG607" i="79"/>
  <c r="LY607" i="79"/>
  <c r="LQ607" i="79"/>
  <c r="HQ607" i="79"/>
  <c r="HI607" i="79"/>
  <c r="HA607" i="79"/>
  <c r="GS607" i="79"/>
  <c r="GK607" i="79"/>
  <c r="MN607" i="79"/>
  <c r="MF607" i="79"/>
  <c r="LX607" i="79"/>
  <c r="LP607" i="79"/>
  <c r="HX607" i="79"/>
  <c r="HP607" i="79"/>
  <c r="HH607" i="79"/>
  <c r="GZ607" i="79"/>
  <c r="GR607" i="79"/>
  <c r="GJ607" i="79"/>
  <c r="MK607" i="79"/>
  <c r="LU607" i="79"/>
  <c r="HT607" i="79"/>
  <c r="HD607" i="79"/>
  <c r="GN607" i="79"/>
  <c r="MJ607" i="79"/>
  <c r="LT607" i="79"/>
  <c r="HO607" i="79"/>
  <c r="GY607" i="79"/>
  <c r="GI607" i="79"/>
  <c r="MD607" i="79"/>
  <c r="HM607" i="79"/>
  <c r="GW607" i="79"/>
  <c r="GG607" i="79"/>
  <c r="LV607" i="79"/>
  <c r="HL607" i="79"/>
  <c r="GO607" i="79"/>
  <c r="HG607" i="79"/>
  <c r="GH607" i="79"/>
  <c r="MM607" i="79"/>
  <c r="HF607" i="79"/>
  <c r="GF607" i="79"/>
  <c r="ML607" i="79"/>
  <c r="HE607" i="79"/>
  <c r="LW607" i="79"/>
  <c r="HN607" i="79"/>
  <c r="GX607" i="79"/>
  <c r="GV607" i="79"/>
  <c r="ME607" i="79"/>
  <c r="HW607" i="79"/>
  <c r="LX601" i="79"/>
  <c r="LP601" i="79"/>
  <c r="LH601" i="79"/>
  <c r="HX601" i="79"/>
  <c r="HP601" i="79"/>
  <c r="HH601" i="79"/>
  <c r="GZ601" i="79"/>
  <c r="GR601" i="79"/>
  <c r="GJ601" i="79"/>
  <c r="GB601" i="79"/>
  <c r="FO601" i="79"/>
  <c r="FG601" i="79"/>
  <c r="EY601" i="79"/>
  <c r="EQ601" i="79"/>
  <c r="EI601" i="79"/>
  <c r="BI601" i="79"/>
  <c r="MC601" i="79"/>
  <c r="LT601" i="79"/>
  <c r="LK601" i="79"/>
  <c r="HW601" i="79"/>
  <c r="HN601" i="79"/>
  <c r="HE601" i="79"/>
  <c r="GV601" i="79"/>
  <c r="GM601" i="79"/>
  <c r="GD601" i="79"/>
  <c r="FP601" i="79"/>
  <c r="FF601" i="79"/>
  <c r="EW601" i="79"/>
  <c r="EN601" i="79"/>
  <c r="EE601" i="79"/>
  <c r="BD601" i="79"/>
  <c r="AV601" i="79"/>
  <c r="AN601" i="79"/>
  <c r="AF601" i="79"/>
  <c r="X601" i="79"/>
  <c r="MB601" i="79"/>
  <c r="LS601" i="79"/>
  <c r="LJ601" i="79"/>
  <c r="HV601" i="79"/>
  <c r="HM601" i="79"/>
  <c r="HD601" i="79"/>
  <c r="GU601" i="79"/>
  <c r="GL601" i="79"/>
  <c r="GC601" i="79"/>
  <c r="FN601" i="79"/>
  <c r="FE601" i="79"/>
  <c r="EV601" i="79"/>
  <c r="EM601" i="79"/>
  <c r="ED601" i="79"/>
  <c r="BC601" i="79"/>
  <c r="AU601" i="79"/>
  <c r="AM601" i="79"/>
  <c r="AE601" i="79"/>
  <c r="W601" i="79"/>
  <c r="MA601" i="79"/>
  <c r="LR601" i="79"/>
  <c r="LI601" i="79"/>
  <c r="HU601" i="79"/>
  <c r="HL601" i="79"/>
  <c r="HC601" i="79"/>
  <c r="GT601" i="79"/>
  <c r="GK601" i="79"/>
  <c r="GA601" i="79"/>
  <c r="FM601" i="79"/>
  <c r="FD601" i="79"/>
  <c r="EU601" i="79"/>
  <c r="EL601" i="79"/>
  <c r="EC601" i="79"/>
  <c r="BB601" i="79"/>
  <c r="AT601" i="79"/>
  <c r="AL601" i="79"/>
  <c r="AD601" i="79"/>
  <c r="LZ601" i="79"/>
  <c r="LQ601" i="79"/>
  <c r="LG601" i="79"/>
  <c r="HT601" i="79"/>
  <c r="HK601" i="79"/>
  <c r="HB601" i="79"/>
  <c r="GS601" i="79"/>
  <c r="GI601" i="79"/>
  <c r="FU601" i="79"/>
  <c r="FL601" i="79"/>
  <c r="FC601" i="79"/>
  <c r="ET601" i="79"/>
  <c r="EK601" i="79"/>
  <c r="BJ601" i="79"/>
  <c r="BA601" i="79"/>
  <c r="AS601" i="79"/>
  <c r="AK601" i="79"/>
  <c r="AC601" i="79"/>
  <c r="LU601" i="79"/>
  <c r="HO601" i="79"/>
  <c r="GW601" i="79"/>
  <c r="GE601" i="79"/>
  <c r="FH601" i="79"/>
  <c r="EO601" i="79"/>
  <c r="BE601" i="79"/>
  <c r="AO601" i="79"/>
  <c r="Y601" i="79"/>
  <c r="LO601" i="79"/>
  <c r="HJ601" i="79"/>
  <c r="GQ601" i="79"/>
  <c r="FT601" i="79"/>
  <c r="FB601" i="79"/>
  <c r="EJ601" i="79"/>
  <c r="AZ601" i="79"/>
  <c r="AJ601" i="79"/>
  <c r="LN601" i="79"/>
  <c r="HI601" i="79"/>
  <c r="GP601" i="79"/>
  <c r="FS601" i="79"/>
  <c r="FA601" i="79"/>
  <c r="EH601" i="79"/>
  <c r="AY601" i="79"/>
  <c r="AI601" i="79"/>
  <c r="LY601" i="79"/>
  <c r="LF601" i="79"/>
  <c r="HS601" i="79"/>
  <c r="HA601" i="79"/>
  <c r="GH601" i="79"/>
  <c r="FK601" i="79"/>
  <c r="ES601" i="79"/>
  <c r="BH601" i="79"/>
  <c r="AR601" i="79"/>
  <c r="AB601" i="79"/>
  <c r="MI599" i="79"/>
  <c r="MA599" i="79"/>
  <c r="LS599" i="79"/>
  <c r="HS599" i="79"/>
  <c r="HK599" i="79"/>
  <c r="HC599" i="79"/>
  <c r="GU599" i="79"/>
  <c r="GM599" i="79"/>
  <c r="MN599" i="79"/>
  <c r="MF599" i="79"/>
  <c r="LX599" i="79"/>
  <c r="LP599" i="79"/>
  <c r="HX599" i="79"/>
  <c r="HP599" i="79"/>
  <c r="HH599" i="79"/>
  <c r="GZ599" i="79"/>
  <c r="GR599" i="79"/>
  <c r="GJ599" i="79"/>
  <c r="MM599" i="79"/>
  <c r="MC599" i="79"/>
  <c r="LR599" i="79"/>
  <c r="HQ599" i="79"/>
  <c r="HF599" i="79"/>
  <c r="GV599" i="79"/>
  <c r="GK599" i="79"/>
  <c r="MK599" i="79"/>
  <c r="LZ599" i="79"/>
  <c r="HN599" i="79"/>
  <c r="HD599" i="79"/>
  <c r="GS599" i="79"/>
  <c r="GH599" i="79"/>
  <c r="MG599" i="79"/>
  <c r="LV599" i="79"/>
  <c r="HU599" i="79"/>
  <c r="HJ599" i="79"/>
  <c r="GY599" i="79"/>
  <c r="GO599" i="79"/>
  <c r="MD593" i="79"/>
  <c r="LV593" i="79"/>
  <c r="LN593" i="79"/>
  <c r="LF593" i="79"/>
  <c r="HV593" i="79"/>
  <c r="HN593" i="79"/>
  <c r="HF593" i="79"/>
  <c r="GX593" i="79"/>
  <c r="GP593" i="79"/>
  <c r="GH593" i="79"/>
  <c r="FU593" i="79"/>
  <c r="FM593" i="79"/>
  <c r="FE593" i="79"/>
  <c r="EW593" i="79"/>
  <c r="EO593" i="79"/>
  <c r="EG593" i="79"/>
  <c r="BH593" i="79"/>
  <c r="AZ593" i="79"/>
  <c r="AR593" i="79"/>
  <c r="AJ593" i="79"/>
  <c r="AB593" i="79"/>
  <c r="MB593" i="79"/>
  <c r="LT593" i="79"/>
  <c r="LL593" i="79"/>
  <c r="HT593" i="79"/>
  <c r="HL593" i="79"/>
  <c r="HD593" i="79"/>
  <c r="GV593" i="79"/>
  <c r="GN593" i="79"/>
  <c r="GF593" i="79"/>
  <c r="FS593" i="79"/>
  <c r="FK593" i="79"/>
  <c r="FC593" i="79"/>
  <c r="EU593" i="79"/>
  <c r="EM593" i="79"/>
  <c r="EE593" i="79"/>
  <c r="BF593" i="79"/>
  <c r="AX593" i="79"/>
  <c r="AP593" i="79"/>
  <c r="AH593" i="79"/>
  <c r="Z593" i="79"/>
  <c r="N749" i="79"/>
  <c r="J753" i="79"/>
  <c r="N758" i="79"/>
  <c r="J762" i="79"/>
  <c r="LZ617" i="79"/>
  <c r="LR617" i="79"/>
  <c r="LJ617" i="79"/>
  <c r="HR617" i="79"/>
  <c r="HJ617" i="79"/>
  <c r="HB617" i="79"/>
  <c r="GT617" i="79"/>
  <c r="GL617" i="79"/>
  <c r="FQ617" i="79"/>
  <c r="FI617" i="79"/>
  <c r="FA617" i="79"/>
  <c r="ES617" i="79"/>
  <c r="EK617" i="79"/>
  <c r="BC617" i="79"/>
  <c r="AU617" i="79"/>
  <c r="AM617" i="79"/>
  <c r="AE617" i="79"/>
  <c r="W617" i="79"/>
  <c r="LY617" i="79"/>
  <c r="LQ617" i="79"/>
  <c r="LI617" i="79"/>
  <c r="HQ617" i="79"/>
  <c r="HI617" i="79"/>
  <c r="HA617" i="79"/>
  <c r="GS617" i="79"/>
  <c r="GK617" i="79"/>
  <c r="FP617" i="79"/>
  <c r="FH617" i="79"/>
  <c r="EZ617" i="79"/>
  <c r="ER617" i="79"/>
  <c r="EJ617" i="79"/>
  <c r="BJ617" i="79"/>
  <c r="BB617" i="79"/>
  <c r="AT617" i="79"/>
  <c r="AL617" i="79"/>
  <c r="AD617" i="79"/>
  <c r="LX617" i="79"/>
  <c r="LP617" i="79"/>
  <c r="LH617" i="79"/>
  <c r="HX617" i="79"/>
  <c r="HP617" i="79"/>
  <c r="HH617" i="79"/>
  <c r="GZ617" i="79"/>
  <c r="GR617" i="79"/>
  <c r="GJ617" i="79"/>
  <c r="FO617" i="79"/>
  <c r="FG617" i="79"/>
  <c r="EY617" i="79"/>
  <c r="EQ617" i="79"/>
  <c r="EI617" i="79"/>
  <c r="BI617" i="79"/>
  <c r="BA617" i="79"/>
  <c r="AS617" i="79"/>
  <c r="AK617" i="79"/>
  <c r="AC617" i="79"/>
  <c r="MC617" i="79"/>
  <c r="LU617" i="79"/>
  <c r="LM617" i="79"/>
  <c r="HU617" i="79"/>
  <c r="HM617" i="79"/>
  <c r="HE617" i="79"/>
  <c r="GW617" i="79"/>
  <c r="GO617" i="79"/>
  <c r="GG617" i="79"/>
  <c r="FT617" i="79"/>
  <c r="FL617" i="79"/>
  <c r="FD617" i="79"/>
  <c r="EV617" i="79"/>
  <c r="EN617" i="79"/>
  <c r="BF617" i="79"/>
  <c r="AX617" i="79"/>
  <c r="AP617" i="79"/>
  <c r="AH617" i="79"/>
  <c r="Z617" i="79"/>
  <c r="LV617" i="79"/>
  <c r="LS617" i="79"/>
  <c r="HK617" i="79"/>
  <c r="GU617" i="79"/>
  <c r="FJ617" i="79"/>
  <c r="ET617" i="79"/>
  <c r="AV617" i="79"/>
  <c r="AF617" i="79"/>
  <c r="LO617" i="79"/>
  <c r="HW617" i="79"/>
  <c r="HG617" i="79"/>
  <c r="GQ617" i="79"/>
  <c r="FF617" i="79"/>
  <c r="EP617" i="79"/>
  <c r="BH617" i="79"/>
  <c r="AR617" i="79"/>
  <c r="AB617" i="79"/>
  <c r="LL617" i="79"/>
  <c r="MS618" i="79"/>
  <c r="MK618" i="79"/>
  <c r="MR618" i="79"/>
  <c r="MJ618" i="79"/>
  <c r="MQ618" i="79"/>
  <c r="MI618" i="79"/>
  <c r="MP618" i="79"/>
  <c r="MH618" i="79"/>
  <c r="MN618" i="79"/>
  <c r="MF618" i="79"/>
  <c r="CO605" i="79"/>
  <c r="FV583" i="79"/>
  <c r="HW581" i="79"/>
  <c r="BX593" i="79"/>
  <c r="K749" i="79"/>
  <c r="AL581" i="79"/>
  <c r="BJ581" i="79"/>
  <c r="EQ581" i="79"/>
  <c r="FG581" i="79"/>
  <c r="GA581" i="79"/>
  <c r="GZ581" i="79"/>
  <c r="AE581" i="79"/>
  <c r="AU581" i="79"/>
  <c r="BP581" i="79"/>
  <c r="FH581" i="79"/>
  <c r="X581" i="79"/>
  <c r="AF581" i="79"/>
  <c r="AN581" i="79"/>
  <c r="AV581" i="79"/>
  <c r="BD581" i="79"/>
  <c r="BX581" i="79"/>
  <c r="EC581" i="79"/>
  <c r="EK581" i="79"/>
  <c r="ES581" i="79"/>
  <c r="FA581" i="79"/>
  <c r="FI581" i="79"/>
  <c r="FQ581" i="79"/>
  <c r="GC581" i="79"/>
  <c r="GK581" i="79"/>
  <c r="GS581" i="79"/>
  <c r="HB581" i="79"/>
  <c r="HK581" i="79"/>
  <c r="HU581" i="79"/>
  <c r="LN581" i="79"/>
  <c r="LW581" i="79"/>
  <c r="Z581" i="79"/>
  <c r="AP581" i="79"/>
  <c r="BF581" i="79"/>
  <c r="EM581" i="79"/>
  <c r="FC581" i="79"/>
  <c r="FS581" i="79"/>
  <c r="GU581" i="79"/>
  <c r="P1008" i="79"/>
  <c r="R1008" i="79" s="1"/>
  <c r="Q1008" i="79"/>
  <c r="Q1148" i="79"/>
  <c r="P1148" i="79"/>
  <c r="R1148" i="79" s="1"/>
  <c r="Q1370" i="79"/>
  <c r="P1370" i="79"/>
  <c r="R1370" i="79" s="1"/>
  <c r="MB581" i="79"/>
  <c r="LT581" i="79"/>
  <c r="LL581" i="79"/>
  <c r="HT581" i="79"/>
  <c r="HL581" i="79"/>
  <c r="HD581" i="79"/>
  <c r="GV581" i="79"/>
  <c r="AH581" i="79"/>
  <c r="AX581" i="79"/>
  <c r="CN581" i="79"/>
  <c r="EE581" i="79"/>
  <c r="EU581" i="79"/>
  <c r="FK581" i="79"/>
  <c r="GE581" i="79"/>
  <c r="GM581" i="79"/>
  <c r="HE581" i="79"/>
  <c r="HN581" i="79"/>
  <c r="LG581" i="79"/>
  <c r="LP581" i="79"/>
  <c r="LY581" i="79"/>
  <c r="AA581" i="79"/>
  <c r="AI581" i="79"/>
  <c r="AQ581" i="79"/>
  <c r="AY581" i="79"/>
  <c r="BG581" i="79"/>
  <c r="CV581" i="79"/>
  <c r="EF581" i="79"/>
  <c r="EN581" i="79"/>
  <c r="EV581" i="79"/>
  <c r="FD581" i="79"/>
  <c r="FL581" i="79"/>
  <c r="FT581" i="79"/>
  <c r="GF581" i="79"/>
  <c r="GN581" i="79"/>
  <c r="GW581" i="79"/>
  <c r="HF581" i="79"/>
  <c r="HO581" i="79"/>
  <c r="HX581" i="79"/>
  <c r="LH581" i="79"/>
  <c r="LQ581" i="79"/>
  <c r="LZ581" i="79"/>
  <c r="Q1021" i="79"/>
  <c r="P1021" i="79"/>
  <c r="R1021" i="79" s="1"/>
  <c r="Q962" i="79"/>
  <c r="Q1022" i="79"/>
  <c r="P1052" i="79"/>
  <c r="R1052" i="79" s="1"/>
  <c r="Q1052" i="79"/>
  <c r="MA591" i="79"/>
  <c r="LS591" i="79"/>
  <c r="HS591" i="79"/>
  <c r="HK591" i="79"/>
  <c r="HC591" i="79"/>
  <c r="GU591" i="79"/>
  <c r="GM591" i="79"/>
  <c r="LZ591" i="79"/>
  <c r="LR591" i="79"/>
  <c r="HR591" i="79"/>
  <c r="HJ591" i="79"/>
  <c r="HB591" i="79"/>
  <c r="GT591" i="79"/>
  <c r="GL591" i="79"/>
  <c r="LY591" i="79"/>
  <c r="LQ591" i="79"/>
  <c r="HQ591" i="79"/>
  <c r="HI591" i="79"/>
  <c r="HA591" i="79"/>
  <c r="GS591" i="79"/>
  <c r="GK591" i="79"/>
  <c r="LX591" i="79"/>
  <c r="LP591" i="79"/>
  <c r="HX591" i="79"/>
  <c r="HP591" i="79"/>
  <c r="HH591" i="79"/>
  <c r="GZ591" i="79"/>
  <c r="GR591" i="79"/>
  <c r="GJ591" i="79"/>
  <c r="MB591" i="79"/>
  <c r="LT591" i="79"/>
  <c r="HT591" i="79"/>
  <c r="HL591" i="79"/>
  <c r="HD591" i="79"/>
  <c r="GV591" i="79"/>
  <c r="GN591" i="79"/>
  <c r="GF591" i="79"/>
  <c r="Q1344" i="79"/>
  <c r="P1344" i="79"/>
  <c r="R1344" i="79" s="1"/>
  <c r="MQ591" i="79"/>
  <c r="MI591" i="79"/>
  <c r="LC591" i="79"/>
  <c r="KU591" i="79"/>
  <c r="KM591" i="79"/>
  <c r="KE591" i="79"/>
  <c r="JW591" i="79"/>
  <c r="JO591" i="79"/>
  <c r="JG591" i="79"/>
  <c r="IY591" i="79"/>
  <c r="IQ591" i="79"/>
  <c r="II591" i="79"/>
  <c r="IA591" i="79"/>
  <c r="MP591" i="79"/>
  <c r="MH591" i="79"/>
  <c r="LB591" i="79"/>
  <c r="KT591" i="79"/>
  <c r="KL591" i="79"/>
  <c r="KD591" i="79"/>
  <c r="JV591" i="79"/>
  <c r="JN591" i="79"/>
  <c r="JF591" i="79"/>
  <c r="IX591" i="79"/>
  <c r="IP591" i="79"/>
  <c r="IH591" i="79"/>
  <c r="HZ591" i="79"/>
  <c r="MO591" i="79"/>
  <c r="MG591" i="79"/>
  <c r="LA591" i="79"/>
  <c r="KS591" i="79"/>
  <c r="KK591" i="79"/>
  <c r="KC591" i="79"/>
  <c r="JU591" i="79"/>
  <c r="JM591" i="79"/>
  <c r="JE591" i="79"/>
  <c r="IW591" i="79"/>
  <c r="IO591" i="79"/>
  <c r="IG591" i="79"/>
  <c r="HY591" i="79"/>
  <c r="MN591" i="79"/>
  <c r="MF591" i="79"/>
  <c r="KZ591" i="79"/>
  <c r="KR591" i="79"/>
  <c r="KJ591" i="79"/>
  <c r="KB591" i="79"/>
  <c r="JT591" i="79"/>
  <c r="JL591" i="79"/>
  <c r="JD591" i="79"/>
  <c r="IV591" i="79"/>
  <c r="IN591" i="79"/>
  <c r="IF591" i="79"/>
  <c r="MR591" i="79"/>
  <c r="MJ591" i="79"/>
  <c r="LD591" i="79"/>
  <c r="KV591" i="79"/>
  <c r="KN591" i="79"/>
  <c r="KF591" i="79"/>
  <c r="JX591" i="79"/>
  <c r="JP591" i="79"/>
  <c r="JH591" i="79"/>
  <c r="IZ591" i="79"/>
  <c r="IR591" i="79"/>
  <c r="IJ591" i="79"/>
  <c r="IB591" i="79"/>
  <c r="AD581" i="79"/>
  <c r="BB581" i="79"/>
  <c r="EI581" i="79"/>
  <c r="FO581" i="79"/>
  <c r="Q1339" i="79"/>
  <c r="AT581" i="79"/>
  <c r="DT581" i="79"/>
  <c r="EY581" i="79"/>
  <c r="GI581" i="79"/>
  <c r="GQ581" i="79"/>
  <c r="HI581" i="79"/>
  <c r="HR581" i="79"/>
  <c r="LK581" i="79"/>
  <c r="LU581" i="79"/>
  <c r="MD581" i="79"/>
  <c r="W581" i="79"/>
  <c r="AM581" i="79"/>
  <c r="BC581" i="79"/>
  <c r="EB581" i="79"/>
  <c r="EJ581" i="79"/>
  <c r="ER581" i="79"/>
  <c r="EZ581" i="79"/>
  <c r="FP581" i="79"/>
  <c r="GB581" i="79"/>
  <c r="GJ581" i="79"/>
  <c r="GR581" i="79"/>
  <c r="HA581" i="79"/>
  <c r="HJ581" i="79"/>
  <c r="HS581" i="79"/>
  <c r="LM581" i="79"/>
  <c r="LV581" i="79"/>
  <c r="P1012" i="79"/>
  <c r="R1012" i="79" s="1"/>
  <c r="Q1012" i="79"/>
  <c r="P1469" i="79"/>
  <c r="R1469" i="79" s="1"/>
  <c r="P367" i="79"/>
  <c r="S451" i="79"/>
  <c r="M546" i="79"/>
  <c r="DD590" i="79"/>
  <c r="G429" i="79"/>
  <c r="P429" i="79"/>
  <c r="CE599" i="79"/>
  <c r="S367" i="79"/>
  <c r="S429" i="79"/>
  <c r="M429" i="79"/>
  <c r="G451" i="79"/>
  <c r="P491" i="79"/>
  <c r="P495" i="79" s="1"/>
  <c r="N740" i="79"/>
  <c r="P463" i="79"/>
  <c r="J491" i="79"/>
  <c r="J495" i="79" s="1"/>
  <c r="I343" i="79"/>
  <c r="P410" i="79"/>
  <c r="J410" i="79"/>
  <c r="J423" i="79"/>
  <c r="S475" i="79"/>
  <c r="A583" i="79"/>
  <c r="A591" i="79"/>
  <c r="A599" i="79"/>
  <c r="A607" i="79"/>
  <c r="A615" i="79"/>
  <c r="J367" i="79"/>
  <c r="G410" i="79"/>
  <c r="O681" i="79"/>
  <c r="I744" i="79"/>
  <c r="I753" i="79"/>
  <c r="I762" i="79"/>
  <c r="I767" i="79"/>
  <c r="FY592" i="79"/>
  <c r="EB591" i="79"/>
  <c r="DF588" i="79"/>
  <c r="FW581" i="79"/>
  <c r="I1302" i="79"/>
  <c r="L1273" i="79"/>
  <c r="M1273" i="79" s="1"/>
  <c r="Q1273" i="79" s="1"/>
  <c r="L1281" i="79"/>
  <c r="M1281" i="79" s="1"/>
  <c r="L1289" i="79"/>
  <c r="M1289" i="79" s="1"/>
  <c r="Q1289" i="79" s="1"/>
  <c r="L1297" i="79"/>
  <c r="M1297" i="79" s="1"/>
  <c r="P1297" i="79" s="1"/>
  <c r="R1297" i="79" s="1"/>
  <c r="M1299" i="79"/>
  <c r="Q1299" i="79" s="1"/>
  <c r="A585" i="79"/>
  <c r="A593" i="79"/>
  <c r="A601" i="79"/>
  <c r="A609" i="79"/>
  <c r="A617" i="79"/>
  <c r="M993" i="79"/>
  <c r="Q993" i="79" s="1"/>
  <c r="L989" i="79"/>
  <c r="M989" i="79" s="1"/>
  <c r="Q989" i="79" s="1"/>
  <c r="M983" i="79"/>
  <c r="Q983" i="79" s="1"/>
  <c r="L981" i="79"/>
  <c r="M981" i="79" s="1"/>
  <c r="Q981" i="79" s="1"/>
  <c r="L980" i="79"/>
  <c r="M980" i="79" s="1"/>
  <c r="P980" i="79" s="1"/>
  <c r="R980" i="79" s="1"/>
  <c r="M977" i="79"/>
  <c r="Q977" i="79" s="1"/>
  <c r="L975" i="79"/>
  <c r="M975" i="79" s="1"/>
  <c r="Q975" i="79" s="1"/>
  <c r="L973" i="79"/>
  <c r="M973" i="79" s="1"/>
  <c r="Q973" i="79" s="1"/>
  <c r="L972" i="79"/>
  <c r="M972" i="79" s="1"/>
  <c r="Q972" i="79" s="1"/>
  <c r="M969" i="79"/>
  <c r="Q969" i="79" s="1"/>
  <c r="F995" i="79"/>
  <c r="G995" i="79"/>
  <c r="L964" i="79"/>
  <c r="M964" i="79" s="1"/>
  <c r="P964" i="79" s="1"/>
  <c r="R964" i="79" s="1"/>
  <c r="I995" i="79"/>
  <c r="M961" i="79"/>
  <c r="Q961" i="79" s="1"/>
  <c r="F1121" i="79"/>
  <c r="E1121" i="79"/>
  <c r="H1121" i="79"/>
  <c r="L1096" i="79"/>
  <c r="M1096" i="79" s="1"/>
  <c r="P1096" i="79" s="1"/>
  <c r="R1096" i="79" s="1"/>
  <c r="L1097" i="79"/>
  <c r="M1097" i="79" s="1"/>
  <c r="Q1097" i="79" s="1"/>
  <c r="L1102" i="79"/>
  <c r="M1102" i="79" s="1"/>
  <c r="P1102" i="79" s="1"/>
  <c r="R1102" i="79" s="1"/>
  <c r="L1103" i="79"/>
  <c r="M1103" i="79" s="1"/>
  <c r="Q1103" i="79" s="1"/>
  <c r="L1104" i="79"/>
  <c r="M1104" i="79" s="1"/>
  <c r="P1104" i="79" s="1"/>
  <c r="R1104" i="79" s="1"/>
  <c r="L1110" i="79"/>
  <c r="M1110" i="79" s="1"/>
  <c r="Q1110" i="79" s="1"/>
  <c r="L1111" i="79"/>
  <c r="M1111" i="79" s="1"/>
  <c r="Q1111" i="79" s="1"/>
  <c r="L1112" i="79"/>
  <c r="M1112" i="79" s="1"/>
  <c r="Q1112" i="79" s="1"/>
  <c r="L1113" i="79"/>
  <c r="M1113" i="79" s="1"/>
  <c r="Q1113" i="79" s="1"/>
  <c r="L1118" i="79"/>
  <c r="M1118" i="79" s="1"/>
  <c r="P1118" i="79" s="1"/>
  <c r="R1118" i="79" s="1"/>
  <c r="L1119" i="79"/>
  <c r="M1119" i="79" s="1"/>
  <c r="Q1119" i="79" s="1"/>
  <c r="L1120" i="79"/>
  <c r="M1120" i="79" s="1"/>
  <c r="P1120" i="79" s="1"/>
  <c r="R1120" i="79" s="1"/>
  <c r="M1173" i="79"/>
  <c r="P1173" i="79" s="1"/>
  <c r="R1173" i="79" s="1"/>
  <c r="L1169" i="79"/>
  <c r="M1169" i="79" s="1"/>
  <c r="Q1169" i="79" s="1"/>
  <c r="L1168" i="79"/>
  <c r="M1168" i="79" s="1"/>
  <c r="P1168" i="79" s="1"/>
  <c r="R1168" i="79" s="1"/>
  <c r="M1165" i="79"/>
  <c r="L1163" i="79"/>
  <c r="M1163" i="79" s="1"/>
  <c r="P1163" i="79" s="1"/>
  <c r="R1163" i="79" s="1"/>
  <c r="L1161" i="79"/>
  <c r="M1161" i="79" s="1"/>
  <c r="Q1161" i="79" s="1"/>
  <c r="L1160" i="79"/>
  <c r="M1160" i="79" s="1"/>
  <c r="Q1160" i="79" s="1"/>
  <c r="L1154" i="79"/>
  <c r="M1154" i="79" s="1"/>
  <c r="Q1154" i="79" s="1"/>
  <c r="L1153" i="79"/>
  <c r="M1153" i="79" s="1"/>
  <c r="Q1153" i="79" s="1"/>
  <c r="L1152" i="79"/>
  <c r="M1152" i="79" s="1"/>
  <c r="Q1152" i="79" s="1"/>
  <c r="M1149" i="79"/>
  <c r="F1176" i="79"/>
  <c r="L1145" i="79"/>
  <c r="M1145" i="79" s="1"/>
  <c r="Q1145" i="79" s="1"/>
  <c r="H1176" i="79"/>
  <c r="H1304" i="79" s="1"/>
  <c r="I1176" i="79"/>
  <c r="H1262" i="79"/>
  <c r="L1228" i="79"/>
  <c r="M1228" i="79" s="1"/>
  <c r="Q1228" i="79" s="1"/>
  <c r="F1262" i="79"/>
  <c r="K1262" i="79"/>
  <c r="I1262" i="79"/>
  <c r="L1235" i="79"/>
  <c r="M1235" i="79" s="1"/>
  <c r="Q1235" i="79" s="1"/>
  <c r="L1236" i="79"/>
  <c r="M1236" i="79" s="1"/>
  <c r="Q1236" i="79" s="1"/>
  <c r="L1243" i="79"/>
  <c r="M1243" i="79" s="1"/>
  <c r="Q1243" i="79" s="1"/>
  <c r="L1244" i="79"/>
  <c r="M1244" i="79" s="1"/>
  <c r="Q1244" i="79" s="1"/>
  <c r="L1251" i="79"/>
  <c r="M1251" i="79" s="1"/>
  <c r="Q1251" i="79" s="1"/>
  <c r="L1252" i="79"/>
  <c r="M1252" i="79" s="1"/>
  <c r="Q1252" i="79" s="1"/>
  <c r="L1259" i="79"/>
  <c r="M1259" i="79" s="1"/>
  <c r="Q1259" i="79" s="1"/>
  <c r="L1260" i="79"/>
  <c r="M1260" i="79" s="1"/>
  <c r="Q1260" i="79" s="1"/>
  <c r="P1334" i="79"/>
  <c r="R1334" i="79" s="1"/>
  <c r="K1302" i="79"/>
  <c r="H1302" i="79"/>
  <c r="G1302" i="79"/>
  <c r="L1275" i="79"/>
  <c r="M1275" i="79" s="1"/>
  <c r="Q1275" i="79" s="1"/>
  <c r="L1291" i="79"/>
  <c r="M1291" i="79" s="1"/>
  <c r="Q1291" i="79" s="1"/>
  <c r="H1081" i="79"/>
  <c r="G1081" i="79"/>
  <c r="L1049" i="79"/>
  <c r="M1049" i="79" s="1"/>
  <c r="I1081" i="79"/>
  <c r="L1054" i="79"/>
  <c r="M1054" i="79" s="1"/>
  <c r="P1054" i="79" s="1"/>
  <c r="R1054" i="79" s="1"/>
  <c r="L1055" i="79"/>
  <c r="M1055" i="79" s="1"/>
  <c r="Q1055" i="79" s="1"/>
  <c r="M1059" i="79"/>
  <c r="Q1059" i="79" s="1"/>
  <c r="L1062" i="79"/>
  <c r="M1062" i="79" s="1"/>
  <c r="Q1062" i="79" s="1"/>
  <c r="L1063" i="79"/>
  <c r="M1063" i="79" s="1"/>
  <c r="Q1063" i="79" s="1"/>
  <c r="L1065" i="79"/>
  <c r="M1065" i="79" s="1"/>
  <c r="Q1065" i="79" s="1"/>
  <c r="M1067" i="79"/>
  <c r="Q1067" i="79" s="1"/>
  <c r="L1070" i="79"/>
  <c r="M1070" i="79" s="1"/>
  <c r="Q1070" i="79" s="1"/>
  <c r="L1071" i="79"/>
  <c r="M1071" i="79" s="1"/>
  <c r="Q1071" i="79" s="1"/>
  <c r="L1072" i="79"/>
  <c r="M1072" i="79" s="1"/>
  <c r="L1079" i="79"/>
  <c r="M1079" i="79" s="1"/>
  <c r="Q1079" i="79" s="1"/>
  <c r="K1121" i="79"/>
  <c r="M1093" i="79"/>
  <c r="Q1093" i="79" s="1"/>
  <c r="M1109" i="79"/>
  <c r="Q1109" i="79" s="1"/>
  <c r="E1302" i="79"/>
  <c r="M1451" i="79"/>
  <c r="P1451" i="79" s="1"/>
  <c r="R1451" i="79" s="1"/>
  <c r="I1483" i="79"/>
  <c r="L1454" i="79"/>
  <c r="M1454" i="79" s="1"/>
  <c r="Q1454" i="79" s="1"/>
  <c r="G1483" i="79"/>
  <c r="G1485" i="79" s="1"/>
  <c r="F1483" i="79"/>
  <c r="M1459" i="79"/>
  <c r="Q1459" i="79" s="1"/>
  <c r="L1462" i="79"/>
  <c r="M1462" i="79" s="1"/>
  <c r="Q1462" i="79" s="1"/>
  <c r="L1463" i="79"/>
  <c r="M1463" i="79" s="1"/>
  <c r="Q1463" i="79" s="1"/>
  <c r="M1464" i="79"/>
  <c r="Q1464" i="79" s="1"/>
  <c r="M1467" i="79"/>
  <c r="Q1467" i="79" s="1"/>
  <c r="L1470" i="79"/>
  <c r="M1470" i="79" s="1"/>
  <c r="Q1470" i="79" s="1"/>
  <c r="L1471" i="79"/>
  <c r="M1471" i="79" s="1"/>
  <c r="P1471" i="79" s="1"/>
  <c r="R1471" i="79" s="1"/>
  <c r="M1473" i="79"/>
  <c r="Q1473" i="79" s="1"/>
  <c r="L1478" i="79"/>
  <c r="M1478" i="79" s="1"/>
  <c r="Q1478" i="79" s="1"/>
  <c r="L1479" i="79"/>
  <c r="M1479" i="79" s="1"/>
  <c r="Q1479" i="79" s="1"/>
  <c r="F1302" i="79"/>
  <c r="L1286" i="79"/>
  <c r="M1286" i="79" s="1"/>
  <c r="P1286" i="79" s="1"/>
  <c r="R1286" i="79" s="1"/>
  <c r="H1443" i="79"/>
  <c r="H1485" i="79" s="1"/>
  <c r="L1409" i="79"/>
  <c r="M1409" i="79" s="1"/>
  <c r="P1409" i="79" s="1"/>
  <c r="R1409" i="79" s="1"/>
  <c r="F1443" i="79"/>
  <c r="K1443" i="79"/>
  <c r="I1443" i="79"/>
  <c r="L1417" i="79"/>
  <c r="M1417" i="79" s="1"/>
  <c r="Q1417" i="79" s="1"/>
  <c r="L1424" i="79"/>
  <c r="M1424" i="79" s="1"/>
  <c r="Q1424" i="79" s="1"/>
  <c r="L1425" i="79"/>
  <c r="M1425" i="79" s="1"/>
  <c r="P1425" i="79" s="1"/>
  <c r="R1425" i="79" s="1"/>
  <c r="M1429" i="79"/>
  <c r="Q1429" i="79" s="1"/>
  <c r="L1432" i="79"/>
  <c r="M1432" i="79" s="1"/>
  <c r="Q1432" i="79" s="1"/>
  <c r="L1435" i="79"/>
  <c r="M1435" i="79" s="1"/>
  <c r="Q1435" i="79" s="1"/>
  <c r="M1437" i="79"/>
  <c r="P1437" i="79" s="1"/>
  <c r="R1437" i="79" s="1"/>
  <c r="L1440" i="79"/>
  <c r="M1440" i="79" s="1"/>
  <c r="Q1440" i="79" s="1"/>
  <c r="L1441" i="79"/>
  <c r="M1441" i="79" s="1"/>
  <c r="P1441" i="79" s="1"/>
  <c r="R1441" i="79" s="1"/>
  <c r="L1450" i="79"/>
  <c r="M1450" i="79" s="1"/>
  <c r="P1450" i="79" s="1"/>
  <c r="R1450" i="79" s="1"/>
  <c r="M1460" i="79"/>
  <c r="Q1460" i="79" s="1"/>
  <c r="M1468" i="79"/>
  <c r="Q1468" i="79" s="1"/>
  <c r="M1476" i="79"/>
  <c r="Q1476" i="79" s="1"/>
  <c r="M1482" i="79"/>
  <c r="P1482" i="79" s="1"/>
  <c r="R1482" i="79" s="1"/>
  <c r="L1089" i="79"/>
  <c r="M1089" i="79" s="1"/>
  <c r="P1089" i="79" s="1"/>
  <c r="R1089" i="79" s="1"/>
  <c r="P1477" i="79"/>
  <c r="R1477" i="79" s="1"/>
  <c r="Q1453" i="79"/>
  <c r="P1461" i="79"/>
  <c r="R1461" i="79" s="1"/>
  <c r="Q1461" i="79"/>
  <c r="L1465" i="79"/>
  <c r="M1465" i="79" s="1"/>
  <c r="K1483" i="79"/>
  <c r="L1457" i="79"/>
  <c r="M1457" i="79" s="1"/>
  <c r="L1474" i="79"/>
  <c r="M1474" i="79" s="1"/>
  <c r="L1456" i="79"/>
  <c r="M1456" i="79" s="1"/>
  <c r="L1480" i="79"/>
  <c r="M1480" i="79" s="1"/>
  <c r="L1466" i="79"/>
  <c r="M1466" i="79" s="1"/>
  <c r="E1483" i="79"/>
  <c r="L1455" i="79"/>
  <c r="M1455" i="79" s="1"/>
  <c r="L1458" i="79"/>
  <c r="M1458" i="79" s="1"/>
  <c r="L1472" i="79"/>
  <c r="M1472" i="79" s="1"/>
  <c r="L1481" i="79"/>
  <c r="M1481" i="79" s="1"/>
  <c r="Q1431" i="79"/>
  <c r="P1431" i="79"/>
  <c r="R1431" i="79" s="1"/>
  <c r="Q1433" i="79"/>
  <c r="P1433" i="79"/>
  <c r="R1433" i="79" s="1"/>
  <c r="Q1409" i="79"/>
  <c r="Q1415" i="79"/>
  <c r="P1415" i="79"/>
  <c r="R1415" i="79" s="1"/>
  <c r="P1429" i="79"/>
  <c r="R1429" i="79" s="1"/>
  <c r="Q1439" i="79"/>
  <c r="P1439" i="79"/>
  <c r="R1439" i="79" s="1"/>
  <c r="L1410" i="79"/>
  <c r="M1410" i="79" s="1"/>
  <c r="M1418" i="79"/>
  <c r="P1423" i="79"/>
  <c r="R1423" i="79" s="1"/>
  <c r="E1443" i="79"/>
  <c r="L1408" i="79"/>
  <c r="M1408" i="79" s="1"/>
  <c r="Q1408" i="79" s="1"/>
  <c r="Q1443" i="79" s="1"/>
  <c r="M1413" i="79"/>
  <c r="L1419" i="79"/>
  <c r="M1419" i="79" s="1"/>
  <c r="Q1421" i="79"/>
  <c r="L1411" i="79"/>
  <c r="M1411" i="79" s="1"/>
  <c r="L1442" i="79"/>
  <c r="M1442" i="79" s="1"/>
  <c r="L1434" i="79"/>
  <c r="M1434" i="79" s="1"/>
  <c r="L1426" i="79"/>
  <c r="M1426" i="79" s="1"/>
  <c r="Q1375" i="79"/>
  <c r="P1375" i="79"/>
  <c r="R1375" i="79" s="1"/>
  <c r="P1386" i="79"/>
  <c r="R1386" i="79" s="1"/>
  <c r="Q1386" i="79"/>
  <c r="Q1395" i="79"/>
  <c r="P1395" i="79"/>
  <c r="R1395" i="79" s="1"/>
  <c r="Q1378" i="79"/>
  <c r="P1378" i="79"/>
  <c r="R1378" i="79" s="1"/>
  <c r="Q1379" i="79"/>
  <c r="P1379" i="79"/>
  <c r="R1379" i="79" s="1"/>
  <c r="P1389" i="79"/>
  <c r="R1389" i="79" s="1"/>
  <c r="Q1389" i="79"/>
  <c r="Q1394" i="79"/>
  <c r="P1394" i="79"/>
  <c r="R1394" i="79" s="1"/>
  <c r="P1383" i="79"/>
  <c r="R1383" i="79" s="1"/>
  <c r="P1369" i="79"/>
  <c r="R1369" i="79" s="1"/>
  <c r="P1377" i="79"/>
  <c r="R1377" i="79" s="1"/>
  <c r="P1385" i="79"/>
  <c r="R1385" i="79" s="1"/>
  <c r="P1393" i="79"/>
  <c r="R1393" i="79" s="1"/>
  <c r="P1399" i="79"/>
  <c r="R1399" i="79" s="1"/>
  <c r="P1368" i="79"/>
  <c r="R1368" i="79" s="1"/>
  <c r="P1391" i="79"/>
  <c r="R1391" i="79" s="1"/>
  <c r="P1373" i="79"/>
  <c r="R1373" i="79" s="1"/>
  <c r="P1397" i="79"/>
  <c r="R1397" i="79" s="1"/>
  <c r="Q1336" i="79"/>
  <c r="P1336" i="79"/>
  <c r="R1336" i="79" s="1"/>
  <c r="Q1333" i="79"/>
  <c r="P1333" i="79"/>
  <c r="R1333" i="79" s="1"/>
  <c r="Q1337" i="79"/>
  <c r="P1337" i="79"/>
  <c r="R1337" i="79" s="1"/>
  <c r="P1355" i="79"/>
  <c r="R1355" i="79" s="1"/>
  <c r="Q1355" i="79"/>
  <c r="Q1326" i="79"/>
  <c r="P1326" i="79"/>
  <c r="R1326" i="79" s="1"/>
  <c r="Q1327" i="79"/>
  <c r="P1327" i="79"/>
  <c r="R1327" i="79" s="1"/>
  <c r="Q1343" i="79"/>
  <c r="P1343" i="79"/>
  <c r="R1343" i="79" s="1"/>
  <c r="Q1352" i="79"/>
  <c r="P1352" i="79"/>
  <c r="R1352" i="79" s="1"/>
  <c r="Q1347" i="79"/>
  <c r="P1350" i="79"/>
  <c r="R1350" i="79" s="1"/>
  <c r="P1325" i="79"/>
  <c r="R1325" i="79" s="1"/>
  <c r="P1335" i="79"/>
  <c r="R1335" i="79" s="1"/>
  <c r="P1341" i="79"/>
  <c r="R1341" i="79" s="1"/>
  <c r="M1278" i="79"/>
  <c r="P1278" i="79" s="1"/>
  <c r="R1278" i="79" s="1"/>
  <c r="P1274" i="79"/>
  <c r="R1274" i="79" s="1"/>
  <c r="Q1274" i="79"/>
  <c r="Q1298" i="79"/>
  <c r="P1298" i="79"/>
  <c r="R1298" i="79" s="1"/>
  <c r="Q1282" i="79"/>
  <c r="Q1281" i="79"/>
  <c r="P1281" i="79"/>
  <c r="R1281" i="79" s="1"/>
  <c r="L1270" i="79"/>
  <c r="M1270" i="79" s="1"/>
  <c r="L1301" i="79"/>
  <c r="M1301" i="79" s="1"/>
  <c r="L1293" i="79"/>
  <c r="M1293" i="79" s="1"/>
  <c r="L1285" i="79"/>
  <c r="M1285" i="79" s="1"/>
  <c r="L1277" i="79"/>
  <c r="M1277" i="79" s="1"/>
  <c r="L1269" i="79"/>
  <c r="M1269" i="79" s="1"/>
  <c r="L1294" i="79"/>
  <c r="M1294" i="79" s="1"/>
  <c r="Q1233" i="79"/>
  <c r="P1233" i="79"/>
  <c r="R1233" i="79" s="1"/>
  <c r="P1234" i="79"/>
  <c r="R1234" i="79" s="1"/>
  <c r="Q1250" i="79"/>
  <c r="P1250" i="79"/>
  <c r="R1250" i="79" s="1"/>
  <c r="Q1241" i="79"/>
  <c r="P1241" i="79"/>
  <c r="R1241" i="79" s="1"/>
  <c r="P1242" i="79"/>
  <c r="R1242" i="79" s="1"/>
  <c r="Q1242" i="79"/>
  <c r="Q1257" i="79"/>
  <c r="P1257" i="79"/>
  <c r="R1257" i="79" s="1"/>
  <c r="L1229" i="79"/>
  <c r="M1229" i="79" s="1"/>
  <c r="L1237" i="79"/>
  <c r="M1237" i="79" s="1"/>
  <c r="L1245" i="79"/>
  <c r="M1245" i="79" s="1"/>
  <c r="L1253" i="79"/>
  <c r="M1253" i="79" s="1"/>
  <c r="L1261" i="79"/>
  <c r="M1261" i="79" s="1"/>
  <c r="L1230" i="79"/>
  <c r="M1230" i="79" s="1"/>
  <c r="L1238" i="79"/>
  <c r="M1238" i="79" s="1"/>
  <c r="L1246" i="79"/>
  <c r="M1246" i="79" s="1"/>
  <c r="L1254" i="79"/>
  <c r="M1254" i="79" s="1"/>
  <c r="E1262" i="79"/>
  <c r="L1227" i="79"/>
  <c r="M1227" i="79" s="1"/>
  <c r="Q1227" i="79" s="1"/>
  <c r="G1262" i="79"/>
  <c r="P1190" i="79"/>
  <c r="R1190" i="79" s="1"/>
  <c r="Q1190" i="79"/>
  <c r="Q1214" i="79"/>
  <c r="P1214" i="79"/>
  <c r="R1214" i="79" s="1"/>
  <c r="M1220" i="79"/>
  <c r="Q1185" i="79"/>
  <c r="P1189" i="79"/>
  <c r="R1189" i="79" s="1"/>
  <c r="Q1189" i="79"/>
  <c r="Q1186" i="79"/>
  <c r="P1186" i="79"/>
  <c r="R1186" i="79" s="1"/>
  <c r="P1197" i="79"/>
  <c r="R1197" i="79" s="1"/>
  <c r="Q1197" i="79"/>
  <c r="P1217" i="79"/>
  <c r="R1217" i="79" s="1"/>
  <c r="Q1217" i="79"/>
  <c r="Q1218" i="79"/>
  <c r="P1218" i="79"/>
  <c r="R1218" i="79" s="1"/>
  <c r="Q1194" i="79"/>
  <c r="P1194" i="79"/>
  <c r="R1194" i="79" s="1"/>
  <c r="P1193" i="79"/>
  <c r="R1193" i="79" s="1"/>
  <c r="Q1193" i="79"/>
  <c r="Q1205" i="79"/>
  <c r="P1206" i="79"/>
  <c r="R1206" i="79" s="1"/>
  <c r="Q1209" i="79"/>
  <c r="Q1213" i="79"/>
  <c r="P1152" i="79"/>
  <c r="R1152" i="79" s="1"/>
  <c r="Q1163" i="79"/>
  <c r="P1143" i="79"/>
  <c r="R1143" i="79" s="1"/>
  <c r="Q1143" i="79"/>
  <c r="P1167" i="79"/>
  <c r="R1167" i="79" s="1"/>
  <c r="Q1167" i="79"/>
  <c r="Q1156" i="79"/>
  <c r="P1156" i="79"/>
  <c r="R1156" i="79" s="1"/>
  <c r="Q1172" i="79"/>
  <c r="P1172" i="79"/>
  <c r="R1172" i="79" s="1"/>
  <c r="Q1168" i="79"/>
  <c r="P1159" i="79"/>
  <c r="R1159" i="79" s="1"/>
  <c r="Q1159" i="79"/>
  <c r="Q1164" i="79"/>
  <c r="P1164" i="79"/>
  <c r="R1164" i="79" s="1"/>
  <c r="P1175" i="79"/>
  <c r="R1175" i="79" s="1"/>
  <c r="Q1175" i="79"/>
  <c r="L1146" i="79"/>
  <c r="M1146" i="79" s="1"/>
  <c r="L1155" i="79"/>
  <c r="M1155" i="79" s="1"/>
  <c r="L1144" i="79"/>
  <c r="M1144" i="79" s="1"/>
  <c r="L1147" i="79"/>
  <c r="M1147" i="79" s="1"/>
  <c r="L1170" i="79"/>
  <c r="M1170" i="79" s="1"/>
  <c r="E1176" i="79"/>
  <c r="L1162" i="79"/>
  <c r="M1162" i="79" s="1"/>
  <c r="L1171" i="79"/>
  <c r="M1171" i="79" s="1"/>
  <c r="G1176" i="79"/>
  <c r="L1094" i="79"/>
  <c r="M1094" i="79" s="1"/>
  <c r="Q1094" i="79" s="1"/>
  <c r="L1088" i="79"/>
  <c r="M1088" i="79" s="1"/>
  <c r="Q1088" i="79" s="1"/>
  <c r="Q1101" i="79"/>
  <c r="P1101" i="79"/>
  <c r="R1101" i="79" s="1"/>
  <c r="Q1105" i="79"/>
  <c r="P1105" i="79"/>
  <c r="R1105" i="79" s="1"/>
  <c r="Q1117" i="79"/>
  <c r="P1117" i="79"/>
  <c r="R1117" i="79" s="1"/>
  <c r="M1091" i="79"/>
  <c r="Q1091" i="79" s="1"/>
  <c r="L1114" i="79"/>
  <c r="M1114" i="79" s="1"/>
  <c r="Q1114" i="79" s="1"/>
  <c r="L1090" i="79"/>
  <c r="M1090" i="79" s="1"/>
  <c r="L1098" i="79"/>
  <c r="M1098" i="79" s="1"/>
  <c r="L1106" i="79"/>
  <c r="M1106" i="79" s="1"/>
  <c r="L1115" i="79"/>
  <c r="M1115" i="79" s="1"/>
  <c r="P1112" i="79"/>
  <c r="R1112" i="79" s="1"/>
  <c r="P1092" i="79"/>
  <c r="R1092" i="79" s="1"/>
  <c r="P1100" i="79"/>
  <c r="R1100" i="79" s="1"/>
  <c r="P1108" i="79"/>
  <c r="R1108" i="79" s="1"/>
  <c r="Q1053" i="79"/>
  <c r="P1053" i="79"/>
  <c r="R1053" i="79" s="1"/>
  <c r="P1076" i="79"/>
  <c r="R1076" i="79" s="1"/>
  <c r="Q1076" i="79"/>
  <c r="P1068" i="79"/>
  <c r="R1068" i="79" s="1"/>
  <c r="Q1068" i="79"/>
  <c r="Q1077" i="79"/>
  <c r="P1077" i="79"/>
  <c r="R1077" i="79" s="1"/>
  <c r="L1057" i="79"/>
  <c r="M1057" i="79" s="1"/>
  <c r="Q1069" i="79"/>
  <c r="L1080" i="79"/>
  <c r="M1080" i="79" s="1"/>
  <c r="K1081" i="79"/>
  <c r="Q1060" i="79"/>
  <c r="E1081" i="79"/>
  <c r="L1048" i="79"/>
  <c r="M1048" i="79" s="1"/>
  <c r="F1081" i="79"/>
  <c r="L1056" i="79"/>
  <c r="M1056" i="79" s="1"/>
  <c r="L1046" i="79"/>
  <c r="M1046" i="79" s="1"/>
  <c r="L1064" i="79"/>
  <c r="M1064" i="79" s="1"/>
  <c r="Q1038" i="79"/>
  <c r="P1038" i="79"/>
  <c r="R1038" i="79" s="1"/>
  <c r="Q1009" i="79"/>
  <c r="P1009" i="79"/>
  <c r="R1009" i="79" s="1"/>
  <c r="Q1005" i="79"/>
  <c r="P1005" i="79"/>
  <c r="R1005" i="79" s="1"/>
  <c r="P1032" i="79"/>
  <c r="R1032" i="79" s="1"/>
  <c r="Q1032" i="79"/>
  <c r="Q1014" i="79"/>
  <c r="P1014" i="79"/>
  <c r="R1014" i="79" s="1"/>
  <c r="Q1006" i="79"/>
  <c r="P1006" i="79"/>
  <c r="R1006" i="79" s="1"/>
  <c r="Q1037" i="79"/>
  <c r="P1037" i="79"/>
  <c r="R1037" i="79" s="1"/>
  <c r="P1024" i="79"/>
  <c r="R1024" i="79" s="1"/>
  <c r="Q1024" i="79"/>
  <c r="Q1013" i="79"/>
  <c r="P1013" i="79"/>
  <c r="R1013" i="79" s="1"/>
  <c r="P1036" i="79"/>
  <c r="R1036" i="79" s="1"/>
  <c r="Q1036" i="79"/>
  <c r="Q1025" i="79"/>
  <c r="Q1030" i="79"/>
  <c r="Q1016" i="79"/>
  <c r="P1029" i="79"/>
  <c r="R1029" i="79" s="1"/>
  <c r="Q987" i="79"/>
  <c r="P987" i="79"/>
  <c r="R987" i="79" s="1"/>
  <c r="Q971" i="79"/>
  <c r="P971" i="79"/>
  <c r="R971" i="79" s="1"/>
  <c r="L965" i="79"/>
  <c r="M965" i="79" s="1"/>
  <c r="Q965" i="79" s="1"/>
  <c r="Q970" i="79"/>
  <c r="L991" i="79"/>
  <c r="M991" i="79" s="1"/>
  <c r="P963" i="79"/>
  <c r="R963" i="79" s="1"/>
  <c r="L966" i="79"/>
  <c r="M966" i="79" s="1"/>
  <c r="Q986" i="79"/>
  <c r="L974" i="79"/>
  <c r="M974" i="79" s="1"/>
  <c r="K995" i="79"/>
  <c r="P979" i="79"/>
  <c r="R979" i="79" s="1"/>
  <c r="L982" i="79"/>
  <c r="M982" i="79" s="1"/>
  <c r="E995" i="79"/>
  <c r="L967" i="79"/>
  <c r="M967" i="79" s="1"/>
  <c r="L990" i="79"/>
  <c r="M990" i="79" s="1"/>
  <c r="LX597" i="79"/>
  <c r="A581" i="79"/>
  <c r="A589" i="79"/>
  <c r="A605" i="79"/>
  <c r="A613" i="79"/>
  <c r="A584" i="79"/>
  <c r="A588" i="79"/>
  <c r="A592" i="79"/>
  <c r="A596" i="79"/>
  <c r="A600" i="79"/>
  <c r="A604" i="79"/>
  <c r="A612" i="79"/>
  <c r="A616" i="79"/>
  <c r="FX589" i="79"/>
  <c r="EB589" i="79"/>
  <c r="DT589" i="79"/>
  <c r="DL589" i="79"/>
  <c r="DD589" i="79"/>
  <c r="CV589" i="79"/>
  <c r="CN589" i="79"/>
  <c r="CF589" i="79"/>
  <c r="BX589" i="79"/>
  <c r="BP589" i="79"/>
  <c r="FW589" i="79"/>
  <c r="EA589" i="79"/>
  <c r="DS589" i="79"/>
  <c r="DK589" i="79"/>
  <c r="DC589" i="79"/>
  <c r="CU589" i="79"/>
  <c r="CM589" i="79"/>
  <c r="CE589" i="79"/>
  <c r="BW589" i="79"/>
  <c r="BO589" i="79"/>
  <c r="FV589" i="79"/>
  <c r="DZ589" i="79"/>
  <c r="DR589" i="79"/>
  <c r="DJ589" i="79"/>
  <c r="DB589" i="79"/>
  <c r="CT589" i="79"/>
  <c r="CL589" i="79"/>
  <c r="CD589" i="79"/>
  <c r="BV589" i="79"/>
  <c r="BN589" i="79"/>
  <c r="DY589" i="79"/>
  <c r="DQ589" i="79"/>
  <c r="DI589" i="79"/>
  <c r="DA589" i="79"/>
  <c r="CS589" i="79"/>
  <c r="CK589" i="79"/>
  <c r="CC589" i="79"/>
  <c r="BU589" i="79"/>
  <c r="BM589" i="79"/>
  <c r="DX589" i="79"/>
  <c r="DP589" i="79"/>
  <c r="DH589" i="79"/>
  <c r="CZ589" i="79"/>
  <c r="CR589" i="79"/>
  <c r="CJ589" i="79"/>
  <c r="CB589" i="79"/>
  <c r="BT589" i="79"/>
  <c r="BL589" i="79"/>
  <c r="DW589" i="79"/>
  <c r="DO589" i="79"/>
  <c r="DG589" i="79"/>
  <c r="CY589" i="79"/>
  <c r="CQ589" i="79"/>
  <c r="CI589" i="79"/>
  <c r="CA589" i="79"/>
  <c r="BS589" i="79"/>
  <c r="BK589" i="79"/>
  <c r="DW594" i="79"/>
  <c r="DO594" i="79"/>
  <c r="FX594" i="79"/>
  <c r="EB594" i="79"/>
  <c r="DS594" i="79"/>
  <c r="DJ594" i="79"/>
  <c r="DB594" i="79"/>
  <c r="CT594" i="79"/>
  <c r="CL594" i="79"/>
  <c r="CD594" i="79"/>
  <c r="BV594" i="79"/>
  <c r="BN594" i="79"/>
  <c r="FW594" i="79"/>
  <c r="EA594" i="79"/>
  <c r="DR594" i="79"/>
  <c r="DI594" i="79"/>
  <c r="DA594" i="79"/>
  <c r="CS594" i="79"/>
  <c r="CK594" i="79"/>
  <c r="CC594" i="79"/>
  <c r="BU594" i="79"/>
  <c r="BM594" i="79"/>
  <c r="FV594" i="79"/>
  <c r="DZ594" i="79"/>
  <c r="DQ594" i="79"/>
  <c r="DH594" i="79"/>
  <c r="CZ594" i="79"/>
  <c r="CR594" i="79"/>
  <c r="CJ594" i="79"/>
  <c r="CB594" i="79"/>
  <c r="BT594" i="79"/>
  <c r="BL594" i="79"/>
  <c r="DY594" i="79"/>
  <c r="DP594" i="79"/>
  <c r="DG594" i="79"/>
  <c r="CY594" i="79"/>
  <c r="CQ594" i="79"/>
  <c r="CI594" i="79"/>
  <c r="CA594" i="79"/>
  <c r="BS594" i="79"/>
  <c r="BK594" i="79"/>
  <c r="DX594" i="79"/>
  <c r="DN594" i="79"/>
  <c r="DF594" i="79"/>
  <c r="CX594" i="79"/>
  <c r="CP594" i="79"/>
  <c r="CH594" i="79"/>
  <c r="BZ594" i="79"/>
  <c r="BR594" i="79"/>
  <c r="DV594" i="79"/>
  <c r="DM594" i="79"/>
  <c r="DE594" i="79"/>
  <c r="CW594" i="79"/>
  <c r="CO594" i="79"/>
  <c r="CG594" i="79"/>
  <c r="BY594" i="79"/>
  <c r="BQ594" i="79"/>
  <c r="FZ594" i="79"/>
  <c r="DU594" i="79"/>
  <c r="DL594" i="79"/>
  <c r="DD594" i="79"/>
  <c r="CV594" i="79"/>
  <c r="CN594" i="79"/>
  <c r="CF594" i="79"/>
  <c r="BX594" i="79"/>
  <c r="BP594" i="79"/>
  <c r="FV600" i="79"/>
  <c r="DZ600" i="79"/>
  <c r="DR600" i="79"/>
  <c r="DJ600" i="79"/>
  <c r="DB600" i="79"/>
  <c r="CT600" i="79"/>
  <c r="CL600" i="79"/>
  <c r="CD600" i="79"/>
  <c r="BV600" i="79"/>
  <c r="BN600" i="79"/>
  <c r="DY600" i="79"/>
  <c r="DQ600" i="79"/>
  <c r="DI600" i="79"/>
  <c r="DA600" i="79"/>
  <c r="CS600" i="79"/>
  <c r="CK600" i="79"/>
  <c r="CC600" i="79"/>
  <c r="BU600" i="79"/>
  <c r="BM600" i="79"/>
  <c r="DX600" i="79"/>
  <c r="DP600" i="79"/>
  <c r="DH600" i="79"/>
  <c r="CZ600" i="79"/>
  <c r="CR600" i="79"/>
  <c r="CJ600" i="79"/>
  <c r="CB600" i="79"/>
  <c r="BT600" i="79"/>
  <c r="BL600" i="79"/>
  <c r="DW600" i="79"/>
  <c r="DO600" i="79"/>
  <c r="DG600" i="79"/>
  <c r="CY600" i="79"/>
  <c r="CQ600" i="79"/>
  <c r="CI600" i="79"/>
  <c r="CA600" i="79"/>
  <c r="BS600" i="79"/>
  <c r="BK600" i="79"/>
  <c r="FZ600" i="79"/>
  <c r="DV600" i="79"/>
  <c r="DN600" i="79"/>
  <c r="DF600" i="79"/>
  <c r="CX600" i="79"/>
  <c r="CP600" i="79"/>
  <c r="CH600" i="79"/>
  <c r="BZ600" i="79"/>
  <c r="BR600" i="79"/>
  <c r="FY600" i="79"/>
  <c r="DU600" i="79"/>
  <c r="DM600" i="79"/>
  <c r="DE600" i="79"/>
  <c r="CW600" i="79"/>
  <c r="CO600" i="79"/>
  <c r="CG600" i="79"/>
  <c r="BY600" i="79"/>
  <c r="BQ600" i="79"/>
  <c r="FX600" i="79"/>
  <c r="EB600" i="79"/>
  <c r="DT600" i="79"/>
  <c r="DL600" i="79"/>
  <c r="DD600" i="79"/>
  <c r="CV600" i="79"/>
  <c r="CN600" i="79"/>
  <c r="CF600" i="79"/>
  <c r="BX600" i="79"/>
  <c r="BP600" i="79"/>
  <c r="CE600" i="79"/>
  <c r="BW600" i="79"/>
  <c r="EA600" i="79"/>
  <c r="BO600" i="79"/>
  <c r="DS600" i="79"/>
  <c r="FW600" i="79"/>
  <c r="DK600" i="79"/>
  <c r="DC600" i="79"/>
  <c r="CU600" i="79"/>
  <c r="DX606" i="79"/>
  <c r="DP606" i="79"/>
  <c r="DH606" i="79"/>
  <c r="CZ606" i="79"/>
  <c r="CR606" i="79"/>
  <c r="CJ606" i="79"/>
  <c r="CB606" i="79"/>
  <c r="BT606" i="79"/>
  <c r="BL606" i="79"/>
  <c r="DW606" i="79"/>
  <c r="DO606" i="79"/>
  <c r="DG606" i="79"/>
  <c r="CY606" i="79"/>
  <c r="CQ606" i="79"/>
  <c r="CI606" i="79"/>
  <c r="CA606" i="79"/>
  <c r="BS606" i="79"/>
  <c r="BK606" i="79"/>
  <c r="FZ606" i="79"/>
  <c r="DV606" i="79"/>
  <c r="DN606" i="79"/>
  <c r="DF606" i="79"/>
  <c r="CX606" i="79"/>
  <c r="CP606" i="79"/>
  <c r="CH606" i="79"/>
  <c r="BZ606" i="79"/>
  <c r="BR606" i="79"/>
  <c r="FY606" i="79"/>
  <c r="DU606" i="79"/>
  <c r="DM606" i="79"/>
  <c r="DE606" i="79"/>
  <c r="CW606" i="79"/>
  <c r="CO606" i="79"/>
  <c r="CG606" i="79"/>
  <c r="BY606" i="79"/>
  <c r="BQ606" i="79"/>
  <c r="FX606" i="79"/>
  <c r="EB606" i="79"/>
  <c r="DT606" i="79"/>
  <c r="DL606" i="79"/>
  <c r="DD606" i="79"/>
  <c r="CV606" i="79"/>
  <c r="CN606" i="79"/>
  <c r="CF606" i="79"/>
  <c r="BX606" i="79"/>
  <c r="BP606" i="79"/>
  <c r="FW606" i="79"/>
  <c r="EA606" i="79"/>
  <c r="DS606" i="79"/>
  <c r="DK606" i="79"/>
  <c r="DC606" i="79"/>
  <c r="CU606" i="79"/>
  <c r="CM606" i="79"/>
  <c r="CE606" i="79"/>
  <c r="BW606" i="79"/>
  <c r="BO606" i="79"/>
  <c r="DA606" i="79"/>
  <c r="BU606" i="79"/>
  <c r="DZ606" i="79"/>
  <c r="CT606" i="79"/>
  <c r="BN606" i="79"/>
  <c r="DY606" i="79"/>
  <c r="CS606" i="79"/>
  <c r="BM606" i="79"/>
  <c r="FV606" i="79"/>
  <c r="DR606" i="79"/>
  <c r="CL606" i="79"/>
  <c r="DQ606" i="79"/>
  <c r="CK606" i="79"/>
  <c r="DJ606" i="79"/>
  <c r="CD606" i="79"/>
  <c r="DI606" i="79"/>
  <c r="CC606" i="79"/>
  <c r="DB606" i="79"/>
  <c r="BV606" i="79"/>
  <c r="DW617" i="79"/>
  <c r="DO617" i="79"/>
  <c r="DG617" i="79"/>
  <c r="CY617" i="79"/>
  <c r="CQ617" i="79"/>
  <c r="CI617" i="79"/>
  <c r="CA617" i="79"/>
  <c r="BS617" i="79"/>
  <c r="BK617" i="79"/>
  <c r="FZ617" i="79"/>
  <c r="DV617" i="79"/>
  <c r="DN617" i="79"/>
  <c r="DF617" i="79"/>
  <c r="CX617" i="79"/>
  <c r="CP617" i="79"/>
  <c r="CH617" i="79"/>
  <c r="BZ617" i="79"/>
  <c r="BR617" i="79"/>
  <c r="FY617" i="79"/>
  <c r="DU617" i="79"/>
  <c r="DM617" i="79"/>
  <c r="DE617" i="79"/>
  <c r="CW617" i="79"/>
  <c r="CO617" i="79"/>
  <c r="CG617" i="79"/>
  <c r="BY617" i="79"/>
  <c r="BQ617" i="79"/>
  <c r="FX617" i="79"/>
  <c r="EB617" i="79"/>
  <c r="DT617" i="79"/>
  <c r="DL617" i="79"/>
  <c r="DD617" i="79"/>
  <c r="CV617" i="79"/>
  <c r="CN617" i="79"/>
  <c r="CF617" i="79"/>
  <c r="BX617" i="79"/>
  <c r="BP617" i="79"/>
  <c r="FW617" i="79"/>
  <c r="EA617" i="79"/>
  <c r="DS617" i="79"/>
  <c r="DK617" i="79"/>
  <c r="DC617" i="79"/>
  <c r="CU617" i="79"/>
  <c r="CM617" i="79"/>
  <c r="CE617" i="79"/>
  <c r="BW617" i="79"/>
  <c r="BO617" i="79"/>
  <c r="FV617" i="79"/>
  <c r="DZ617" i="79"/>
  <c r="DR617" i="79"/>
  <c r="DJ617" i="79"/>
  <c r="DB617" i="79"/>
  <c r="CT617" i="79"/>
  <c r="CL617" i="79"/>
  <c r="CD617" i="79"/>
  <c r="BV617" i="79"/>
  <c r="BN617" i="79"/>
  <c r="DP617" i="79"/>
  <c r="CJ617" i="79"/>
  <c r="DI617" i="79"/>
  <c r="CC617" i="79"/>
  <c r="DH617" i="79"/>
  <c r="CB617" i="79"/>
  <c r="DA617" i="79"/>
  <c r="BU617" i="79"/>
  <c r="CZ617" i="79"/>
  <c r="BT617" i="79"/>
  <c r="DY617" i="79"/>
  <c r="CS617" i="79"/>
  <c r="BM617" i="79"/>
  <c r="DX617" i="79"/>
  <c r="DQ617" i="79"/>
  <c r="CR617" i="79"/>
  <c r="CK617" i="79"/>
  <c r="BL617" i="79"/>
  <c r="BX582" i="79"/>
  <c r="CV582" i="79"/>
  <c r="DL582" i="79"/>
  <c r="DT582" i="79"/>
  <c r="BP583" i="79"/>
  <c r="BX583" i="79"/>
  <c r="CF583" i="79"/>
  <c r="CN583" i="79"/>
  <c r="CV583" i="79"/>
  <c r="DD583" i="79"/>
  <c r="DL583" i="79"/>
  <c r="DT583" i="79"/>
  <c r="EB583" i="79"/>
  <c r="FX583" i="79"/>
  <c r="BP584" i="79"/>
  <c r="BX584" i="79"/>
  <c r="CF584" i="79"/>
  <c r="CN584" i="79"/>
  <c r="CV584" i="79"/>
  <c r="DD584" i="79"/>
  <c r="DL584" i="79"/>
  <c r="DT584" i="79"/>
  <c r="EB584" i="79"/>
  <c r="FX584" i="79"/>
  <c r="BP585" i="79"/>
  <c r="BX585" i="79"/>
  <c r="CF585" i="79"/>
  <c r="CN585" i="79"/>
  <c r="CV585" i="79"/>
  <c r="DD585" i="79"/>
  <c r="DL585" i="79"/>
  <c r="DT585" i="79"/>
  <c r="EB585" i="79"/>
  <c r="FX585" i="79"/>
  <c r="BP586" i="79"/>
  <c r="CA586" i="79"/>
  <c r="CL586" i="79"/>
  <c r="CY586" i="79"/>
  <c r="DL586" i="79"/>
  <c r="DX586" i="79"/>
  <c r="FV586" i="79"/>
  <c r="CA588" i="79"/>
  <c r="CX588" i="79"/>
  <c r="DU588" i="79"/>
  <c r="FY588" i="79"/>
  <c r="CO589" i="79"/>
  <c r="DU589" i="79"/>
  <c r="FZ589" i="79"/>
  <c r="CN590" i="79"/>
  <c r="DT590" i="79"/>
  <c r="FX590" i="79"/>
  <c r="CN591" i="79"/>
  <c r="DT591" i="79"/>
  <c r="FX591" i="79"/>
  <c r="CN592" i="79"/>
  <c r="DT592" i="79"/>
  <c r="FX592" i="79"/>
  <c r="DL593" i="79"/>
  <c r="FX593" i="79"/>
  <c r="DK594" i="79"/>
  <c r="CV596" i="79"/>
  <c r="CM600" i="79"/>
  <c r="DX612" i="79"/>
  <c r="DP612" i="79"/>
  <c r="DH612" i="79"/>
  <c r="CZ612" i="79"/>
  <c r="CR612" i="79"/>
  <c r="CJ612" i="79"/>
  <c r="CB612" i="79"/>
  <c r="BT612" i="79"/>
  <c r="BL612" i="79"/>
  <c r="DW612" i="79"/>
  <c r="DO612" i="79"/>
  <c r="DG612" i="79"/>
  <c r="CY612" i="79"/>
  <c r="CQ612" i="79"/>
  <c r="CI612" i="79"/>
  <c r="CA612" i="79"/>
  <c r="BS612" i="79"/>
  <c r="BK612" i="79"/>
  <c r="FZ612" i="79"/>
  <c r="DV612" i="79"/>
  <c r="DN612" i="79"/>
  <c r="DF612" i="79"/>
  <c r="CX612" i="79"/>
  <c r="CP612" i="79"/>
  <c r="CH612" i="79"/>
  <c r="BZ612" i="79"/>
  <c r="BR612" i="79"/>
  <c r="FY612" i="79"/>
  <c r="DU612" i="79"/>
  <c r="DM612" i="79"/>
  <c r="DE612" i="79"/>
  <c r="CW612" i="79"/>
  <c r="CO612" i="79"/>
  <c r="CG612" i="79"/>
  <c r="BY612" i="79"/>
  <c r="BQ612" i="79"/>
  <c r="FX612" i="79"/>
  <c r="EB612" i="79"/>
  <c r="DT612" i="79"/>
  <c r="DL612" i="79"/>
  <c r="DD612" i="79"/>
  <c r="CV612" i="79"/>
  <c r="CN612" i="79"/>
  <c r="CF612" i="79"/>
  <c r="BX612" i="79"/>
  <c r="BP612" i="79"/>
  <c r="FW612" i="79"/>
  <c r="EA612" i="79"/>
  <c r="DS612" i="79"/>
  <c r="DK612" i="79"/>
  <c r="DC612" i="79"/>
  <c r="CU612" i="79"/>
  <c r="CM612" i="79"/>
  <c r="CE612" i="79"/>
  <c r="BW612" i="79"/>
  <c r="BO612" i="79"/>
  <c r="DI612" i="79"/>
  <c r="CC612" i="79"/>
  <c r="DB612" i="79"/>
  <c r="BV612" i="79"/>
  <c r="DA612" i="79"/>
  <c r="BU612" i="79"/>
  <c r="DZ612" i="79"/>
  <c r="CT612" i="79"/>
  <c r="BN612" i="79"/>
  <c r="DY612" i="79"/>
  <c r="CS612" i="79"/>
  <c r="BM612" i="79"/>
  <c r="FV612" i="79"/>
  <c r="DR612" i="79"/>
  <c r="CL612" i="79"/>
  <c r="DJ612" i="79"/>
  <c r="CK612" i="79"/>
  <c r="CD612" i="79"/>
  <c r="DQ612" i="79"/>
  <c r="CG581" i="79"/>
  <c r="DM581" i="79"/>
  <c r="BR581" i="79"/>
  <c r="BQ582" i="79"/>
  <c r="BY582" i="79"/>
  <c r="CG582" i="79"/>
  <c r="CO582" i="79"/>
  <c r="CW582" i="79"/>
  <c r="DE582" i="79"/>
  <c r="DM582" i="79"/>
  <c r="DU582" i="79"/>
  <c r="FY582" i="79"/>
  <c r="BQ583" i="79"/>
  <c r="BY583" i="79"/>
  <c r="CG583" i="79"/>
  <c r="CO583" i="79"/>
  <c r="CW583" i="79"/>
  <c r="DE583" i="79"/>
  <c r="DM583" i="79"/>
  <c r="DU583" i="79"/>
  <c r="FY583" i="79"/>
  <c r="BQ584" i="79"/>
  <c r="BY584" i="79"/>
  <c r="CG584" i="79"/>
  <c r="CO584" i="79"/>
  <c r="CW584" i="79"/>
  <c r="DE584" i="79"/>
  <c r="DM584" i="79"/>
  <c r="DU584" i="79"/>
  <c r="FY584" i="79"/>
  <c r="BQ585" i="79"/>
  <c r="BY585" i="79"/>
  <c r="CG585" i="79"/>
  <c r="CO585" i="79"/>
  <c r="CW585" i="79"/>
  <c r="DE585" i="79"/>
  <c r="DM585" i="79"/>
  <c r="DU585" i="79"/>
  <c r="FY585" i="79"/>
  <c r="BR586" i="79"/>
  <c r="CB586" i="79"/>
  <c r="CN586" i="79"/>
  <c r="CZ586" i="79"/>
  <c r="DN586" i="79"/>
  <c r="DZ586" i="79"/>
  <c r="FX586" i="79"/>
  <c r="BK588" i="79"/>
  <c r="CG588" i="79"/>
  <c r="CY588" i="79"/>
  <c r="DV588" i="79"/>
  <c r="FZ588" i="79"/>
  <c r="CP589" i="79"/>
  <c r="DV589" i="79"/>
  <c r="CO590" i="79"/>
  <c r="DU590" i="79"/>
  <c r="FY590" i="79"/>
  <c r="CO591" i="79"/>
  <c r="DU591" i="79"/>
  <c r="FY591" i="79"/>
  <c r="CO592" i="79"/>
  <c r="DU592" i="79"/>
  <c r="DT593" i="79"/>
  <c r="DT594" i="79"/>
  <c r="DJ596" i="79"/>
  <c r="DF587" i="79"/>
  <c r="CI587" i="79"/>
  <c r="BQ587" i="79"/>
  <c r="FW592" i="79"/>
  <c r="EA592" i="79"/>
  <c r="DS592" i="79"/>
  <c r="DK592" i="79"/>
  <c r="DC592" i="79"/>
  <c r="CU592" i="79"/>
  <c r="CM592" i="79"/>
  <c r="CE592" i="79"/>
  <c r="BW592" i="79"/>
  <c r="BO592" i="79"/>
  <c r="FV592" i="79"/>
  <c r="DZ592" i="79"/>
  <c r="DR592" i="79"/>
  <c r="DJ592" i="79"/>
  <c r="DB592" i="79"/>
  <c r="CT592" i="79"/>
  <c r="CL592" i="79"/>
  <c r="CD592" i="79"/>
  <c r="BV592" i="79"/>
  <c r="BN592" i="79"/>
  <c r="DY592" i="79"/>
  <c r="DQ592" i="79"/>
  <c r="DI592" i="79"/>
  <c r="DA592" i="79"/>
  <c r="CS592" i="79"/>
  <c r="CK592" i="79"/>
  <c r="CC592" i="79"/>
  <c r="BU592" i="79"/>
  <c r="BM592" i="79"/>
  <c r="DX592" i="79"/>
  <c r="DP592" i="79"/>
  <c r="DH592" i="79"/>
  <c r="CZ592" i="79"/>
  <c r="CR592" i="79"/>
  <c r="CJ592" i="79"/>
  <c r="CB592" i="79"/>
  <c r="BT592" i="79"/>
  <c r="BL592" i="79"/>
  <c r="DW592" i="79"/>
  <c r="DO592" i="79"/>
  <c r="DG592" i="79"/>
  <c r="CY592" i="79"/>
  <c r="CQ592" i="79"/>
  <c r="CI592" i="79"/>
  <c r="CA592" i="79"/>
  <c r="BS592" i="79"/>
  <c r="BK592" i="79"/>
  <c r="FZ592" i="79"/>
  <c r="DV592" i="79"/>
  <c r="DN592" i="79"/>
  <c r="DF592" i="79"/>
  <c r="CX592" i="79"/>
  <c r="CP592" i="79"/>
  <c r="CH592" i="79"/>
  <c r="BZ592" i="79"/>
  <c r="BR592" i="79"/>
  <c r="FX597" i="79"/>
  <c r="DA597" i="79"/>
  <c r="FW597" i="79"/>
  <c r="CS597" i="79"/>
  <c r="FV597" i="79"/>
  <c r="CK597" i="79"/>
  <c r="CC597" i="79"/>
  <c r="BU597" i="79"/>
  <c r="DY597" i="79"/>
  <c r="DQ597" i="79"/>
  <c r="DI597" i="79"/>
  <c r="BM597" i="79"/>
  <c r="FZ597" i="79"/>
  <c r="FX602" i="79"/>
  <c r="EB602" i="79"/>
  <c r="DT602" i="79"/>
  <c r="DL602" i="79"/>
  <c r="DD602" i="79"/>
  <c r="CV602" i="79"/>
  <c r="CN602" i="79"/>
  <c r="CF602" i="79"/>
  <c r="BX602" i="79"/>
  <c r="BP602" i="79"/>
  <c r="FZ602" i="79"/>
  <c r="DS602" i="79"/>
  <c r="DJ602" i="79"/>
  <c r="DA602" i="79"/>
  <c r="CR602" i="79"/>
  <c r="CI602" i="79"/>
  <c r="BZ602" i="79"/>
  <c r="BQ602" i="79"/>
  <c r="FY602" i="79"/>
  <c r="EA602" i="79"/>
  <c r="DR602" i="79"/>
  <c r="DI602" i="79"/>
  <c r="CZ602" i="79"/>
  <c r="CQ602" i="79"/>
  <c r="CH602" i="79"/>
  <c r="BY602" i="79"/>
  <c r="BO602" i="79"/>
  <c r="FW602" i="79"/>
  <c r="DZ602" i="79"/>
  <c r="DQ602" i="79"/>
  <c r="DH602" i="79"/>
  <c r="CY602" i="79"/>
  <c r="CP602" i="79"/>
  <c r="CG602" i="79"/>
  <c r="BW602" i="79"/>
  <c r="BN602" i="79"/>
  <c r="FV602" i="79"/>
  <c r="DY602" i="79"/>
  <c r="DP602" i="79"/>
  <c r="DG602" i="79"/>
  <c r="CX602" i="79"/>
  <c r="CO602" i="79"/>
  <c r="CE602" i="79"/>
  <c r="BV602" i="79"/>
  <c r="BM602" i="79"/>
  <c r="DX602" i="79"/>
  <c r="DO602" i="79"/>
  <c r="DF602" i="79"/>
  <c r="CW602" i="79"/>
  <c r="CM602" i="79"/>
  <c r="CD602" i="79"/>
  <c r="BU602" i="79"/>
  <c r="BL602" i="79"/>
  <c r="DW602" i="79"/>
  <c r="DN602" i="79"/>
  <c r="DE602" i="79"/>
  <c r="CU602" i="79"/>
  <c r="CL602" i="79"/>
  <c r="CC602" i="79"/>
  <c r="BT602" i="79"/>
  <c r="BK602" i="79"/>
  <c r="DV602" i="79"/>
  <c r="DM602" i="79"/>
  <c r="DC602" i="79"/>
  <c r="CT602" i="79"/>
  <c r="CK602" i="79"/>
  <c r="CB602" i="79"/>
  <c r="BS602" i="79"/>
  <c r="DB602" i="79"/>
  <c r="CS602" i="79"/>
  <c r="CJ602" i="79"/>
  <c r="CA602" i="79"/>
  <c r="BR602" i="79"/>
  <c r="DU602" i="79"/>
  <c r="DY609" i="79"/>
  <c r="DQ609" i="79"/>
  <c r="DI609" i="79"/>
  <c r="DA609" i="79"/>
  <c r="CS609" i="79"/>
  <c r="CK609" i="79"/>
  <c r="CC609" i="79"/>
  <c r="BU609" i="79"/>
  <c r="BM609" i="79"/>
  <c r="FZ609" i="79"/>
  <c r="DV609" i="79"/>
  <c r="DN609" i="79"/>
  <c r="DF609" i="79"/>
  <c r="CX609" i="79"/>
  <c r="CP609" i="79"/>
  <c r="CH609" i="79"/>
  <c r="DT609" i="79"/>
  <c r="DJ609" i="79"/>
  <c r="CY609" i="79"/>
  <c r="CN609" i="79"/>
  <c r="CD609" i="79"/>
  <c r="BT609" i="79"/>
  <c r="BK609" i="79"/>
  <c r="FY609" i="79"/>
  <c r="DS609" i="79"/>
  <c r="DH609" i="79"/>
  <c r="CW609" i="79"/>
  <c r="CM609" i="79"/>
  <c r="CB609" i="79"/>
  <c r="BS609" i="79"/>
  <c r="FX609" i="79"/>
  <c r="EB609" i="79"/>
  <c r="DR609" i="79"/>
  <c r="DG609" i="79"/>
  <c r="CV609" i="79"/>
  <c r="CL609" i="79"/>
  <c r="CA609" i="79"/>
  <c r="BR609" i="79"/>
  <c r="FW609" i="79"/>
  <c r="EA609" i="79"/>
  <c r="DP609" i="79"/>
  <c r="DE609" i="79"/>
  <c r="CU609" i="79"/>
  <c r="CJ609" i="79"/>
  <c r="BZ609" i="79"/>
  <c r="BQ609" i="79"/>
  <c r="FV609" i="79"/>
  <c r="DZ609" i="79"/>
  <c r="DO609" i="79"/>
  <c r="DD609" i="79"/>
  <c r="CT609" i="79"/>
  <c r="CI609" i="79"/>
  <c r="BY609" i="79"/>
  <c r="BP609" i="79"/>
  <c r="DX609" i="79"/>
  <c r="DM609" i="79"/>
  <c r="DC609" i="79"/>
  <c r="CR609" i="79"/>
  <c r="CG609" i="79"/>
  <c r="BX609" i="79"/>
  <c r="BO609" i="79"/>
  <c r="DK609" i="79"/>
  <c r="BV609" i="79"/>
  <c r="DB609" i="79"/>
  <c r="BN609" i="79"/>
  <c r="CZ609" i="79"/>
  <c r="BL609" i="79"/>
  <c r="CQ609" i="79"/>
  <c r="CO609" i="79"/>
  <c r="DW609" i="79"/>
  <c r="CF609" i="79"/>
  <c r="DU609" i="79"/>
  <c r="CE609" i="79"/>
  <c r="BW609" i="79"/>
  <c r="DW616" i="79"/>
  <c r="DO616" i="79"/>
  <c r="DG616" i="79"/>
  <c r="CY616" i="79"/>
  <c r="CQ616" i="79"/>
  <c r="CI616" i="79"/>
  <c r="CA616" i="79"/>
  <c r="BS616" i="79"/>
  <c r="BK616" i="79"/>
  <c r="FZ616" i="79"/>
  <c r="DV616" i="79"/>
  <c r="DN616" i="79"/>
  <c r="DF616" i="79"/>
  <c r="CX616" i="79"/>
  <c r="CP616" i="79"/>
  <c r="CH616" i="79"/>
  <c r="BZ616" i="79"/>
  <c r="BR616" i="79"/>
  <c r="FY616" i="79"/>
  <c r="DU616" i="79"/>
  <c r="DM616" i="79"/>
  <c r="DE616" i="79"/>
  <c r="CW616" i="79"/>
  <c r="CO616" i="79"/>
  <c r="CG616" i="79"/>
  <c r="BY616" i="79"/>
  <c r="BQ616" i="79"/>
  <c r="FX616" i="79"/>
  <c r="EB616" i="79"/>
  <c r="DT616" i="79"/>
  <c r="DL616" i="79"/>
  <c r="DD616" i="79"/>
  <c r="CV616" i="79"/>
  <c r="CN616" i="79"/>
  <c r="CF616" i="79"/>
  <c r="BX616" i="79"/>
  <c r="BP616" i="79"/>
  <c r="FW616" i="79"/>
  <c r="EA616" i="79"/>
  <c r="DS616" i="79"/>
  <c r="DK616" i="79"/>
  <c r="DC616" i="79"/>
  <c r="CU616" i="79"/>
  <c r="CM616" i="79"/>
  <c r="CE616" i="79"/>
  <c r="BW616" i="79"/>
  <c r="BO616" i="79"/>
  <c r="FV616" i="79"/>
  <c r="DZ616" i="79"/>
  <c r="DR616" i="79"/>
  <c r="DJ616" i="79"/>
  <c r="DB616" i="79"/>
  <c r="CT616" i="79"/>
  <c r="CL616" i="79"/>
  <c r="CD616" i="79"/>
  <c r="BV616" i="79"/>
  <c r="BN616" i="79"/>
  <c r="DI616" i="79"/>
  <c r="CC616" i="79"/>
  <c r="DH616" i="79"/>
  <c r="CB616" i="79"/>
  <c r="DA616" i="79"/>
  <c r="BU616" i="79"/>
  <c r="CZ616" i="79"/>
  <c r="BT616" i="79"/>
  <c r="DY616" i="79"/>
  <c r="CS616" i="79"/>
  <c r="BM616" i="79"/>
  <c r="DX616" i="79"/>
  <c r="CR616" i="79"/>
  <c r="BL616" i="79"/>
  <c r="DQ616" i="79"/>
  <c r="DP616" i="79"/>
  <c r="CK616" i="79"/>
  <c r="CJ616" i="79"/>
  <c r="BY581" i="79"/>
  <c r="DE581" i="79"/>
  <c r="CN582" i="79"/>
  <c r="DD582" i="79"/>
  <c r="EB582" i="79"/>
  <c r="FX582" i="79"/>
  <c r="CP581" i="79"/>
  <c r="CQ581" i="79"/>
  <c r="DG581" i="79"/>
  <c r="DW581" i="79"/>
  <c r="BZ582" i="79"/>
  <c r="CX582" i="79"/>
  <c r="DF582" i="79"/>
  <c r="DN582" i="79"/>
  <c r="DV582" i="79"/>
  <c r="FZ582" i="79"/>
  <c r="BR583" i="79"/>
  <c r="BZ583" i="79"/>
  <c r="CH583" i="79"/>
  <c r="CP583" i="79"/>
  <c r="CX583" i="79"/>
  <c r="DF583" i="79"/>
  <c r="DN583" i="79"/>
  <c r="DV583" i="79"/>
  <c r="FZ583" i="79"/>
  <c r="BR584" i="79"/>
  <c r="BZ584" i="79"/>
  <c r="CH584" i="79"/>
  <c r="CP584" i="79"/>
  <c r="CX584" i="79"/>
  <c r="DF584" i="79"/>
  <c r="DN584" i="79"/>
  <c r="DV584" i="79"/>
  <c r="FZ584" i="79"/>
  <c r="BR585" i="79"/>
  <c r="BZ585" i="79"/>
  <c r="CH585" i="79"/>
  <c r="CP585" i="79"/>
  <c r="CX585" i="79"/>
  <c r="DF585" i="79"/>
  <c r="DN585" i="79"/>
  <c r="DV585" i="79"/>
  <c r="FZ585" i="79"/>
  <c r="BS586" i="79"/>
  <c r="CC586" i="79"/>
  <c r="CP586" i="79"/>
  <c r="DB586" i="79"/>
  <c r="DO586" i="79"/>
  <c r="EB586" i="79"/>
  <c r="BO588" i="79"/>
  <c r="CH588" i="79"/>
  <c r="DE588" i="79"/>
  <c r="DW588" i="79"/>
  <c r="BQ589" i="79"/>
  <c r="CW589" i="79"/>
  <c r="BP590" i="79"/>
  <c r="CV590" i="79"/>
  <c r="EB590" i="79"/>
  <c r="BP591" i="79"/>
  <c r="CV591" i="79"/>
  <c r="BP592" i="79"/>
  <c r="CV592" i="79"/>
  <c r="EB592" i="79"/>
  <c r="BP593" i="79"/>
  <c r="EB593" i="79"/>
  <c r="BO594" i="79"/>
  <c r="FY586" i="79"/>
  <c r="DU586" i="79"/>
  <c r="DM586" i="79"/>
  <c r="DE586" i="79"/>
  <c r="CW586" i="79"/>
  <c r="CO586" i="79"/>
  <c r="CG586" i="79"/>
  <c r="BY586" i="79"/>
  <c r="BQ586" i="79"/>
  <c r="FW586" i="79"/>
  <c r="EA586" i="79"/>
  <c r="DS586" i="79"/>
  <c r="DK586" i="79"/>
  <c r="DC586" i="79"/>
  <c r="CU586" i="79"/>
  <c r="CM586" i="79"/>
  <c r="CE586" i="79"/>
  <c r="BW586" i="79"/>
  <c r="BO586" i="79"/>
  <c r="DY586" i="79"/>
  <c r="DQ586" i="79"/>
  <c r="DI586" i="79"/>
  <c r="DA586" i="79"/>
  <c r="CS586" i="79"/>
  <c r="CK586" i="79"/>
  <c r="FW591" i="79"/>
  <c r="EA591" i="79"/>
  <c r="DS591" i="79"/>
  <c r="DK591" i="79"/>
  <c r="DC591" i="79"/>
  <c r="CU591" i="79"/>
  <c r="CM591" i="79"/>
  <c r="CE591" i="79"/>
  <c r="BW591" i="79"/>
  <c r="BO591" i="79"/>
  <c r="FV591" i="79"/>
  <c r="DZ591" i="79"/>
  <c r="DR591" i="79"/>
  <c r="DJ591" i="79"/>
  <c r="DB591" i="79"/>
  <c r="CT591" i="79"/>
  <c r="CL591" i="79"/>
  <c r="CD591" i="79"/>
  <c r="BV591" i="79"/>
  <c r="BN591" i="79"/>
  <c r="DY591" i="79"/>
  <c r="DQ591" i="79"/>
  <c r="DI591" i="79"/>
  <c r="DA591" i="79"/>
  <c r="CS591" i="79"/>
  <c r="CK591" i="79"/>
  <c r="CC591" i="79"/>
  <c r="BU591" i="79"/>
  <c r="BM591" i="79"/>
  <c r="DX591" i="79"/>
  <c r="DP591" i="79"/>
  <c r="DH591" i="79"/>
  <c r="CZ591" i="79"/>
  <c r="CR591" i="79"/>
  <c r="CJ591" i="79"/>
  <c r="CB591" i="79"/>
  <c r="BT591" i="79"/>
  <c r="BL591" i="79"/>
  <c r="DW591" i="79"/>
  <c r="DO591" i="79"/>
  <c r="DG591" i="79"/>
  <c r="CY591" i="79"/>
  <c r="CQ591" i="79"/>
  <c r="CI591" i="79"/>
  <c r="CA591" i="79"/>
  <c r="BS591" i="79"/>
  <c r="BK591" i="79"/>
  <c r="FZ591" i="79"/>
  <c r="DV591" i="79"/>
  <c r="DN591" i="79"/>
  <c r="DF591" i="79"/>
  <c r="CX591" i="79"/>
  <c r="CP591" i="79"/>
  <c r="CH591" i="79"/>
  <c r="BZ591" i="79"/>
  <c r="BR591" i="79"/>
  <c r="DX596" i="79"/>
  <c r="DP596" i="79"/>
  <c r="DH596" i="79"/>
  <c r="CZ596" i="79"/>
  <c r="CR596" i="79"/>
  <c r="CJ596" i="79"/>
  <c r="CB596" i="79"/>
  <c r="BT596" i="79"/>
  <c r="BL596" i="79"/>
  <c r="FZ596" i="79"/>
  <c r="DV596" i="79"/>
  <c r="DN596" i="79"/>
  <c r="DF596" i="79"/>
  <c r="CX596" i="79"/>
  <c r="CP596" i="79"/>
  <c r="CH596" i="79"/>
  <c r="BZ596" i="79"/>
  <c r="BR596" i="79"/>
  <c r="FY596" i="79"/>
  <c r="DU596" i="79"/>
  <c r="DM596" i="79"/>
  <c r="DE596" i="79"/>
  <c r="CW596" i="79"/>
  <c r="CO596" i="79"/>
  <c r="CG596" i="79"/>
  <c r="BY596" i="79"/>
  <c r="BQ596" i="79"/>
  <c r="DT596" i="79"/>
  <c r="DI596" i="79"/>
  <c r="CU596" i="79"/>
  <c r="CI596" i="79"/>
  <c r="BV596" i="79"/>
  <c r="DS596" i="79"/>
  <c r="DG596" i="79"/>
  <c r="CT596" i="79"/>
  <c r="CF596" i="79"/>
  <c r="BU596" i="79"/>
  <c r="DR596" i="79"/>
  <c r="DD596" i="79"/>
  <c r="CS596" i="79"/>
  <c r="CE596" i="79"/>
  <c r="BS596" i="79"/>
  <c r="FX596" i="79"/>
  <c r="EB596" i="79"/>
  <c r="DQ596" i="79"/>
  <c r="DC596" i="79"/>
  <c r="CQ596" i="79"/>
  <c r="CD596" i="79"/>
  <c r="BP596" i="79"/>
  <c r="FW596" i="79"/>
  <c r="EA596" i="79"/>
  <c r="DO596" i="79"/>
  <c r="DB596" i="79"/>
  <c r="CN596" i="79"/>
  <c r="CC596" i="79"/>
  <c r="BO596" i="79"/>
  <c r="FV596" i="79"/>
  <c r="DZ596" i="79"/>
  <c r="DL596" i="79"/>
  <c r="DA596" i="79"/>
  <c r="CM596" i="79"/>
  <c r="CA596" i="79"/>
  <c r="BN596" i="79"/>
  <c r="DY596" i="79"/>
  <c r="DK596" i="79"/>
  <c r="CY596" i="79"/>
  <c r="CL596" i="79"/>
  <c r="BX596" i="79"/>
  <c r="BM596" i="79"/>
  <c r="FY601" i="79"/>
  <c r="DU601" i="79"/>
  <c r="DM601" i="79"/>
  <c r="FX601" i="79"/>
  <c r="EB601" i="79"/>
  <c r="DS601" i="79"/>
  <c r="DJ601" i="79"/>
  <c r="DB601" i="79"/>
  <c r="CT601" i="79"/>
  <c r="CL601" i="79"/>
  <c r="CD601" i="79"/>
  <c r="BV601" i="79"/>
  <c r="BN601" i="79"/>
  <c r="FW601" i="79"/>
  <c r="EA601" i="79"/>
  <c r="DR601" i="79"/>
  <c r="DI601" i="79"/>
  <c r="DA601" i="79"/>
  <c r="CS601" i="79"/>
  <c r="CK601" i="79"/>
  <c r="CC601" i="79"/>
  <c r="BU601" i="79"/>
  <c r="BM601" i="79"/>
  <c r="FV601" i="79"/>
  <c r="DZ601" i="79"/>
  <c r="DQ601" i="79"/>
  <c r="DH601" i="79"/>
  <c r="CZ601" i="79"/>
  <c r="CR601" i="79"/>
  <c r="CJ601" i="79"/>
  <c r="CB601" i="79"/>
  <c r="BT601" i="79"/>
  <c r="BL601" i="79"/>
  <c r="DY601" i="79"/>
  <c r="DP601" i="79"/>
  <c r="DG601" i="79"/>
  <c r="CY601" i="79"/>
  <c r="CQ601" i="79"/>
  <c r="CI601" i="79"/>
  <c r="CA601" i="79"/>
  <c r="BS601" i="79"/>
  <c r="BK601" i="79"/>
  <c r="DX601" i="79"/>
  <c r="DO601" i="79"/>
  <c r="DF601" i="79"/>
  <c r="CX601" i="79"/>
  <c r="CP601" i="79"/>
  <c r="CH601" i="79"/>
  <c r="BZ601" i="79"/>
  <c r="BR601" i="79"/>
  <c r="DW601" i="79"/>
  <c r="DN601" i="79"/>
  <c r="DE601" i="79"/>
  <c r="CW601" i="79"/>
  <c r="CO601" i="79"/>
  <c r="CG601" i="79"/>
  <c r="BY601" i="79"/>
  <c r="BQ601" i="79"/>
  <c r="DV601" i="79"/>
  <c r="DL601" i="79"/>
  <c r="DD601" i="79"/>
  <c r="CV601" i="79"/>
  <c r="CN601" i="79"/>
  <c r="CF601" i="79"/>
  <c r="BX601" i="79"/>
  <c r="BP601" i="79"/>
  <c r="CM601" i="79"/>
  <c r="CE601" i="79"/>
  <c r="BW601" i="79"/>
  <c r="BO601" i="79"/>
  <c r="DT601" i="79"/>
  <c r="DK601" i="79"/>
  <c r="FZ601" i="79"/>
  <c r="DC601" i="79"/>
  <c r="DW608" i="79"/>
  <c r="DO608" i="79"/>
  <c r="DG608" i="79"/>
  <c r="CY608" i="79"/>
  <c r="CQ608" i="79"/>
  <c r="CI608" i="79"/>
  <c r="CA608" i="79"/>
  <c r="BS608" i="79"/>
  <c r="BK608" i="79"/>
  <c r="FZ608" i="79"/>
  <c r="DV608" i="79"/>
  <c r="DN608" i="79"/>
  <c r="DF608" i="79"/>
  <c r="CX608" i="79"/>
  <c r="CP608" i="79"/>
  <c r="CH608" i="79"/>
  <c r="BZ608" i="79"/>
  <c r="BR608" i="79"/>
  <c r="FY608" i="79"/>
  <c r="DU608" i="79"/>
  <c r="DM608" i="79"/>
  <c r="DE608" i="79"/>
  <c r="CW608" i="79"/>
  <c r="CO608" i="79"/>
  <c r="CG608" i="79"/>
  <c r="BY608" i="79"/>
  <c r="BQ608" i="79"/>
  <c r="FX608" i="79"/>
  <c r="EB608" i="79"/>
  <c r="DT608" i="79"/>
  <c r="DL608" i="79"/>
  <c r="DD608" i="79"/>
  <c r="CV608" i="79"/>
  <c r="CN608" i="79"/>
  <c r="CF608" i="79"/>
  <c r="BX608" i="79"/>
  <c r="BP608" i="79"/>
  <c r="FW608" i="79"/>
  <c r="EA608" i="79"/>
  <c r="DS608" i="79"/>
  <c r="DK608" i="79"/>
  <c r="DC608" i="79"/>
  <c r="CU608" i="79"/>
  <c r="CM608" i="79"/>
  <c r="CE608" i="79"/>
  <c r="BW608" i="79"/>
  <c r="BO608" i="79"/>
  <c r="FV608" i="79"/>
  <c r="DZ608" i="79"/>
  <c r="DR608" i="79"/>
  <c r="DJ608" i="79"/>
  <c r="DB608" i="79"/>
  <c r="CT608" i="79"/>
  <c r="CL608" i="79"/>
  <c r="CD608" i="79"/>
  <c r="BV608" i="79"/>
  <c r="BN608" i="79"/>
  <c r="DY608" i="79"/>
  <c r="CS608" i="79"/>
  <c r="BM608" i="79"/>
  <c r="DX608" i="79"/>
  <c r="CR608" i="79"/>
  <c r="BL608" i="79"/>
  <c r="DQ608" i="79"/>
  <c r="CK608" i="79"/>
  <c r="DP608" i="79"/>
  <c r="CJ608" i="79"/>
  <c r="DI608" i="79"/>
  <c r="CC608" i="79"/>
  <c r="DH608" i="79"/>
  <c r="CB608" i="79"/>
  <c r="DA608" i="79"/>
  <c r="BU608" i="79"/>
  <c r="CZ608" i="79"/>
  <c r="FZ618" i="79"/>
  <c r="DV618" i="79"/>
  <c r="DN618" i="79"/>
  <c r="DF618" i="79"/>
  <c r="CX618" i="79"/>
  <c r="CP618" i="79"/>
  <c r="CH618" i="79"/>
  <c r="BZ618" i="79"/>
  <c r="BR618" i="79"/>
  <c r="FY618" i="79"/>
  <c r="DU618" i="79"/>
  <c r="DM618" i="79"/>
  <c r="DE618" i="79"/>
  <c r="CW618" i="79"/>
  <c r="CO618" i="79"/>
  <c r="CG618" i="79"/>
  <c r="BY618" i="79"/>
  <c r="BQ618" i="79"/>
  <c r="FX618" i="79"/>
  <c r="EB618" i="79"/>
  <c r="DT618" i="79"/>
  <c r="DL618" i="79"/>
  <c r="DD618" i="79"/>
  <c r="CV618" i="79"/>
  <c r="CN618" i="79"/>
  <c r="CF618" i="79"/>
  <c r="BX618" i="79"/>
  <c r="BP618" i="79"/>
  <c r="FW618" i="79"/>
  <c r="EA618" i="79"/>
  <c r="DS618" i="79"/>
  <c r="DK618" i="79"/>
  <c r="DC618" i="79"/>
  <c r="CU618" i="79"/>
  <c r="CM618" i="79"/>
  <c r="CE618" i="79"/>
  <c r="BW618" i="79"/>
  <c r="BO618" i="79"/>
  <c r="FV618" i="79"/>
  <c r="DZ618" i="79"/>
  <c r="DR618" i="79"/>
  <c r="DJ618" i="79"/>
  <c r="DB618" i="79"/>
  <c r="CT618" i="79"/>
  <c r="CL618" i="79"/>
  <c r="CD618" i="79"/>
  <c r="BV618" i="79"/>
  <c r="BN618" i="79"/>
  <c r="DY618" i="79"/>
  <c r="DQ618" i="79"/>
  <c r="DI618" i="79"/>
  <c r="DA618" i="79"/>
  <c r="CS618" i="79"/>
  <c r="CK618" i="79"/>
  <c r="CC618" i="79"/>
  <c r="BU618" i="79"/>
  <c r="BM618" i="79"/>
  <c r="DO618" i="79"/>
  <c r="CI618" i="79"/>
  <c r="DH618" i="79"/>
  <c r="CB618" i="79"/>
  <c r="DG618" i="79"/>
  <c r="CA618" i="79"/>
  <c r="CZ618" i="79"/>
  <c r="BT618" i="79"/>
  <c r="CY618" i="79"/>
  <c r="BS618" i="79"/>
  <c r="DX618" i="79"/>
  <c r="CR618" i="79"/>
  <c r="BL618" i="79"/>
  <c r="CJ618" i="79"/>
  <c r="BK618" i="79"/>
  <c r="DW618" i="79"/>
  <c r="DP618" i="79"/>
  <c r="CQ618" i="79"/>
  <c r="BQ581" i="79"/>
  <c r="BP582" i="79"/>
  <c r="FZ581" i="79"/>
  <c r="CA581" i="79"/>
  <c r="DO581" i="79"/>
  <c r="BR582" i="79"/>
  <c r="BK582" i="79"/>
  <c r="BS582" i="79"/>
  <c r="CA582" i="79"/>
  <c r="CI582" i="79"/>
  <c r="CQ582" i="79"/>
  <c r="CY582" i="79"/>
  <c r="DG582" i="79"/>
  <c r="DO582" i="79"/>
  <c r="DW582" i="79"/>
  <c r="BK583" i="79"/>
  <c r="BS583" i="79"/>
  <c r="CA583" i="79"/>
  <c r="CI583" i="79"/>
  <c r="CQ583" i="79"/>
  <c r="CY583" i="79"/>
  <c r="DG583" i="79"/>
  <c r="DO583" i="79"/>
  <c r="DW583" i="79"/>
  <c r="BK584" i="79"/>
  <c r="BS584" i="79"/>
  <c r="CA584" i="79"/>
  <c r="CI584" i="79"/>
  <c r="CQ584" i="79"/>
  <c r="CY584" i="79"/>
  <c r="DG584" i="79"/>
  <c r="DO584" i="79"/>
  <c r="DW584" i="79"/>
  <c r="BK585" i="79"/>
  <c r="BS585" i="79"/>
  <c r="CA585" i="79"/>
  <c r="CI585" i="79"/>
  <c r="CQ585" i="79"/>
  <c r="CY585" i="79"/>
  <c r="DG585" i="79"/>
  <c r="DO585" i="79"/>
  <c r="DW585" i="79"/>
  <c r="BT586" i="79"/>
  <c r="CD586" i="79"/>
  <c r="CQ586" i="79"/>
  <c r="DD586" i="79"/>
  <c r="DP586" i="79"/>
  <c r="BQ588" i="79"/>
  <c r="CI588" i="79"/>
  <c r="BR589" i="79"/>
  <c r="CX589" i="79"/>
  <c r="BQ590" i="79"/>
  <c r="CW590" i="79"/>
  <c r="BQ591" i="79"/>
  <c r="CW591" i="79"/>
  <c r="BQ592" i="79"/>
  <c r="CW592" i="79"/>
  <c r="BW594" i="79"/>
  <c r="FX588" i="79"/>
  <c r="EB588" i="79"/>
  <c r="DT588" i="79"/>
  <c r="DL588" i="79"/>
  <c r="DD588" i="79"/>
  <c r="CV588" i="79"/>
  <c r="CN588" i="79"/>
  <c r="CF588" i="79"/>
  <c r="BX588" i="79"/>
  <c r="BP588" i="79"/>
  <c r="FW588" i="79"/>
  <c r="EA588" i="79"/>
  <c r="DS588" i="79"/>
  <c r="DK588" i="79"/>
  <c r="DC588" i="79"/>
  <c r="CU588" i="79"/>
  <c r="CM588" i="79"/>
  <c r="CE588" i="79"/>
  <c r="BW588" i="79"/>
  <c r="FV588" i="79"/>
  <c r="DZ588" i="79"/>
  <c r="DR588" i="79"/>
  <c r="DJ588" i="79"/>
  <c r="DB588" i="79"/>
  <c r="CT588" i="79"/>
  <c r="CL588" i="79"/>
  <c r="CD588" i="79"/>
  <c r="BV588" i="79"/>
  <c r="BN588" i="79"/>
  <c r="DY588" i="79"/>
  <c r="DQ588" i="79"/>
  <c r="DI588" i="79"/>
  <c r="DA588" i="79"/>
  <c r="CS588" i="79"/>
  <c r="CK588" i="79"/>
  <c r="CC588" i="79"/>
  <c r="BU588" i="79"/>
  <c r="BM588" i="79"/>
  <c r="DX588" i="79"/>
  <c r="DP588" i="79"/>
  <c r="DH588" i="79"/>
  <c r="CZ588" i="79"/>
  <c r="CR588" i="79"/>
  <c r="CJ588" i="79"/>
  <c r="CB588" i="79"/>
  <c r="BT588" i="79"/>
  <c r="BL588" i="79"/>
  <c r="FW593" i="79"/>
  <c r="EA593" i="79"/>
  <c r="DS593" i="79"/>
  <c r="DK593" i="79"/>
  <c r="DC593" i="79"/>
  <c r="CU593" i="79"/>
  <c r="CM593" i="79"/>
  <c r="CE593" i="79"/>
  <c r="BW593" i="79"/>
  <c r="BO593" i="79"/>
  <c r="FV593" i="79"/>
  <c r="DZ593" i="79"/>
  <c r="DR593" i="79"/>
  <c r="DJ593" i="79"/>
  <c r="DB593" i="79"/>
  <c r="CT593" i="79"/>
  <c r="CL593" i="79"/>
  <c r="CD593" i="79"/>
  <c r="BV593" i="79"/>
  <c r="BN593" i="79"/>
  <c r="DY593" i="79"/>
  <c r="DQ593" i="79"/>
  <c r="DI593" i="79"/>
  <c r="DA593" i="79"/>
  <c r="CS593" i="79"/>
  <c r="CK593" i="79"/>
  <c r="CC593" i="79"/>
  <c r="BU593" i="79"/>
  <c r="BM593" i="79"/>
  <c r="DX593" i="79"/>
  <c r="DP593" i="79"/>
  <c r="DH593" i="79"/>
  <c r="CZ593" i="79"/>
  <c r="CR593" i="79"/>
  <c r="CJ593" i="79"/>
  <c r="CB593" i="79"/>
  <c r="BT593" i="79"/>
  <c r="BL593" i="79"/>
  <c r="DW593" i="79"/>
  <c r="DO593" i="79"/>
  <c r="DG593" i="79"/>
  <c r="CY593" i="79"/>
  <c r="CQ593" i="79"/>
  <c r="CI593" i="79"/>
  <c r="CA593" i="79"/>
  <c r="BS593" i="79"/>
  <c r="BK593" i="79"/>
  <c r="FZ593" i="79"/>
  <c r="DV593" i="79"/>
  <c r="DN593" i="79"/>
  <c r="DF593" i="79"/>
  <c r="CX593" i="79"/>
  <c r="CP593" i="79"/>
  <c r="CH593" i="79"/>
  <c r="BZ593" i="79"/>
  <c r="BR593" i="79"/>
  <c r="FY593" i="79"/>
  <c r="DU593" i="79"/>
  <c r="DM593" i="79"/>
  <c r="DE593" i="79"/>
  <c r="CW593" i="79"/>
  <c r="CO593" i="79"/>
  <c r="CG593" i="79"/>
  <c r="BY593" i="79"/>
  <c r="BQ593" i="79"/>
  <c r="DY598" i="79"/>
  <c r="DQ598" i="79"/>
  <c r="DI598" i="79"/>
  <c r="DA598" i="79"/>
  <c r="CS598" i="79"/>
  <c r="CK598" i="79"/>
  <c r="CC598" i="79"/>
  <c r="BU598" i="79"/>
  <c r="BM598" i="79"/>
  <c r="DX598" i="79"/>
  <c r="DP598" i="79"/>
  <c r="DH598" i="79"/>
  <c r="CZ598" i="79"/>
  <c r="CR598" i="79"/>
  <c r="CJ598" i="79"/>
  <c r="CB598" i="79"/>
  <c r="BT598" i="79"/>
  <c r="BL598" i="79"/>
  <c r="DW598" i="79"/>
  <c r="DO598" i="79"/>
  <c r="DG598" i="79"/>
  <c r="CY598" i="79"/>
  <c r="CQ598" i="79"/>
  <c r="CI598" i="79"/>
  <c r="CA598" i="79"/>
  <c r="BS598" i="79"/>
  <c r="BK598" i="79"/>
  <c r="FZ598" i="79"/>
  <c r="DV598" i="79"/>
  <c r="DN598" i="79"/>
  <c r="DF598" i="79"/>
  <c r="CX598" i="79"/>
  <c r="CP598" i="79"/>
  <c r="CH598" i="79"/>
  <c r="BZ598" i="79"/>
  <c r="BR598" i="79"/>
  <c r="FY598" i="79"/>
  <c r="DU598" i="79"/>
  <c r="DM598" i="79"/>
  <c r="DE598" i="79"/>
  <c r="CW598" i="79"/>
  <c r="CO598" i="79"/>
  <c r="CG598" i="79"/>
  <c r="BY598" i="79"/>
  <c r="BQ598" i="79"/>
  <c r="FX598" i="79"/>
  <c r="EB598" i="79"/>
  <c r="DT598" i="79"/>
  <c r="DL598" i="79"/>
  <c r="DD598" i="79"/>
  <c r="CV598" i="79"/>
  <c r="CN598" i="79"/>
  <c r="CF598" i="79"/>
  <c r="BX598" i="79"/>
  <c r="BP598" i="79"/>
  <c r="DB598" i="79"/>
  <c r="BV598" i="79"/>
  <c r="EA598" i="79"/>
  <c r="CU598" i="79"/>
  <c r="BO598" i="79"/>
  <c r="FW598" i="79"/>
  <c r="DZ598" i="79"/>
  <c r="CT598" i="79"/>
  <c r="BN598" i="79"/>
  <c r="FV598" i="79"/>
  <c r="DS598" i="79"/>
  <c r="CM598" i="79"/>
  <c r="DR598" i="79"/>
  <c r="CL598" i="79"/>
  <c r="DK598" i="79"/>
  <c r="CE598" i="79"/>
  <c r="DJ598" i="79"/>
  <c r="CD598" i="79"/>
  <c r="DY605" i="79"/>
  <c r="DQ605" i="79"/>
  <c r="DI605" i="79"/>
  <c r="DA605" i="79"/>
  <c r="CS605" i="79"/>
  <c r="CK605" i="79"/>
  <c r="CC605" i="79"/>
  <c r="BU605" i="79"/>
  <c r="BM605" i="79"/>
  <c r="DX605" i="79"/>
  <c r="DP605" i="79"/>
  <c r="DH605" i="79"/>
  <c r="CZ605" i="79"/>
  <c r="CR605" i="79"/>
  <c r="CJ605" i="79"/>
  <c r="CB605" i="79"/>
  <c r="BT605" i="79"/>
  <c r="BL605" i="79"/>
  <c r="FZ605" i="79"/>
  <c r="DV605" i="79"/>
  <c r="DN605" i="79"/>
  <c r="DF605" i="79"/>
  <c r="CX605" i="79"/>
  <c r="CP605" i="79"/>
  <c r="CH605" i="79"/>
  <c r="BZ605" i="79"/>
  <c r="BR605" i="79"/>
  <c r="FX605" i="79"/>
  <c r="EB605" i="79"/>
  <c r="DT605" i="79"/>
  <c r="DL605" i="79"/>
  <c r="DD605" i="79"/>
  <c r="CV605" i="79"/>
  <c r="CN605" i="79"/>
  <c r="CF605" i="79"/>
  <c r="BX605" i="79"/>
  <c r="BP605" i="79"/>
  <c r="DS605" i="79"/>
  <c r="DC605" i="79"/>
  <c r="CM605" i="79"/>
  <c r="BW605" i="79"/>
  <c r="DR605" i="79"/>
  <c r="DB605" i="79"/>
  <c r="CL605" i="79"/>
  <c r="BV605" i="79"/>
  <c r="DO605" i="79"/>
  <c r="CY605" i="79"/>
  <c r="CI605" i="79"/>
  <c r="BS605" i="79"/>
  <c r="DM605" i="79"/>
  <c r="CW605" i="79"/>
  <c r="CG605" i="79"/>
  <c r="BQ605" i="79"/>
  <c r="FY605" i="79"/>
  <c r="EA605" i="79"/>
  <c r="DK605" i="79"/>
  <c r="CU605" i="79"/>
  <c r="CE605" i="79"/>
  <c r="BO605" i="79"/>
  <c r="FW605" i="79"/>
  <c r="DZ605" i="79"/>
  <c r="DJ605" i="79"/>
  <c r="CT605" i="79"/>
  <c r="CD605" i="79"/>
  <c r="BN605" i="79"/>
  <c r="FV605" i="79"/>
  <c r="DW605" i="79"/>
  <c r="DG605" i="79"/>
  <c r="CQ605" i="79"/>
  <c r="CA605" i="79"/>
  <c r="BK605" i="79"/>
  <c r="BY605" i="79"/>
  <c r="DU605" i="79"/>
  <c r="DE605" i="79"/>
  <c r="FV610" i="79"/>
  <c r="DZ610" i="79"/>
  <c r="DR610" i="79"/>
  <c r="DJ610" i="79"/>
  <c r="DX610" i="79"/>
  <c r="DP610" i="79"/>
  <c r="DH610" i="79"/>
  <c r="CZ610" i="79"/>
  <c r="CR610" i="79"/>
  <c r="CJ610" i="79"/>
  <c r="CB610" i="79"/>
  <c r="BT610" i="79"/>
  <c r="BL610" i="79"/>
  <c r="FZ610" i="79"/>
  <c r="DV610" i="79"/>
  <c r="DN610" i="79"/>
  <c r="DF610" i="79"/>
  <c r="CX610" i="79"/>
  <c r="CP610" i="79"/>
  <c r="CH610" i="79"/>
  <c r="BZ610" i="79"/>
  <c r="BR610" i="79"/>
  <c r="FY610" i="79"/>
  <c r="DU610" i="79"/>
  <c r="DM610" i="79"/>
  <c r="DE610" i="79"/>
  <c r="CW610" i="79"/>
  <c r="CO610" i="79"/>
  <c r="CG610" i="79"/>
  <c r="BY610" i="79"/>
  <c r="BQ610" i="79"/>
  <c r="FW610" i="79"/>
  <c r="DY610" i="79"/>
  <c r="DI610" i="79"/>
  <c r="CU610" i="79"/>
  <c r="CI610" i="79"/>
  <c r="BV610" i="79"/>
  <c r="DW610" i="79"/>
  <c r="DG610" i="79"/>
  <c r="CT610" i="79"/>
  <c r="CF610" i="79"/>
  <c r="BU610" i="79"/>
  <c r="DT610" i="79"/>
  <c r="DD610" i="79"/>
  <c r="CS610" i="79"/>
  <c r="CE610" i="79"/>
  <c r="BS610" i="79"/>
  <c r="DS610" i="79"/>
  <c r="DC610" i="79"/>
  <c r="CQ610" i="79"/>
  <c r="CD610" i="79"/>
  <c r="BP610" i="79"/>
  <c r="DQ610" i="79"/>
  <c r="DB610" i="79"/>
  <c r="CN610" i="79"/>
  <c r="CC610" i="79"/>
  <c r="BO610" i="79"/>
  <c r="DO610" i="79"/>
  <c r="DA610" i="79"/>
  <c r="CM610" i="79"/>
  <c r="CA610" i="79"/>
  <c r="BN610" i="79"/>
  <c r="CV610" i="79"/>
  <c r="CL610" i="79"/>
  <c r="CK610" i="79"/>
  <c r="EB610" i="79"/>
  <c r="BX610" i="79"/>
  <c r="EA610" i="79"/>
  <c r="BW610" i="79"/>
  <c r="FX610" i="79"/>
  <c r="DL610" i="79"/>
  <c r="BM610" i="79"/>
  <c r="DK610" i="79"/>
  <c r="BK610" i="79"/>
  <c r="CY610" i="79"/>
  <c r="DX613" i="79"/>
  <c r="DP613" i="79"/>
  <c r="DH613" i="79"/>
  <c r="CZ613" i="79"/>
  <c r="CR613" i="79"/>
  <c r="CJ613" i="79"/>
  <c r="CB613" i="79"/>
  <c r="BT613" i="79"/>
  <c r="BL613" i="79"/>
  <c r="DW613" i="79"/>
  <c r="DO613" i="79"/>
  <c r="DG613" i="79"/>
  <c r="CY613" i="79"/>
  <c r="CQ613" i="79"/>
  <c r="CI613" i="79"/>
  <c r="CA613" i="79"/>
  <c r="BS613" i="79"/>
  <c r="BK613" i="79"/>
  <c r="FZ613" i="79"/>
  <c r="DV613" i="79"/>
  <c r="DN613" i="79"/>
  <c r="DF613" i="79"/>
  <c r="CX613" i="79"/>
  <c r="CP613" i="79"/>
  <c r="CH613" i="79"/>
  <c r="BZ613" i="79"/>
  <c r="BR613" i="79"/>
  <c r="FY613" i="79"/>
  <c r="DU613" i="79"/>
  <c r="DM613" i="79"/>
  <c r="DE613" i="79"/>
  <c r="CW613" i="79"/>
  <c r="CO613" i="79"/>
  <c r="CG613" i="79"/>
  <c r="BY613" i="79"/>
  <c r="BQ613" i="79"/>
  <c r="FX613" i="79"/>
  <c r="EB613" i="79"/>
  <c r="DT613" i="79"/>
  <c r="DL613" i="79"/>
  <c r="DD613" i="79"/>
  <c r="CV613" i="79"/>
  <c r="CN613" i="79"/>
  <c r="CF613" i="79"/>
  <c r="BX613" i="79"/>
  <c r="BP613" i="79"/>
  <c r="FW613" i="79"/>
  <c r="EA613" i="79"/>
  <c r="DS613" i="79"/>
  <c r="DK613" i="79"/>
  <c r="DC613" i="79"/>
  <c r="CU613" i="79"/>
  <c r="CM613" i="79"/>
  <c r="CE613" i="79"/>
  <c r="BW613" i="79"/>
  <c r="BO613" i="79"/>
  <c r="DI613" i="79"/>
  <c r="CC613" i="79"/>
  <c r="DB613" i="79"/>
  <c r="BV613" i="79"/>
  <c r="DA613" i="79"/>
  <c r="BU613" i="79"/>
  <c r="DZ613" i="79"/>
  <c r="CT613" i="79"/>
  <c r="BN613" i="79"/>
  <c r="DY613" i="79"/>
  <c r="CS613" i="79"/>
  <c r="BM613" i="79"/>
  <c r="FV613" i="79"/>
  <c r="DR613" i="79"/>
  <c r="CL613" i="79"/>
  <c r="CK613" i="79"/>
  <c r="CD613" i="79"/>
  <c r="DQ613" i="79"/>
  <c r="DJ613" i="79"/>
  <c r="CH581" i="79"/>
  <c r="DF581" i="79"/>
  <c r="BK581" i="79"/>
  <c r="CH582" i="79"/>
  <c r="BL581" i="79"/>
  <c r="CJ581" i="79"/>
  <c r="CZ581" i="79"/>
  <c r="BM581" i="79"/>
  <c r="BU581" i="79"/>
  <c r="CC581" i="79"/>
  <c r="CK581" i="79"/>
  <c r="CS581" i="79"/>
  <c r="DA581" i="79"/>
  <c r="DI581" i="79"/>
  <c r="DQ581" i="79"/>
  <c r="DY581" i="79"/>
  <c r="BL582" i="79"/>
  <c r="BT582" i="79"/>
  <c r="CB582" i="79"/>
  <c r="CJ582" i="79"/>
  <c r="CR582" i="79"/>
  <c r="CZ582" i="79"/>
  <c r="DH582" i="79"/>
  <c r="DP582" i="79"/>
  <c r="DX582" i="79"/>
  <c r="BL583" i="79"/>
  <c r="BT583" i="79"/>
  <c r="CB583" i="79"/>
  <c r="CJ583" i="79"/>
  <c r="CR583" i="79"/>
  <c r="CZ583" i="79"/>
  <c r="DH583" i="79"/>
  <c r="DP583" i="79"/>
  <c r="DX583" i="79"/>
  <c r="BL584" i="79"/>
  <c r="BT584" i="79"/>
  <c r="CB584" i="79"/>
  <c r="CJ584" i="79"/>
  <c r="CR584" i="79"/>
  <c r="CZ584" i="79"/>
  <c r="DH584" i="79"/>
  <c r="DP584" i="79"/>
  <c r="DX584" i="79"/>
  <c r="BL585" i="79"/>
  <c r="BT585" i="79"/>
  <c r="CB585" i="79"/>
  <c r="CJ585" i="79"/>
  <c r="CR585" i="79"/>
  <c r="CZ585" i="79"/>
  <c r="DH585" i="79"/>
  <c r="DP585" i="79"/>
  <c r="DX585" i="79"/>
  <c r="BK586" i="79"/>
  <c r="BU586" i="79"/>
  <c r="CF586" i="79"/>
  <c r="CR586" i="79"/>
  <c r="DF586" i="79"/>
  <c r="DR586" i="79"/>
  <c r="BR588" i="79"/>
  <c r="CO588" i="79"/>
  <c r="DG588" i="79"/>
  <c r="BY589" i="79"/>
  <c r="DE589" i="79"/>
  <c r="BX590" i="79"/>
  <c r="BX591" i="79"/>
  <c r="DD591" i="79"/>
  <c r="BX592" i="79"/>
  <c r="DD592" i="79"/>
  <c r="CF593" i="79"/>
  <c r="CE594" i="79"/>
  <c r="DC598" i="79"/>
  <c r="DL609" i="79"/>
  <c r="FW590" i="79"/>
  <c r="EA590" i="79"/>
  <c r="DS590" i="79"/>
  <c r="DK590" i="79"/>
  <c r="DC590" i="79"/>
  <c r="CU590" i="79"/>
  <c r="CM590" i="79"/>
  <c r="CE590" i="79"/>
  <c r="BW590" i="79"/>
  <c r="BO590" i="79"/>
  <c r="FV590" i="79"/>
  <c r="DZ590" i="79"/>
  <c r="DR590" i="79"/>
  <c r="DJ590" i="79"/>
  <c r="DB590" i="79"/>
  <c r="CT590" i="79"/>
  <c r="CL590" i="79"/>
  <c r="CD590" i="79"/>
  <c r="BV590" i="79"/>
  <c r="BN590" i="79"/>
  <c r="DY590" i="79"/>
  <c r="DQ590" i="79"/>
  <c r="DI590" i="79"/>
  <c r="DA590" i="79"/>
  <c r="CS590" i="79"/>
  <c r="CK590" i="79"/>
  <c r="CC590" i="79"/>
  <c r="BU590" i="79"/>
  <c r="BM590" i="79"/>
  <c r="DX590" i="79"/>
  <c r="DP590" i="79"/>
  <c r="DH590" i="79"/>
  <c r="CZ590" i="79"/>
  <c r="CR590" i="79"/>
  <c r="CJ590" i="79"/>
  <c r="CB590" i="79"/>
  <c r="BT590" i="79"/>
  <c r="BL590" i="79"/>
  <c r="DW590" i="79"/>
  <c r="DO590" i="79"/>
  <c r="DG590" i="79"/>
  <c r="CY590" i="79"/>
  <c r="CQ590" i="79"/>
  <c r="CI590" i="79"/>
  <c r="CA590" i="79"/>
  <c r="BS590" i="79"/>
  <c r="BK590" i="79"/>
  <c r="FZ590" i="79"/>
  <c r="DV590" i="79"/>
  <c r="DN590" i="79"/>
  <c r="DF590" i="79"/>
  <c r="CX590" i="79"/>
  <c r="CP590" i="79"/>
  <c r="CH590" i="79"/>
  <c r="BZ590" i="79"/>
  <c r="BR590" i="79"/>
  <c r="BL595" i="79"/>
  <c r="DR595" i="79"/>
  <c r="FV599" i="79"/>
  <c r="DZ599" i="79"/>
  <c r="DR599" i="79"/>
  <c r="DJ599" i="79"/>
  <c r="DB599" i="79"/>
  <c r="CT599" i="79"/>
  <c r="CL599" i="79"/>
  <c r="CD599" i="79"/>
  <c r="BV599" i="79"/>
  <c r="BN599" i="79"/>
  <c r="DY599" i="79"/>
  <c r="DQ599" i="79"/>
  <c r="DI599" i="79"/>
  <c r="DA599" i="79"/>
  <c r="CS599" i="79"/>
  <c r="CK599" i="79"/>
  <c r="CC599" i="79"/>
  <c r="BU599" i="79"/>
  <c r="BM599" i="79"/>
  <c r="DX599" i="79"/>
  <c r="DP599" i="79"/>
  <c r="DH599" i="79"/>
  <c r="CZ599" i="79"/>
  <c r="CR599" i="79"/>
  <c r="CJ599" i="79"/>
  <c r="CB599" i="79"/>
  <c r="BT599" i="79"/>
  <c r="BL599" i="79"/>
  <c r="DW599" i="79"/>
  <c r="DO599" i="79"/>
  <c r="DG599" i="79"/>
  <c r="CY599" i="79"/>
  <c r="CQ599" i="79"/>
  <c r="CI599" i="79"/>
  <c r="CA599" i="79"/>
  <c r="BS599" i="79"/>
  <c r="BK599" i="79"/>
  <c r="FZ599" i="79"/>
  <c r="DV599" i="79"/>
  <c r="DN599" i="79"/>
  <c r="DF599" i="79"/>
  <c r="CX599" i="79"/>
  <c r="CP599" i="79"/>
  <c r="CH599" i="79"/>
  <c r="BZ599" i="79"/>
  <c r="BR599" i="79"/>
  <c r="FY599" i="79"/>
  <c r="DU599" i="79"/>
  <c r="DM599" i="79"/>
  <c r="DE599" i="79"/>
  <c r="CW599" i="79"/>
  <c r="CO599" i="79"/>
  <c r="CG599" i="79"/>
  <c r="BY599" i="79"/>
  <c r="BQ599" i="79"/>
  <c r="FX599" i="79"/>
  <c r="EB599" i="79"/>
  <c r="DT599" i="79"/>
  <c r="DL599" i="79"/>
  <c r="DD599" i="79"/>
  <c r="CV599" i="79"/>
  <c r="CN599" i="79"/>
  <c r="CF599" i="79"/>
  <c r="BX599" i="79"/>
  <c r="BP599" i="79"/>
  <c r="BW599" i="79"/>
  <c r="EA599" i="79"/>
  <c r="BO599" i="79"/>
  <c r="DS599" i="79"/>
  <c r="FW599" i="79"/>
  <c r="DK599" i="79"/>
  <c r="DC599" i="79"/>
  <c r="CU599" i="79"/>
  <c r="CM599" i="79"/>
  <c r="DY604" i="79"/>
  <c r="DQ604" i="79"/>
  <c r="DI604" i="79"/>
  <c r="DA604" i="79"/>
  <c r="CS604" i="79"/>
  <c r="CK604" i="79"/>
  <c r="CC604" i="79"/>
  <c r="BU604" i="79"/>
  <c r="BM604" i="79"/>
  <c r="DX604" i="79"/>
  <c r="DP604" i="79"/>
  <c r="DH604" i="79"/>
  <c r="FZ604" i="79"/>
  <c r="FX604" i="79"/>
  <c r="EB604" i="79"/>
  <c r="DT604" i="79"/>
  <c r="DL604" i="79"/>
  <c r="DD604" i="79"/>
  <c r="FW604" i="79"/>
  <c r="DZ604" i="79"/>
  <c r="DM604" i="79"/>
  <c r="CZ604" i="79"/>
  <c r="CQ604" i="79"/>
  <c r="CH604" i="79"/>
  <c r="BY604" i="79"/>
  <c r="BP604" i="79"/>
  <c r="FV604" i="79"/>
  <c r="DW604" i="79"/>
  <c r="DK604" i="79"/>
  <c r="CY604" i="79"/>
  <c r="CP604" i="79"/>
  <c r="CG604" i="79"/>
  <c r="BX604" i="79"/>
  <c r="BO604" i="79"/>
  <c r="DV604" i="79"/>
  <c r="DJ604" i="79"/>
  <c r="CX604" i="79"/>
  <c r="CO604" i="79"/>
  <c r="CF604" i="79"/>
  <c r="BW604" i="79"/>
  <c r="BN604" i="79"/>
  <c r="DU604" i="79"/>
  <c r="DG604" i="79"/>
  <c r="CW604" i="79"/>
  <c r="CN604" i="79"/>
  <c r="CE604" i="79"/>
  <c r="BV604" i="79"/>
  <c r="BL604" i="79"/>
  <c r="DS604" i="79"/>
  <c r="DF604" i="79"/>
  <c r="CV604" i="79"/>
  <c r="CM604" i="79"/>
  <c r="CD604" i="79"/>
  <c r="BT604" i="79"/>
  <c r="BK604" i="79"/>
  <c r="DR604" i="79"/>
  <c r="DE604" i="79"/>
  <c r="CU604" i="79"/>
  <c r="CL604" i="79"/>
  <c r="CB604" i="79"/>
  <c r="BS604" i="79"/>
  <c r="DO604" i="79"/>
  <c r="DC604" i="79"/>
  <c r="CT604" i="79"/>
  <c r="CJ604" i="79"/>
  <c r="CA604" i="79"/>
  <c r="BR604" i="79"/>
  <c r="DN604" i="79"/>
  <c r="FY604" i="79"/>
  <c r="DB604" i="79"/>
  <c r="CR604" i="79"/>
  <c r="CI604" i="79"/>
  <c r="BZ604" i="79"/>
  <c r="BQ604" i="79"/>
  <c r="DW614" i="79"/>
  <c r="DO614" i="79"/>
  <c r="DG614" i="79"/>
  <c r="CY614" i="79"/>
  <c r="CQ614" i="79"/>
  <c r="CI614" i="79"/>
  <c r="CA614" i="79"/>
  <c r="BS614" i="79"/>
  <c r="BK614" i="79"/>
  <c r="FZ614" i="79"/>
  <c r="DV614" i="79"/>
  <c r="DN614" i="79"/>
  <c r="DF614" i="79"/>
  <c r="CX614" i="79"/>
  <c r="CP614" i="79"/>
  <c r="CH614" i="79"/>
  <c r="BZ614" i="79"/>
  <c r="BR614" i="79"/>
  <c r="FY614" i="79"/>
  <c r="DU614" i="79"/>
  <c r="DM614" i="79"/>
  <c r="DE614" i="79"/>
  <c r="CW614" i="79"/>
  <c r="CO614" i="79"/>
  <c r="CG614" i="79"/>
  <c r="BY614" i="79"/>
  <c r="BQ614" i="79"/>
  <c r="FX614" i="79"/>
  <c r="EB614" i="79"/>
  <c r="DT614" i="79"/>
  <c r="DL614" i="79"/>
  <c r="DD614" i="79"/>
  <c r="CV614" i="79"/>
  <c r="CN614" i="79"/>
  <c r="CF614" i="79"/>
  <c r="BX614" i="79"/>
  <c r="BP614" i="79"/>
  <c r="FW614" i="79"/>
  <c r="EA614" i="79"/>
  <c r="DS614" i="79"/>
  <c r="DK614" i="79"/>
  <c r="DC614" i="79"/>
  <c r="CU614" i="79"/>
  <c r="CM614" i="79"/>
  <c r="CE614" i="79"/>
  <c r="BW614" i="79"/>
  <c r="BO614" i="79"/>
  <c r="FV614" i="79"/>
  <c r="DZ614" i="79"/>
  <c r="DR614" i="79"/>
  <c r="DJ614" i="79"/>
  <c r="DB614" i="79"/>
  <c r="CT614" i="79"/>
  <c r="CL614" i="79"/>
  <c r="CD614" i="79"/>
  <c r="BV614" i="79"/>
  <c r="BN614" i="79"/>
  <c r="DA614" i="79"/>
  <c r="BU614" i="79"/>
  <c r="CZ614" i="79"/>
  <c r="BT614" i="79"/>
  <c r="DY614" i="79"/>
  <c r="CS614" i="79"/>
  <c r="BM614" i="79"/>
  <c r="DX614" i="79"/>
  <c r="CR614" i="79"/>
  <c r="BL614" i="79"/>
  <c r="DQ614" i="79"/>
  <c r="CK614" i="79"/>
  <c r="DP614" i="79"/>
  <c r="CJ614" i="79"/>
  <c r="DI614" i="79"/>
  <c r="DH614" i="79"/>
  <c r="CC614" i="79"/>
  <c r="CB614" i="79"/>
  <c r="CO581" i="79"/>
  <c r="DU581" i="79"/>
  <c r="CI581" i="79"/>
  <c r="CP582" i="79"/>
  <c r="BT581" i="79"/>
  <c r="CB581" i="79"/>
  <c r="CR581" i="79"/>
  <c r="DH581" i="79"/>
  <c r="DP581" i="79"/>
  <c r="DX581" i="79"/>
  <c r="BN581" i="79"/>
  <c r="BV581" i="79"/>
  <c r="CD581" i="79"/>
  <c r="CL581" i="79"/>
  <c r="CT581" i="79"/>
  <c r="DB581" i="79"/>
  <c r="DJ581" i="79"/>
  <c r="DR581" i="79"/>
  <c r="DZ581" i="79"/>
  <c r="FV581" i="79"/>
  <c r="BM582" i="79"/>
  <c r="BU582" i="79"/>
  <c r="CC582" i="79"/>
  <c r="CK582" i="79"/>
  <c r="CS582" i="79"/>
  <c r="DA582" i="79"/>
  <c r="DI582" i="79"/>
  <c r="DQ582" i="79"/>
  <c r="DY582" i="79"/>
  <c r="BM583" i="79"/>
  <c r="BU583" i="79"/>
  <c r="CC583" i="79"/>
  <c r="CK583" i="79"/>
  <c r="CS583" i="79"/>
  <c r="DA583" i="79"/>
  <c r="DI583" i="79"/>
  <c r="DQ583" i="79"/>
  <c r="DY583" i="79"/>
  <c r="BM584" i="79"/>
  <c r="BU584" i="79"/>
  <c r="CC584" i="79"/>
  <c r="CK584" i="79"/>
  <c r="CS584" i="79"/>
  <c r="DA584" i="79"/>
  <c r="DI584" i="79"/>
  <c r="DQ584" i="79"/>
  <c r="DY584" i="79"/>
  <c r="BM585" i="79"/>
  <c r="BU585" i="79"/>
  <c r="CC585" i="79"/>
  <c r="CK585" i="79"/>
  <c r="CS585" i="79"/>
  <c r="DA585" i="79"/>
  <c r="DI585" i="79"/>
  <c r="DQ585" i="79"/>
  <c r="DY585" i="79"/>
  <c r="BL586" i="79"/>
  <c r="BV586" i="79"/>
  <c r="CH586" i="79"/>
  <c r="CT586" i="79"/>
  <c r="DG586" i="79"/>
  <c r="DT586" i="79"/>
  <c r="BS588" i="79"/>
  <c r="CP588" i="79"/>
  <c r="DM588" i="79"/>
  <c r="BZ589" i="79"/>
  <c r="DF589" i="79"/>
  <c r="BY590" i="79"/>
  <c r="DE590" i="79"/>
  <c r="BY591" i="79"/>
  <c r="DE591" i="79"/>
  <c r="BY592" i="79"/>
  <c r="DE592" i="79"/>
  <c r="CN593" i="79"/>
  <c r="CM594" i="79"/>
  <c r="BK596" i="79"/>
  <c r="DK602" i="79"/>
  <c r="EA604" i="79"/>
  <c r="DX607" i="79"/>
  <c r="DP607" i="79"/>
  <c r="DH607" i="79"/>
  <c r="CZ607" i="79"/>
  <c r="CR607" i="79"/>
  <c r="CJ607" i="79"/>
  <c r="CB607" i="79"/>
  <c r="BT607" i="79"/>
  <c r="BL607" i="79"/>
  <c r="DW607" i="79"/>
  <c r="DO607" i="79"/>
  <c r="DG607" i="79"/>
  <c r="CY607" i="79"/>
  <c r="CQ607" i="79"/>
  <c r="CI607" i="79"/>
  <c r="CA607" i="79"/>
  <c r="BS607" i="79"/>
  <c r="BK607" i="79"/>
  <c r="FZ607" i="79"/>
  <c r="DV607" i="79"/>
  <c r="DN607" i="79"/>
  <c r="DF607" i="79"/>
  <c r="CX607" i="79"/>
  <c r="CP607" i="79"/>
  <c r="CH607" i="79"/>
  <c r="BZ607" i="79"/>
  <c r="BR607" i="79"/>
  <c r="FY607" i="79"/>
  <c r="DU607" i="79"/>
  <c r="DM607" i="79"/>
  <c r="DE607" i="79"/>
  <c r="CW607" i="79"/>
  <c r="CO607" i="79"/>
  <c r="CG607" i="79"/>
  <c r="BY607" i="79"/>
  <c r="BQ607" i="79"/>
  <c r="FX607" i="79"/>
  <c r="EB607" i="79"/>
  <c r="DT607" i="79"/>
  <c r="DL607" i="79"/>
  <c r="DD607" i="79"/>
  <c r="CV607" i="79"/>
  <c r="CN607" i="79"/>
  <c r="CF607" i="79"/>
  <c r="BX607" i="79"/>
  <c r="BP607" i="79"/>
  <c r="FW607" i="79"/>
  <c r="EA607" i="79"/>
  <c r="DS607" i="79"/>
  <c r="DK607" i="79"/>
  <c r="DC607" i="79"/>
  <c r="CU607" i="79"/>
  <c r="CM607" i="79"/>
  <c r="CE607" i="79"/>
  <c r="BW607" i="79"/>
  <c r="BO607" i="79"/>
  <c r="DA607" i="79"/>
  <c r="BU607" i="79"/>
  <c r="DZ607" i="79"/>
  <c r="CT607" i="79"/>
  <c r="BN607" i="79"/>
  <c r="DY607" i="79"/>
  <c r="CS607" i="79"/>
  <c r="BM607" i="79"/>
  <c r="FV607" i="79"/>
  <c r="DR607" i="79"/>
  <c r="CL607" i="79"/>
  <c r="DQ607" i="79"/>
  <c r="CK607" i="79"/>
  <c r="DJ607" i="79"/>
  <c r="CD607" i="79"/>
  <c r="DI607" i="79"/>
  <c r="CC607" i="79"/>
  <c r="DB607" i="79"/>
  <c r="DW615" i="79"/>
  <c r="DO615" i="79"/>
  <c r="DG615" i="79"/>
  <c r="CY615" i="79"/>
  <c r="CQ615" i="79"/>
  <c r="CI615" i="79"/>
  <c r="CA615" i="79"/>
  <c r="BS615" i="79"/>
  <c r="BK615" i="79"/>
  <c r="FZ615" i="79"/>
  <c r="DV615" i="79"/>
  <c r="DN615" i="79"/>
  <c r="DF615" i="79"/>
  <c r="CX615" i="79"/>
  <c r="CP615" i="79"/>
  <c r="CH615" i="79"/>
  <c r="BZ615" i="79"/>
  <c r="BR615" i="79"/>
  <c r="FY615" i="79"/>
  <c r="DU615" i="79"/>
  <c r="DM615" i="79"/>
  <c r="DE615" i="79"/>
  <c r="CW615" i="79"/>
  <c r="CO615" i="79"/>
  <c r="CG615" i="79"/>
  <c r="BY615" i="79"/>
  <c r="BQ615" i="79"/>
  <c r="FX615" i="79"/>
  <c r="EB615" i="79"/>
  <c r="DT615" i="79"/>
  <c r="DL615" i="79"/>
  <c r="DD615" i="79"/>
  <c r="CV615" i="79"/>
  <c r="CN615" i="79"/>
  <c r="CF615" i="79"/>
  <c r="BX615" i="79"/>
  <c r="BP615" i="79"/>
  <c r="FW615" i="79"/>
  <c r="EA615" i="79"/>
  <c r="DS615" i="79"/>
  <c r="DK615" i="79"/>
  <c r="DC615" i="79"/>
  <c r="CU615" i="79"/>
  <c r="CM615" i="79"/>
  <c r="CE615" i="79"/>
  <c r="BW615" i="79"/>
  <c r="BO615" i="79"/>
  <c r="FV615" i="79"/>
  <c r="DZ615" i="79"/>
  <c r="DR615" i="79"/>
  <c r="DJ615" i="79"/>
  <c r="DB615" i="79"/>
  <c r="CT615" i="79"/>
  <c r="CL615" i="79"/>
  <c r="CD615" i="79"/>
  <c r="BV615" i="79"/>
  <c r="BN615" i="79"/>
  <c r="DH615" i="79"/>
  <c r="CB615" i="79"/>
  <c r="DA615" i="79"/>
  <c r="BU615" i="79"/>
  <c r="CZ615" i="79"/>
  <c r="BT615" i="79"/>
  <c r="DY615" i="79"/>
  <c r="CS615" i="79"/>
  <c r="BM615" i="79"/>
  <c r="DX615" i="79"/>
  <c r="CR615" i="79"/>
  <c r="BL615" i="79"/>
  <c r="DQ615" i="79"/>
  <c r="CK615" i="79"/>
  <c r="DP615" i="79"/>
  <c r="DI615" i="79"/>
  <c r="CJ615" i="79"/>
  <c r="CC615" i="79"/>
  <c r="CW581" i="79"/>
  <c r="FY581" i="79"/>
  <c r="CF582" i="79"/>
  <c r="BZ581" i="79"/>
  <c r="CX581" i="79"/>
  <c r="DN581" i="79"/>
  <c r="DV581" i="79"/>
  <c r="BS581" i="79"/>
  <c r="CY581" i="79"/>
  <c r="BO581" i="79"/>
  <c r="BW581" i="79"/>
  <c r="CE581" i="79"/>
  <c r="CM581" i="79"/>
  <c r="CU581" i="79"/>
  <c r="DC581" i="79"/>
  <c r="DK581" i="79"/>
  <c r="DS581" i="79"/>
  <c r="EA581" i="79"/>
  <c r="BN582" i="79"/>
  <c r="BV582" i="79"/>
  <c r="CD582" i="79"/>
  <c r="CL582" i="79"/>
  <c r="CT582" i="79"/>
  <c r="DB582" i="79"/>
  <c r="DJ582" i="79"/>
  <c r="DR582" i="79"/>
  <c r="DZ582" i="79"/>
  <c r="BN583" i="79"/>
  <c r="BV583" i="79"/>
  <c r="CD583" i="79"/>
  <c r="CL583" i="79"/>
  <c r="CT583" i="79"/>
  <c r="DB583" i="79"/>
  <c r="DJ583" i="79"/>
  <c r="DR583" i="79"/>
  <c r="DZ583" i="79"/>
  <c r="BN584" i="79"/>
  <c r="BV584" i="79"/>
  <c r="CD584" i="79"/>
  <c r="CL584" i="79"/>
  <c r="CT584" i="79"/>
  <c r="DB584" i="79"/>
  <c r="DJ584" i="79"/>
  <c r="DR584" i="79"/>
  <c r="DZ584" i="79"/>
  <c r="BN585" i="79"/>
  <c r="BV585" i="79"/>
  <c r="CD585" i="79"/>
  <c r="CL585" i="79"/>
  <c r="CT585" i="79"/>
  <c r="DB585" i="79"/>
  <c r="DJ585" i="79"/>
  <c r="DR585" i="79"/>
  <c r="DZ585" i="79"/>
  <c r="BM586" i="79"/>
  <c r="BX586" i="79"/>
  <c r="CI586" i="79"/>
  <c r="CV586" i="79"/>
  <c r="DH586" i="79"/>
  <c r="DV586" i="79"/>
  <c r="BY588" i="79"/>
  <c r="CQ588" i="79"/>
  <c r="DN588" i="79"/>
  <c r="CG589" i="79"/>
  <c r="DM589" i="79"/>
  <c r="CF590" i="79"/>
  <c r="DL590" i="79"/>
  <c r="CF591" i="79"/>
  <c r="DL591" i="79"/>
  <c r="CF592" i="79"/>
  <c r="DL592" i="79"/>
  <c r="CV593" i="79"/>
  <c r="CU594" i="79"/>
  <c r="BW596" i="79"/>
  <c r="CU601" i="79"/>
  <c r="BT608" i="79"/>
  <c r="F620" i="79"/>
  <c r="F619" i="79"/>
  <c r="FS587" i="79"/>
  <c r="CB595" i="79"/>
  <c r="DX595" i="79"/>
  <c r="GD595" i="79"/>
  <c r="IO595" i="79"/>
  <c r="KK595" i="79"/>
  <c r="Y603" i="79"/>
  <c r="EX603" i="79"/>
  <c r="JI603" i="79"/>
  <c r="MM587" i="79"/>
  <c r="ME587" i="79"/>
  <c r="LW587" i="79"/>
  <c r="LO587" i="79"/>
  <c r="LG587" i="79"/>
  <c r="KY587" i="79"/>
  <c r="KQ587" i="79"/>
  <c r="KI587" i="79"/>
  <c r="KA587" i="79"/>
  <c r="MS587" i="79"/>
  <c r="MJ587" i="79"/>
  <c r="MA587" i="79"/>
  <c r="LR587" i="79"/>
  <c r="LI587" i="79"/>
  <c r="KZ587" i="79"/>
  <c r="KP587" i="79"/>
  <c r="KG587" i="79"/>
  <c r="JX587" i="79"/>
  <c r="JP587" i="79"/>
  <c r="JH587" i="79"/>
  <c r="IZ587" i="79"/>
  <c r="IR587" i="79"/>
  <c r="IJ587" i="79"/>
  <c r="IB587" i="79"/>
  <c r="HT587" i="79"/>
  <c r="HL587" i="79"/>
  <c r="HD587" i="79"/>
  <c r="GV587" i="79"/>
  <c r="GN587" i="79"/>
  <c r="GF587" i="79"/>
  <c r="FX587" i="79"/>
  <c r="FP587" i="79"/>
  <c r="FH587" i="79"/>
  <c r="EZ587" i="79"/>
  <c r="ER587" i="79"/>
  <c r="EJ587" i="79"/>
  <c r="EB587" i="79"/>
  <c r="DT587" i="79"/>
  <c r="DL587" i="79"/>
  <c r="DD587" i="79"/>
  <c r="CV587" i="79"/>
  <c r="CN587" i="79"/>
  <c r="CF587" i="79"/>
  <c r="BX587" i="79"/>
  <c r="BP587" i="79"/>
  <c r="BH587" i="79"/>
  <c r="AZ587" i="79"/>
  <c r="AR587" i="79"/>
  <c r="AJ587" i="79"/>
  <c r="AB587" i="79"/>
  <c r="MR587" i="79"/>
  <c r="MI587" i="79"/>
  <c r="LZ587" i="79"/>
  <c r="LQ587" i="79"/>
  <c r="LH587" i="79"/>
  <c r="KX587" i="79"/>
  <c r="KO587" i="79"/>
  <c r="KF587" i="79"/>
  <c r="JW587" i="79"/>
  <c r="JO587" i="79"/>
  <c r="JG587" i="79"/>
  <c r="IY587" i="79"/>
  <c r="IQ587" i="79"/>
  <c r="II587" i="79"/>
  <c r="IA587" i="79"/>
  <c r="HS587" i="79"/>
  <c r="HK587" i="79"/>
  <c r="HC587" i="79"/>
  <c r="GU587" i="79"/>
  <c r="GM587" i="79"/>
  <c r="GE587" i="79"/>
  <c r="FW587" i="79"/>
  <c r="FO587" i="79"/>
  <c r="FG587" i="79"/>
  <c r="EY587" i="79"/>
  <c r="EQ587" i="79"/>
  <c r="EI587" i="79"/>
  <c r="EA587" i="79"/>
  <c r="DS587" i="79"/>
  <c r="DK587" i="79"/>
  <c r="DC587" i="79"/>
  <c r="CU587" i="79"/>
  <c r="CM587" i="79"/>
  <c r="CE587" i="79"/>
  <c r="BW587" i="79"/>
  <c r="BO587" i="79"/>
  <c r="BG587" i="79"/>
  <c r="AY587" i="79"/>
  <c r="AQ587" i="79"/>
  <c r="AI587" i="79"/>
  <c r="AA587" i="79"/>
  <c r="MQ587" i="79"/>
  <c r="MH587" i="79"/>
  <c r="LY587" i="79"/>
  <c r="LP587" i="79"/>
  <c r="LF587" i="79"/>
  <c r="KW587" i="79"/>
  <c r="KN587" i="79"/>
  <c r="KE587" i="79"/>
  <c r="JV587" i="79"/>
  <c r="JN587" i="79"/>
  <c r="JF587" i="79"/>
  <c r="IX587" i="79"/>
  <c r="IP587" i="79"/>
  <c r="IH587" i="79"/>
  <c r="HZ587" i="79"/>
  <c r="HR587" i="79"/>
  <c r="HJ587" i="79"/>
  <c r="HB587" i="79"/>
  <c r="GT587" i="79"/>
  <c r="GL587" i="79"/>
  <c r="GD587" i="79"/>
  <c r="FV587" i="79"/>
  <c r="FN587" i="79"/>
  <c r="FF587" i="79"/>
  <c r="EX587" i="79"/>
  <c r="EP587" i="79"/>
  <c r="EH587" i="79"/>
  <c r="DZ587" i="79"/>
  <c r="DR587" i="79"/>
  <c r="DJ587" i="79"/>
  <c r="DB587" i="79"/>
  <c r="CT587" i="79"/>
  <c r="CL587" i="79"/>
  <c r="CD587" i="79"/>
  <c r="BV587" i="79"/>
  <c r="BN587" i="79"/>
  <c r="BF587" i="79"/>
  <c r="AX587" i="79"/>
  <c r="AP587" i="79"/>
  <c r="AH587" i="79"/>
  <c r="Z587" i="79"/>
  <c r="MP587" i="79"/>
  <c r="MG587" i="79"/>
  <c r="LX587" i="79"/>
  <c r="LN587" i="79"/>
  <c r="LE587" i="79"/>
  <c r="KV587" i="79"/>
  <c r="KM587" i="79"/>
  <c r="KD587" i="79"/>
  <c r="JU587" i="79"/>
  <c r="JM587" i="79"/>
  <c r="JE587" i="79"/>
  <c r="IW587" i="79"/>
  <c r="IO587" i="79"/>
  <c r="IG587" i="79"/>
  <c r="HY587" i="79"/>
  <c r="HQ587" i="79"/>
  <c r="HI587" i="79"/>
  <c r="HA587" i="79"/>
  <c r="GS587" i="79"/>
  <c r="GK587" i="79"/>
  <c r="GC587" i="79"/>
  <c r="FU587" i="79"/>
  <c r="FM587" i="79"/>
  <c r="FE587" i="79"/>
  <c r="EW587" i="79"/>
  <c r="EO587" i="79"/>
  <c r="EG587" i="79"/>
  <c r="DY587" i="79"/>
  <c r="DQ587" i="79"/>
  <c r="DI587" i="79"/>
  <c r="DA587" i="79"/>
  <c r="CS587" i="79"/>
  <c r="CK587" i="79"/>
  <c r="CC587" i="79"/>
  <c r="BU587" i="79"/>
  <c r="BM587" i="79"/>
  <c r="BE587" i="79"/>
  <c r="AW587" i="79"/>
  <c r="AO587" i="79"/>
  <c r="AG587" i="79"/>
  <c r="Y587" i="79"/>
  <c r="A587" i="79"/>
  <c r="MO587" i="79"/>
  <c r="MF587" i="79"/>
  <c r="LV587" i="79"/>
  <c r="LM587" i="79"/>
  <c r="LD587" i="79"/>
  <c r="KU587" i="79"/>
  <c r="KL587" i="79"/>
  <c r="KC587" i="79"/>
  <c r="JT587" i="79"/>
  <c r="JL587" i="79"/>
  <c r="JD587" i="79"/>
  <c r="IV587" i="79"/>
  <c r="IN587" i="79"/>
  <c r="IF587" i="79"/>
  <c r="HX587" i="79"/>
  <c r="HP587" i="79"/>
  <c r="HH587" i="79"/>
  <c r="GZ587" i="79"/>
  <c r="GR587" i="79"/>
  <c r="GJ587" i="79"/>
  <c r="GB587" i="79"/>
  <c r="FT587" i="79"/>
  <c r="FL587" i="79"/>
  <c r="FD587" i="79"/>
  <c r="EV587" i="79"/>
  <c r="EN587" i="79"/>
  <c r="EF587" i="79"/>
  <c r="DX587" i="79"/>
  <c r="DP587" i="79"/>
  <c r="DH587" i="79"/>
  <c r="CZ587" i="79"/>
  <c r="CR587" i="79"/>
  <c r="CJ587" i="79"/>
  <c r="CB587" i="79"/>
  <c r="BT587" i="79"/>
  <c r="BL587" i="79"/>
  <c r="BD587" i="79"/>
  <c r="AV587" i="79"/>
  <c r="AN587" i="79"/>
  <c r="AF587" i="79"/>
  <c r="X587" i="79"/>
  <c r="AD587" i="79"/>
  <c r="FB587" i="79"/>
  <c r="LA587" i="79"/>
  <c r="CC595" i="79"/>
  <c r="AG603" i="79"/>
  <c r="CQ587" i="79"/>
  <c r="IL587" i="79"/>
  <c r="LB595" i="79"/>
  <c r="MQ611" i="79"/>
  <c r="MI611" i="79"/>
  <c r="MA611" i="79"/>
  <c r="LS611" i="79"/>
  <c r="LK611" i="79"/>
  <c r="LC611" i="79"/>
  <c r="KU611" i="79"/>
  <c r="KM611" i="79"/>
  <c r="KE611" i="79"/>
  <c r="JW611" i="79"/>
  <c r="JO611" i="79"/>
  <c r="JG611" i="79"/>
  <c r="IY611" i="79"/>
  <c r="IQ611" i="79"/>
  <c r="II611" i="79"/>
  <c r="IA611" i="79"/>
  <c r="HS611" i="79"/>
  <c r="HK611" i="79"/>
  <c r="HC611" i="79"/>
  <c r="GU611" i="79"/>
  <c r="GM611" i="79"/>
  <c r="GE611" i="79"/>
  <c r="FW611" i="79"/>
  <c r="FO611" i="79"/>
  <c r="FG611" i="79"/>
  <c r="EY611" i="79"/>
  <c r="EQ611" i="79"/>
  <c r="EI611" i="79"/>
  <c r="EA611" i="79"/>
  <c r="DS611" i="79"/>
  <c r="DK611" i="79"/>
  <c r="DC611" i="79"/>
  <c r="CU611" i="79"/>
  <c r="CM611" i="79"/>
  <c r="CE611" i="79"/>
  <c r="BW611" i="79"/>
  <c r="BO611" i="79"/>
  <c r="BG611" i="79"/>
  <c r="AY611" i="79"/>
  <c r="AQ611" i="79"/>
  <c r="AI611" i="79"/>
  <c r="AA611" i="79"/>
  <c r="MP611" i="79"/>
  <c r="MH611" i="79"/>
  <c r="LZ611" i="79"/>
  <c r="LR611" i="79"/>
  <c r="LJ611" i="79"/>
  <c r="LB611" i="79"/>
  <c r="KT611" i="79"/>
  <c r="KL611" i="79"/>
  <c r="KD611" i="79"/>
  <c r="JV611" i="79"/>
  <c r="JN611" i="79"/>
  <c r="JF611" i="79"/>
  <c r="IX611" i="79"/>
  <c r="IP611" i="79"/>
  <c r="IH611" i="79"/>
  <c r="HZ611" i="79"/>
  <c r="HR611" i="79"/>
  <c r="HJ611" i="79"/>
  <c r="HB611" i="79"/>
  <c r="GT611" i="79"/>
  <c r="GL611" i="79"/>
  <c r="GD611" i="79"/>
  <c r="FV611" i="79"/>
  <c r="FN611" i="79"/>
  <c r="FF611" i="79"/>
  <c r="EX611" i="79"/>
  <c r="EP611" i="79"/>
  <c r="EH611" i="79"/>
  <c r="DZ611" i="79"/>
  <c r="DR611" i="79"/>
  <c r="DJ611" i="79"/>
  <c r="DB611" i="79"/>
  <c r="CT611" i="79"/>
  <c r="CL611" i="79"/>
  <c r="CD611" i="79"/>
  <c r="BV611" i="79"/>
  <c r="BN611" i="79"/>
  <c r="BF611" i="79"/>
  <c r="AX611" i="79"/>
  <c r="AP611" i="79"/>
  <c r="AH611" i="79"/>
  <c r="Z611" i="79"/>
  <c r="A611" i="79"/>
  <c r="MO611" i="79"/>
  <c r="MG611" i="79"/>
  <c r="LY611" i="79"/>
  <c r="LQ611" i="79"/>
  <c r="LI611" i="79"/>
  <c r="LA611" i="79"/>
  <c r="KS611" i="79"/>
  <c r="KK611" i="79"/>
  <c r="KC611" i="79"/>
  <c r="JU611" i="79"/>
  <c r="JM611" i="79"/>
  <c r="JE611" i="79"/>
  <c r="IW611" i="79"/>
  <c r="IO611" i="79"/>
  <c r="IG611" i="79"/>
  <c r="HY611" i="79"/>
  <c r="HQ611" i="79"/>
  <c r="HI611" i="79"/>
  <c r="HA611" i="79"/>
  <c r="GS611" i="79"/>
  <c r="GK611" i="79"/>
  <c r="GC611" i="79"/>
  <c r="FU611" i="79"/>
  <c r="FM611" i="79"/>
  <c r="FE611" i="79"/>
  <c r="EW611" i="79"/>
  <c r="EO611" i="79"/>
  <c r="EG611" i="79"/>
  <c r="DY611" i="79"/>
  <c r="DQ611" i="79"/>
  <c r="DI611" i="79"/>
  <c r="DA611" i="79"/>
  <c r="CS611" i="79"/>
  <c r="CK611" i="79"/>
  <c r="CC611" i="79"/>
  <c r="BU611" i="79"/>
  <c r="BM611" i="79"/>
  <c r="BE611" i="79"/>
  <c r="AW611" i="79"/>
  <c r="AO611" i="79"/>
  <c r="AG611" i="79"/>
  <c r="Y611" i="79"/>
  <c r="MN611" i="79"/>
  <c r="MF611" i="79"/>
  <c r="LX611" i="79"/>
  <c r="LP611" i="79"/>
  <c r="LH611" i="79"/>
  <c r="KZ611" i="79"/>
  <c r="KR611" i="79"/>
  <c r="KJ611" i="79"/>
  <c r="KB611" i="79"/>
  <c r="JT611" i="79"/>
  <c r="JL611" i="79"/>
  <c r="JD611" i="79"/>
  <c r="IV611" i="79"/>
  <c r="IN611" i="79"/>
  <c r="IF611" i="79"/>
  <c r="HX611" i="79"/>
  <c r="HP611" i="79"/>
  <c r="HH611" i="79"/>
  <c r="GZ611" i="79"/>
  <c r="GR611" i="79"/>
  <c r="GJ611" i="79"/>
  <c r="GB611" i="79"/>
  <c r="FT611" i="79"/>
  <c r="FL611" i="79"/>
  <c r="FD611" i="79"/>
  <c r="EV611" i="79"/>
  <c r="EN611" i="79"/>
  <c r="EF611" i="79"/>
  <c r="DX611" i="79"/>
  <c r="DP611" i="79"/>
  <c r="DH611" i="79"/>
  <c r="CZ611" i="79"/>
  <c r="CR611" i="79"/>
  <c r="CJ611" i="79"/>
  <c r="CB611" i="79"/>
  <c r="BT611" i="79"/>
  <c r="BL611" i="79"/>
  <c r="BD611" i="79"/>
  <c r="AV611" i="79"/>
  <c r="AN611" i="79"/>
  <c r="AF611" i="79"/>
  <c r="X611" i="79"/>
  <c r="MM611" i="79"/>
  <c r="ME611" i="79"/>
  <c r="LW611" i="79"/>
  <c r="LO611" i="79"/>
  <c r="LG611" i="79"/>
  <c r="KY611" i="79"/>
  <c r="KQ611" i="79"/>
  <c r="KI611" i="79"/>
  <c r="KA611" i="79"/>
  <c r="JS611" i="79"/>
  <c r="JK611" i="79"/>
  <c r="JC611" i="79"/>
  <c r="IU611" i="79"/>
  <c r="IM611" i="79"/>
  <c r="IE611" i="79"/>
  <c r="HW611" i="79"/>
  <c r="HO611" i="79"/>
  <c r="HG611" i="79"/>
  <c r="GY611" i="79"/>
  <c r="GQ611" i="79"/>
  <c r="GI611" i="79"/>
  <c r="GA611" i="79"/>
  <c r="FS611" i="79"/>
  <c r="FK611" i="79"/>
  <c r="FC611" i="79"/>
  <c r="EU611" i="79"/>
  <c r="EM611" i="79"/>
  <c r="EE611" i="79"/>
  <c r="DW611" i="79"/>
  <c r="DO611" i="79"/>
  <c r="DG611" i="79"/>
  <c r="CY611" i="79"/>
  <c r="CQ611" i="79"/>
  <c r="CI611" i="79"/>
  <c r="CA611" i="79"/>
  <c r="BS611" i="79"/>
  <c r="BK611" i="79"/>
  <c r="BC611" i="79"/>
  <c r="AU611" i="79"/>
  <c r="AM611" i="79"/>
  <c r="AE611" i="79"/>
  <c r="W611" i="79"/>
  <c r="ML611" i="79"/>
  <c r="MD611" i="79"/>
  <c r="LV611" i="79"/>
  <c r="LN611" i="79"/>
  <c r="LF611" i="79"/>
  <c r="KX611" i="79"/>
  <c r="KP611" i="79"/>
  <c r="KH611" i="79"/>
  <c r="JZ611" i="79"/>
  <c r="JR611" i="79"/>
  <c r="JJ611" i="79"/>
  <c r="JB611" i="79"/>
  <c r="IT611" i="79"/>
  <c r="IL611" i="79"/>
  <c r="ID611" i="79"/>
  <c r="HV611" i="79"/>
  <c r="HN611" i="79"/>
  <c r="HF611" i="79"/>
  <c r="GX611" i="79"/>
  <c r="GP611" i="79"/>
  <c r="GH611" i="79"/>
  <c r="FZ611" i="79"/>
  <c r="FR611" i="79"/>
  <c r="FJ611" i="79"/>
  <c r="FB611" i="79"/>
  <c r="ET611" i="79"/>
  <c r="EL611" i="79"/>
  <c r="ED611" i="79"/>
  <c r="DV611" i="79"/>
  <c r="DN611" i="79"/>
  <c r="DF611" i="79"/>
  <c r="CX611" i="79"/>
  <c r="CP611" i="79"/>
  <c r="CH611" i="79"/>
  <c r="BZ611" i="79"/>
  <c r="BR611" i="79"/>
  <c r="BJ611" i="79"/>
  <c r="BB611" i="79"/>
  <c r="AT611" i="79"/>
  <c r="AL611" i="79"/>
  <c r="AD611" i="79"/>
  <c r="MS611" i="79"/>
  <c r="MK611" i="79"/>
  <c r="MC611" i="79"/>
  <c r="LU611" i="79"/>
  <c r="LM611" i="79"/>
  <c r="LE611" i="79"/>
  <c r="KW611" i="79"/>
  <c r="KO611" i="79"/>
  <c r="KG611" i="79"/>
  <c r="JY611" i="79"/>
  <c r="JQ611" i="79"/>
  <c r="JI611" i="79"/>
  <c r="JA611" i="79"/>
  <c r="IS611" i="79"/>
  <c r="IK611" i="79"/>
  <c r="IC611" i="79"/>
  <c r="HU611" i="79"/>
  <c r="HM611" i="79"/>
  <c r="HE611" i="79"/>
  <c r="GW611" i="79"/>
  <c r="GO611" i="79"/>
  <c r="GG611" i="79"/>
  <c r="FY611" i="79"/>
  <c r="FQ611" i="79"/>
  <c r="FI611" i="79"/>
  <c r="FA611" i="79"/>
  <c r="ES611" i="79"/>
  <c r="EK611" i="79"/>
  <c r="EC611" i="79"/>
  <c r="DU611" i="79"/>
  <c r="DM611" i="79"/>
  <c r="DE611" i="79"/>
  <c r="CW611" i="79"/>
  <c r="CO611" i="79"/>
  <c r="CG611" i="79"/>
  <c r="BY611" i="79"/>
  <c r="BQ611" i="79"/>
  <c r="BI611" i="79"/>
  <c r="BA611" i="79"/>
  <c r="AS611" i="79"/>
  <c r="AK611" i="79"/>
  <c r="AC611" i="79"/>
  <c r="LT611" i="79"/>
  <c r="JH611" i="79"/>
  <c r="GV611" i="79"/>
  <c r="EJ611" i="79"/>
  <c r="BX611" i="79"/>
  <c r="LL611" i="79"/>
  <c r="IZ611" i="79"/>
  <c r="GN611" i="79"/>
  <c r="EB611" i="79"/>
  <c r="BP611" i="79"/>
  <c r="LD611" i="79"/>
  <c r="IR611" i="79"/>
  <c r="GF611" i="79"/>
  <c r="DT611" i="79"/>
  <c r="BH611" i="79"/>
  <c r="KV611" i="79"/>
  <c r="IJ611" i="79"/>
  <c r="FX611" i="79"/>
  <c r="DL611" i="79"/>
  <c r="AZ611" i="79"/>
  <c r="KN611" i="79"/>
  <c r="IB611" i="79"/>
  <c r="FP611" i="79"/>
  <c r="DD611" i="79"/>
  <c r="AR611" i="79"/>
  <c r="MJ611" i="79"/>
  <c r="JX611" i="79"/>
  <c r="HL611" i="79"/>
  <c r="EZ611" i="79"/>
  <c r="CN611" i="79"/>
  <c r="AB611" i="79"/>
  <c r="JP611" i="79"/>
  <c r="HT611" i="79"/>
  <c r="HD611" i="79"/>
  <c r="FH611" i="79"/>
  <c r="ER611" i="79"/>
  <c r="AU587" i="79"/>
  <c r="ED587" i="79"/>
  <c r="IE587" i="79"/>
  <c r="CP587" i="79"/>
  <c r="FY587" i="79"/>
  <c r="JC587" i="79"/>
  <c r="EN595" i="79"/>
  <c r="BY587" i="79"/>
  <c r="FC587" i="79"/>
  <c r="HO587" i="79"/>
  <c r="KB587" i="79"/>
  <c r="MB587" i="79"/>
  <c r="CD595" i="79"/>
  <c r="KX603" i="79"/>
  <c r="AK587" i="79"/>
  <c r="BC587" i="79"/>
  <c r="BZ587" i="79"/>
  <c r="CW587" i="79"/>
  <c r="DO587" i="79"/>
  <c r="EL587" i="79"/>
  <c r="FI587" i="79"/>
  <c r="GA587" i="79"/>
  <c r="GX587" i="79"/>
  <c r="HU587" i="79"/>
  <c r="IM587" i="79"/>
  <c r="JJ587" i="79"/>
  <c r="KH587" i="79"/>
  <c r="LC587" i="79"/>
  <c r="MC587" i="79"/>
  <c r="AN595" i="79"/>
  <c r="CT595" i="79"/>
  <c r="EP595" i="79"/>
  <c r="HA595" i="79"/>
  <c r="JL595" i="79"/>
  <c r="LH595" i="79"/>
  <c r="BP603" i="79"/>
  <c r="GW603" i="79"/>
  <c r="MQ603" i="79"/>
  <c r="MI603" i="79"/>
  <c r="MA603" i="79"/>
  <c r="LS603" i="79"/>
  <c r="LK603" i="79"/>
  <c r="LC603" i="79"/>
  <c r="KU603" i="79"/>
  <c r="KM603" i="79"/>
  <c r="KE603" i="79"/>
  <c r="JW603" i="79"/>
  <c r="JO603" i="79"/>
  <c r="JG603" i="79"/>
  <c r="IY603" i="79"/>
  <c r="IQ603" i="79"/>
  <c r="II603" i="79"/>
  <c r="IA603" i="79"/>
  <c r="HS603" i="79"/>
  <c r="HK603" i="79"/>
  <c r="HC603" i="79"/>
  <c r="GU603" i="79"/>
  <c r="GM603" i="79"/>
  <c r="GE603" i="79"/>
  <c r="FW603" i="79"/>
  <c r="FO603" i="79"/>
  <c r="FG603" i="79"/>
  <c r="EY603" i="79"/>
  <c r="EQ603" i="79"/>
  <c r="EI603" i="79"/>
  <c r="EA603" i="79"/>
  <c r="DS603" i="79"/>
  <c r="DK603" i="79"/>
  <c r="DC603" i="79"/>
  <c r="CU603" i="79"/>
  <c r="CM603" i="79"/>
  <c r="CE603" i="79"/>
  <c r="BW603" i="79"/>
  <c r="BO603" i="79"/>
  <c r="BG603" i="79"/>
  <c r="AY603" i="79"/>
  <c r="AQ603" i="79"/>
  <c r="AI603" i="79"/>
  <c r="AA603" i="79"/>
  <c r="MO603" i="79"/>
  <c r="MG603" i="79"/>
  <c r="LY603" i="79"/>
  <c r="LQ603" i="79"/>
  <c r="LI603" i="79"/>
  <c r="LA603" i="79"/>
  <c r="KS603" i="79"/>
  <c r="KK603" i="79"/>
  <c r="KC603" i="79"/>
  <c r="JU603" i="79"/>
  <c r="JM603" i="79"/>
  <c r="JE603" i="79"/>
  <c r="IW603" i="79"/>
  <c r="IO603" i="79"/>
  <c r="IG603" i="79"/>
  <c r="HY603" i="79"/>
  <c r="HQ603" i="79"/>
  <c r="HI603" i="79"/>
  <c r="HA603" i="79"/>
  <c r="GS603" i="79"/>
  <c r="GK603" i="79"/>
  <c r="GC603" i="79"/>
  <c r="FU603" i="79"/>
  <c r="FM603" i="79"/>
  <c r="FE603" i="79"/>
  <c r="EW603" i="79"/>
  <c r="EO603" i="79"/>
  <c r="EG603" i="79"/>
  <c r="MN603" i="79"/>
  <c r="MF603" i="79"/>
  <c r="LX603" i="79"/>
  <c r="LP603" i="79"/>
  <c r="LH603" i="79"/>
  <c r="KZ603" i="79"/>
  <c r="KR603" i="79"/>
  <c r="KJ603" i="79"/>
  <c r="KB603" i="79"/>
  <c r="JT603" i="79"/>
  <c r="JL603" i="79"/>
  <c r="JD603" i="79"/>
  <c r="IV603" i="79"/>
  <c r="IN603" i="79"/>
  <c r="IF603" i="79"/>
  <c r="HX603" i="79"/>
  <c r="HP603" i="79"/>
  <c r="HH603" i="79"/>
  <c r="GZ603" i="79"/>
  <c r="GR603" i="79"/>
  <c r="GJ603" i="79"/>
  <c r="GB603" i="79"/>
  <c r="FT603" i="79"/>
  <c r="FL603" i="79"/>
  <c r="FD603" i="79"/>
  <c r="EV603" i="79"/>
  <c r="EN603" i="79"/>
  <c r="EF603" i="79"/>
  <c r="DX603" i="79"/>
  <c r="DP603" i="79"/>
  <c r="DH603" i="79"/>
  <c r="CZ603" i="79"/>
  <c r="CR603" i="79"/>
  <c r="CJ603" i="79"/>
  <c r="CB603" i="79"/>
  <c r="BT603" i="79"/>
  <c r="BL603" i="79"/>
  <c r="BD603" i="79"/>
  <c r="AV603" i="79"/>
  <c r="AN603" i="79"/>
  <c r="AF603" i="79"/>
  <c r="X603" i="79"/>
  <c r="MS603" i="79"/>
  <c r="ME603" i="79"/>
  <c r="LT603" i="79"/>
  <c r="LF603" i="79"/>
  <c r="KT603" i="79"/>
  <c r="KG603" i="79"/>
  <c r="JS603" i="79"/>
  <c r="JH603" i="79"/>
  <c r="IT603" i="79"/>
  <c r="IH603" i="79"/>
  <c r="HU603" i="79"/>
  <c r="HG603" i="79"/>
  <c r="GV603" i="79"/>
  <c r="GH603" i="79"/>
  <c r="FV603" i="79"/>
  <c r="FI603" i="79"/>
  <c r="EU603" i="79"/>
  <c r="EJ603" i="79"/>
  <c r="DW603" i="79"/>
  <c r="DM603" i="79"/>
  <c r="DB603" i="79"/>
  <c r="CQ603" i="79"/>
  <c r="CG603" i="79"/>
  <c r="BV603" i="79"/>
  <c r="BK603" i="79"/>
  <c r="BA603" i="79"/>
  <c r="AP603" i="79"/>
  <c r="AE603" i="79"/>
  <c r="MR603" i="79"/>
  <c r="MD603" i="79"/>
  <c r="LR603" i="79"/>
  <c r="LE603" i="79"/>
  <c r="KQ603" i="79"/>
  <c r="KF603" i="79"/>
  <c r="JR603" i="79"/>
  <c r="JF603" i="79"/>
  <c r="IS603" i="79"/>
  <c r="IE603" i="79"/>
  <c r="HT603" i="79"/>
  <c r="HF603" i="79"/>
  <c r="GT603" i="79"/>
  <c r="GG603" i="79"/>
  <c r="FS603" i="79"/>
  <c r="FH603" i="79"/>
  <c r="ET603" i="79"/>
  <c r="EH603" i="79"/>
  <c r="DV603" i="79"/>
  <c r="DL603" i="79"/>
  <c r="DA603" i="79"/>
  <c r="CP603" i="79"/>
  <c r="CF603" i="79"/>
  <c r="BU603" i="79"/>
  <c r="BJ603" i="79"/>
  <c r="AZ603" i="79"/>
  <c r="AO603" i="79"/>
  <c r="AD603" i="79"/>
  <c r="MP603" i="79"/>
  <c r="MC603" i="79"/>
  <c r="LO603" i="79"/>
  <c r="LD603" i="79"/>
  <c r="KP603" i="79"/>
  <c r="KD603" i="79"/>
  <c r="JQ603" i="79"/>
  <c r="JC603" i="79"/>
  <c r="IR603" i="79"/>
  <c r="ID603" i="79"/>
  <c r="HR603" i="79"/>
  <c r="HE603" i="79"/>
  <c r="GQ603" i="79"/>
  <c r="GF603" i="79"/>
  <c r="FR603" i="79"/>
  <c r="FF603" i="79"/>
  <c r="ES603" i="79"/>
  <c r="EE603" i="79"/>
  <c r="DU603" i="79"/>
  <c r="DJ603" i="79"/>
  <c r="CY603" i="79"/>
  <c r="CO603" i="79"/>
  <c r="CD603" i="79"/>
  <c r="BS603" i="79"/>
  <c r="BI603" i="79"/>
  <c r="AX603" i="79"/>
  <c r="AM603" i="79"/>
  <c r="AC603" i="79"/>
  <c r="MM603" i="79"/>
  <c r="MB603" i="79"/>
  <c r="LN603" i="79"/>
  <c r="LB603" i="79"/>
  <c r="KO603" i="79"/>
  <c r="KA603" i="79"/>
  <c r="JP603" i="79"/>
  <c r="JB603" i="79"/>
  <c r="IP603" i="79"/>
  <c r="IC603" i="79"/>
  <c r="HO603" i="79"/>
  <c r="HD603" i="79"/>
  <c r="GP603" i="79"/>
  <c r="GD603" i="79"/>
  <c r="FQ603" i="79"/>
  <c r="FC603" i="79"/>
  <c r="ER603" i="79"/>
  <c r="ED603" i="79"/>
  <c r="DT603" i="79"/>
  <c r="DI603" i="79"/>
  <c r="CX603" i="79"/>
  <c r="CN603" i="79"/>
  <c r="CC603" i="79"/>
  <c r="BR603" i="79"/>
  <c r="BH603" i="79"/>
  <c r="AW603" i="79"/>
  <c r="AL603" i="79"/>
  <c r="AB603" i="79"/>
  <c r="A603" i="79"/>
  <c r="ML603" i="79"/>
  <c r="LZ603" i="79"/>
  <c r="LM603" i="79"/>
  <c r="KY603" i="79"/>
  <c r="KN603" i="79"/>
  <c r="JZ603" i="79"/>
  <c r="JN603" i="79"/>
  <c r="JA603" i="79"/>
  <c r="IM603" i="79"/>
  <c r="IB603" i="79"/>
  <c r="HN603" i="79"/>
  <c r="HB603" i="79"/>
  <c r="GO603" i="79"/>
  <c r="GA603" i="79"/>
  <c r="FP603" i="79"/>
  <c r="FB603" i="79"/>
  <c r="EP603" i="79"/>
  <c r="EC603" i="79"/>
  <c r="DR603" i="79"/>
  <c r="DG603" i="79"/>
  <c r="CW603" i="79"/>
  <c r="CL603" i="79"/>
  <c r="CA603" i="79"/>
  <c r="BQ603" i="79"/>
  <c r="BF603" i="79"/>
  <c r="AU603" i="79"/>
  <c r="AK603" i="79"/>
  <c r="Z603" i="79"/>
  <c r="MJ603" i="79"/>
  <c r="LV603" i="79"/>
  <c r="LJ603" i="79"/>
  <c r="KW603" i="79"/>
  <c r="KI603" i="79"/>
  <c r="JX603" i="79"/>
  <c r="JJ603" i="79"/>
  <c r="IX603" i="79"/>
  <c r="IK603" i="79"/>
  <c r="HW603" i="79"/>
  <c r="HL603" i="79"/>
  <c r="GX603" i="79"/>
  <c r="GL603" i="79"/>
  <c r="FY603" i="79"/>
  <c r="FK603" i="79"/>
  <c r="EZ603" i="79"/>
  <c r="EL603" i="79"/>
  <c r="DZ603" i="79"/>
  <c r="DO603" i="79"/>
  <c r="DE603" i="79"/>
  <c r="CT603" i="79"/>
  <c r="CI603" i="79"/>
  <c r="BY603" i="79"/>
  <c r="BN603" i="79"/>
  <c r="BC603" i="79"/>
  <c r="AS603" i="79"/>
  <c r="AH603" i="79"/>
  <c r="W603" i="79"/>
  <c r="MK603" i="79"/>
  <c r="KL603" i="79"/>
  <c r="IL603" i="79"/>
  <c r="GN603" i="79"/>
  <c r="EM603" i="79"/>
  <c r="CV603" i="79"/>
  <c r="BE603" i="79"/>
  <c r="MH603" i="79"/>
  <c r="KH603" i="79"/>
  <c r="IJ603" i="79"/>
  <c r="GI603" i="79"/>
  <c r="EK603" i="79"/>
  <c r="CS603" i="79"/>
  <c r="BB603" i="79"/>
  <c r="LW603" i="79"/>
  <c r="JY603" i="79"/>
  <c r="HZ603" i="79"/>
  <c r="FZ603" i="79"/>
  <c r="EB603" i="79"/>
  <c r="CK603" i="79"/>
  <c r="AT603" i="79"/>
  <c r="LU603" i="79"/>
  <c r="JV603" i="79"/>
  <c r="HV603" i="79"/>
  <c r="FX603" i="79"/>
  <c r="DY603" i="79"/>
  <c r="CH603" i="79"/>
  <c r="AR603" i="79"/>
  <c r="LL603" i="79"/>
  <c r="JK603" i="79"/>
  <c r="HM603" i="79"/>
  <c r="FN603" i="79"/>
  <c r="DQ603" i="79"/>
  <c r="BZ603" i="79"/>
  <c r="AJ603" i="79"/>
  <c r="BR587" i="79"/>
  <c r="FA587" i="79"/>
  <c r="JB587" i="79"/>
  <c r="DM587" i="79"/>
  <c r="HN587" i="79"/>
  <c r="LU587" i="79"/>
  <c r="IP595" i="79"/>
  <c r="FZ587" i="79"/>
  <c r="GZ595" i="79"/>
  <c r="BM603" i="79"/>
  <c r="AL587" i="79"/>
  <c r="CA587" i="79"/>
  <c r="DU587" i="79"/>
  <c r="GG587" i="79"/>
  <c r="IS587" i="79"/>
  <c r="LJ587" i="79"/>
  <c r="FF595" i="79"/>
  <c r="AJ611" i="79"/>
  <c r="CO587" i="79"/>
  <c r="HM587" i="79"/>
  <c r="LT587" i="79"/>
  <c r="BS587" i="79"/>
  <c r="GQ587" i="79"/>
  <c r="JZ587" i="79"/>
  <c r="GJ595" i="79"/>
  <c r="KV603" i="79"/>
  <c r="AE587" i="79"/>
  <c r="DN587" i="79"/>
  <c r="GW587" i="79"/>
  <c r="LB587" i="79"/>
  <c r="IV595" i="79"/>
  <c r="AM587" i="79"/>
  <c r="BJ587" i="79"/>
  <c r="CG587" i="79"/>
  <c r="CY587" i="79"/>
  <c r="DV587" i="79"/>
  <c r="ES587" i="79"/>
  <c r="FK587" i="79"/>
  <c r="GH587" i="79"/>
  <c r="HE587" i="79"/>
  <c r="HW587" i="79"/>
  <c r="IT587" i="79"/>
  <c r="JQ587" i="79"/>
  <c r="KK587" i="79"/>
  <c r="LK587" i="79"/>
  <c r="MK587" i="79"/>
  <c r="BE595" i="79"/>
  <c r="DA595" i="79"/>
  <c r="FL595" i="79"/>
  <c r="HR595" i="79"/>
  <c r="JN595" i="79"/>
  <c r="DD603" i="79"/>
  <c r="HJ603" i="79"/>
  <c r="CF611" i="79"/>
  <c r="MM595" i="79"/>
  <c r="ME595" i="79"/>
  <c r="LW595" i="79"/>
  <c r="LO595" i="79"/>
  <c r="LG595" i="79"/>
  <c r="KY595" i="79"/>
  <c r="KQ595" i="79"/>
  <c r="KI595" i="79"/>
  <c r="KA595" i="79"/>
  <c r="JS595" i="79"/>
  <c r="JK595" i="79"/>
  <c r="JC595" i="79"/>
  <c r="IU595" i="79"/>
  <c r="IM595" i="79"/>
  <c r="IE595" i="79"/>
  <c r="HW595" i="79"/>
  <c r="HO595" i="79"/>
  <c r="HG595" i="79"/>
  <c r="GY595" i="79"/>
  <c r="GQ595" i="79"/>
  <c r="GI595" i="79"/>
  <c r="GA595" i="79"/>
  <c r="FS595" i="79"/>
  <c r="FK595" i="79"/>
  <c r="FC595" i="79"/>
  <c r="EU595" i="79"/>
  <c r="EM595" i="79"/>
  <c r="EE595" i="79"/>
  <c r="DW595" i="79"/>
  <c r="DO595" i="79"/>
  <c r="DG595" i="79"/>
  <c r="CY595" i="79"/>
  <c r="CQ595" i="79"/>
  <c r="CI595" i="79"/>
  <c r="CA595" i="79"/>
  <c r="BS595" i="79"/>
  <c r="BK595" i="79"/>
  <c r="BC595" i="79"/>
  <c r="AU595" i="79"/>
  <c r="AM595" i="79"/>
  <c r="AE595" i="79"/>
  <c r="W595" i="79"/>
  <c r="ML595" i="79"/>
  <c r="MD595" i="79"/>
  <c r="LV595" i="79"/>
  <c r="LN595" i="79"/>
  <c r="LF595" i="79"/>
  <c r="KX595" i="79"/>
  <c r="KP595" i="79"/>
  <c r="KH595" i="79"/>
  <c r="JZ595" i="79"/>
  <c r="JR595" i="79"/>
  <c r="JJ595" i="79"/>
  <c r="JB595" i="79"/>
  <c r="IT595" i="79"/>
  <c r="IL595" i="79"/>
  <c r="ID595" i="79"/>
  <c r="HV595" i="79"/>
  <c r="HN595" i="79"/>
  <c r="HF595" i="79"/>
  <c r="GX595" i="79"/>
  <c r="GP595" i="79"/>
  <c r="GH595" i="79"/>
  <c r="FZ595" i="79"/>
  <c r="FR595" i="79"/>
  <c r="FJ595" i="79"/>
  <c r="FB595" i="79"/>
  <c r="ET595" i="79"/>
  <c r="EL595" i="79"/>
  <c r="ED595" i="79"/>
  <c r="DV595" i="79"/>
  <c r="DN595" i="79"/>
  <c r="DF595" i="79"/>
  <c r="CX595" i="79"/>
  <c r="CP595" i="79"/>
  <c r="CH595" i="79"/>
  <c r="BZ595" i="79"/>
  <c r="BR595" i="79"/>
  <c r="BJ595" i="79"/>
  <c r="BB595" i="79"/>
  <c r="AT595" i="79"/>
  <c r="AL595" i="79"/>
  <c r="AD595" i="79"/>
  <c r="MS595" i="79"/>
  <c r="MK595" i="79"/>
  <c r="MC595" i="79"/>
  <c r="LU595" i="79"/>
  <c r="LM595" i="79"/>
  <c r="LE595" i="79"/>
  <c r="KW595" i="79"/>
  <c r="KO595" i="79"/>
  <c r="KG595" i="79"/>
  <c r="JY595" i="79"/>
  <c r="JQ595" i="79"/>
  <c r="JI595" i="79"/>
  <c r="JA595" i="79"/>
  <c r="IS595" i="79"/>
  <c r="IK595" i="79"/>
  <c r="IC595" i="79"/>
  <c r="HU595" i="79"/>
  <c r="HM595" i="79"/>
  <c r="HE595" i="79"/>
  <c r="GW595" i="79"/>
  <c r="GO595" i="79"/>
  <c r="GG595" i="79"/>
  <c r="FY595" i="79"/>
  <c r="FQ595" i="79"/>
  <c r="FI595" i="79"/>
  <c r="FA595" i="79"/>
  <c r="ES595" i="79"/>
  <c r="EK595" i="79"/>
  <c r="EC595" i="79"/>
  <c r="DU595" i="79"/>
  <c r="DM595" i="79"/>
  <c r="DE595" i="79"/>
  <c r="CW595" i="79"/>
  <c r="CO595" i="79"/>
  <c r="CG595" i="79"/>
  <c r="BY595" i="79"/>
  <c r="BQ595" i="79"/>
  <c r="BI595" i="79"/>
  <c r="BA595" i="79"/>
  <c r="AS595" i="79"/>
  <c r="AK595" i="79"/>
  <c r="AC595" i="79"/>
  <c r="MR595" i="79"/>
  <c r="MJ595" i="79"/>
  <c r="MB595" i="79"/>
  <c r="LT595" i="79"/>
  <c r="LL595" i="79"/>
  <c r="LD595" i="79"/>
  <c r="KV595" i="79"/>
  <c r="KN595" i="79"/>
  <c r="KF595" i="79"/>
  <c r="JX595" i="79"/>
  <c r="JP595" i="79"/>
  <c r="JH595" i="79"/>
  <c r="IZ595" i="79"/>
  <c r="IR595" i="79"/>
  <c r="IJ595" i="79"/>
  <c r="IB595" i="79"/>
  <c r="HT595" i="79"/>
  <c r="HL595" i="79"/>
  <c r="HD595" i="79"/>
  <c r="GV595" i="79"/>
  <c r="GN595" i="79"/>
  <c r="GF595" i="79"/>
  <c r="FX595" i="79"/>
  <c r="FP595" i="79"/>
  <c r="FH595" i="79"/>
  <c r="EZ595" i="79"/>
  <c r="ER595" i="79"/>
  <c r="EJ595" i="79"/>
  <c r="EB595" i="79"/>
  <c r="DT595" i="79"/>
  <c r="DL595" i="79"/>
  <c r="DD595" i="79"/>
  <c r="CV595" i="79"/>
  <c r="CN595" i="79"/>
  <c r="CF595" i="79"/>
  <c r="BX595" i="79"/>
  <c r="BP595" i="79"/>
  <c r="BH595" i="79"/>
  <c r="AZ595" i="79"/>
  <c r="AR595" i="79"/>
  <c r="AJ595" i="79"/>
  <c r="AB595" i="79"/>
  <c r="MQ595" i="79"/>
  <c r="MI595" i="79"/>
  <c r="MA595" i="79"/>
  <c r="LS595" i="79"/>
  <c r="LK595" i="79"/>
  <c r="LC595" i="79"/>
  <c r="KU595" i="79"/>
  <c r="KM595" i="79"/>
  <c r="KE595" i="79"/>
  <c r="JW595" i="79"/>
  <c r="JO595" i="79"/>
  <c r="JG595" i="79"/>
  <c r="IY595" i="79"/>
  <c r="IQ595" i="79"/>
  <c r="II595" i="79"/>
  <c r="IA595" i="79"/>
  <c r="HS595" i="79"/>
  <c r="HK595" i="79"/>
  <c r="HC595" i="79"/>
  <c r="GU595" i="79"/>
  <c r="GM595" i="79"/>
  <c r="GE595" i="79"/>
  <c r="FW595" i="79"/>
  <c r="FO595" i="79"/>
  <c r="FG595" i="79"/>
  <c r="EY595" i="79"/>
  <c r="EQ595" i="79"/>
  <c r="EI595" i="79"/>
  <c r="EA595" i="79"/>
  <c r="DS595" i="79"/>
  <c r="DK595" i="79"/>
  <c r="DC595" i="79"/>
  <c r="CU595" i="79"/>
  <c r="CM595" i="79"/>
  <c r="CE595" i="79"/>
  <c r="BW595" i="79"/>
  <c r="BO595" i="79"/>
  <c r="BG595" i="79"/>
  <c r="AY595" i="79"/>
  <c r="AQ595" i="79"/>
  <c r="AI595" i="79"/>
  <c r="AA595" i="79"/>
  <c r="MO595" i="79"/>
  <c r="LR595" i="79"/>
  <c r="KZ595" i="79"/>
  <c r="KC595" i="79"/>
  <c r="JF595" i="79"/>
  <c r="IN595" i="79"/>
  <c r="HQ595" i="79"/>
  <c r="GT595" i="79"/>
  <c r="GB595" i="79"/>
  <c r="FE595" i="79"/>
  <c r="EH595" i="79"/>
  <c r="DP595" i="79"/>
  <c r="CS595" i="79"/>
  <c r="BV595" i="79"/>
  <c r="BD595" i="79"/>
  <c r="AG595" i="79"/>
  <c r="A595" i="79"/>
  <c r="MN595" i="79"/>
  <c r="LQ595" i="79"/>
  <c r="KT595" i="79"/>
  <c r="KB595" i="79"/>
  <c r="JE595" i="79"/>
  <c r="IH595" i="79"/>
  <c r="HP595" i="79"/>
  <c r="GS595" i="79"/>
  <c r="FV595" i="79"/>
  <c r="FD595" i="79"/>
  <c r="EG595" i="79"/>
  <c r="DJ595" i="79"/>
  <c r="CR595" i="79"/>
  <c r="BU595" i="79"/>
  <c r="AX595" i="79"/>
  <c r="AF595" i="79"/>
  <c r="MH595" i="79"/>
  <c r="LP595" i="79"/>
  <c r="KS595" i="79"/>
  <c r="JV595" i="79"/>
  <c r="JD595" i="79"/>
  <c r="IG595" i="79"/>
  <c r="HJ595" i="79"/>
  <c r="GR595" i="79"/>
  <c r="FU595" i="79"/>
  <c r="EX595" i="79"/>
  <c r="EF595" i="79"/>
  <c r="DI595" i="79"/>
  <c r="CL595" i="79"/>
  <c r="BT595" i="79"/>
  <c r="AW595" i="79"/>
  <c r="Z595" i="79"/>
  <c r="MG595" i="79"/>
  <c r="LJ595" i="79"/>
  <c r="KR595" i="79"/>
  <c r="JU595" i="79"/>
  <c r="IX595" i="79"/>
  <c r="IF595" i="79"/>
  <c r="HI595" i="79"/>
  <c r="GL595" i="79"/>
  <c r="FT595" i="79"/>
  <c r="EW595" i="79"/>
  <c r="DZ595" i="79"/>
  <c r="DH595" i="79"/>
  <c r="CK595" i="79"/>
  <c r="BN595" i="79"/>
  <c r="AV595" i="79"/>
  <c r="Y595" i="79"/>
  <c r="MF595" i="79"/>
  <c r="LI595" i="79"/>
  <c r="KL595" i="79"/>
  <c r="JT595" i="79"/>
  <c r="IW595" i="79"/>
  <c r="HZ595" i="79"/>
  <c r="HH595" i="79"/>
  <c r="GK595" i="79"/>
  <c r="FN595" i="79"/>
  <c r="EV595" i="79"/>
  <c r="DY595" i="79"/>
  <c r="DB595" i="79"/>
  <c r="CJ595" i="79"/>
  <c r="BM595" i="79"/>
  <c r="AP595" i="79"/>
  <c r="X595" i="79"/>
  <c r="AC587" i="79"/>
  <c r="DG587" i="79"/>
  <c r="GP587" i="79"/>
  <c r="KT587" i="79"/>
  <c r="BA587" i="79"/>
  <c r="EE587" i="79"/>
  <c r="IK587" i="79"/>
  <c r="LA595" i="79"/>
  <c r="FA603" i="79"/>
  <c r="MR611" i="79"/>
  <c r="BB587" i="79"/>
  <c r="EK587" i="79"/>
  <c r="JI587" i="79"/>
  <c r="AH595" i="79"/>
  <c r="EO595" i="79"/>
  <c r="FJ603" i="79"/>
  <c r="BI587" i="79"/>
  <c r="CX587" i="79"/>
  <c r="EM587" i="79"/>
  <c r="FJ587" i="79"/>
  <c r="GY587" i="79"/>
  <c r="HV587" i="79"/>
  <c r="JK587" i="79"/>
  <c r="KJ587" i="79"/>
  <c r="MD587" i="79"/>
  <c r="AO595" i="79"/>
  <c r="CZ595" i="79"/>
  <c r="HB595" i="79"/>
  <c r="JM595" i="79"/>
  <c r="LX595" i="79"/>
  <c r="BX603" i="79"/>
  <c r="GY603" i="79"/>
  <c r="AS587" i="79"/>
  <c r="BK587" i="79"/>
  <c r="CH587" i="79"/>
  <c r="DE587" i="79"/>
  <c r="DW587" i="79"/>
  <c r="ET587" i="79"/>
  <c r="FQ587" i="79"/>
  <c r="GI587" i="79"/>
  <c r="HF587" i="79"/>
  <c r="IC587" i="79"/>
  <c r="IU587" i="79"/>
  <c r="JR587" i="79"/>
  <c r="KR587" i="79"/>
  <c r="LL587" i="79"/>
  <c r="ML587" i="79"/>
  <c r="BF595" i="79"/>
  <c r="DQ595" i="79"/>
  <c r="FM595" i="79"/>
  <c r="HX595" i="79"/>
  <c r="KD595" i="79"/>
  <c r="LZ595" i="79"/>
  <c r="DF603" i="79"/>
  <c r="IU603" i="79"/>
  <c r="CV611" i="79"/>
  <c r="Z597" i="79"/>
  <c r="AH597" i="79"/>
  <c r="AP597" i="79"/>
  <c r="AX597" i="79"/>
  <c r="BF597" i="79"/>
  <c r="BN597" i="79"/>
  <c r="BV597" i="79"/>
  <c r="CD597" i="79"/>
  <c r="CL597" i="79"/>
  <c r="CT597" i="79"/>
  <c r="DB597" i="79"/>
  <c r="DJ597" i="79"/>
  <c r="DR597" i="79"/>
  <c r="DZ597" i="79"/>
  <c r="EH597" i="79"/>
  <c r="EP597" i="79"/>
  <c r="EX597" i="79"/>
  <c r="FF597" i="79"/>
  <c r="FN597" i="79"/>
  <c r="GL597" i="79"/>
  <c r="GT597" i="79"/>
  <c r="HB597" i="79"/>
  <c r="HJ597" i="79"/>
  <c r="HR597" i="79"/>
  <c r="LJ597" i="79"/>
  <c r="LR597" i="79"/>
  <c r="LZ597" i="79"/>
  <c r="A597" i="79"/>
  <c r="AA597" i="79"/>
  <c r="AI597" i="79"/>
  <c r="AQ597" i="79"/>
  <c r="AY597" i="79"/>
  <c r="BG597" i="79"/>
  <c r="BO597" i="79"/>
  <c r="BW597" i="79"/>
  <c r="CE597" i="79"/>
  <c r="CM597" i="79"/>
  <c r="CU597" i="79"/>
  <c r="DC597" i="79"/>
  <c r="DK597" i="79"/>
  <c r="DS597" i="79"/>
  <c r="EA597" i="79"/>
  <c r="EI597" i="79"/>
  <c r="EQ597" i="79"/>
  <c r="EY597" i="79"/>
  <c r="FG597" i="79"/>
  <c r="FO597" i="79"/>
  <c r="GM597" i="79"/>
  <c r="GU597" i="79"/>
  <c r="HC597" i="79"/>
  <c r="HK597" i="79"/>
  <c r="HS597" i="79"/>
  <c r="LK597" i="79"/>
  <c r="LS597" i="79"/>
  <c r="MA597" i="79"/>
  <c r="AB597" i="79"/>
  <c r="AJ597" i="79"/>
  <c r="AR597" i="79"/>
  <c r="AZ597" i="79"/>
  <c r="BH597" i="79"/>
  <c r="BP597" i="79"/>
  <c r="BX597" i="79"/>
  <c r="CF597" i="79"/>
  <c r="CN597" i="79"/>
  <c r="CV597" i="79"/>
  <c r="DD597" i="79"/>
  <c r="DL597" i="79"/>
  <c r="DT597" i="79"/>
  <c r="EB597" i="79"/>
  <c r="EJ597" i="79"/>
  <c r="ER597" i="79"/>
  <c r="EZ597" i="79"/>
  <c r="FH597" i="79"/>
  <c r="FP597" i="79"/>
  <c r="GF597" i="79"/>
  <c r="GN597" i="79"/>
  <c r="GV597" i="79"/>
  <c r="HD597" i="79"/>
  <c r="HL597" i="79"/>
  <c r="HT597" i="79"/>
  <c r="LL597" i="79"/>
  <c r="LT597" i="79"/>
  <c r="MB597" i="79"/>
  <c r="AC597" i="79"/>
  <c r="AK597" i="79"/>
  <c r="AS597" i="79"/>
  <c r="BA597" i="79"/>
  <c r="BI597" i="79"/>
  <c r="BQ597" i="79"/>
  <c r="BY597" i="79"/>
  <c r="CG597" i="79"/>
  <c r="CO597" i="79"/>
  <c r="CW597" i="79"/>
  <c r="DE597" i="79"/>
  <c r="DM597" i="79"/>
  <c r="DU597" i="79"/>
  <c r="EK597" i="79"/>
  <c r="ES597" i="79"/>
  <c r="FA597" i="79"/>
  <c r="FI597" i="79"/>
  <c r="FQ597" i="79"/>
  <c r="GG597" i="79"/>
  <c r="GO597" i="79"/>
  <c r="GW597" i="79"/>
  <c r="HE597" i="79"/>
  <c r="HM597" i="79"/>
  <c r="HU597" i="79"/>
  <c r="LM597" i="79"/>
  <c r="LU597" i="79"/>
  <c r="MC597" i="79"/>
  <c r="AD597" i="79"/>
  <c r="AL597" i="79"/>
  <c r="AT597" i="79"/>
  <c r="BB597" i="79"/>
  <c r="BJ597" i="79"/>
  <c r="BR597" i="79"/>
  <c r="BZ597" i="79"/>
  <c r="CH597" i="79"/>
  <c r="CP597" i="79"/>
  <c r="CX597" i="79"/>
  <c r="DF597" i="79"/>
  <c r="DN597" i="79"/>
  <c r="DV597" i="79"/>
  <c r="EL597" i="79"/>
  <c r="ET597" i="79"/>
  <c r="FB597" i="79"/>
  <c r="FJ597" i="79"/>
  <c r="FR597" i="79"/>
  <c r="GH597" i="79"/>
  <c r="GP597" i="79"/>
  <c r="GX597" i="79"/>
  <c r="HF597" i="79"/>
  <c r="HN597" i="79"/>
  <c r="HV597" i="79"/>
  <c r="LF597" i="79"/>
  <c r="LN597" i="79"/>
  <c r="LV597" i="79"/>
  <c r="MD597" i="79"/>
  <c r="W597" i="79"/>
  <c r="AE597" i="79"/>
  <c r="AM597" i="79"/>
  <c r="AU597" i="79"/>
  <c r="BC597" i="79"/>
  <c r="BK597" i="79"/>
  <c r="BS597" i="79"/>
  <c r="CA597" i="79"/>
  <c r="CI597" i="79"/>
  <c r="CQ597" i="79"/>
  <c r="CY597" i="79"/>
  <c r="DG597" i="79"/>
  <c r="DO597" i="79"/>
  <c r="DW597" i="79"/>
  <c r="EM597" i="79"/>
  <c r="EU597" i="79"/>
  <c r="FC597" i="79"/>
  <c r="FK597" i="79"/>
  <c r="FS597" i="79"/>
  <c r="GI597" i="79"/>
  <c r="GQ597" i="79"/>
  <c r="GY597" i="79"/>
  <c r="HG597" i="79"/>
  <c r="HO597" i="79"/>
  <c r="HW597" i="79"/>
  <c r="LG597" i="79"/>
  <c r="LO597" i="79"/>
  <c r="LW597" i="79"/>
  <c r="X597" i="79"/>
  <c r="AF597" i="79"/>
  <c r="AN597" i="79"/>
  <c r="AV597" i="79"/>
  <c r="BD597" i="79"/>
  <c r="BL597" i="79"/>
  <c r="BT597" i="79"/>
  <c r="CB597" i="79"/>
  <c r="CJ597" i="79"/>
  <c r="CR597" i="79"/>
  <c r="CZ597" i="79"/>
  <c r="DH597" i="79"/>
  <c r="DP597" i="79"/>
  <c r="DX597" i="79"/>
  <c r="EN597" i="79"/>
  <c r="EV597" i="79"/>
  <c r="FD597" i="79"/>
  <c r="FL597" i="79"/>
  <c r="FT597" i="79"/>
  <c r="GJ597" i="79"/>
  <c r="GR597" i="79"/>
  <c r="GZ597" i="79"/>
  <c r="HH597" i="79"/>
  <c r="HP597" i="79"/>
  <c r="HX597" i="79"/>
  <c r="LH597" i="79"/>
  <c r="LP597" i="79"/>
  <c r="G463" i="79"/>
  <c r="M423" i="79"/>
  <c r="G423" i="79"/>
  <c r="P423" i="79"/>
  <c r="S423" i="79"/>
  <c r="S410" i="79"/>
  <c r="M410" i="79"/>
  <c r="F385" i="79"/>
  <c r="P1322" i="79"/>
  <c r="P1330" i="79"/>
  <c r="R1330" i="79" s="1"/>
  <c r="P1338" i="79"/>
  <c r="R1338" i="79" s="1"/>
  <c r="P1346" i="79"/>
  <c r="R1346" i="79" s="1"/>
  <c r="P1354" i="79"/>
  <c r="R1354" i="79" s="1"/>
  <c r="P1372" i="79"/>
  <c r="R1372" i="79" s="1"/>
  <c r="P1380" i="79"/>
  <c r="R1380" i="79" s="1"/>
  <c r="P1388" i="79"/>
  <c r="R1388" i="79" s="1"/>
  <c r="P1396" i="79"/>
  <c r="R1396" i="79" s="1"/>
  <c r="P1412" i="79"/>
  <c r="R1412" i="79" s="1"/>
  <c r="P1420" i="79"/>
  <c r="R1420" i="79" s="1"/>
  <c r="P1428" i="79"/>
  <c r="R1428" i="79" s="1"/>
  <c r="P1436" i="79"/>
  <c r="R1436" i="79" s="1"/>
  <c r="P1452" i="79"/>
  <c r="R1452" i="79" s="1"/>
  <c r="P1460" i="79"/>
  <c r="R1460" i="79" s="1"/>
  <c r="P1468" i="79"/>
  <c r="R1468" i="79" s="1"/>
  <c r="P1476" i="79"/>
  <c r="R1476" i="79" s="1"/>
  <c r="P1324" i="79"/>
  <c r="R1324" i="79" s="1"/>
  <c r="P1332" i="79"/>
  <c r="R1332" i="79" s="1"/>
  <c r="P1340" i="79"/>
  <c r="R1340" i="79" s="1"/>
  <c r="P1348" i="79"/>
  <c r="R1348" i="79" s="1"/>
  <c r="P1356" i="79"/>
  <c r="R1356" i="79" s="1"/>
  <c r="P1366" i="79"/>
  <c r="P1374" i="79"/>
  <c r="R1374" i="79" s="1"/>
  <c r="P1382" i="79"/>
  <c r="R1382" i="79" s="1"/>
  <c r="P1390" i="79"/>
  <c r="R1390" i="79" s="1"/>
  <c r="P1398" i="79"/>
  <c r="R1398" i="79" s="1"/>
  <c r="P1414" i="79"/>
  <c r="R1414" i="79" s="1"/>
  <c r="P1422" i="79"/>
  <c r="R1422" i="79" s="1"/>
  <c r="P1430" i="79"/>
  <c r="R1430" i="79" s="1"/>
  <c r="P1438" i="79"/>
  <c r="R1438" i="79" s="1"/>
  <c r="P1454" i="79"/>
  <c r="R1454" i="79" s="1"/>
  <c r="P1470" i="79"/>
  <c r="R1470" i="79" s="1"/>
  <c r="M1357" i="79"/>
  <c r="Q1366" i="79"/>
  <c r="Q1401" i="79" s="1"/>
  <c r="P1376" i="79"/>
  <c r="R1376" i="79" s="1"/>
  <c r="P1384" i="79"/>
  <c r="R1384" i="79" s="1"/>
  <c r="P1392" i="79"/>
  <c r="R1392" i="79" s="1"/>
  <c r="P1400" i="79"/>
  <c r="R1400" i="79" s="1"/>
  <c r="P1416" i="79"/>
  <c r="R1416" i="79" s="1"/>
  <c r="P1424" i="79"/>
  <c r="R1424" i="79" s="1"/>
  <c r="P1432" i="79"/>
  <c r="R1432" i="79" s="1"/>
  <c r="P1165" i="79"/>
  <c r="R1165" i="79" s="1"/>
  <c r="Q1165" i="79"/>
  <c r="P1149" i="79"/>
  <c r="R1149" i="79" s="1"/>
  <c r="Q1149" i="79"/>
  <c r="M1176" i="79"/>
  <c r="Q1141" i="79"/>
  <c r="P1141" i="79"/>
  <c r="P1215" i="79"/>
  <c r="R1215" i="79" s="1"/>
  <c r="P1154" i="79"/>
  <c r="R1154" i="79" s="1"/>
  <c r="P1188" i="79"/>
  <c r="R1188" i="79" s="1"/>
  <c r="Q1191" i="79"/>
  <c r="Q1220" i="79" s="1"/>
  <c r="P1196" i="79"/>
  <c r="R1196" i="79" s="1"/>
  <c r="Q1199" i="79"/>
  <c r="P1204" i="79"/>
  <c r="R1204" i="79" s="1"/>
  <c r="Q1207" i="79"/>
  <c r="P1212" i="79"/>
  <c r="R1212" i="79" s="1"/>
  <c r="P1228" i="79"/>
  <c r="R1228" i="79" s="1"/>
  <c r="Q1231" i="79"/>
  <c r="P1236" i="79"/>
  <c r="R1236" i="79" s="1"/>
  <c r="Q1239" i="79"/>
  <c r="Q1262" i="79" s="1"/>
  <c r="Q1247" i="79"/>
  <c r="P1252" i="79"/>
  <c r="R1252" i="79" s="1"/>
  <c r="Q1255" i="79"/>
  <c r="P1260" i="79"/>
  <c r="R1260" i="79" s="1"/>
  <c r="Q1271" i="79"/>
  <c r="P1276" i="79"/>
  <c r="R1276" i="79" s="1"/>
  <c r="P1284" i="79"/>
  <c r="R1284" i="79" s="1"/>
  <c r="Q1287" i="79"/>
  <c r="P1292" i="79"/>
  <c r="R1292" i="79" s="1"/>
  <c r="Q1295" i="79"/>
  <c r="P1300" i="79"/>
  <c r="R1300" i="79" s="1"/>
  <c r="P1231" i="79"/>
  <c r="R1231" i="79" s="1"/>
  <c r="P1185" i="79"/>
  <c r="P1153" i="79"/>
  <c r="R1153" i="79" s="1"/>
  <c r="P1161" i="79"/>
  <c r="R1161" i="79" s="1"/>
  <c r="P1169" i="79"/>
  <c r="R1169" i="79" s="1"/>
  <c r="P1187" i="79"/>
  <c r="R1187" i="79" s="1"/>
  <c r="P1195" i="79"/>
  <c r="R1195" i="79" s="1"/>
  <c r="P1203" i="79"/>
  <c r="R1203" i="79" s="1"/>
  <c r="P1219" i="79"/>
  <c r="R1219" i="79" s="1"/>
  <c r="P1227" i="79"/>
  <c r="P1235" i="79"/>
  <c r="R1235" i="79" s="1"/>
  <c r="P1251" i="79"/>
  <c r="R1251" i="79" s="1"/>
  <c r="P1259" i="79"/>
  <c r="R1259" i="79" s="1"/>
  <c r="P1275" i="79"/>
  <c r="R1275" i="79" s="1"/>
  <c r="P1283" i="79"/>
  <c r="R1283" i="79" s="1"/>
  <c r="P1291" i="79"/>
  <c r="R1291" i="79" s="1"/>
  <c r="P1299" i="79"/>
  <c r="R1299" i="79" s="1"/>
  <c r="P1142" i="79"/>
  <c r="R1142" i="79" s="1"/>
  <c r="P1150" i="79"/>
  <c r="R1150" i="79" s="1"/>
  <c r="P1158" i="79"/>
  <c r="R1158" i="79" s="1"/>
  <c r="P1166" i="79"/>
  <c r="R1166" i="79" s="1"/>
  <c r="P1174" i="79"/>
  <c r="R1174" i="79" s="1"/>
  <c r="P1192" i="79"/>
  <c r="R1192" i="79" s="1"/>
  <c r="P1200" i="79"/>
  <c r="R1200" i="79" s="1"/>
  <c r="P1208" i="79"/>
  <c r="R1208" i="79" s="1"/>
  <c r="P1232" i="79"/>
  <c r="R1232" i="79" s="1"/>
  <c r="P1240" i="79"/>
  <c r="R1240" i="79" s="1"/>
  <c r="P1248" i="79"/>
  <c r="R1248" i="79" s="1"/>
  <c r="P1280" i="79"/>
  <c r="R1280" i="79" s="1"/>
  <c r="P1288" i="79"/>
  <c r="R1288" i="79" s="1"/>
  <c r="P1296" i="79"/>
  <c r="R1296" i="79" s="1"/>
  <c r="P1010" i="79"/>
  <c r="R1010" i="79" s="1"/>
  <c r="P1018" i="79"/>
  <c r="R1018" i="79" s="1"/>
  <c r="P1034" i="79"/>
  <c r="R1034" i="79" s="1"/>
  <c r="P1074" i="79"/>
  <c r="R1074" i="79" s="1"/>
  <c r="P973" i="79"/>
  <c r="R973" i="79" s="1"/>
  <c r="P989" i="79"/>
  <c r="R989" i="79" s="1"/>
  <c r="P1007" i="79"/>
  <c r="R1007" i="79" s="1"/>
  <c r="P1015" i="79"/>
  <c r="R1015" i="79" s="1"/>
  <c r="P1031" i="79"/>
  <c r="R1031" i="79" s="1"/>
  <c r="P1047" i="79"/>
  <c r="R1047" i="79" s="1"/>
  <c r="P1079" i="79"/>
  <c r="R1079" i="79" s="1"/>
  <c r="P1111" i="79"/>
  <c r="R1111" i="79" s="1"/>
  <c r="P969" i="79"/>
  <c r="R969" i="79" s="1"/>
  <c r="P985" i="79"/>
  <c r="R985" i="79" s="1"/>
  <c r="P1027" i="79"/>
  <c r="R1027" i="79" s="1"/>
  <c r="P1059" i="79"/>
  <c r="R1059" i="79" s="1"/>
  <c r="E823" i="79"/>
  <c r="F387" i="79"/>
  <c r="B394" i="79"/>
  <c r="F386" i="79"/>
  <c r="J19" i="71"/>
  <c r="M995" i="79" l="1"/>
  <c r="Q960" i="79"/>
  <c r="Q995" i="79" s="1"/>
  <c r="P960" i="79"/>
  <c r="Q1099" i="79"/>
  <c r="P1099" i="79"/>
  <c r="R1099" i="79" s="1"/>
  <c r="P1019" i="79"/>
  <c r="R1019" i="79" s="1"/>
  <c r="Q1004" i="79"/>
  <c r="Q1039" i="79" s="1"/>
  <c r="P1011" i="79"/>
  <c r="R1011" i="79" s="1"/>
  <c r="P1116" i="79"/>
  <c r="R1116" i="79" s="1"/>
  <c r="P1063" i="79"/>
  <c r="R1063" i="79" s="1"/>
  <c r="P988" i="79"/>
  <c r="R988" i="79" s="1"/>
  <c r="Q1028" i="79"/>
  <c r="M1039" i="79"/>
  <c r="P1035" i="79"/>
  <c r="R1035" i="79" s="1"/>
  <c r="P993" i="79"/>
  <c r="R993" i="79" s="1"/>
  <c r="P1119" i="79"/>
  <c r="R1119" i="79" s="1"/>
  <c r="P1066" i="79"/>
  <c r="R1066" i="79" s="1"/>
  <c r="P976" i="79"/>
  <c r="R976" i="79" s="1"/>
  <c r="P1093" i="79"/>
  <c r="R1093" i="79" s="1"/>
  <c r="P1023" i="79"/>
  <c r="R1023" i="79" s="1"/>
  <c r="P984" i="79"/>
  <c r="R984" i="79" s="1"/>
  <c r="P1055" i="79"/>
  <c r="R1055" i="79" s="1"/>
  <c r="P1026" i="79"/>
  <c r="R1026" i="79" s="1"/>
  <c r="Q978" i="79"/>
  <c r="P1095" i="79"/>
  <c r="R1095" i="79" s="1"/>
  <c r="P1065" i="79"/>
  <c r="R1065" i="79" s="1"/>
  <c r="P1109" i="79"/>
  <c r="R1109" i="79" s="1"/>
  <c r="Q1323" i="79"/>
  <c r="P1323" i="79"/>
  <c r="R1323" i="79" s="1"/>
  <c r="P972" i="79"/>
  <c r="R972" i="79" s="1"/>
  <c r="Q1278" i="79"/>
  <c r="Q1482" i="79"/>
  <c r="P1289" i="79"/>
  <c r="R1289" i="79" s="1"/>
  <c r="Q1297" i="79"/>
  <c r="I1123" i="79"/>
  <c r="G1123" i="79"/>
  <c r="Q1351" i="79"/>
  <c r="P1351" i="79"/>
  <c r="R1351" i="79" s="1"/>
  <c r="Q1075" i="79"/>
  <c r="P1075" i="79"/>
  <c r="R1075" i="79" s="1"/>
  <c r="E1123" i="79"/>
  <c r="I1485" i="79"/>
  <c r="F1304" i="79"/>
  <c r="G477" i="79"/>
  <c r="Q964" i="79"/>
  <c r="Q980" i="79"/>
  <c r="P1467" i="79"/>
  <c r="R1467" i="79" s="1"/>
  <c r="Q1107" i="79"/>
  <c r="P1107" i="79"/>
  <c r="R1107" i="79" s="1"/>
  <c r="Q1073" i="79"/>
  <c r="P1073" i="79"/>
  <c r="R1073" i="79" s="1"/>
  <c r="Q968" i="79"/>
  <c r="P968" i="79"/>
  <c r="R968" i="79" s="1"/>
  <c r="Q1202" i="79"/>
  <c r="P1202" i="79"/>
  <c r="R1202" i="79" s="1"/>
  <c r="Q1427" i="79"/>
  <c r="P1427" i="79"/>
  <c r="R1427" i="79" s="1"/>
  <c r="P1201" i="79"/>
  <c r="R1201" i="79" s="1"/>
  <c r="Q1201" i="79"/>
  <c r="P961" i="79"/>
  <c r="R961" i="79" s="1"/>
  <c r="P1256" i="79"/>
  <c r="R1256" i="79" s="1"/>
  <c r="Q1173" i="79"/>
  <c r="P1033" i="79"/>
  <c r="R1033" i="79" s="1"/>
  <c r="P983" i="79"/>
  <c r="R983" i="79" s="1"/>
  <c r="P1249" i="79"/>
  <c r="R1249" i="79" s="1"/>
  <c r="P1345" i="79"/>
  <c r="R1345" i="79" s="1"/>
  <c r="K1304" i="79"/>
  <c r="P477" i="79"/>
  <c r="P494" i="79" s="1"/>
  <c r="P496" i="79" s="1"/>
  <c r="P498" i="79" s="1"/>
  <c r="Q1371" i="79"/>
  <c r="E1485" i="79"/>
  <c r="Q1451" i="79"/>
  <c r="P1244" i="79"/>
  <c r="R1244" i="79" s="1"/>
  <c r="P1216" i="79"/>
  <c r="R1216" i="79" s="1"/>
  <c r="Q1279" i="79"/>
  <c r="F1485" i="79"/>
  <c r="P1367" i="79"/>
  <c r="R1367" i="79" s="1"/>
  <c r="P1017" i="79"/>
  <c r="R1017" i="79" s="1"/>
  <c r="P1464" i="79"/>
  <c r="R1464" i="79" s="1"/>
  <c r="M1483" i="79"/>
  <c r="P1071" i="79"/>
  <c r="R1071" i="79" s="1"/>
  <c r="P1211" i="79"/>
  <c r="R1211" i="79" s="1"/>
  <c r="P1097" i="79"/>
  <c r="R1097" i="79" s="1"/>
  <c r="Q1441" i="79"/>
  <c r="H1123" i="79"/>
  <c r="Q1328" i="79"/>
  <c r="P1328" i="79"/>
  <c r="R1328" i="79" s="1"/>
  <c r="Q1342" i="79"/>
  <c r="P1342" i="79"/>
  <c r="R1342" i="79" s="1"/>
  <c r="Q1058" i="79"/>
  <c r="P1058" i="79"/>
  <c r="R1058" i="79" s="1"/>
  <c r="Q1210" i="79"/>
  <c r="P1210" i="79"/>
  <c r="R1210" i="79" s="1"/>
  <c r="P1020" i="79"/>
  <c r="R1020" i="79" s="1"/>
  <c r="Q1020" i="79"/>
  <c r="Q1050" i="79"/>
  <c r="P1050" i="79"/>
  <c r="R1050" i="79" s="1"/>
  <c r="Q1475" i="79"/>
  <c r="P1475" i="79"/>
  <c r="R1475" i="79" s="1"/>
  <c r="Q992" i="79"/>
  <c r="P992" i="79"/>
  <c r="R992" i="79" s="1"/>
  <c r="P1381" i="79"/>
  <c r="R1381" i="79" s="1"/>
  <c r="Q1381" i="79"/>
  <c r="P1290" i="79"/>
  <c r="R1290" i="79" s="1"/>
  <c r="P1417" i="79"/>
  <c r="R1417" i="79" s="1"/>
  <c r="P1479" i="79"/>
  <c r="R1479" i="79" s="1"/>
  <c r="Q1387" i="79"/>
  <c r="P1387" i="79"/>
  <c r="R1387" i="79" s="1"/>
  <c r="P1067" i="79"/>
  <c r="R1067" i="79" s="1"/>
  <c r="P1440" i="79"/>
  <c r="R1440" i="79" s="1"/>
  <c r="Q1102" i="79"/>
  <c r="P1349" i="79"/>
  <c r="R1349" i="79" s="1"/>
  <c r="P1353" i="79"/>
  <c r="R1353" i="79" s="1"/>
  <c r="K1485" i="79"/>
  <c r="J477" i="79"/>
  <c r="J494" i="79" s="1"/>
  <c r="J496" i="79" s="1"/>
  <c r="J498" i="79" s="1"/>
  <c r="P977" i="79"/>
  <c r="R977" i="79" s="1"/>
  <c r="Q994" i="79"/>
  <c r="Q1089" i="79"/>
  <c r="Q1258" i="79"/>
  <c r="I1304" i="79"/>
  <c r="P1329" i="79"/>
  <c r="R1329" i="79" s="1"/>
  <c r="Q1329" i="79"/>
  <c r="P1103" i="79"/>
  <c r="R1103" i="79" s="1"/>
  <c r="Q1157" i="79"/>
  <c r="P1051" i="79"/>
  <c r="R1051" i="79" s="1"/>
  <c r="P1078" i="79"/>
  <c r="R1078" i="79" s="1"/>
  <c r="Q1120" i="79"/>
  <c r="Q1104" i="79"/>
  <c r="Q1286" i="79"/>
  <c r="Q1437" i="79"/>
  <c r="Q1151" i="79"/>
  <c r="P1272" i="79"/>
  <c r="R1272" i="79" s="1"/>
  <c r="M477" i="79"/>
  <c r="M494" i="79" s="1"/>
  <c r="M496" i="79" s="1"/>
  <c r="M498" i="79" s="1"/>
  <c r="P1478" i="79"/>
  <c r="R1478" i="79" s="1"/>
  <c r="P975" i="79"/>
  <c r="R975" i="79" s="1"/>
  <c r="P1070" i="79"/>
  <c r="R1070" i="79" s="1"/>
  <c r="P1110" i="79"/>
  <c r="R1110" i="79" s="1"/>
  <c r="P1160" i="79"/>
  <c r="R1160" i="79" s="1"/>
  <c r="P1273" i="79"/>
  <c r="R1273" i="79" s="1"/>
  <c r="P1463" i="79"/>
  <c r="R1463" i="79" s="1"/>
  <c r="P1408" i="79"/>
  <c r="R1408" i="79" s="1"/>
  <c r="R1443" i="79" s="1"/>
  <c r="P1459" i="79"/>
  <c r="R1459" i="79" s="1"/>
  <c r="F1123" i="79"/>
  <c r="P965" i="79"/>
  <c r="R965" i="79" s="1"/>
  <c r="P1243" i="79"/>
  <c r="R1243" i="79" s="1"/>
  <c r="P1462" i="79"/>
  <c r="R1462" i="79" s="1"/>
  <c r="P1062" i="79"/>
  <c r="R1062" i="79" s="1"/>
  <c r="Q1061" i="79"/>
  <c r="P1061" i="79"/>
  <c r="R1061" i="79" s="1"/>
  <c r="MI619" i="79"/>
  <c r="LA619" i="79"/>
  <c r="J694" i="79" s="1"/>
  <c r="JO619" i="79"/>
  <c r="L698" i="79" s="1"/>
  <c r="JS619" i="79"/>
  <c r="K687" i="79" s="1"/>
  <c r="IH619" i="79"/>
  <c r="N695" i="79" s="1"/>
  <c r="AP619" i="79"/>
  <c r="N630" i="79" s="1"/>
  <c r="Q1162" i="79"/>
  <c r="P1162" i="79"/>
  <c r="R1162" i="79" s="1"/>
  <c r="S477" i="79"/>
  <c r="MC619" i="79"/>
  <c r="KA619" i="79"/>
  <c r="N688" i="79" s="1"/>
  <c r="K1123" i="79"/>
  <c r="Q1118" i="79"/>
  <c r="P1113" i="79"/>
  <c r="R1113" i="79" s="1"/>
  <c r="Q1425" i="79"/>
  <c r="Q1471" i="79"/>
  <c r="P981" i="79"/>
  <c r="R981" i="79" s="1"/>
  <c r="LT619" i="79"/>
  <c r="Q1054" i="79"/>
  <c r="KF619" i="79"/>
  <c r="N689" i="79" s="1"/>
  <c r="Q1096" i="79"/>
  <c r="P1094" i="79"/>
  <c r="R1094" i="79" s="1"/>
  <c r="Q1450" i="79"/>
  <c r="Q1483" i="79" s="1"/>
  <c r="Q1485" i="79" s="1"/>
  <c r="P1435" i="79"/>
  <c r="R1435" i="79" s="1"/>
  <c r="P1473" i="79"/>
  <c r="R1473" i="79" s="1"/>
  <c r="MF619" i="79"/>
  <c r="P1088" i="79"/>
  <c r="R1088" i="79" s="1"/>
  <c r="G1304" i="79"/>
  <c r="P1145" i="79"/>
  <c r="R1145" i="79" s="1"/>
  <c r="KJ619" i="79"/>
  <c r="M690" i="79" s="1"/>
  <c r="GK619" i="79"/>
  <c r="J673" i="79" s="1"/>
  <c r="IM619" i="79"/>
  <c r="N696" i="79" s="1"/>
  <c r="IV619" i="79"/>
  <c r="M702" i="79" s="1"/>
  <c r="AA619" i="79"/>
  <c r="N627" i="79" s="1"/>
  <c r="HK619" i="79"/>
  <c r="K678" i="79" s="1"/>
  <c r="Q1472" i="79"/>
  <c r="P1472" i="79"/>
  <c r="R1472" i="79" s="1"/>
  <c r="Q1456" i="79"/>
  <c r="P1456" i="79"/>
  <c r="R1456" i="79" s="1"/>
  <c r="Q1474" i="79"/>
  <c r="P1474" i="79"/>
  <c r="R1474" i="79" s="1"/>
  <c r="P1466" i="79"/>
  <c r="R1466" i="79" s="1"/>
  <c r="Q1466" i="79"/>
  <c r="Q1480" i="79"/>
  <c r="P1480" i="79"/>
  <c r="R1480" i="79" s="1"/>
  <c r="Q1457" i="79"/>
  <c r="P1457" i="79"/>
  <c r="R1457" i="79" s="1"/>
  <c r="Q1481" i="79"/>
  <c r="P1481" i="79"/>
  <c r="R1481" i="79" s="1"/>
  <c r="Q1465" i="79"/>
  <c r="P1465" i="79"/>
  <c r="R1465" i="79" s="1"/>
  <c r="Q1455" i="79"/>
  <c r="P1455" i="79"/>
  <c r="R1455" i="79" s="1"/>
  <c r="Q1458" i="79"/>
  <c r="P1458" i="79"/>
  <c r="R1458" i="79" s="1"/>
  <c r="P1410" i="79"/>
  <c r="R1410" i="79" s="1"/>
  <c r="Q1410" i="79"/>
  <c r="Q1426" i="79"/>
  <c r="P1426" i="79"/>
  <c r="R1426" i="79" s="1"/>
  <c r="Q1442" i="79"/>
  <c r="P1442" i="79"/>
  <c r="R1442" i="79" s="1"/>
  <c r="P1434" i="79"/>
  <c r="R1434" i="79" s="1"/>
  <c r="Q1434" i="79"/>
  <c r="Q1419" i="79"/>
  <c r="P1419" i="79"/>
  <c r="R1419" i="79" s="1"/>
  <c r="M1443" i="79"/>
  <c r="P1413" i="79"/>
  <c r="R1413" i="79" s="1"/>
  <c r="Q1413" i="79"/>
  <c r="Q1418" i="79"/>
  <c r="P1418" i="79"/>
  <c r="R1418" i="79" s="1"/>
  <c r="Q1411" i="79"/>
  <c r="P1411" i="79"/>
  <c r="R1411" i="79" s="1"/>
  <c r="P1294" i="79"/>
  <c r="R1294" i="79" s="1"/>
  <c r="Q1294" i="79"/>
  <c r="Q1270" i="79"/>
  <c r="P1270" i="79"/>
  <c r="R1270" i="79" s="1"/>
  <c r="P1269" i="79"/>
  <c r="R1269" i="79" s="1"/>
  <c r="M1302" i="79"/>
  <c r="Q1269" i="79"/>
  <c r="P1285" i="79"/>
  <c r="R1285" i="79" s="1"/>
  <c r="Q1285" i="79"/>
  <c r="P1293" i="79"/>
  <c r="R1293" i="79" s="1"/>
  <c r="Q1293" i="79"/>
  <c r="P1301" i="79"/>
  <c r="R1301" i="79" s="1"/>
  <c r="Q1301" i="79"/>
  <c r="P1277" i="79"/>
  <c r="R1277" i="79" s="1"/>
  <c r="R1302" i="79" s="1"/>
  <c r="Q1277" i="79"/>
  <c r="P1261" i="79"/>
  <c r="R1261" i="79" s="1"/>
  <c r="Q1261" i="79"/>
  <c r="P1245" i="79"/>
  <c r="R1245" i="79" s="1"/>
  <c r="Q1245" i="79"/>
  <c r="P1237" i="79"/>
  <c r="R1237" i="79" s="1"/>
  <c r="Q1237" i="79"/>
  <c r="Q1246" i="79"/>
  <c r="P1246" i="79"/>
  <c r="R1246" i="79" s="1"/>
  <c r="Q1238" i="79"/>
  <c r="P1238" i="79"/>
  <c r="R1238" i="79" s="1"/>
  <c r="Q1230" i="79"/>
  <c r="P1230" i="79"/>
  <c r="R1230" i="79" s="1"/>
  <c r="P1253" i="79"/>
  <c r="R1253" i="79" s="1"/>
  <c r="Q1253" i="79"/>
  <c r="M1262" i="79"/>
  <c r="Q1254" i="79"/>
  <c r="P1254" i="79"/>
  <c r="R1254" i="79" s="1"/>
  <c r="P1229" i="79"/>
  <c r="R1229" i="79" s="1"/>
  <c r="Q1229" i="79"/>
  <c r="E1304" i="79"/>
  <c r="P1171" i="79"/>
  <c r="R1171" i="79" s="1"/>
  <c r="Q1171" i="79"/>
  <c r="Q1170" i="79"/>
  <c r="P1170" i="79"/>
  <c r="R1170" i="79" s="1"/>
  <c r="P1147" i="79"/>
  <c r="R1147" i="79" s="1"/>
  <c r="Q1147" i="79"/>
  <c r="Q1146" i="79"/>
  <c r="P1146" i="79"/>
  <c r="R1146" i="79" s="1"/>
  <c r="P1155" i="79"/>
  <c r="R1155" i="79" s="1"/>
  <c r="Q1155" i="79"/>
  <c r="Q1144" i="79"/>
  <c r="P1144" i="79"/>
  <c r="R1144" i="79" s="1"/>
  <c r="Q1098" i="79"/>
  <c r="P1098" i="79"/>
  <c r="R1098" i="79" s="1"/>
  <c r="P1091" i="79"/>
  <c r="R1091" i="79" s="1"/>
  <c r="M1121" i="79"/>
  <c r="Q1115" i="79"/>
  <c r="P1115" i="79"/>
  <c r="R1115" i="79" s="1"/>
  <c r="Q1106" i="79"/>
  <c r="P1106" i="79"/>
  <c r="R1106" i="79" s="1"/>
  <c r="Q1090" i="79"/>
  <c r="Q1121" i="79" s="1"/>
  <c r="P1090" i="79"/>
  <c r="R1090" i="79" s="1"/>
  <c r="P1114" i="79"/>
  <c r="R1114" i="79" s="1"/>
  <c r="P1048" i="79"/>
  <c r="R1048" i="79" s="1"/>
  <c r="Q1048" i="79"/>
  <c r="P1057" i="79"/>
  <c r="R1057" i="79" s="1"/>
  <c r="Q1057" i="79"/>
  <c r="P1056" i="79"/>
  <c r="R1056" i="79" s="1"/>
  <c r="Q1056" i="79"/>
  <c r="P1064" i="79"/>
  <c r="R1064" i="79" s="1"/>
  <c r="Q1064" i="79"/>
  <c r="P1080" i="79"/>
  <c r="R1080" i="79" s="1"/>
  <c r="Q1080" i="79"/>
  <c r="Q1046" i="79"/>
  <c r="Q1081" i="79" s="1"/>
  <c r="P1046" i="79"/>
  <c r="R1046" i="79" s="1"/>
  <c r="R1081" i="79" s="1"/>
  <c r="M1081" i="79"/>
  <c r="P1072" i="79"/>
  <c r="R1072" i="79" s="1"/>
  <c r="Q1072" i="79"/>
  <c r="Q1049" i="79"/>
  <c r="P1049" i="79"/>
  <c r="R1049" i="79" s="1"/>
  <c r="P982" i="79"/>
  <c r="R982" i="79" s="1"/>
  <c r="Q982" i="79"/>
  <c r="Q991" i="79"/>
  <c r="P991" i="79"/>
  <c r="R991" i="79" s="1"/>
  <c r="P974" i="79"/>
  <c r="R974" i="79" s="1"/>
  <c r="Q974" i="79"/>
  <c r="P990" i="79"/>
  <c r="R990" i="79" s="1"/>
  <c r="Q990" i="79"/>
  <c r="Q967" i="79"/>
  <c r="P967" i="79"/>
  <c r="R967" i="79" s="1"/>
  <c r="P966" i="79"/>
  <c r="R966" i="79" s="1"/>
  <c r="Q966" i="79"/>
  <c r="HJ619" i="79"/>
  <c r="J678" i="79" s="1"/>
  <c r="HO619" i="79"/>
  <c r="J679" i="79" s="1"/>
  <c r="HN619" i="79"/>
  <c r="N678" i="79" s="1"/>
  <c r="AI619" i="79"/>
  <c r="L629" i="79" s="1"/>
  <c r="GA619" i="79"/>
  <c r="J726" i="79" s="1"/>
  <c r="JT619" i="79"/>
  <c r="L687" i="79" s="1"/>
  <c r="BU619" i="79"/>
  <c r="J656" i="79" s="1"/>
  <c r="GS619" i="79"/>
  <c r="KI619" i="79"/>
  <c r="L690" i="79" s="1"/>
  <c r="BM619" i="79"/>
  <c r="L658" i="79" s="1"/>
  <c r="BX619" i="79"/>
  <c r="M656" i="79" s="1"/>
  <c r="GY619" i="79"/>
  <c r="N675" i="79" s="1"/>
  <c r="LN619" i="79"/>
  <c r="DU619" i="79"/>
  <c r="L664" i="79" s="1"/>
  <c r="DH619" i="79"/>
  <c r="N667" i="79" s="1"/>
  <c r="JU619" i="79"/>
  <c r="M687" i="79" s="1"/>
  <c r="JB619" i="79"/>
  <c r="N699" i="79" s="1"/>
  <c r="DN619" i="79"/>
  <c r="J665" i="79" s="1"/>
  <c r="KQ619" i="79"/>
  <c r="J692" i="79" s="1"/>
  <c r="J711" i="79" s="1"/>
  <c r="GP619" i="79"/>
  <c r="IB619" i="79"/>
  <c r="AM619" i="79"/>
  <c r="K630" i="79" s="1"/>
  <c r="EY619" i="79"/>
  <c r="L719" i="79" s="1"/>
  <c r="CM619" i="79"/>
  <c r="M653" i="79" s="1"/>
  <c r="EW619" i="79"/>
  <c r="J719" i="79" s="1"/>
  <c r="IJ619" i="79"/>
  <c r="K696" i="79" s="1"/>
  <c r="LZ619" i="79"/>
  <c r="AU619" i="79"/>
  <c r="N631" i="79" s="1"/>
  <c r="JY619" i="79"/>
  <c r="L688" i="79" s="1"/>
  <c r="JG619" i="79"/>
  <c r="N700" i="79" s="1"/>
  <c r="HW619" i="79"/>
  <c r="GJ619" i="79"/>
  <c r="N672" i="79" s="1"/>
  <c r="DY619" i="79"/>
  <c r="K663" i="79" s="1"/>
  <c r="HV619" i="79"/>
  <c r="AT619" i="79"/>
  <c r="M631" i="79" s="1"/>
  <c r="HE619" i="79"/>
  <c r="FH619" i="79"/>
  <c r="K721" i="79" s="1"/>
  <c r="CV619" i="79"/>
  <c r="L669" i="79" s="1"/>
  <c r="AJ619" i="79"/>
  <c r="M629" i="79" s="1"/>
  <c r="GU619" i="79"/>
  <c r="J675" i="79" s="1"/>
  <c r="EC619" i="79"/>
  <c r="J637" i="79" s="1"/>
  <c r="X619" i="79"/>
  <c r="K627" i="79" s="1"/>
  <c r="BC619" i="79"/>
  <c r="L633" i="79" s="1"/>
  <c r="LF619" i="79"/>
  <c r="GO619" i="79"/>
  <c r="N673" i="79" s="1"/>
  <c r="CF619" i="79"/>
  <c r="K654" i="79" s="1"/>
  <c r="MA619" i="79"/>
  <c r="DQ619" i="79"/>
  <c r="M665" i="79" s="1"/>
  <c r="AS619" i="79"/>
  <c r="L631" i="79" s="1"/>
  <c r="MD619" i="79"/>
  <c r="DG619" i="79"/>
  <c r="M667" i="79" s="1"/>
  <c r="LI619" i="79"/>
  <c r="LQ619" i="79"/>
  <c r="KZ619" i="79"/>
  <c r="N693" i="79" s="1"/>
  <c r="EA619" i="79"/>
  <c r="M663" i="79" s="1"/>
  <c r="IY619" i="79"/>
  <c r="K699" i="79" s="1"/>
  <c r="AZ619" i="79"/>
  <c r="N632" i="79" s="1"/>
  <c r="DL619" i="79"/>
  <c r="M666" i="79" s="1"/>
  <c r="FX619" i="79"/>
  <c r="KV619" i="79"/>
  <c r="J693" i="79" s="1"/>
  <c r="AK619" i="79"/>
  <c r="N629" i="79" s="1"/>
  <c r="CW619" i="79"/>
  <c r="M669" i="79" s="1"/>
  <c r="HU619" i="79"/>
  <c r="KG619" i="79"/>
  <c r="J690" i="79" s="1"/>
  <c r="CH619" i="79"/>
  <c r="M654" i="79" s="1"/>
  <c r="EE619" i="79"/>
  <c r="L637" i="79" s="1"/>
  <c r="IT619" i="79"/>
  <c r="K702" i="79" s="1"/>
  <c r="BE619" i="79"/>
  <c r="N633" i="79" s="1"/>
  <c r="LB619" i="79"/>
  <c r="K694" i="79" s="1"/>
  <c r="IL619" i="79"/>
  <c r="M696" i="79" s="1"/>
  <c r="MG619" i="79"/>
  <c r="DZ619" i="79"/>
  <c r="L663" i="79" s="1"/>
  <c r="IX619" i="79"/>
  <c r="J699" i="79" s="1"/>
  <c r="IQ619" i="79"/>
  <c r="M701" i="79" s="1"/>
  <c r="BF619" i="79"/>
  <c r="J635" i="79" s="1"/>
  <c r="MH619" i="79"/>
  <c r="BW619" i="79"/>
  <c r="L656" i="79" s="1"/>
  <c r="LS619" i="79"/>
  <c r="IR619" i="79"/>
  <c r="N701" i="79" s="1"/>
  <c r="KO619" i="79"/>
  <c r="M691" i="79" s="1"/>
  <c r="M710" i="79" s="1"/>
  <c r="BJ619" i="79"/>
  <c r="N635" i="79" s="1"/>
  <c r="DD619" i="79"/>
  <c r="J667" i="79" s="1"/>
  <c r="BZ619" i="79"/>
  <c r="J655" i="79" s="1"/>
  <c r="GI619" i="79"/>
  <c r="M672" i="79" s="1"/>
  <c r="AV619" i="79"/>
  <c r="J632" i="79" s="1"/>
  <c r="IF619" i="79"/>
  <c r="L695" i="79" s="1"/>
  <c r="KR619" i="79"/>
  <c r="K692" i="79" s="1"/>
  <c r="K711" i="79" s="1"/>
  <c r="AG619" i="79"/>
  <c r="J629" i="79" s="1"/>
  <c r="HQ619" i="79"/>
  <c r="L679" i="79" s="1"/>
  <c r="KC619" i="79"/>
  <c r="K689" i="79" s="1"/>
  <c r="JF619" i="79"/>
  <c r="M700" i="79" s="1"/>
  <c r="CQ619" i="79"/>
  <c r="L652" i="79" s="1"/>
  <c r="KL619" i="79"/>
  <c r="J691" i="79" s="1"/>
  <c r="J710" i="79" s="1"/>
  <c r="HI619" i="79"/>
  <c r="BO619" i="79"/>
  <c r="N658" i="79" s="1"/>
  <c r="GF619" i="79"/>
  <c r="J672" i="79" s="1"/>
  <c r="HD619" i="79"/>
  <c r="N676" i="79" s="1"/>
  <c r="KW619" i="79"/>
  <c r="K693" i="79" s="1"/>
  <c r="KH619" i="79"/>
  <c r="K690" i="79" s="1"/>
  <c r="DX619" i="79"/>
  <c r="J663" i="79" s="1"/>
  <c r="BL619" i="79"/>
  <c r="K658" i="79" s="1"/>
  <c r="DJ619" i="79"/>
  <c r="K666" i="79" s="1"/>
  <c r="AX619" i="79"/>
  <c r="L632" i="79" s="1"/>
  <c r="IK619" i="79"/>
  <c r="L696" i="79" s="1"/>
  <c r="JW619" i="79"/>
  <c r="J688" i="79" s="1"/>
  <c r="ID619" i="79"/>
  <c r="J695" i="79" s="1"/>
  <c r="BR619" i="79"/>
  <c r="L657" i="79" s="1"/>
  <c r="AR619" i="79"/>
  <c r="K631" i="79" s="1"/>
  <c r="KY619" i="79"/>
  <c r="M693" i="79" s="1"/>
  <c r="MM619" i="79"/>
  <c r="KT619" i="79"/>
  <c r="M692" i="79" s="1"/>
  <c r="M711" i="79" s="1"/>
  <c r="JL619" i="79"/>
  <c r="N697" i="79" s="1"/>
  <c r="FY619" i="79"/>
  <c r="LC619" i="79"/>
  <c r="L694" i="79" s="1"/>
  <c r="KB619" i="79"/>
  <c r="J689" i="79" s="1"/>
  <c r="IG619" i="79"/>
  <c r="M695" i="79" s="1"/>
  <c r="FG619" i="79"/>
  <c r="J721" i="79" s="1"/>
  <c r="JA619" i="79"/>
  <c r="M699" i="79" s="1"/>
  <c r="KX619" i="79"/>
  <c r="L693" i="79" s="1"/>
  <c r="DP619" i="79"/>
  <c r="L665" i="79" s="1"/>
  <c r="BB619" i="79"/>
  <c r="K633" i="79" s="1"/>
  <c r="KD619" i="79"/>
  <c r="L689" i="79" s="1"/>
  <c r="JI619" i="79"/>
  <c r="K697" i="79" s="1"/>
  <c r="CJ619" i="79"/>
  <c r="J653" i="79" s="1"/>
  <c r="IW619" i="79"/>
  <c r="N702" i="79" s="1"/>
  <c r="IA619" i="79"/>
  <c r="CZ619" i="79"/>
  <c r="K668" i="79" s="1"/>
  <c r="AN619" i="79"/>
  <c r="L630" i="79" s="1"/>
  <c r="GH619" i="79"/>
  <c r="L672" i="79" s="1"/>
  <c r="DF619" i="79"/>
  <c r="L667" i="79" s="1"/>
  <c r="EK619" i="79"/>
  <c r="M716" i="79" s="1"/>
  <c r="BQ619" i="79"/>
  <c r="K657" i="79" s="1"/>
  <c r="DS619" i="79"/>
  <c r="J664" i="79" s="1"/>
  <c r="BG619" i="79"/>
  <c r="K635" i="79" s="1"/>
  <c r="EM619" i="79"/>
  <c r="J717" i="79" s="1"/>
  <c r="FK619" i="79"/>
  <c r="N721" i="79" s="1"/>
  <c r="EP619" i="79"/>
  <c r="M717" i="79" s="1"/>
  <c r="EV619" i="79"/>
  <c r="N718" i="79" s="1"/>
  <c r="EH619" i="79"/>
  <c r="J716" i="79" s="1"/>
  <c r="LK619" i="79"/>
  <c r="FT619" i="79"/>
  <c r="M724" i="79" s="1"/>
  <c r="EI619" i="79"/>
  <c r="K716" i="79" s="1"/>
  <c r="FQ619" i="79"/>
  <c r="J724" i="79" s="1"/>
  <c r="FE619" i="79"/>
  <c r="M720" i="79" s="1"/>
  <c r="EO619" i="79"/>
  <c r="L717" i="79" s="1"/>
  <c r="GE619" i="79"/>
  <c r="N726" i="79" s="1"/>
  <c r="FC619" i="79"/>
  <c r="K720" i="79" s="1"/>
  <c r="FZ619" i="79"/>
  <c r="JJ619" i="79"/>
  <c r="L697" i="79" s="1"/>
  <c r="HX619" i="79"/>
  <c r="CP619" i="79"/>
  <c r="K652" i="79" s="1"/>
  <c r="AD619" i="79"/>
  <c r="L628" i="79" s="1"/>
  <c r="BA619" i="79"/>
  <c r="J633" i="79" s="1"/>
  <c r="ER619" i="79"/>
  <c r="J718" i="79" s="1"/>
  <c r="FO619" i="79"/>
  <c r="M722" i="79" s="1"/>
  <c r="DC619" i="79"/>
  <c r="N668" i="79" s="1"/>
  <c r="AQ619" i="79"/>
  <c r="J631" i="79" s="1"/>
  <c r="IU619" i="79"/>
  <c r="L702" i="79" s="1"/>
  <c r="ML619" i="79"/>
  <c r="JK619" i="79"/>
  <c r="M697" i="79" s="1"/>
  <c r="M708" i="79" s="1"/>
  <c r="Y619" i="79"/>
  <c r="L627" i="79" s="1"/>
  <c r="GL619" i="79"/>
  <c r="K673" i="79" s="1"/>
  <c r="MO619" i="79"/>
  <c r="BP619" i="79"/>
  <c r="J657" i="79" s="1"/>
  <c r="EB619" i="79"/>
  <c r="N663" i="79" s="1"/>
  <c r="IZ619" i="79"/>
  <c r="L699" i="79" s="1"/>
  <c r="LL619" i="79"/>
  <c r="FJ619" i="79"/>
  <c r="M721" i="79" s="1"/>
  <c r="W619" i="79"/>
  <c r="J627" i="79" s="1"/>
  <c r="CI619" i="79"/>
  <c r="N654" i="79" s="1"/>
  <c r="EU619" i="79"/>
  <c r="M718" i="79" s="1"/>
  <c r="HG619" i="79"/>
  <c r="AE619" i="79"/>
  <c r="M628" i="79" s="1"/>
  <c r="KK619" i="79"/>
  <c r="N690" i="79" s="1"/>
  <c r="BS619" i="79"/>
  <c r="M657" i="79" s="1"/>
  <c r="LH619" i="79"/>
  <c r="HP619" i="79"/>
  <c r="K679" i="79" s="1"/>
  <c r="LW619" i="79"/>
  <c r="GG619" i="79"/>
  <c r="K672" i="79" s="1"/>
  <c r="BN619" i="79"/>
  <c r="M658" i="79" s="1"/>
  <c r="ET619" i="79"/>
  <c r="L718" i="79" s="1"/>
  <c r="HH619" i="79"/>
  <c r="KP619" i="79"/>
  <c r="N691" i="79" s="1"/>
  <c r="N710" i="79" s="1"/>
  <c r="CC619" i="79"/>
  <c r="M655" i="79" s="1"/>
  <c r="BD619" i="79"/>
  <c r="M633" i="79" s="1"/>
  <c r="GB619" i="79"/>
  <c r="K726" i="79" s="1"/>
  <c r="IN619" i="79"/>
  <c r="J701" i="79" s="1"/>
  <c r="LD619" i="79"/>
  <c r="M694" i="79" s="1"/>
  <c r="AO619" i="79"/>
  <c r="M630" i="79" s="1"/>
  <c r="DA619" i="79"/>
  <c r="L668" i="79" s="1"/>
  <c r="FM619" i="79"/>
  <c r="K722" i="79" s="1"/>
  <c r="HY619" i="79"/>
  <c r="KM619" i="79"/>
  <c r="K691" i="79" s="1"/>
  <c r="K710" i="79" s="1"/>
  <c r="Z619" i="79"/>
  <c r="M627" i="79" s="1"/>
  <c r="CL619" i="79"/>
  <c r="L653" i="79" s="1"/>
  <c r="EX619" i="79"/>
  <c r="K719" i="79" s="1"/>
  <c r="JV619" i="79"/>
  <c r="N687" i="79" s="1"/>
  <c r="MQ619" i="79"/>
  <c r="HC619" i="79"/>
  <c r="M676" i="79" s="1"/>
  <c r="EJ619" i="79"/>
  <c r="L716" i="79" s="1"/>
  <c r="GV619" i="79"/>
  <c r="K675" i="79" s="1"/>
  <c r="JH619" i="79"/>
  <c r="J697" i="79" s="1"/>
  <c r="LO619" i="79"/>
  <c r="HR619" i="79"/>
  <c r="M679" i="79" s="1"/>
  <c r="JP619" i="79"/>
  <c r="M698" i="79" s="1"/>
  <c r="MK619" i="79"/>
  <c r="CT619" i="79"/>
  <c r="J669" i="79" s="1"/>
  <c r="GX619" i="79"/>
  <c r="M675" i="79" s="1"/>
  <c r="LM619" i="79"/>
  <c r="DT619" i="79"/>
  <c r="K664" i="79" s="1"/>
  <c r="DE619" i="79"/>
  <c r="K667" i="79" s="1"/>
  <c r="CK619" i="79"/>
  <c r="K653" i="79" s="1"/>
  <c r="JE619" i="79"/>
  <c r="L700" i="79" s="1"/>
  <c r="BV619" i="79"/>
  <c r="K656" i="79" s="1"/>
  <c r="BY619" i="79"/>
  <c r="N656" i="79" s="1"/>
  <c r="DV619" i="79"/>
  <c r="M664" i="79" s="1"/>
  <c r="IE619" i="79"/>
  <c r="K695" i="79" s="1"/>
  <c r="FF619" i="79"/>
  <c r="N720" i="79" s="1"/>
  <c r="HM619" i="79"/>
  <c r="M678" i="79" s="1"/>
  <c r="AH619" i="79"/>
  <c r="K629" i="79" s="1"/>
  <c r="CA619" i="79"/>
  <c r="K655" i="79" s="1"/>
  <c r="FP619" i="79"/>
  <c r="N722" i="79" s="1"/>
  <c r="DI619" i="79"/>
  <c r="J666" i="79" s="1"/>
  <c r="ES619" i="79"/>
  <c r="K718" i="79" s="1"/>
  <c r="MP619" i="79"/>
  <c r="GT619" i="79"/>
  <c r="CB619" i="79"/>
  <c r="L655" i="79" s="1"/>
  <c r="EN619" i="79"/>
  <c r="K717" i="79" s="1"/>
  <c r="LX619" i="79"/>
  <c r="FU619" i="79"/>
  <c r="N724" i="79" s="1"/>
  <c r="KS619" i="79"/>
  <c r="L692" i="79" s="1"/>
  <c r="L711" i="79" s="1"/>
  <c r="KE619" i="79"/>
  <c r="M689" i="79" s="1"/>
  <c r="FB619" i="79"/>
  <c r="J720" i="79" s="1"/>
  <c r="BT619" i="79"/>
  <c r="N657" i="79" s="1"/>
  <c r="EF619" i="79"/>
  <c r="M637" i="79" s="1"/>
  <c r="GR619" i="79"/>
  <c r="JD619" i="79"/>
  <c r="K700" i="79" s="1"/>
  <c r="LV619" i="79"/>
  <c r="GC619" i="79"/>
  <c r="L726" i="79" s="1"/>
  <c r="IO619" i="79"/>
  <c r="K701" i="79" s="1"/>
  <c r="LE619" i="79"/>
  <c r="N694" i="79" s="1"/>
  <c r="DB619" i="79"/>
  <c r="M668" i="79" s="1"/>
  <c r="FN619" i="79"/>
  <c r="L722" i="79" s="1"/>
  <c r="HZ619" i="79"/>
  <c r="KN619" i="79"/>
  <c r="L691" i="79" s="1"/>
  <c r="L710" i="79" s="1"/>
  <c r="CU619" i="79"/>
  <c r="K669" i="79" s="1"/>
  <c r="JX619" i="79"/>
  <c r="K688" i="79" s="1"/>
  <c r="MS619" i="79"/>
  <c r="ME619" i="79"/>
  <c r="LP619" i="79"/>
  <c r="BH619" i="79"/>
  <c r="L635" i="79" s="1"/>
  <c r="JR619" i="79"/>
  <c r="J687" i="79" s="1"/>
  <c r="HB619" i="79"/>
  <c r="L676" i="79" s="1"/>
  <c r="MR619" i="79"/>
  <c r="JZ619" i="79"/>
  <c r="M688" i="79" s="1"/>
  <c r="JC619" i="79"/>
  <c r="J700" i="79" s="1"/>
  <c r="LU619" i="79"/>
  <c r="FS619" i="79"/>
  <c r="L724" i="79" s="1"/>
  <c r="HA619" i="79"/>
  <c r="K676" i="79" s="1"/>
  <c r="JM619" i="79"/>
  <c r="J698" i="79" s="1"/>
  <c r="LY619" i="79"/>
  <c r="DR619" i="79"/>
  <c r="N665" i="79" s="1"/>
  <c r="GD619" i="79"/>
  <c r="M726" i="79" s="1"/>
  <c r="IP619" i="79"/>
  <c r="L701" i="79" s="1"/>
  <c r="LJ619" i="79"/>
  <c r="EL619" i="79"/>
  <c r="N716" i="79" s="1"/>
  <c r="IC619" i="79"/>
  <c r="JN619" i="79"/>
  <c r="K698" i="79" s="1"/>
  <c r="JQ619" i="79"/>
  <c r="N698" i="79" s="1"/>
  <c r="CY619" i="79"/>
  <c r="J668" i="79" s="1"/>
  <c r="IS619" i="79"/>
  <c r="J702" i="79" s="1"/>
  <c r="FA619" i="79"/>
  <c r="N719" i="79" s="1"/>
  <c r="CS619" i="79"/>
  <c r="N652" i="79" s="1"/>
  <c r="MJ619" i="79"/>
  <c r="AW619" i="79"/>
  <c r="K632" i="79" s="1"/>
  <c r="ED619" i="79"/>
  <c r="K637" i="79" s="1"/>
  <c r="MB619" i="79"/>
  <c r="LR619" i="79"/>
  <c r="CG619" i="79"/>
  <c r="L654" i="79" s="1"/>
  <c r="FV619" i="79"/>
  <c r="MN619" i="79"/>
  <c r="FW619" i="79"/>
  <c r="II619" i="79"/>
  <c r="J696" i="79" s="1"/>
  <c r="KU619" i="79"/>
  <c r="N692" i="79" s="1"/>
  <c r="N711" i="79" s="1"/>
  <c r="EG619" i="79"/>
  <c r="N637" i="79" s="1"/>
  <c r="FL619" i="79"/>
  <c r="J722" i="79" s="1"/>
  <c r="CR619" i="79"/>
  <c r="M652" i="79" s="1"/>
  <c r="AF619" i="79"/>
  <c r="N628" i="79" s="1"/>
  <c r="DW619" i="79"/>
  <c r="N664" i="79" s="1"/>
  <c r="BK619" i="79"/>
  <c r="J658" i="79" s="1"/>
  <c r="FR619" i="79"/>
  <c r="K724" i="79" s="1"/>
  <c r="CX619" i="79"/>
  <c r="N669" i="79" s="1"/>
  <c r="AL619" i="79"/>
  <c r="J630" i="79" s="1"/>
  <c r="GW619" i="79"/>
  <c r="L675" i="79" s="1"/>
  <c r="BI619" i="79"/>
  <c r="M635" i="79" s="1"/>
  <c r="HT619" i="79"/>
  <c r="EZ619" i="79"/>
  <c r="M719" i="79" s="1"/>
  <c r="CN619" i="79"/>
  <c r="N653" i="79" s="1"/>
  <c r="AB619" i="79"/>
  <c r="J628" i="79" s="1"/>
  <c r="GM619" i="79"/>
  <c r="L673" i="79" s="1"/>
  <c r="DK619" i="79"/>
  <c r="L666" i="79" s="1"/>
  <c r="AY619" i="79"/>
  <c r="M632" i="79" s="1"/>
  <c r="CD619" i="79"/>
  <c r="N655" i="79" s="1"/>
  <c r="DM619" i="79"/>
  <c r="N666" i="79" s="1"/>
  <c r="FD619" i="79"/>
  <c r="L720" i="79" s="1"/>
  <c r="GZ619" i="79"/>
  <c r="J676" i="79" s="1"/>
  <c r="CO619" i="79"/>
  <c r="J652" i="79" s="1"/>
  <c r="A619" i="79"/>
  <c r="A576" i="79" s="1"/>
  <c r="GQ619" i="79"/>
  <c r="HL619" i="79"/>
  <c r="L678" i="79" s="1"/>
  <c r="AC619" i="79"/>
  <c r="K628" i="79" s="1"/>
  <c r="HS619" i="79"/>
  <c r="N679" i="79" s="1"/>
  <c r="EQ619" i="79"/>
  <c r="N717" i="79" s="1"/>
  <c r="N706" i="79"/>
  <c r="DO619" i="79"/>
  <c r="K665" i="79" s="1"/>
  <c r="LG619" i="79"/>
  <c r="HF619" i="79"/>
  <c r="FI619" i="79"/>
  <c r="L721" i="79" s="1"/>
  <c r="GN619" i="79"/>
  <c r="M673" i="79" s="1"/>
  <c r="CE619" i="79"/>
  <c r="J654" i="79" s="1"/>
  <c r="L713" i="79"/>
  <c r="F461" i="79"/>
  <c r="F462" i="79"/>
  <c r="F459" i="79"/>
  <c r="F460" i="79"/>
  <c r="P1483" i="79"/>
  <c r="P1357" i="79"/>
  <c r="R1322" i="79"/>
  <c r="R1357" i="79" s="1"/>
  <c r="P1401" i="79"/>
  <c r="R1366" i="79"/>
  <c r="R1401" i="79" s="1"/>
  <c r="R1483" i="79"/>
  <c r="P1220" i="79"/>
  <c r="R1185" i="79"/>
  <c r="R1220" i="79" s="1"/>
  <c r="P1176" i="79"/>
  <c r="R1141" i="79"/>
  <c r="R1176" i="79" s="1"/>
  <c r="Q1176" i="79"/>
  <c r="R1227" i="79"/>
  <c r="R1262" i="79" s="1"/>
  <c r="P1262" i="79"/>
  <c r="P995" i="79"/>
  <c r="R960" i="79"/>
  <c r="R995" i="79" s="1"/>
  <c r="R1039" i="79"/>
  <c r="P1039" i="79"/>
  <c r="F823" i="79"/>
  <c r="P107" i="15"/>
  <c r="M107" i="15"/>
  <c r="J107" i="15"/>
  <c r="P87" i="15"/>
  <c r="M87" i="15"/>
  <c r="J87" i="15"/>
  <c r="M1123" i="79" l="1"/>
  <c r="P1081" i="79"/>
  <c r="J709" i="79"/>
  <c r="M1485" i="79"/>
  <c r="J680" i="79"/>
  <c r="R1121" i="79"/>
  <c r="R1123" i="79" s="1"/>
  <c r="N709" i="79"/>
  <c r="P1443" i="79"/>
  <c r="P1485" i="79" s="1"/>
  <c r="Q1123" i="79"/>
  <c r="L707" i="79"/>
  <c r="N708" i="79"/>
  <c r="L709" i="79"/>
  <c r="K680" i="79"/>
  <c r="J677" i="79"/>
  <c r="L712" i="79"/>
  <c r="O710" i="79"/>
  <c r="O688" i="79"/>
  <c r="O701" i="79"/>
  <c r="M674" i="79"/>
  <c r="O629" i="79"/>
  <c r="P718" i="79" s="1"/>
  <c r="O676" i="79"/>
  <c r="J706" i="79"/>
  <c r="K708" i="79"/>
  <c r="O689" i="79"/>
  <c r="K713" i="79"/>
  <c r="O656" i="79"/>
  <c r="O675" i="79"/>
  <c r="J674" i="79"/>
  <c r="N634" i="79"/>
  <c r="N643" i="79" s="1"/>
  <c r="N674" i="79"/>
  <c r="M706" i="79"/>
  <c r="N677" i="79"/>
  <c r="N712" i="79"/>
  <c r="O687" i="79"/>
  <c r="O631" i="79"/>
  <c r="P720" i="79" s="1"/>
  <c r="L708" i="79"/>
  <c r="O678" i="79"/>
  <c r="K674" i="79"/>
  <c r="O667" i="79"/>
  <c r="M713" i="79"/>
  <c r="L674" i="79"/>
  <c r="M709" i="79"/>
  <c r="J712" i="79"/>
  <c r="N713" i="79"/>
  <c r="K707" i="79"/>
  <c r="M1304" i="79"/>
  <c r="O627" i="79"/>
  <c r="P716" i="79" s="1"/>
  <c r="L659" i="79"/>
  <c r="Q1302" i="79"/>
  <c r="Q1304" i="79" s="1"/>
  <c r="P1302" i="79"/>
  <c r="P1304" i="79" s="1"/>
  <c r="P1121" i="79"/>
  <c r="P1123" i="79" s="1"/>
  <c r="M712" i="79"/>
  <c r="O658" i="79"/>
  <c r="O695" i="79"/>
  <c r="M707" i="79"/>
  <c r="N707" i="79"/>
  <c r="M680" i="79"/>
  <c r="K723" i="79"/>
  <c r="K725" i="79" s="1"/>
  <c r="K727" i="79" s="1"/>
  <c r="N686" i="79"/>
  <c r="O702" i="79"/>
  <c r="O694" i="79"/>
  <c r="O697" i="79"/>
  <c r="O630" i="79"/>
  <c r="P719" i="79" s="1"/>
  <c r="O673" i="79"/>
  <c r="L706" i="79"/>
  <c r="O654" i="79"/>
  <c r="K712" i="79"/>
  <c r="K634" i="79"/>
  <c r="K636" i="79" s="1"/>
  <c r="K638" i="79" s="1"/>
  <c r="K730" i="79" s="1"/>
  <c r="O721" i="79"/>
  <c r="O664" i="79"/>
  <c r="O696" i="79"/>
  <c r="O655" i="79"/>
  <c r="O653" i="79"/>
  <c r="O693" i="79"/>
  <c r="L634" i="79"/>
  <c r="L645" i="79" s="1"/>
  <c r="O663" i="79"/>
  <c r="J684" i="79"/>
  <c r="K706" i="79"/>
  <c r="M670" i="79"/>
  <c r="O719" i="79"/>
  <c r="J686" i="79"/>
  <c r="M686" i="79"/>
  <c r="M684" i="79"/>
  <c r="O699" i="79"/>
  <c r="L723" i="79"/>
  <c r="L725" i="79" s="1"/>
  <c r="L727" i="79" s="1"/>
  <c r="O716" i="79"/>
  <c r="O711" i="79"/>
  <c r="K670" i="79"/>
  <c r="N659" i="79"/>
  <c r="O635" i="79"/>
  <c r="P724" i="79" s="1"/>
  <c r="M659" i="79"/>
  <c r="L684" i="79"/>
  <c r="O720" i="79"/>
  <c r="O692" i="79"/>
  <c r="O632" i="79"/>
  <c r="P721" i="79" s="1"/>
  <c r="O722" i="79"/>
  <c r="O657" i="79"/>
  <c r="O717" i="79"/>
  <c r="J707" i="79"/>
  <c r="J713" i="79"/>
  <c r="L680" i="79"/>
  <c r="O672" i="79"/>
  <c r="O690" i="79"/>
  <c r="O668" i="79"/>
  <c r="N670" i="79"/>
  <c r="O669" i="79"/>
  <c r="J670" i="79"/>
  <c r="M677" i="79"/>
  <c r="K677" i="79"/>
  <c r="O633" i="79"/>
  <c r="P722" i="79" s="1"/>
  <c r="O637" i="79"/>
  <c r="P726" i="79" s="1"/>
  <c r="K659" i="79"/>
  <c r="O691" i="79"/>
  <c r="K709" i="79"/>
  <c r="O726" i="79"/>
  <c r="O718" i="79"/>
  <c r="O724" i="79"/>
  <c r="O652" i="79"/>
  <c r="O700" i="79"/>
  <c r="O666" i="79"/>
  <c r="J708" i="79"/>
  <c r="O679" i="79"/>
  <c r="O665" i="79"/>
  <c r="O628" i="79"/>
  <c r="P717" i="79" s="1"/>
  <c r="N684" i="79"/>
  <c r="M723" i="79"/>
  <c r="M725" i="79" s="1"/>
  <c r="M727" i="79" s="1"/>
  <c r="L686" i="79"/>
  <c r="K686" i="79"/>
  <c r="N723" i="79"/>
  <c r="N725" i="79" s="1"/>
  <c r="N727" i="79" s="1"/>
  <c r="N680" i="79"/>
  <c r="K684" i="79"/>
  <c r="O698" i="79"/>
  <c r="L677" i="79"/>
  <c r="J634" i="79"/>
  <c r="J646" i="79" s="1"/>
  <c r="M634" i="79"/>
  <c r="M648" i="79" s="1"/>
  <c r="J659" i="79"/>
  <c r="L670" i="79"/>
  <c r="J723" i="79"/>
  <c r="J725" i="79" s="1"/>
  <c r="J727" i="79" s="1"/>
  <c r="R1485" i="79"/>
  <c r="R1304" i="79"/>
  <c r="G823" i="79"/>
  <c r="G75" i="77"/>
  <c r="G885" i="79" s="1"/>
  <c r="F75" i="77"/>
  <c r="F885" i="79" s="1"/>
  <c r="E75" i="77"/>
  <c r="E885" i="79" s="1"/>
  <c r="D75" i="77"/>
  <c r="D885" i="79" s="1"/>
  <c r="C75" i="77"/>
  <c r="C885" i="79" s="1"/>
  <c r="B75" i="77"/>
  <c r="B885" i="79" s="1"/>
  <c r="K43" i="77"/>
  <c r="K853" i="79" s="1"/>
  <c r="J43" i="77"/>
  <c r="J853" i="79" s="1"/>
  <c r="I43" i="77"/>
  <c r="I853" i="79" s="1"/>
  <c r="H43" i="77"/>
  <c r="H853" i="79" s="1"/>
  <c r="G43" i="77"/>
  <c r="G853" i="79" s="1"/>
  <c r="F43" i="77"/>
  <c r="F853" i="79" s="1"/>
  <c r="E43" i="77"/>
  <c r="E853" i="79" s="1"/>
  <c r="D43" i="77"/>
  <c r="D853" i="79" s="1"/>
  <c r="C43" i="77"/>
  <c r="C853" i="79" s="1"/>
  <c r="B43" i="77"/>
  <c r="B853" i="79" s="1"/>
  <c r="F135" i="77"/>
  <c r="F945" i="79" s="1"/>
  <c r="E135" i="77"/>
  <c r="E945" i="79" s="1"/>
  <c r="D135" i="77"/>
  <c r="D945" i="79" s="1"/>
  <c r="C135" i="77"/>
  <c r="C945" i="79" s="1"/>
  <c r="B135" i="77"/>
  <c r="B945" i="79" s="1"/>
  <c r="K105" i="77"/>
  <c r="K915" i="79" s="1"/>
  <c r="J105" i="77"/>
  <c r="J915" i="79" s="1"/>
  <c r="I105" i="77"/>
  <c r="I915" i="79" s="1"/>
  <c r="H105" i="77"/>
  <c r="H915" i="79" s="1"/>
  <c r="G105" i="77"/>
  <c r="G915" i="79" s="1"/>
  <c r="F105" i="77"/>
  <c r="F915" i="79" s="1"/>
  <c r="E105" i="77"/>
  <c r="E915" i="79" s="1"/>
  <c r="D105" i="77"/>
  <c r="D915" i="79" s="1"/>
  <c r="C105" i="77"/>
  <c r="C915" i="79" s="1"/>
  <c r="B105" i="77"/>
  <c r="B915" i="79" s="1"/>
  <c r="K74" i="77"/>
  <c r="K884" i="79" s="1"/>
  <c r="J74" i="77"/>
  <c r="J884" i="79" s="1"/>
  <c r="I74" i="77"/>
  <c r="I884" i="79" s="1"/>
  <c r="H74" i="77"/>
  <c r="H884" i="79" s="1"/>
  <c r="G74" i="77"/>
  <c r="G884" i="79" s="1"/>
  <c r="F74" i="77"/>
  <c r="F884" i="79" s="1"/>
  <c r="E74" i="77"/>
  <c r="E884" i="79" s="1"/>
  <c r="D74" i="77"/>
  <c r="D884" i="79" s="1"/>
  <c r="C74" i="77"/>
  <c r="C884" i="79" s="1"/>
  <c r="B74" i="77"/>
  <c r="B884" i="79" s="1"/>
  <c r="K42" i="77"/>
  <c r="K852" i="79" s="1"/>
  <c r="J42" i="77"/>
  <c r="J852" i="79" s="1"/>
  <c r="I42" i="77"/>
  <c r="I852" i="79" s="1"/>
  <c r="H42" i="77"/>
  <c r="H852" i="79" s="1"/>
  <c r="G42" i="77"/>
  <c r="G852" i="79" s="1"/>
  <c r="F42" i="77"/>
  <c r="F852" i="79" s="1"/>
  <c r="E42" i="77"/>
  <c r="E852" i="79" s="1"/>
  <c r="D42" i="77"/>
  <c r="D852" i="79" s="1"/>
  <c r="C42" i="77"/>
  <c r="C852" i="79" s="1"/>
  <c r="B42" i="77"/>
  <c r="B852" i="79" s="1"/>
  <c r="F134" i="77"/>
  <c r="F944" i="79" s="1"/>
  <c r="E134" i="77"/>
  <c r="E944" i="79" s="1"/>
  <c r="D134" i="77"/>
  <c r="D944" i="79" s="1"/>
  <c r="C134" i="77"/>
  <c r="C944" i="79" s="1"/>
  <c r="B134" i="77"/>
  <c r="B944" i="79" s="1"/>
  <c r="K104" i="77"/>
  <c r="K914" i="79" s="1"/>
  <c r="J104" i="77"/>
  <c r="J914" i="79" s="1"/>
  <c r="I104" i="77"/>
  <c r="I914" i="79" s="1"/>
  <c r="H104" i="77"/>
  <c r="H914" i="79" s="1"/>
  <c r="G104" i="77"/>
  <c r="G914" i="79" s="1"/>
  <c r="F104" i="77"/>
  <c r="F914" i="79" s="1"/>
  <c r="E104" i="77"/>
  <c r="E914" i="79" s="1"/>
  <c r="D104" i="77"/>
  <c r="D914" i="79" s="1"/>
  <c r="C104" i="77"/>
  <c r="C914" i="79" s="1"/>
  <c r="B104" i="77"/>
  <c r="B914" i="79" s="1"/>
  <c r="K73" i="77"/>
  <c r="K883" i="79" s="1"/>
  <c r="J73" i="77"/>
  <c r="J883" i="79" s="1"/>
  <c r="I73" i="77"/>
  <c r="I883" i="79" s="1"/>
  <c r="H73" i="77"/>
  <c r="H883" i="79" s="1"/>
  <c r="G73" i="77"/>
  <c r="G883" i="79" s="1"/>
  <c r="F73" i="77"/>
  <c r="F883" i="79" s="1"/>
  <c r="E73" i="77"/>
  <c r="E883" i="79" s="1"/>
  <c r="D73" i="77"/>
  <c r="D883" i="79" s="1"/>
  <c r="C73" i="77"/>
  <c r="C883" i="79" s="1"/>
  <c r="B73" i="77"/>
  <c r="B883" i="79" s="1"/>
  <c r="K41" i="77"/>
  <c r="K851" i="79" s="1"/>
  <c r="J41" i="77"/>
  <c r="J851" i="79" s="1"/>
  <c r="I41" i="77"/>
  <c r="I851" i="79" s="1"/>
  <c r="H41" i="77"/>
  <c r="H851" i="79" s="1"/>
  <c r="G41" i="77"/>
  <c r="G851" i="79" s="1"/>
  <c r="F41" i="77"/>
  <c r="F851" i="79" s="1"/>
  <c r="E41" i="77"/>
  <c r="E851" i="79" s="1"/>
  <c r="D41" i="77"/>
  <c r="D851" i="79" s="1"/>
  <c r="C41" i="77"/>
  <c r="C851" i="79" s="1"/>
  <c r="B41" i="77"/>
  <c r="B851" i="79" s="1"/>
  <c r="F133" i="77"/>
  <c r="F943" i="79" s="1"/>
  <c r="E133" i="77"/>
  <c r="E943" i="79" s="1"/>
  <c r="D133" i="77"/>
  <c r="D943" i="79" s="1"/>
  <c r="C133" i="77"/>
  <c r="C943" i="79" s="1"/>
  <c r="B133" i="77"/>
  <c r="B943" i="79" s="1"/>
  <c r="K103" i="77"/>
  <c r="K913" i="79" s="1"/>
  <c r="J103" i="77"/>
  <c r="J913" i="79" s="1"/>
  <c r="I103" i="77"/>
  <c r="I913" i="79" s="1"/>
  <c r="H103" i="77"/>
  <c r="H913" i="79" s="1"/>
  <c r="G103" i="77"/>
  <c r="G913" i="79" s="1"/>
  <c r="F103" i="77"/>
  <c r="F913" i="79" s="1"/>
  <c r="E103" i="77"/>
  <c r="E913" i="79" s="1"/>
  <c r="D103" i="77"/>
  <c r="D913" i="79" s="1"/>
  <c r="C103" i="77"/>
  <c r="C913" i="79" s="1"/>
  <c r="B103" i="77"/>
  <c r="B913" i="79" s="1"/>
  <c r="K72" i="77"/>
  <c r="K882" i="79" s="1"/>
  <c r="J72" i="77"/>
  <c r="J882" i="79" s="1"/>
  <c r="I72" i="77"/>
  <c r="I882" i="79" s="1"/>
  <c r="H72" i="77"/>
  <c r="H882" i="79" s="1"/>
  <c r="G72" i="77"/>
  <c r="G882" i="79" s="1"/>
  <c r="F72" i="77"/>
  <c r="F882" i="79" s="1"/>
  <c r="E72" i="77"/>
  <c r="E882" i="79" s="1"/>
  <c r="D72" i="77"/>
  <c r="D882" i="79" s="1"/>
  <c r="C72" i="77"/>
  <c r="C882" i="79" s="1"/>
  <c r="B72" i="77"/>
  <c r="B882" i="79" s="1"/>
  <c r="K40" i="77"/>
  <c r="K850" i="79" s="1"/>
  <c r="J40" i="77"/>
  <c r="J850" i="79" s="1"/>
  <c r="I40" i="77"/>
  <c r="I850" i="79" s="1"/>
  <c r="H40" i="77"/>
  <c r="H850" i="79" s="1"/>
  <c r="G40" i="77"/>
  <c r="G850" i="79" s="1"/>
  <c r="F40" i="77"/>
  <c r="F850" i="79" s="1"/>
  <c r="E40" i="77"/>
  <c r="E850" i="79" s="1"/>
  <c r="D40" i="77"/>
  <c r="D850" i="79" s="1"/>
  <c r="C40" i="77"/>
  <c r="C850" i="79" s="1"/>
  <c r="B40" i="77"/>
  <c r="B850" i="79" s="1"/>
  <c r="K39" i="77"/>
  <c r="K849" i="79" s="1"/>
  <c r="J39" i="77"/>
  <c r="J849" i="79" s="1"/>
  <c r="I39" i="77"/>
  <c r="I849" i="79" s="1"/>
  <c r="H39" i="77"/>
  <c r="H849" i="79" s="1"/>
  <c r="G39" i="77"/>
  <c r="G849" i="79" s="1"/>
  <c r="F39" i="77"/>
  <c r="F849" i="79" s="1"/>
  <c r="E39" i="77"/>
  <c r="E849" i="79" s="1"/>
  <c r="D39" i="77"/>
  <c r="D849" i="79" s="1"/>
  <c r="C39" i="77"/>
  <c r="C849" i="79" s="1"/>
  <c r="B39" i="77"/>
  <c r="B849" i="79" s="1"/>
  <c r="K71" i="77"/>
  <c r="K881" i="79" s="1"/>
  <c r="J71" i="77"/>
  <c r="J881" i="79" s="1"/>
  <c r="I71" i="77"/>
  <c r="I881" i="79" s="1"/>
  <c r="H71" i="77"/>
  <c r="H881" i="79" s="1"/>
  <c r="G71" i="77"/>
  <c r="G881" i="79" s="1"/>
  <c r="F71" i="77"/>
  <c r="F881" i="79" s="1"/>
  <c r="E71" i="77"/>
  <c r="E881" i="79" s="1"/>
  <c r="D71" i="77"/>
  <c r="D881" i="79" s="1"/>
  <c r="C71" i="77"/>
  <c r="C881" i="79" s="1"/>
  <c r="B71" i="77"/>
  <c r="B881" i="79" s="1"/>
  <c r="F132" i="77"/>
  <c r="E132" i="77"/>
  <c r="D132" i="77"/>
  <c r="C132" i="77"/>
  <c r="B132" i="77"/>
  <c r="K102" i="77"/>
  <c r="J102" i="77"/>
  <c r="I102" i="77"/>
  <c r="H102" i="77"/>
  <c r="G102" i="77"/>
  <c r="F102" i="77"/>
  <c r="E102" i="77"/>
  <c r="D102" i="77"/>
  <c r="C102" i="77"/>
  <c r="B102" i="77"/>
  <c r="K645" i="79" l="1"/>
  <c r="N645" i="79"/>
  <c r="O709" i="79"/>
  <c r="N647" i="79"/>
  <c r="N636" i="79"/>
  <c r="N638" i="79" s="1"/>
  <c r="N730" i="79" s="1"/>
  <c r="N644" i="79"/>
  <c r="O708" i="79"/>
  <c r="O674" i="79"/>
  <c r="N646" i="79"/>
  <c r="N648" i="79"/>
  <c r="N642" i="79"/>
  <c r="L648" i="79"/>
  <c r="O713" i="79"/>
  <c r="L642" i="79"/>
  <c r="O680" i="79"/>
  <c r="O659" i="79"/>
  <c r="O707" i="79"/>
  <c r="O686" i="79"/>
  <c r="O706" i="79"/>
  <c r="O677" i="79"/>
  <c r="O712" i="79"/>
  <c r="J648" i="79"/>
  <c r="O684" i="79"/>
  <c r="O800" i="79" s="1"/>
  <c r="K648" i="79"/>
  <c r="L643" i="79"/>
  <c r="K647" i="79"/>
  <c r="L644" i="79"/>
  <c r="K646" i="79"/>
  <c r="L647" i="79"/>
  <c r="K644" i="79"/>
  <c r="L636" i="79"/>
  <c r="L638" i="79" s="1"/>
  <c r="L730" i="79" s="1"/>
  <c r="K643" i="79"/>
  <c r="L646" i="79"/>
  <c r="K642" i="79"/>
  <c r="M644" i="79"/>
  <c r="J642" i="79"/>
  <c r="J647" i="79"/>
  <c r="O670" i="79"/>
  <c r="M643" i="79"/>
  <c r="O634" i="79"/>
  <c r="O647" i="79" s="1"/>
  <c r="P647" i="79" s="1"/>
  <c r="M642" i="79"/>
  <c r="J645" i="79"/>
  <c r="J643" i="79"/>
  <c r="M645" i="79"/>
  <c r="O727" i="79"/>
  <c r="O725" i="79"/>
  <c r="M647" i="79"/>
  <c r="M636" i="79"/>
  <c r="M638" i="79" s="1"/>
  <c r="M730" i="79" s="1"/>
  <c r="O723" i="79"/>
  <c r="J636" i="79"/>
  <c r="J638" i="79" s="1"/>
  <c r="M646" i="79"/>
  <c r="J644" i="79"/>
  <c r="H823" i="79"/>
  <c r="B23" i="77"/>
  <c r="B833" i="79" s="1"/>
  <c r="I647" i="79" l="1"/>
  <c r="O644" i="79"/>
  <c r="P644" i="79" s="1"/>
  <c r="O638" i="79"/>
  <c r="J794" i="79" s="1"/>
  <c r="O642" i="79"/>
  <c r="O643" i="79"/>
  <c r="I643" i="79" s="1"/>
  <c r="O646" i="79"/>
  <c r="I646" i="79" s="1"/>
  <c r="O648" i="79"/>
  <c r="O645" i="79"/>
  <c r="J730" i="79"/>
  <c r="O636" i="79"/>
  <c r="I823" i="79"/>
  <c r="I644" i="79" l="1"/>
  <c r="I619" i="79"/>
  <c r="J792" i="79"/>
  <c r="I620" i="79"/>
  <c r="J793" i="79"/>
  <c r="P643" i="79"/>
  <c r="P642" i="79"/>
  <c r="I642" i="79"/>
  <c r="P646" i="79"/>
  <c r="P645" i="79"/>
  <c r="I645" i="79"/>
  <c r="P648" i="79"/>
  <c r="I648" i="79"/>
  <c r="J823" i="79"/>
  <c r="P79" i="7"/>
  <c r="P77" i="7"/>
  <c r="P76" i="7"/>
  <c r="K823" i="79" l="1"/>
  <c r="J28" i="7"/>
  <c r="E37" i="15"/>
  <c r="E36" i="15"/>
  <c r="E35" i="15"/>
  <c r="A1" i="15" l="1"/>
  <c r="A1" i="77"/>
  <c r="A1" i="75"/>
  <c r="J58" i="79"/>
  <c r="O59" i="79" s="1"/>
  <c r="I527" i="79"/>
  <c r="A31" i="79"/>
  <c r="A306" i="79"/>
  <c r="B855" i="79"/>
  <c r="A1" i="76"/>
  <c r="I3" i="75"/>
  <c r="I29" i="7"/>
  <c r="I59" i="79" s="1"/>
  <c r="N29" i="7"/>
  <c r="N59" i="79" s="1"/>
  <c r="O29" i="7"/>
  <c r="L152" i="18"/>
  <c r="C855" i="79" l="1"/>
  <c r="N77" i="7"/>
  <c r="N107" i="79" s="1"/>
  <c r="F115" i="77"/>
  <c r="F925" i="79" s="1"/>
  <c r="F942" i="79" s="1"/>
  <c r="E115" i="77"/>
  <c r="E925" i="79" s="1"/>
  <c r="E942" i="79" s="1"/>
  <c r="D115" i="77"/>
  <c r="D925" i="79" s="1"/>
  <c r="D942" i="79" s="1"/>
  <c r="C115" i="77"/>
  <c r="C925" i="79" s="1"/>
  <c r="C942" i="79" s="1"/>
  <c r="B115" i="77"/>
  <c r="B925" i="79" s="1"/>
  <c r="B942" i="79" s="1"/>
  <c r="K85" i="77"/>
  <c r="K895" i="79" s="1"/>
  <c r="K912" i="79" s="1"/>
  <c r="J85" i="77"/>
  <c r="J895" i="79" s="1"/>
  <c r="J912" i="79" s="1"/>
  <c r="I85" i="77"/>
  <c r="I895" i="79" s="1"/>
  <c r="I912" i="79" s="1"/>
  <c r="H85" i="77"/>
  <c r="H895" i="79" s="1"/>
  <c r="H912" i="79" s="1"/>
  <c r="G85" i="77"/>
  <c r="G895" i="79" s="1"/>
  <c r="G912" i="79" s="1"/>
  <c r="F85" i="77"/>
  <c r="F895" i="79" s="1"/>
  <c r="F912" i="79" s="1"/>
  <c r="E85" i="77"/>
  <c r="E895" i="79" s="1"/>
  <c r="E912" i="79" s="1"/>
  <c r="D85" i="77"/>
  <c r="D895" i="79" s="1"/>
  <c r="D912" i="79" s="1"/>
  <c r="C85" i="77"/>
  <c r="C895" i="79" s="1"/>
  <c r="C912" i="79" s="1"/>
  <c r="B85" i="77"/>
  <c r="B895" i="79" s="1"/>
  <c r="B912" i="79" s="1"/>
  <c r="K53" i="77"/>
  <c r="K863" i="79" s="1"/>
  <c r="K880" i="79" s="1"/>
  <c r="J53" i="77"/>
  <c r="J863" i="79" s="1"/>
  <c r="J880" i="79" s="1"/>
  <c r="I53" i="77"/>
  <c r="I863" i="79" s="1"/>
  <c r="I880" i="79" s="1"/>
  <c r="H53" i="77"/>
  <c r="H863" i="79" s="1"/>
  <c r="H880" i="79" s="1"/>
  <c r="G53" i="77"/>
  <c r="G863" i="79" s="1"/>
  <c r="G880" i="79" s="1"/>
  <c r="F53" i="77"/>
  <c r="F863" i="79" s="1"/>
  <c r="F880" i="79" s="1"/>
  <c r="E53" i="77"/>
  <c r="E863" i="79" s="1"/>
  <c r="E880" i="79" s="1"/>
  <c r="D53" i="77"/>
  <c r="D863" i="79" s="1"/>
  <c r="D880" i="79" s="1"/>
  <c r="C53" i="77"/>
  <c r="C863" i="79" s="1"/>
  <c r="C880" i="79" s="1"/>
  <c r="B53" i="77"/>
  <c r="B863" i="79" s="1"/>
  <c r="B880" i="79" s="1"/>
  <c r="K21" i="77"/>
  <c r="K831" i="79" s="1"/>
  <c r="K848" i="79" s="1"/>
  <c r="J21" i="77"/>
  <c r="J831" i="79" s="1"/>
  <c r="J848" i="79" s="1"/>
  <c r="I21" i="77"/>
  <c r="I831" i="79" s="1"/>
  <c r="I848" i="79" s="1"/>
  <c r="H21" i="77"/>
  <c r="H831" i="79" s="1"/>
  <c r="H848" i="79" s="1"/>
  <c r="G21" i="77"/>
  <c r="G831" i="79" s="1"/>
  <c r="G848" i="79" s="1"/>
  <c r="F21" i="77"/>
  <c r="F831" i="79" s="1"/>
  <c r="F848" i="79" s="1"/>
  <c r="E21" i="77"/>
  <c r="E831" i="79" s="1"/>
  <c r="E848" i="79" s="1"/>
  <c r="D21" i="77"/>
  <c r="D831" i="79" s="1"/>
  <c r="D848" i="79" s="1"/>
  <c r="C21" i="77"/>
  <c r="C831" i="79" s="1"/>
  <c r="C848" i="79" s="1"/>
  <c r="B21" i="77"/>
  <c r="B831" i="79" s="1"/>
  <c r="B848" i="79" s="1"/>
  <c r="R47" i="76"/>
  <c r="R46" i="76"/>
  <c r="R45" i="76"/>
  <c r="R44" i="76"/>
  <c r="R43" i="76"/>
  <c r="R42" i="76"/>
  <c r="R41" i="76"/>
  <c r="R40" i="76"/>
  <c r="R39" i="76"/>
  <c r="R38" i="76"/>
  <c r="R37" i="76"/>
  <c r="R36" i="76"/>
  <c r="R35" i="76"/>
  <c r="R34" i="76"/>
  <c r="R33" i="76"/>
  <c r="R32" i="76"/>
  <c r="R31" i="76"/>
  <c r="R30" i="76"/>
  <c r="R29" i="76"/>
  <c r="R28" i="76"/>
  <c r="R27" i="76"/>
  <c r="R26" i="76"/>
  <c r="R25" i="76"/>
  <c r="R24" i="76"/>
  <c r="R23" i="76"/>
  <c r="R22" i="76"/>
  <c r="R21" i="76"/>
  <c r="R20" i="76"/>
  <c r="R19" i="76"/>
  <c r="R18" i="76"/>
  <c r="R17" i="76"/>
  <c r="R16" i="76"/>
  <c r="R15" i="76"/>
  <c r="R14" i="76"/>
  <c r="R13" i="76"/>
  <c r="R12" i="76"/>
  <c r="R11" i="76"/>
  <c r="R10" i="76"/>
  <c r="K75" i="77"/>
  <c r="K885" i="79" s="1"/>
  <c r="J75" i="77"/>
  <c r="J885" i="79" s="1"/>
  <c r="I75" i="77"/>
  <c r="I885" i="79" s="1"/>
  <c r="H75" i="77"/>
  <c r="H885" i="79" s="1"/>
  <c r="A35" i="77"/>
  <c r="A34" i="77"/>
  <c r="A33" i="77"/>
  <c r="G6" i="77"/>
  <c r="N1" i="77"/>
  <c r="D855" i="79" l="1"/>
  <c r="R50" i="78"/>
  <c r="Q50" i="78"/>
  <c r="P50" i="78"/>
  <c r="O50" i="78"/>
  <c r="N50" i="78"/>
  <c r="R49" i="78"/>
  <c r="Q49" i="78"/>
  <c r="P49" i="78"/>
  <c r="O49" i="78"/>
  <c r="N49" i="78"/>
  <c r="R48" i="78"/>
  <c r="Q48" i="78"/>
  <c r="P48" i="78"/>
  <c r="O48" i="78"/>
  <c r="N48" i="78"/>
  <c r="R47" i="78"/>
  <c r="Q47" i="78"/>
  <c r="P47" i="78"/>
  <c r="O47" i="78"/>
  <c r="N47" i="78"/>
  <c r="R46" i="78"/>
  <c r="Q46" i="78"/>
  <c r="P46" i="78"/>
  <c r="O46" i="78"/>
  <c r="N46" i="78"/>
  <c r="R45" i="78"/>
  <c r="Q45" i="78"/>
  <c r="P45" i="78"/>
  <c r="O45" i="78"/>
  <c r="N45" i="78"/>
  <c r="R44" i="78"/>
  <c r="Q44" i="78"/>
  <c r="P44" i="78"/>
  <c r="O44" i="78"/>
  <c r="N44" i="78"/>
  <c r="R43" i="78"/>
  <c r="Q43" i="78"/>
  <c r="P43" i="78"/>
  <c r="O43" i="78"/>
  <c r="N43" i="78"/>
  <c r="R42" i="78"/>
  <c r="Q42" i="78"/>
  <c r="P42" i="78"/>
  <c r="O42" i="78"/>
  <c r="N42" i="78"/>
  <c r="R41" i="78"/>
  <c r="Q41" i="78"/>
  <c r="P41" i="78"/>
  <c r="O41" i="78"/>
  <c r="N41" i="78"/>
  <c r="R40" i="78"/>
  <c r="Q40" i="78"/>
  <c r="P40" i="78"/>
  <c r="O40" i="78"/>
  <c r="N40" i="78"/>
  <c r="R39" i="78"/>
  <c r="Q39" i="78"/>
  <c r="P39" i="78"/>
  <c r="O39" i="78"/>
  <c r="N39" i="78"/>
  <c r="R38" i="78"/>
  <c r="Q38" i="78"/>
  <c r="P38" i="78"/>
  <c r="O38" i="78"/>
  <c r="N38" i="78"/>
  <c r="R37" i="78"/>
  <c r="Q37" i="78"/>
  <c r="P37" i="78"/>
  <c r="O37" i="78"/>
  <c r="N37" i="78"/>
  <c r="R36" i="78"/>
  <c r="Q36" i="78"/>
  <c r="P36" i="78"/>
  <c r="O36" i="78"/>
  <c r="N36" i="78"/>
  <c r="R35" i="78"/>
  <c r="Q35" i="78"/>
  <c r="P35" i="78"/>
  <c r="O35" i="78"/>
  <c r="N35" i="78"/>
  <c r="R34" i="78"/>
  <c r="Q34" i="78"/>
  <c r="P34" i="78"/>
  <c r="O34" i="78"/>
  <c r="N34" i="78"/>
  <c r="R33" i="78"/>
  <c r="Q33" i="78"/>
  <c r="P33" i="78"/>
  <c r="O33" i="78"/>
  <c r="N33" i="78"/>
  <c r="R32" i="78"/>
  <c r="Q32" i="78"/>
  <c r="P32" i="78"/>
  <c r="O32" i="78"/>
  <c r="N32" i="78"/>
  <c r="R31" i="78"/>
  <c r="Q31" i="78"/>
  <c r="P31" i="78"/>
  <c r="O31" i="78"/>
  <c r="N31" i="78"/>
  <c r="R30" i="78"/>
  <c r="Q30" i="78"/>
  <c r="P30" i="78"/>
  <c r="O30" i="78"/>
  <c r="N30" i="78"/>
  <c r="R29" i="78"/>
  <c r="Q29" i="78"/>
  <c r="P29" i="78"/>
  <c r="O29" i="78"/>
  <c r="N29" i="78"/>
  <c r="R28" i="78"/>
  <c r="Q28" i="78"/>
  <c r="P28" i="78"/>
  <c r="O28" i="78"/>
  <c r="N28" i="78"/>
  <c r="R27" i="78"/>
  <c r="Q27" i="78"/>
  <c r="P27" i="78"/>
  <c r="O27" i="78"/>
  <c r="N27" i="78"/>
  <c r="R26" i="78"/>
  <c r="Q26" i="78"/>
  <c r="P26" i="78"/>
  <c r="O26" i="78"/>
  <c r="N26" i="78"/>
  <c r="R25" i="78"/>
  <c r="Q25" i="78"/>
  <c r="P25" i="78"/>
  <c r="O25" i="78"/>
  <c r="N25" i="78"/>
  <c r="R24" i="78"/>
  <c r="Q24" i="78"/>
  <c r="P24" i="78"/>
  <c r="O24" i="78"/>
  <c r="N24" i="78"/>
  <c r="R23" i="78"/>
  <c r="Q23" i="78"/>
  <c r="P23" i="78"/>
  <c r="O23" i="78"/>
  <c r="N23" i="78"/>
  <c r="R22" i="78"/>
  <c r="Q22" i="78"/>
  <c r="P22" i="78"/>
  <c r="O22" i="78"/>
  <c r="N22" i="78"/>
  <c r="R21" i="78"/>
  <c r="Q21" i="78"/>
  <c r="P21" i="78"/>
  <c r="O21" i="78"/>
  <c r="N21" i="78"/>
  <c r="R20" i="78"/>
  <c r="Q20" i="78"/>
  <c r="P20" i="78"/>
  <c r="O20" i="78"/>
  <c r="N20" i="78"/>
  <c r="R19" i="78"/>
  <c r="Q19" i="78"/>
  <c r="P19" i="78"/>
  <c r="O19" i="78"/>
  <c r="N19" i="78"/>
  <c r="R18" i="78"/>
  <c r="Q18" i="78"/>
  <c r="P18" i="78"/>
  <c r="O18" i="78"/>
  <c r="N18" i="78"/>
  <c r="R17" i="78"/>
  <c r="Q17" i="78"/>
  <c r="P17" i="78"/>
  <c r="O17" i="78"/>
  <c r="N17" i="78"/>
  <c r="R16" i="78"/>
  <c r="Q16" i="78"/>
  <c r="P16" i="78"/>
  <c r="O16" i="78"/>
  <c r="N16" i="78"/>
  <c r="R15" i="78"/>
  <c r="Q15" i="78"/>
  <c r="P15" i="78"/>
  <c r="O15" i="78"/>
  <c r="N15" i="78"/>
  <c r="I47" i="76"/>
  <c r="I618" i="79" s="1"/>
  <c r="I46" i="76"/>
  <c r="I617" i="79" s="1"/>
  <c r="I45" i="76"/>
  <c r="I616" i="79" s="1"/>
  <c r="I44" i="76"/>
  <c r="I615" i="79" s="1"/>
  <c r="I43" i="76"/>
  <c r="I614" i="79" s="1"/>
  <c r="I42" i="76"/>
  <c r="I613" i="79" s="1"/>
  <c r="I41" i="76"/>
  <c r="I612" i="79" s="1"/>
  <c r="I40" i="76"/>
  <c r="I611" i="79" s="1"/>
  <c r="I39" i="76"/>
  <c r="I610" i="79" s="1"/>
  <c r="I38" i="76"/>
  <c r="I609" i="79" s="1"/>
  <c r="I37" i="76"/>
  <c r="I608" i="79" s="1"/>
  <c r="I36" i="76"/>
  <c r="I607" i="79" s="1"/>
  <c r="I35" i="76"/>
  <c r="I606" i="79" s="1"/>
  <c r="I34" i="76"/>
  <c r="I605" i="79" s="1"/>
  <c r="I33" i="76"/>
  <c r="I604" i="79" s="1"/>
  <c r="I32" i="76"/>
  <c r="I603" i="79" s="1"/>
  <c r="I31" i="76"/>
  <c r="I602" i="79" s="1"/>
  <c r="I30" i="76"/>
  <c r="I601" i="79" s="1"/>
  <c r="I29" i="76"/>
  <c r="I600" i="79" s="1"/>
  <c r="I28" i="76"/>
  <c r="I599" i="79" s="1"/>
  <c r="I27" i="76"/>
  <c r="I598" i="79" s="1"/>
  <c r="I26" i="76"/>
  <c r="I597" i="79" s="1"/>
  <c r="I25" i="76"/>
  <c r="I596" i="79" s="1"/>
  <c r="I24" i="76"/>
  <c r="I595" i="79" s="1"/>
  <c r="I23" i="76"/>
  <c r="I594" i="79" s="1"/>
  <c r="I22" i="76"/>
  <c r="I593" i="79" s="1"/>
  <c r="I21" i="76"/>
  <c r="I592" i="79" s="1"/>
  <c r="I20" i="76"/>
  <c r="I591" i="79" s="1"/>
  <c r="I19" i="76"/>
  <c r="I590" i="79" s="1"/>
  <c r="I18" i="76"/>
  <c r="I589" i="79" s="1"/>
  <c r="I17" i="76"/>
  <c r="I588" i="79" s="1"/>
  <c r="I16" i="76"/>
  <c r="I587" i="79" s="1"/>
  <c r="I15" i="76"/>
  <c r="I586" i="79" s="1"/>
  <c r="I14" i="76"/>
  <c r="I585" i="79" s="1"/>
  <c r="I13" i="76"/>
  <c r="I584" i="79" s="1"/>
  <c r="I12" i="76"/>
  <c r="I583" i="79" s="1"/>
  <c r="I11" i="76"/>
  <c r="I582" i="79" s="1"/>
  <c r="I10" i="76"/>
  <c r="I581" i="79" s="1"/>
  <c r="M6" i="76"/>
  <c r="F131" i="77"/>
  <c r="E131" i="77"/>
  <c r="D131" i="77"/>
  <c r="C131" i="77"/>
  <c r="B131" i="77"/>
  <c r="K101" i="77"/>
  <c r="J101" i="77"/>
  <c r="I101" i="77"/>
  <c r="H101" i="77"/>
  <c r="G101" i="77"/>
  <c r="F101" i="77"/>
  <c r="E101" i="77"/>
  <c r="D101" i="77"/>
  <c r="C101" i="77"/>
  <c r="B101" i="77"/>
  <c r="A68" i="77"/>
  <c r="A99" i="77" s="1"/>
  <c r="A129" i="77" s="1"/>
  <c r="A60" i="77"/>
  <c r="A92" i="77" s="1"/>
  <c r="A122" i="77" s="1"/>
  <c r="A59" i="77"/>
  <c r="A91" i="77" s="1"/>
  <c r="A121" i="77" s="1"/>
  <c r="A58" i="77"/>
  <c r="A90" i="77" s="1"/>
  <c r="A120" i="77" s="1"/>
  <c r="A57" i="77"/>
  <c r="A89" i="77" s="1"/>
  <c r="A119" i="77" s="1"/>
  <c r="K70" i="77"/>
  <c r="J70" i="77"/>
  <c r="I70" i="77"/>
  <c r="H70" i="77"/>
  <c r="G70" i="77"/>
  <c r="F70" i="77"/>
  <c r="E70" i="77"/>
  <c r="D70" i="77"/>
  <c r="C70" i="77"/>
  <c r="B70" i="77"/>
  <c r="A67" i="77"/>
  <c r="A98" i="77" s="1"/>
  <c r="A128" i="77" s="1"/>
  <c r="A66" i="77"/>
  <c r="A97" i="77" s="1"/>
  <c r="A127" i="77" s="1"/>
  <c r="A65" i="77"/>
  <c r="A96" i="77" s="1"/>
  <c r="A126" i="77" s="1"/>
  <c r="B30" i="77"/>
  <c r="K38" i="77"/>
  <c r="J38" i="77"/>
  <c r="I38" i="77"/>
  <c r="H38" i="77"/>
  <c r="G38" i="77"/>
  <c r="F38" i="77"/>
  <c r="E38" i="77"/>
  <c r="D38" i="77"/>
  <c r="C38" i="77"/>
  <c r="B38" i="77"/>
  <c r="C13" i="77"/>
  <c r="C23" i="77" s="1"/>
  <c r="C833" i="79" s="1"/>
  <c r="C8" i="77"/>
  <c r="C30" i="77" l="1"/>
  <c r="B840" i="79"/>
  <c r="E855" i="79"/>
  <c r="P222" i="76"/>
  <c r="P782" i="79" s="1"/>
  <c r="D13" i="77"/>
  <c r="D23" i="77" s="1"/>
  <c r="D833" i="79" s="1"/>
  <c r="D30" i="77" l="1"/>
  <c r="C840" i="79"/>
  <c r="P787" i="79"/>
  <c r="N784" i="79"/>
  <c r="N783" i="79"/>
  <c r="F855" i="79"/>
  <c r="E13" i="77"/>
  <c r="E23" i="77" s="1"/>
  <c r="E833" i="79" s="1"/>
  <c r="O788" i="79" l="1"/>
  <c r="E30" i="77"/>
  <c r="D840" i="79"/>
  <c r="G855" i="79"/>
  <c r="F13" i="77"/>
  <c r="F23" i="77" s="1"/>
  <c r="F833" i="79" s="1"/>
  <c r="F30" i="77" l="1"/>
  <c r="E840" i="79"/>
  <c r="H855" i="79"/>
  <c r="G13" i="77"/>
  <c r="G23" i="77" s="1"/>
  <c r="G833" i="79" s="1"/>
  <c r="G30" i="77" l="1"/>
  <c r="F840" i="79"/>
  <c r="I855" i="79"/>
  <c r="H13" i="77"/>
  <c r="H23" i="77" s="1"/>
  <c r="H833" i="79" s="1"/>
  <c r="H30" i="77" l="1"/>
  <c r="G840" i="79"/>
  <c r="J855" i="79"/>
  <c r="I13" i="77"/>
  <c r="I23" i="77" s="1"/>
  <c r="I833" i="79" s="1"/>
  <c r="I30" i="77" l="1"/>
  <c r="H840" i="79"/>
  <c r="K855" i="79"/>
  <c r="J13" i="77"/>
  <c r="J23" i="77" s="1"/>
  <c r="J833" i="79" s="1"/>
  <c r="J30" i="77" l="1"/>
  <c r="I840" i="79"/>
  <c r="B887" i="79"/>
  <c r="K13" i="77"/>
  <c r="K23" i="77" s="1"/>
  <c r="K833" i="79" s="1"/>
  <c r="K30" i="77" l="1"/>
  <c r="J840" i="79"/>
  <c r="C887" i="79"/>
  <c r="B45" i="77"/>
  <c r="B55" i="77" s="1"/>
  <c r="B865" i="79" s="1"/>
  <c r="B62" i="77" l="1"/>
  <c r="K840" i="79"/>
  <c r="D887" i="79"/>
  <c r="C45" i="77"/>
  <c r="C55" i="77" s="1"/>
  <c r="C865" i="79" s="1"/>
  <c r="C62" i="77" l="1"/>
  <c r="B872" i="79"/>
  <c r="E887" i="79"/>
  <c r="D45" i="77"/>
  <c r="D55" i="77" s="1"/>
  <c r="D865" i="79" s="1"/>
  <c r="D62" i="77" l="1"/>
  <c r="C872" i="79"/>
  <c r="F887" i="79"/>
  <c r="E45" i="77"/>
  <c r="E55" i="77" s="1"/>
  <c r="E865" i="79" s="1"/>
  <c r="E62" i="77" l="1"/>
  <c r="D872" i="79"/>
  <c r="G887" i="79"/>
  <c r="F45" i="77"/>
  <c r="F55" i="77" s="1"/>
  <c r="F865" i="79" s="1"/>
  <c r="F62" i="77" l="1"/>
  <c r="E872" i="79"/>
  <c r="H887" i="79"/>
  <c r="G45" i="77"/>
  <c r="G55" i="77" s="1"/>
  <c r="G865" i="79" s="1"/>
  <c r="G62" i="77" l="1"/>
  <c r="F872" i="79"/>
  <c r="I887" i="79"/>
  <c r="H45" i="77"/>
  <c r="H55" i="77" s="1"/>
  <c r="H865" i="79" s="1"/>
  <c r="H62" i="77" l="1"/>
  <c r="G872" i="79"/>
  <c r="J887" i="79"/>
  <c r="I45" i="77"/>
  <c r="I55" i="77" s="1"/>
  <c r="I865" i="79" s="1"/>
  <c r="I62" i="77" l="1"/>
  <c r="H872" i="79"/>
  <c r="K887" i="79"/>
  <c r="J45" i="77"/>
  <c r="J55" i="77" s="1"/>
  <c r="J865" i="79" s="1"/>
  <c r="J62" i="77" l="1"/>
  <c r="I872" i="79"/>
  <c r="K45" i="77"/>
  <c r="K55" i="77" s="1"/>
  <c r="K865" i="79" s="1"/>
  <c r="K62" i="77" l="1"/>
  <c r="J872" i="79"/>
  <c r="B77" i="77"/>
  <c r="B87" i="77" s="1"/>
  <c r="B897" i="79" s="1"/>
  <c r="B94" i="77" l="1"/>
  <c r="K872" i="79"/>
  <c r="C77" i="77"/>
  <c r="C87" i="77" s="1"/>
  <c r="C897" i="79" s="1"/>
  <c r="C94" i="77" l="1"/>
  <c r="B904" i="79"/>
  <c r="D77" i="77"/>
  <c r="D87" i="77" s="1"/>
  <c r="D897" i="79" s="1"/>
  <c r="D94" i="77" l="1"/>
  <c r="C904" i="79"/>
  <c r="E77" i="77"/>
  <c r="E87" i="77" s="1"/>
  <c r="E897" i="79" s="1"/>
  <c r="E94" i="77" l="1"/>
  <c r="D904" i="79"/>
  <c r="F77" i="77"/>
  <c r="F87" i="77" s="1"/>
  <c r="F897" i="79" s="1"/>
  <c r="F94" i="77" l="1"/>
  <c r="E904" i="79"/>
  <c r="G77" i="77"/>
  <c r="G87" i="77" s="1"/>
  <c r="G897" i="79" s="1"/>
  <c r="G94" i="77" l="1"/>
  <c r="F904" i="79"/>
  <c r="H77" i="77"/>
  <c r="H87" i="77" s="1"/>
  <c r="H897" i="79" s="1"/>
  <c r="H94" i="77" l="1"/>
  <c r="G904" i="79"/>
  <c r="I77" i="77"/>
  <c r="I87" i="77" s="1"/>
  <c r="I897" i="79" s="1"/>
  <c r="I94" i="77" l="1"/>
  <c r="H904" i="79"/>
  <c r="J77" i="77"/>
  <c r="J87" i="77" s="1"/>
  <c r="J897" i="79" s="1"/>
  <c r="J94" i="77" l="1"/>
  <c r="I904" i="79"/>
  <c r="K77" i="77"/>
  <c r="K87" i="77" s="1"/>
  <c r="K897" i="79" s="1"/>
  <c r="K94" i="77" l="1"/>
  <c r="J904" i="79"/>
  <c r="B107" i="77"/>
  <c r="B124" i="77" l="1"/>
  <c r="K904" i="79"/>
  <c r="B117" i="77"/>
  <c r="B927" i="79" s="1"/>
  <c r="B917" i="79"/>
  <c r="C107" i="77"/>
  <c r="C117" i="77" l="1"/>
  <c r="C927" i="79" s="1"/>
  <c r="C917" i="79"/>
  <c r="C124" i="77"/>
  <c r="B934" i="79"/>
  <c r="D107" i="77"/>
  <c r="D117" i="77" l="1"/>
  <c r="D927" i="79" s="1"/>
  <c r="D917" i="79"/>
  <c r="D124" i="77"/>
  <c r="C934" i="79"/>
  <c r="E107" i="77"/>
  <c r="E124" i="77" l="1"/>
  <c r="D934" i="79"/>
  <c r="E117" i="77"/>
  <c r="E927" i="79" s="1"/>
  <c r="E917" i="79"/>
  <c r="F107" i="77"/>
  <c r="F124" i="77" l="1"/>
  <c r="F934" i="79" s="1"/>
  <c r="E934" i="79"/>
  <c r="F117" i="77"/>
  <c r="F927" i="79" s="1"/>
  <c r="F917" i="79"/>
  <c r="P244" i="76" l="1"/>
  <c r="F240" i="76"/>
  <c r="K237" i="76"/>
  <c r="M227" i="76"/>
  <c r="F229" i="76"/>
  <c r="K227" i="76"/>
  <c r="F220" i="76"/>
  <c r="P219" i="76"/>
  <c r="K218" i="76"/>
  <c r="R213" i="76"/>
  <c r="K211" i="76"/>
  <c r="F112" i="77" s="1"/>
  <c r="F922" i="79" s="1"/>
  <c r="J211" i="76"/>
  <c r="E112" i="77" s="1"/>
  <c r="E922" i="79" s="1"/>
  <c r="I211" i="76"/>
  <c r="D112" i="77" s="1"/>
  <c r="D922" i="79" s="1"/>
  <c r="H211" i="76"/>
  <c r="C112" i="77" s="1"/>
  <c r="C922" i="79" s="1"/>
  <c r="G211" i="76"/>
  <c r="B112" i="77" s="1"/>
  <c r="B922" i="79" s="1"/>
  <c r="R208" i="76"/>
  <c r="K207" i="76"/>
  <c r="F111" i="77" s="1"/>
  <c r="F921" i="79" s="1"/>
  <c r="J207" i="76"/>
  <c r="E111" i="77" s="1"/>
  <c r="E921" i="79" s="1"/>
  <c r="I207" i="76"/>
  <c r="D111" i="77" s="1"/>
  <c r="D921" i="79" s="1"/>
  <c r="H207" i="76"/>
  <c r="C111" i="77" s="1"/>
  <c r="C921" i="79" s="1"/>
  <c r="G207" i="76"/>
  <c r="B111" i="77" s="1"/>
  <c r="B921" i="79" s="1"/>
  <c r="S204" i="76"/>
  <c r="P202" i="76"/>
  <c r="K82" i="77" s="1"/>
  <c r="K892" i="79" s="1"/>
  <c r="O202" i="76"/>
  <c r="J82" i="77" s="1"/>
  <c r="J892" i="79" s="1"/>
  <c r="N202" i="76"/>
  <c r="I82" i="77" s="1"/>
  <c r="I892" i="79" s="1"/>
  <c r="M202" i="76"/>
  <c r="H82" i="77" s="1"/>
  <c r="H892" i="79" s="1"/>
  <c r="L202" i="76"/>
  <c r="G82" i="77" s="1"/>
  <c r="G892" i="79" s="1"/>
  <c r="K202" i="76"/>
  <c r="F82" i="77" s="1"/>
  <c r="F892" i="79" s="1"/>
  <c r="J202" i="76"/>
  <c r="E82" i="77" s="1"/>
  <c r="E892" i="79" s="1"/>
  <c r="I202" i="76"/>
  <c r="D82" i="77" s="1"/>
  <c r="D892" i="79" s="1"/>
  <c r="H202" i="76"/>
  <c r="C82" i="77" s="1"/>
  <c r="C892" i="79" s="1"/>
  <c r="G202" i="76"/>
  <c r="B82" i="77" s="1"/>
  <c r="B892" i="79" s="1"/>
  <c r="R199" i="76"/>
  <c r="P198" i="76"/>
  <c r="K81" i="77" s="1"/>
  <c r="K891" i="79" s="1"/>
  <c r="O198" i="76"/>
  <c r="J81" i="77" s="1"/>
  <c r="J891" i="79" s="1"/>
  <c r="N198" i="76"/>
  <c r="I81" i="77" s="1"/>
  <c r="I891" i="79" s="1"/>
  <c r="M198" i="76"/>
  <c r="H81" i="77" s="1"/>
  <c r="H891" i="79" s="1"/>
  <c r="L198" i="76"/>
  <c r="G81" i="77" s="1"/>
  <c r="G891" i="79" s="1"/>
  <c r="K198" i="76"/>
  <c r="F81" i="77" s="1"/>
  <c r="F891" i="79" s="1"/>
  <c r="J198" i="76"/>
  <c r="E81" i="77" s="1"/>
  <c r="E891" i="79" s="1"/>
  <c r="I198" i="76"/>
  <c r="D81" i="77" s="1"/>
  <c r="D891" i="79" s="1"/>
  <c r="H198" i="76"/>
  <c r="C81" i="77" s="1"/>
  <c r="C891" i="79" s="1"/>
  <c r="G198" i="76"/>
  <c r="B81" i="77" s="1"/>
  <c r="B891" i="79" s="1"/>
  <c r="S195" i="76"/>
  <c r="P193" i="76"/>
  <c r="K50" i="77" s="1"/>
  <c r="K860" i="79" s="1"/>
  <c r="O193" i="76"/>
  <c r="J50" i="77" s="1"/>
  <c r="J860" i="79" s="1"/>
  <c r="N193" i="76"/>
  <c r="I50" i="77" s="1"/>
  <c r="I860" i="79" s="1"/>
  <c r="M193" i="76"/>
  <c r="H50" i="77" s="1"/>
  <c r="H860" i="79" s="1"/>
  <c r="L193" i="76"/>
  <c r="G50" i="77" s="1"/>
  <c r="G860" i="79" s="1"/>
  <c r="K193" i="76"/>
  <c r="F50" i="77" s="1"/>
  <c r="F860" i="79" s="1"/>
  <c r="J193" i="76"/>
  <c r="E50" i="77" s="1"/>
  <c r="E860" i="79" s="1"/>
  <c r="I193" i="76"/>
  <c r="D50" i="77" s="1"/>
  <c r="D860" i="79" s="1"/>
  <c r="H193" i="76"/>
  <c r="C50" i="77" s="1"/>
  <c r="C860" i="79" s="1"/>
  <c r="G193" i="76"/>
  <c r="B50" i="77" s="1"/>
  <c r="B860" i="79" s="1"/>
  <c r="R190" i="76"/>
  <c r="P189" i="76"/>
  <c r="K49" i="77" s="1"/>
  <c r="K859" i="79" s="1"/>
  <c r="O189" i="76"/>
  <c r="J49" i="77" s="1"/>
  <c r="J859" i="79" s="1"/>
  <c r="N189" i="76"/>
  <c r="I49" i="77" s="1"/>
  <c r="I859" i="79" s="1"/>
  <c r="M189" i="76"/>
  <c r="H49" i="77" s="1"/>
  <c r="H859" i="79" s="1"/>
  <c r="L189" i="76"/>
  <c r="G49" i="77" s="1"/>
  <c r="G859" i="79" s="1"/>
  <c r="K189" i="76"/>
  <c r="F49" i="77" s="1"/>
  <c r="F859" i="79" s="1"/>
  <c r="J189" i="76"/>
  <c r="E49" i="77" s="1"/>
  <c r="E859" i="79" s="1"/>
  <c r="I189" i="76"/>
  <c r="D49" i="77" s="1"/>
  <c r="D859" i="79" s="1"/>
  <c r="H189" i="76"/>
  <c r="C49" i="77" s="1"/>
  <c r="C859" i="79" s="1"/>
  <c r="G189" i="76"/>
  <c r="B49" i="77" s="1"/>
  <c r="B859" i="79" s="1"/>
  <c r="S186" i="76"/>
  <c r="P184" i="76"/>
  <c r="K18" i="77" s="1"/>
  <c r="K828" i="79" s="1"/>
  <c r="O184" i="76"/>
  <c r="J18" i="77" s="1"/>
  <c r="J828" i="79" s="1"/>
  <c r="N184" i="76"/>
  <c r="I18" i="77" s="1"/>
  <c r="I828" i="79" s="1"/>
  <c r="M184" i="76"/>
  <c r="H18" i="77" s="1"/>
  <c r="H828" i="79" s="1"/>
  <c r="L184" i="76"/>
  <c r="G18" i="77" s="1"/>
  <c r="G828" i="79" s="1"/>
  <c r="K184" i="76"/>
  <c r="F18" i="77" s="1"/>
  <c r="F828" i="79" s="1"/>
  <c r="J184" i="76"/>
  <c r="E18" i="77" s="1"/>
  <c r="E828" i="79" s="1"/>
  <c r="I184" i="76"/>
  <c r="D18" i="77" s="1"/>
  <c r="D828" i="79" s="1"/>
  <c r="H184" i="76"/>
  <c r="C18" i="77" s="1"/>
  <c r="C828" i="79" s="1"/>
  <c r="G184" i="76"/>
  <c r="B18" i="77" s="1"/>
  <c r="B828" i="79" s="1"/>
  <c r="R181" i="76"/>
  <c r="P180" i="76"/>
  <c r="K17" i="77" s="1"/>
  <c r="K827" i="79" s="1"/>
  <c r="O180" i="76"/>
  <c r="J17" i="77" s="1"/>
  <c r="J827" i="79" s="1"/>
  <c r="N180" i="76"/>
  <c r="I17" i="77" s="1"/>
  <c r="I827" i="79" s="1"/>
  <c r="M180" i="76"/>
  <c r="H17" i="77" s="1"/>
  <c r="H827" i="79" s="1"/>
  <c r="L180" i="76"/>
  <c r="G17" i="77" s="1"/>
  <c r="G827" i="79" s="1"/>
  <c r="K180" i="76"/>
  <c r="F17" i="77" s="1"/>
  <c r="F827" i="79" s="1"/>
  <c r="J180" i="76"/>
  <c r="E17" i="77" s="1"/>
  <c r="E827" i="79" s="1"/>
  <c r="I180" i="76"/>
  <c r="D17" i="77" s="1"/>
  <c r="D827" i="79" s="1"/>
  <c r="H180" i="76"/>
  <c r="C17" i="77" s="1"/>
  <c r="C827" i="79" s="1"/>
  <c r="G180" i="76"/>
  <c r="B17" i="77" s="1"/>
  <c r="B827" i="79" s="1"/>
  <c r="R177" i="76"/>
  <c r="R176" i="76"/>
  <c r="R174" i="76"/>
  <c r="R155" i="76"/>
  <c r="R145" i="76"/>
  <c r="R144" i="76"/>
  <c r="R125" i="76"/>
  <c r="O122" i="76"/>
  <c r="O121" i="76"/>
  <c r="P43" i="7" s="1"/>
  <c r="P73" i="79" s="1"/>
  <c r="R102" i="76"/>
  <c r="R101" i="76"/>
  <c r="R91" i="76"/>
  <c r="R53" i="76"/>
  <c r="K101" i="76"/>
  <c r="F49" i="76"/>
  <c r="E49" i="76"/>
  <c r="B49" i="76"/>
  <c r="MT48" i="76"/>
  <c r="F48" i="76"/>
  <c r="E48" i="76"/>
  <c r="MS47" i="76"/>
  <c r="MR47" i="76"/>
  <c r="MQ47" i="76"/>
  <c r="MP47" i="76"/>
  <c r="MO47" i="76"/>
  <c r="MN47" i="76"/>
  <c r="MM47" i="76"/>
  <c r="ML47" i="76"/>
  <c r="MK47" i="76"/>
  <c r="MJ47" i="76"/>
  <c r="MI47" i="76"/>
  <c r="MH47" i="76"/>
  <c r="MG47" i="76"/>
  <c r="MF47" i="76"/>
  <c r="ME47" i="76"/>
  <c r="MD47" i="76"/>
  <c r="MC47" i="76"/>
  <c r="MB47" i="76"/>
  <c r="MA47" i="76"/>
  <c r="LZ47" i="76"/>
  <c r="LY47" i="76"/>
  <c r="LX47" i="76"/>
  <c r="LW47" i="76"/>
  <c r="LV47" i="76"/>
  <c r="LU47" i="76"/>
  <c r="LT47" i="76"/>
  <c r="LS47" i="76"/>
  <c r="LR47" i="76"/>
  <c r="LQ47" i="76"/>
  <c r="LP47" i="76"/>
  <c r="LO47" i="76"/>
  <c r="LN47" i="76"/>
  <c r="LM47" i="76"/>
  <c r="LL47" i="76"/>
  <c r="LK47" i="76"/>
  <c r="LJ47" i="76"/>
  <c r="LI47" i="76"/>
  <c r="LH47" i="76"/>
  <c r="LG47" i="76"/>
  <c r="LF47" i="76"/>
  <c r="LE47" i="76"/>
  <c r="LD47" i="76"/>
  <c r="LC47" i="76"/>
  <c r="LB47" i="76"/>
  <c r="LA47" i="76"/>
  <c r="KZ47" i="76"/>
  <c r="KY47" i="76"/>
  <c r="KX47" i="76"/>
  <c r="KW47" i="76"/>
  <c r="KV47" i="76"/>
  <c r="KU47" i="76"/>
  <c r="KT47" i="76"/>
  <c r="KS47" i="76"/>
  <c r="KR47" i="76"/>
  <c r="KQ47" i="76"/>
  <c r="KP47" i="76"/>
  <c r="KO47" i="76"/>
  <c r="KN47" i="76"/>
  <c r="KM47" i="76"/>
  <c r="KL47" i="76"/>
  <c r="KK47" i="76"/>
  <c r="KJ47" i="76"/>
  <c r="KI47" i="76"/>
  <c r="KH47" i="76"/>
  <c r="KG47" i="76"/>
  <c r="KF47" i="76"/>
  <c r="KE47" i="76"/>
  <c r="KD47" i="76"/>
  <c r="KC47" i="76"/>
  <c r="KB47" i="76"/>
  <c r="KA47" i="76"/>
  <c r="JZ47" i="76"/>
  <c r="JY47" i="76"/>
  <c r="JX47" i="76"/>
  <c r="JW47" i="76"/>
  <c r="JV47" i="76"/>
  <c r="JU47" i="76"/>
  <c r="JT47" i="76"/>
  <c r="JS47" i="76"/>
  <c r="JR47" i="76"/>
  <c r="JQ47" i="76"/>
  <c r="JP47" i="76"/>
  <c r="JO47" i="76"/>
  <c r="JN47" i="76"/>
  <c r="JM47" i="76"/>
  <c r="JL47" i="76"/>
  <c r="JK47" i="76"/>
  <c r="JJ47" i="76"/>
  <c r="JI47" i="76"/>
  <c r="JH47" i="76"/>
  <c r="JG47" i="76"/>
  <c r="JF47" i="76"/>
  <c r="JE47" i="76"/>
  <c r="JD47" i="76"/>
  <c r="JC47" i="76"/>
  <c r="JB47" i="76"/>
  <c r="JA47" i="76"/>
  <c r="IZ47" i="76"/>
  <c r="IY47" i="76"/>
  <c r="IX47" i="76"/>
  <c r="IW47" i="76"/>
  <c r="IV47" i="76"/>
  <c r="IU47" i="76"/>
  <c r="IT47" i="76"/>
  <c r="IS47" i="76"/>
  <c r="IR47" i="76"/>
  <c r="IQ47" i="76"/>
  <c r="IP47" i="76"/>
  <c r="IO47" i="76"/>
  <c r="IN47" i="76"/>
  <c r="IM47" i="76"/>
  <c r="IL47" i="76"/>
  <c r="IK47" i="76"/>
  <c r="IJ47" i="76"/>
  <c r="II47" i="76"/>
  <c r="IH47" i="76"/>
  <c r="IG47" i="76"/>
  <c r="IF47" i="76"/>
  <c r="IE47" i="76"/>
  <c r="ID47" i="76"/>
  <c r="IC47" i="76"/>
  <c r="IB47" i="76"/>
  <c r="IA47" i="76"/>
  <c r="HZ47" i="76"/>
  <c r="HY47" i="76"/>
  <c r="HX47" i="76"/>
  <c r="HW47" i="76"/>
  <c r="HV47" i="76"/>
  <c r="HU47" i="76"/>
  <c r="HT47" i="76"/>
  <c r="HS47" i="76"/>
  <c r="HR47" i="76"/>
  <c r="HQ47" i="76"/>
  <c r="HP47" i="76"/>
  <c r="HO47" i="76"/>
  <c r="HN47" i="76"/>
  <c r="HM47" i="76"/>
  <c r="HL47" i="76"/>
  <c r="HK47" i="76"/>
  <c r="HJ47" i="76"/>
  <c r="HI47" i="76"/>
  <c r="HH47" i="76"/>
  <c r="HG47" i="76"/>
  <c r="HF47" i="76"/>
  <c r="HE47" i="76"/>
  <c r="HD47" i="76"/>
  <c r="HC47" i="76"/>
  <c r="HB47" i="76"/>
  <c r="HA47" i="76"/>
  <c r="GZ47" i="76"/>
  <c r="GY47" i="76"/>
  <c r="GX47" i="76"/>
  <c r="GW47" i="76"/>
  <c r="GV47" i="76"/>
  <c r="GU47" i="76"/>
  <c r="GT47" i="76"/>
  <c r="GS47" i="76"/>
  <c r="GR47" i="76"/>
  <c r="GQ47" i="76"/>
  <c r="GP47" i="76"/>
  <c r="GO47" i="76"/>
  <c r="GN47" i="76"/>
  <c r="GM47" i="76"/>
  <c r="GL47" i="76"/>
  <c r="GK47" i="76"/>
  <c r="GJ47" i="76"/>
  <c r="GI47" i="76"/>
  <c r="GH47" i="76"/>
  <c r="GG47" i="76"/>
  <c r="GF47" i="76"/>
  <c r="GE47" i="76"/>
  <c r="GD47" i="76"/>
  <c r="GC47" i="76"/>
  <c r="GB47" i="76"/>
  <c r="GA47" i="76"/>
  <c r="FZ47" i="76"/>
  <c r="FY47" i="76"/>
  <c r="FX47" i="76"/>
  <c r="FW47" i="76"/>
  <c r="FV47" i="76"/>
  <c r="FU47" i="76"/>
  <c r="FT47" i="76"/>
  <c r="FS47" i="76"/>
  <c r="FR47" i="76"/>
  <c r="FQ47" i="76"/>
  <c r="FP47" i="76"/>
  <c r="FO47" i="76"/>
  <c r="FN47" i="76"/>
  <c r="FM47" i="76"/>
  <c r="FL47" i="76"/>
  <c r="FK47" i="76"/>
  <c r="FJ47" i="76"/>
  <c r="FI47" i="76"/>
  <c r="FH47" i="76"/>
  <c r="FG47" i="76"/>
  <c r="FF47" i="76"/>
  <c r="FE47" i="76"/>
  <c r="FD47" i="76"/>
  <c r="FC47" i="76"/>
  <c r="FB47" i="76"/>
  <c r="FA47" i="76"/>
  <c r="EZ47" i="76"/>
  <c r="EY47" i="76"/>
  <c r="EX47" i="76"/>
  <c r="EW47" i="76"/>
  <c r="EV47" i="76"/>
  <c r="EU47" i="76"/>
  <c r="ET47" i="76"/>
  <c r="ES47" i="76"/>
  <c r="ER47" i="76"/>
  <c r="EQ47" i="76"/>
  <c r="EP47" i="76"/>
  <c r="EO47" i="76"/>
  <c r="EN47" i="76"/>
  <c r="EM47" i="76"/>
  <c r="EL47" i="76"/>
  <c r="EK47" i="76"/>
  <c r="EJ47" i="76"/>
  <c r="EI47" i="76"/>
  <c r="EH47" i="76"/>
  <c r="EG47" i="76"/>
  <c r="EF47" i="76"/>
  <c r="EE47" i="76"/>
  <c r="ED47" i="76"/>
  <c r="EC47" i="76"/>
  <c r="EB47" i="76"/>
  <c r="EA47" i="76"/>
  <c r="DZ47" i="76"/>
  <c r="DY47" i="76"/>
  <c r="DX47" i="76"/>
  <c r="DW47" i="76"/>
  <c r="DV47" i="76"/>
  <c r="DU47" i="76"/>
  <c r="DT47" i="76"/>
  <c r="DS47" i="76"/>
  <c r="DR47" i="76"/>
  <c r="DQ47" i="76"/>
  <c r="DP47" i="76"/>
  <c r="DO47" i="76"/>
  <c r="DN47" i="76"/>
  <c r="DM47" i="76"/>
  <c r="DL47" i="76"/>
  <c r="DK47" i="76"/>
  <c r="DJ47" i="76"/>
  <c r="DI47" i="76"/>
  <c r="DH47" i="76"/>
  <c r="DG47" i="76"/>
  <c r="DF47" i="76"/>
  <c r="DE47" i="76"/>
  <c r="DD47" i="76"/>
  <c r="DC47" i="76"/>
  <c r="DB47" i="76"/>
  <c r="DA47" i="76"/>
  <c r="CZ47" i="76"/>
  <c r="CY47" i="76"/>
  <c r="CX47" i="76"/>
  <c r="CW47" i="76"/>
  <c r="CV47" i="76"/>
  <c r="CU47" i="76"/>
  <c r="CT47" i="76"/>
  <c r="CS47" i="76"/>
  <c r="CR47" i="76"/>
  <c r="CQ47" i="76"/>
  <c r="CP47" i="76"/>
  <c r="CO47" i="76"/>
  <c r="CN47" i="76"/>
  <c r="CM47" i="76"/>
  <c r="CL47" i="76"/>
  <c r="CK47" i="76"/>
  <c r="CJ47" i="76"/>
  <c r="CI47" i="76"/>
  <c r="CH47" i="76"/>
  <c r="CG47" i="76"/>
  <c r="CF47" i="76"/>
  <c r="CE47" i="76"/>
  <c r="CD47" i="76"/>
  <c r="CC47" i="76"/>
  <c r="CB47" i="76"/>
  <c r="CA47" i="76"/>
  <c r="BZ47" i="76"/>
  <c r="BY47" i="76"/>
  <c r="BX47" i="76"/>
  <c r="BW47" i="76"/>
  <c r="BV47" i="76"/>
  <c r="BU47" i="76"/>
  <c r="BT47" i="76"/>
  <c r="BS47" i="76"/>
  <c r="BR47" i="76"/>
  <c r="BQ47" i="76"/>
  <c r="BP47" i="76"/>
  <c r="BO47" i="76"/>
  <c r="BN47" i="76"/>
  <c r="BM47" i="76"/>
  <c r="BL47" i="76"/>
  <c r="BK47" i="76"/>
  <c r="BJ47" i="76"/>
  <c r="BI47" i="76"/>
  <c r="BH47" i="76"/>
  <c r="BG47" i="76"/>
  <c r="BF47" i="76"/>
  <c r="BE47" i="76"/>
  <c r="BD47" i="76"/>
  <c r="BC47" i="76"/>
  <c r="BB47" i="76"/>
  <c r="BA47" i="76"/>
  <c r="AZ47" i="76"/>
  <c r="AY47" i="76"/>
  <c r="AX47" i="76"/>
  <c r="AW47" i="76"/>
  <c r="AV47" i="76"/>
  <c r="AU47" i="76"/>
  <c r="AT47" i="76"/>
  <c r="AS47" i="76"/>
  <c r="AR47" i="76"/>
  <c r="AQ47" i="76"/>
  <c r="AP47" i="76"/>
  <c r="AO47" i="76"/>
  <c r="AN47" i="76"/>
  <c r="AM47" i="76"/>
  <c r="AL47" i="76"/>
  <c r="AK47" i="76"/>
  <c r="AJ47" i="76"/>
  <c r="AI47" i="76"/>
  <c r="AH47" i="76"/>
  <c r="AG47" i="76"/>
  <c r="AF47" i="76"/>
  <c r="AE47" i="76"/>
  <c r="AD47" i="76"/>
  <c r="AC47" i="76"/>
  <c r="AB47" i="76"/>
  <c r="AA47" i="76"/>
  <c r="Z47" i="76"/>
  <c r="Y47" i="76"/>
  <c r="X47" i="76"/>
  <c r="W47" i="76"/>
  <c r="Q47" i="76"/>
  <c r="K47" i="76"/>
  <c r="A47" i="76"/>
  <c r="MS46" i="76"/>
  <c r="MR46" i="76"/>
  <c r="MQ46" i="76"/>
  <c r="MP46" i="76"/>
  <c r="MO46" i="76"/>
  <c r="MN46" i="76"/>
  <c r="MM46" i="76"/>
  <c r="ML46" i="76"/>
  <c r="MK46" i="76"/>
  <c r="MJ46" i="76"/>
  <c r="MI46" i="76"/>
  <c r="MH46" i="76"/>
  <c r="MG46" i="76"/>
  <c r="MF46" i="76"/>
  <c r="ME46" i="76"/>
  <c r="MD46" i="76"/>
  <c r="MC46" i="76"/>
  <c r="MB46" i="76"/>
  <c r="MA46" i="76"/>
  <c r="LZ46" i="76"/>
  <c r="LY46" i="76"/>
  <c r="LX46" i="76"/>
  <c r="LW46" i="76"/>
  <c r="LV46" i="76"/>
  <c r="LU46" i="76"/>
  <c r="LT46" i="76"/>
  <c r="LS46" i="76"/>
  <c r="LR46" i="76"/>
  <c r="LQ46" i="76"/>
  <c r="LP46" i="76"/>
  <c r="LO46" i="76"/>
  <c r="LN46" i="76"/>
  <c r="LM46" i="76"/>
  <c r="LL46" i="76"/>
  <c r="LK46" i="76"/>
  <c r="LJ46" i="76"/>
  <c r="LI46" i="76"/>
  <c r="LH46" i="76"/>
  <c r="LG46" i="76"/>
  <c r="LF46" i="76"/>
  <c r="LE46" i="76"/>
  <c r="LD46" i="76"/>
  <c r="LC46" i="76"/>
  <c r="LB46" i="76"/>
  <c r="LA46" i="76"/>
  <c r="KZ46" i="76"/>
  <c r="KY46" i="76"/>
  <c r="KX46" i="76"/>
  <c r="KW46" i="76"/>
  <c r="KV46" i="76"/>
  <c r="KU46" i="76"/>
  <c r="KT46" i="76"/>
  <c r="KS46" i="76"/>
  <c r="KR46" i="76"/>
  <c r="KQ46" i="76"/>
  <c r="KP46" i="76"/>
  <c r="KO46" i="76"/>
  <c r="KN46" i="76"/>
  <c r="KM46" i="76"/>
  <c r="KL46" i="76"/>
  <c r="KK46" i="76"/>
  <c r="KJ46" i="76"/>
  <c r="KI46" i="76"/>
  <c r="KH46" i="76"/>
  <c r="KG46" i="76"/>
  <c r="KF46" i="76"/>
  <c r="KE46" i="76"/>
  <c r="KD46" i="76"/>
  <c r="KC46" i="76"/>
  <c r="KB46" i="76"/>
  <c r="KA46" i="76"/>
  <c r="JZ46" i="76"/>
  <c r="JY46" i="76"/>
  <c r="JX46" i="76"/>
  <c r="JW46" i="76"/>
  <c r="JV46" i="76"/>
  <c r="JU46" i="76"/>
  <c r="JT46" i="76"/>
  <c r="JS46" i="76"/>
  <c r="JR46" i="76"/>
  <c r="JQ46" i="76"/>
  <c r="JP46" i="76"/>
  <c r="JO46" i="76"/>
  <c r="JN46" i="76"/>
  <c r="JM46" i="76"/>
  <c r="JL46" i="76"/>
  <c r="JK46" i="76"/>
  <c r="JJ46" i="76"/>
  <c r="JI46" i="76"/>
  <c r="JH46" i="76"/>
  <c r="JG46" i="76"/>
  <c r="JF46" i="76"/>
  <c r="JE46" i="76"/>
  <c r="JD46" i="76"/>
  <c r="JC46" i="76"/>
  <c r="JB46" i="76"/>
  <c r="JA46" i="76"/>
  <c r="IZ46" i="76"/>
  <c r="IY46" i="76"/>
  <c r="IX46" i="76"/>
  <c r="IW46" i="76"/>
  <c r="IV46" i="76"/>
  <c r="IU46" i="76"/>
  <c r="IT46" i="76"/>
  <c r="IS46" i="76"/>
  <c r="IR46" i="76"/>
  <c r="IQ46" i="76"/>
  <c r="IP46" i="76"/>
  <c r="IO46" i="76"/>
  <c r="IN46" i="76"/>
  <c r="IM46" i="76"/>
  <c r="IL46" i="76"/>
  <c r="IK46" i="76"/>
  <c r="IJ46" i="76"/>
  <c r="II46" i="76"/>
  <c r="IH46" i="76"/>
  <c r="IG46" i="76"/>
  <c r="IF46" i="76"/>
  <c r="IE46" i="76"/>
  <c r="ID46" i="76"/>
  <c r="IC46" i="76"/>
  <c r="IB46" i="76"/>
  <c r="IA46" i="76"/>
  <c r="HZ46" i="76"/>
  <c r="HY46" i="76"/>
  <c r="HX46" i="76"/>
  <c r="HW46" i="76"/>
  <c r="HV46" i="76"/>
  <c r="HU46" i="76"/>
  <c r="HT46" i="76"/>
  <c r="HS46" i="76"/>
  <c r="HR46" i="76"/>
  <c r="HQ46" i="76"/>
  <c r="HP46" i="76"/>
  <c r="HO46" i="76"/>
  <c r="HN46" i="76"/>
  <c r="HM46" i="76"/>
  <c r="HL46" i="76"/>
  <c r="HK46" i="76"/>
  <c r="HJ46" i="76"/>
  <c r="HI46" i="76"/>
  <c r="HH46" i="76"/>
  <c r="HG46" i="76"/>
  <c r="HF46" i="76"/>
  <c r="HE46" i="76"/>
  <c r="HD46" i="76"/>
  <c r="HC46" i="76"/>
  <c r="HB46" i="76"/>
  <c r="HA46" i="76"/>
  <c r="GZ46" i="76"/>
  <c r="GY46" i="76"/>
  <c r="GX46" i="76"/>
  <c r="GW46" i="76"/>
  <c r="GV46" i="76"/>
  <c r="GU46" i="76"/>
  <c r="GT46" i="76"/>
  <c r="GS46" i="76"/>
  <c r="GR46" i="76"/>
  <c r="GQ46" i="76"/>
  <c r="GP46" i="76"/>
  <c r="GO46" i="76"/>
  <c r="GN46" i="76"/>
  <c r="GM46" i="76"/>
  <c r="GL46" i="76"/>
  <c r="GK46" i="76"/>
  <c r="GJ46" i="76"/>
  <c r="GI46" i="76"/>
  <c r="GH46" i="76"/>
  <c r="GG46" i="76"/>
  <c r="GF46" i="76"/>
  <c r="GE46" i="76"/>
  <c r="GD46" i="76"/>
  <c r="GC46" i="76"/>
  <c r="GB46" i="76"/>
  <c r="GA46" i="76"/>
  <c r="FZ46" i="76"/>
  <c r="FY46" i="76"/>
  <c r="FX46" i="76"/>
  <c r="FW46" i="76"/>
  <c r="FV46" i="76"/>
  <c r="FU46" i="76"/>
  <c r="FT46" i="76"/>
  <c r="FS46" i="76"/>
  <c r="FR46" i="76"/>
  <c r="FQ46" i="76"/>
  <c r="FP46" i="76"/>
  <c r="FO46" i="76"/>
  <c r="FN46" i="76"/>
  <c r="FM46" i="76"/>
  <c r="FL46" i="76"/>
  <c r="FK46" i="76"/>
  <c r="FJ46" i="76"/>
  <c r="FI46" i="76"/>
  <c r="FH46" i="76"/>
  <c r="FG46" i="76"/>
  <c r="FF46" i="76"/>
  <c r="FE46" i="76"/>
  <c r="FD46" i="76"/>
  <c r="FC46" i="76"/>
  <c r="FB46" i="76"/>
  <c r="FA46" i="76"/>
  <c r="EZ46" i="76"/>
  <c r="EY46" i="76"/>
  <c r="EX46" i="76"/>
  <c r="EW46" i="76"/>
  <c r="EV46" i="76"/>
  <c r="EU46" i="76"/>
  <c r="ET46" i="76"/>
  <c r="ES46" i="76"/>
  <c r="ER46" i="76"/>
  <c r="EQ46" i="76"/>
  <c r="EP46" i="76"/>
  <c r="EO46" i="76"/>
  <c r="EN46" i="76"/>
  <c r="EM46" i="76"/>
  <c r="EL46" i="76"/>
  <c r="EK46" i="76"/>
  <c r="EJ46" i="76"/>
  <c r="EI46" i="76"/>
  <c r="EH46" i="76"/>
  <c r="EG46" i="76"/>
  <c r="EF46" i="76"/>
  <c r="EE46" i="76"/>
  <c r="ED46" i="76"/>
  <c r="EC46" i="76"/>
  <c r="EB46" i="76"/>
  <c r="EA46" i="76"/>
  <c r="DZ46" i="76"/>
  <c r="DY46" i="76"/>
  <c r="DX46" i="76"/>
  <c r="DW46" i="76"/>
  <c r="DV46" i="76"/>
  <c r="DU46" i="76"/>
  <c r="DT46" i="76"/>
  <c r="DS46" i="76"/>
  <c r="DR46" i="76"/>
  <c r="DQ46" i="76"/>
  <c r="DP46" i="76"/>
  <c r="DO46" i="76"/>
  <c r="DN46" i="76"/>
  <c r="DM46" i="76"/>
  <c r="DL46" i="76"/>
  <c r="DK46" i="76"/>
  <c r="DJ46" i="76"/>
  <c r="DI46" i="76"/>
  <c r="DH46" i="76"/>
  <c r="DG46" i="76"/>
  <c r="DF46" i="76"/>
  <c r="DE46" i="76"/>
  <c r="DD46" i="76"/>
  <c r="DC46" i="76"/>
  <c r="DB46" i="76"/>
  <c r="DA46" i="76"/>
  <c r="CZ46" i="76"/>
  <c r="CY46" i="76"/>
  <c r="CX46" i="76"/>
  <c r="CW46" i="76"/>
  <c r="CV46" i="76"/>
  <c r="CU46" i="76"/>
  <c r="CT46" i="76"/>
  <c r="CS46" i="76"/>
  <c r="CR46" i="76"/>
  <c r="CQ46" i="76"/>
  <c r="CP46" i="76"/>
  <c r="CO46" i="76"/>
  <c r="CN46" i="76"/>
  <c r="CM46" i="76"/>
  <c r="CL46" i="76"/>
  <c r="CK46" i="76"/>
  <c r="CJ46" i="76"/>
  <c r="CI46" i="76"/>
  <c r="CH46" i="76"/>
  <c r="CG46" i="76"/>
  <c r="CF46" i="76"/>
  <c r="CE46" i="76"/>
  <c r="CD46" i="76"/>
  <c r="CC46" i="76"/>
  <c r="CB46" i="76"/>
  <c r="CA46" i="76"/>
  <c r="BZ46" i="76"/>
  <c r="BY46" i="76"/>
  <c r="BX46" i="76"/>
  <c r="BW46" i="76"/>
  <c r="BV46" i="76"/>
  <c r="BU46" i="76"/>
  <c r="BT46" i="76"/>
  <c r="BS46" i="76"/>
  <c r="BR46" i="76"/>
  <c r="BQ46" i="76"/>
  <c r="BP46" i="76"/>
  <c r="BO46" i="76"/>
  <c r="BN46" i="76"/>
  <c r="BM46" i="76"/>
  <c r="BL46" i="76"/>
  <c r="BK46" i="76"/>
  <c r="BJ46" i="76"/>
  <c r="BI46" i="76"/>
  <c r="BH46" i="76"/>
  <c r="BG46" i="76"/>
  <c r="BF46" i="76"/>
  <c r="BE46" i="76"/>
  <c r="BD46" i="76"/>
  <c r="BC46" i="76"/>
  <c r="BB46" i="76"/>
  <c r="BA46" i="76"/>
  <c r="AZ46" i="76"/>
  <c r="AY46" i="76"/>
  <c r="AX46" i="76"/>
  <c r="AW46" i="76"/>
  <c r="AV46" i="76"/>
  <c r="AU46" i="76"/>
  <c r="AT46" i="76"/>
  <c r="AS46" i="76"/>
  <c r="AR46" i="76"/>
  <c r="AQ46" i="76"/>
  <c r="AP46" i="76"/>
  <c r="AO46" i="76"/>
  <c r="AN46" i="76"/>
  <c r="AM46" i="76"/>
  <c r="AL46" i="76"/>
  <c r="AK46" i="76"/>
  <c r="AJ46" i="76"/>
  <c r="AI46" i="76"/>
  <c r="AH46" i="76"/>
  <c r="AG46" i="76"/>
  <c r="AF46" i="76"/>
  <c r="AE46" i="76"/>
  <c r="AD46" i="76"/>
  <c r="AC46" i="76"/>
  <c r="AB46" i="76"/>
  <c r="AA46" i="76"/>
  <c r="Z46" i="76"/>
  <c r="Y46" i="76"/>
  <c r="X46" i="76"/>
  <c r="W46" i="76"/>
  <c r="Q46" i="76"/>
  <c r="K46" i="76"/>
  <c r="A46" i="76"/>
  <c r="MS45" i="76"/>
  <c r="MR45" i="76"/>
  <c r="MQ45" i="76"/>
  <c r="MP45" i="76"/>
  <c r="MO45" i="76"/>
  <c r="MN45" i="76"/>
  <c r="MM45" i="76"/>
  <c r="ML45" i="76"/>
  <c r="MK45" i="76"/>
  <c r="MJ45" i="76"/>
  <c r="MI45" i="76"/>
  <c r="MH45" i="76"/>
  <c r="MG45" i="76"/>
  <c r="MF45" i="76"/>
  <c r="ME45" i="76"/>
  <c r="MD45" i="76"/>
  <c r="MC45" i="76"/>
  <c r="MB45" i="76"/>
  <c r="MA45" i="76"/>
  <c r="LZ45" i="76"/>
  <c r="LY45" i="76"/>
  <c r="LX45" i="76"/>
  <c r="LW45" i="76"/>
  <c r="LV45" i="76"/>
  <c r="LU45" i="76"/>
  <c r="LT45" i="76"/>
  <c r="LS45" i="76"/>
  <c r="LR45" i="76"/>
  <c r="LQ45" i="76"/>
  <c r="LP45" i="76"/>
  <c r="LO45" i="76"/>
  <c r="LN45" i="76"/>
  <c r="LM45" i="76"/>
  <c r="LL45" i="76"/>
  <c r="LK45" i="76"/>
  <c r="LJ45" i="76"/>
  <c r="LI45" i="76"/>
  <c r="LH45" i="76"/>
  <c r="LG45" i="76"/>
  <c r="LF45" i="76"/>
  <c r="LE45" i="76"/>
  <c r="LD45" i="76"/>
  <c r="LC45" i="76"/>
  <c r="LB45" i="76"/>
  <c r="LA45" i="76"/>
  <c r="KZ45" i="76"/>
  <c r="KY45" i="76"/>
  <c r="KX45" i="76"/>
  <c r="KW45" i="76"/>
  <c r="KV45" i="76"/>
  <c r="KU45" i="76"/>
  <c r="KT45" i="76"/>
  <c r="KS45" i="76"/>
  <c r="KR45" i="76"/>
  <c r="KQ45" i="76"/>
  <c r="KP45" i="76"/>
  <c r="KO45" i="76"/>
  <c r="KN45" i="76"/>
  <c r="KM45" i="76"/>
  <c r="KL45" i="76"/>
  <c r="KK45" i="76"/>
  <c r="KJ45" i="76"/>
  <c r="KI45" i="76"/>
  <c r="KH45" i="76"/>
  <c r="KG45" i="76"/>
  <c r="KF45" i="76"/>
  <c r="KE45" i="76"/>
  <c r="KD45" i="76"/>
  <c r="KC45" i="76"/>
  <c r="KB45" i="76"/>
  <c r="KA45" i="76"/>
  <c r="JZ45" i="76"/>
  <c r="JY45" i="76"/>
  <c r="JX45" i="76"/>
  <c r="JW45" i="76"/>
  <c r="JV45" i="76"/>
  <c r="JU45" i="76"/>
  <c r="JT45" i="76"/>
  <c r="JS45" i="76"/>
  <c r="JR45" i="76"/>
  <c r="JQ45" i="76"/>
  <c r="JP45" i="76"/>
  <c r="JO45" i="76"/>
  <c r="JN45" i="76"/>
  <c r="JM45" i="76"/>
  <c r="JL45" i="76"/>
  <c r="JK45" i="76"/>
  <c r="JJ45" i="76"/>
  <c r="JI45" i="76"/>
  <c r="JH45" i="76"/>
  <c r="JG45" i="76"/>
  <c r="JF45" i="76"/>
  <c r="JE45" i="76"/>
  <c r="JD45" i="76"/>
  <c r="JC45" i="76"/>
  <c r="JB45" i="76"/>
  <c r="JA45" i="76"/>
  <c r="IZ45" i="76"/>
  <c r="IY45" i="76"/>
  <c r="IX45" i="76"/>
  <c r="IW45" i="76"/>
  <c r="IV45" i="76"/>
  <c r="IU45" i="76"/>
  <c r="IT45" i="76"/>
  <c r="IS45" i="76"/>
  <c r="IR45" i="76"/>
  <c r="IQ45" i="76"/>
  <c r="IP45" i="76"/>
  <c r="IO45" i="76"/>
  <c r="IN45" i="76"/>
  <c r="IM45" i="76"/>
  <c r="IL45" i="76"/>
  <c r="IK45" i="76"/>
  <c r="IJ45" i="76"/>
  <c r="II45" i="76"/>
  <c r="IH45" i="76"/>
  <c r="IG45" i="76"/>
  <c r="IF45" i="76"/>
  <c r="IE45" i="76"/>
  <c r="ID45" i="76"/>
  <c r="IC45" i="76"/>
  <c r="IB45" i="76"/>
  <c r="IA45" i="76"/>
  <c r="HZ45" i="76"/>
  <c r="HY45" i="76"/>
  <c r="HX45" i="76"/>
  <c r="HW45" i="76"/>
  <c r="HV45" i="76"/>
  <c r="HU45" i="76"/>
  <c r="HT45" i="76"/>
  <c r="HS45" i="76"/>
  <c r="HR45" i="76"/>
  <c r="HQ45" i="76"/>
  <c r="HP45" i="76"/>
  <c r="HO45" i="76"/>
  <c r="HN45" i="76"/>
  <c r="HM45" i="76"/>
  <c r="HL45" i="76"/>
  <c r="HK45" i="76"/>
  <c r="HJ45" i="76"/>
  <c r="HI45" i="76"/>
  <c r="HH45" i="76"/>
  <c r="HG45" i="76"/>
  <c r="HF45" i="76"/>
  <c r="HE45" i="76"/>
  <c r="HD45" i="76"/>
  <c r="HC45" i="76"/>
  <c r="HB45" i="76"/>
  <c r="HA45" i="76"/>
  <c r="GZ45" i="76"/>
  <c r="GY45" i="76"/>
  <c r="GX45" i="76"/>
  <c r="GW45" i="76"/>
  <c r="GV45" i="76"/>
  <c r="GU45" i="76"/>
  <c r="GT45" i="76"/>
  <c r="GS45" i="76"/>
  <c r="GR45" i="76"/>
  <c r="GQ45" i="76"/>
  <c r="GP45" i="76"/>
  <c r="GO45" i="76"/>
  <c r="GN45" i="76"/>
  <c r="GM45" i="76"/>
  <c r="GL45" i="76"/>
  <c r="GK45" i="76"/>
  <c r="GJ45" i="76"/>
  <c r="GI45" i="76"/>
  <c r="GH45" i="76"/>
  <c r="GG45" i="76"/>
  <c r="GF45" i="76"/>
  <c r="GE45" i="76"/>
  <c r="GD45" i="76"/>
  <c r="GC45" i="76"/>
  <c r="GB45" i="76"/>
  <c r="GA45" i="76"/>
  <c r="FZ45" i="76"/>
  <c r="FY45" i="76"/>
  <c r="FX45" i="76"/>
  <c r="FW45" i="76"/>
  <c r="FV45" i="76"/>
  <c r="FU45" i="76"/>
  <c r="FT45" i="76"/>
  <c r="FS45" i="76"/>
  <c r="FR45" i="76"/>
  <c r="FQ45" i="76"/>
  <c r="FP45" i="76"/>
  <c r="FO45" i="76"/>
  <c r="FN45" i="76"/>
  <c r="FM45" i="76"/>
  <c r="FL45" i="76"/>
  <c r="FK45" i="76"/>
  <c r="FJ45" i="76"/>
  <c r="FI45" i="76"/>
  <c r="FH45" i="76"/>
  <c r="FG45" i="76"/>
  <c r="FF45" i="76"/>
  <c r="FE45" i="76"/>
  <c r="FD45" i="76"/>
  <c r="FC45" i="76"/>
  <c r="FB45" i="76"/>
  <c r="FA45" i="76"/>
  <c r="EZ45" i="76"/>
  <c r="EY45" i="76"/>
  <c r="EX45" i="76"/>
  <c r="EW45" i="76"/>
  <c r="EV45" i="76"/>
  <c r="EU45" i="76"/>
  <c r="ET45" i="76"/>
  <c r="ES45" i="76"/>
  <c r="ER45" i="76"/>
  <c r="EQ45" i="76"/>
  <c r="EP45" i="76"/>
  <c r="EO45" i="76"/>
  <c r="EN45" i="76"/>
  <c r="EM45" i="76"/>
  <c r="EL45" i="76"/>
  <c r="EK45" i="76"/>
  <c r="EJ45" i="76"/>
  <c r="EI45" i="76"/>
  <c r="EH45" i="76"/>
  <c r="EG45" i="76"/>
  <c r="EF45" i="76"/>
  <c r="EE45" i="76"/>
  <c r="ED45" i="76"/>
  <c r="EC45" i="76"/>
  <c r="EB45" i="76"/>
  <c r="EA45" i="76"/>
  <c r="DZ45" i="76"/>
  <c r="DY45" i="76"/>
  <c r="DX45" i="76"/>
  <c r="DW45" i="76"/>
  <c r="DV45" i="76"/>
  <c r="DU45" i="76"/>
  <c r="DT45" i="76"/>
  <c r="DS45" i="76"/>
  <c r="DR45" i="76"/>
  <c r="DQ45" i="76"/>
  <c r="DP45" i="76"/>
  <c r="DO45" i="76"/>
  <c r="DN45" i="76"/>
  <c r="DM45" i="76"/>
  <c r="DL45" i="76"/>
  <c r="DK45" i="76"/>
  <c r="DJ45" i="76"/>
  <c r="DI45" i="76"/>
  <c r="DH45" i="76"/>
  <c r="DG45" i="76"/>
  <c r="DF45" i="76"/>
  <c r="DE45" i="76"/>
  <c r="DD45" i="76"/>
  <c r="DC45" i="76"/>
  <c r="DB45" i="76"/>
  <c r="DA45" i="76"/>
  <c r="CZ45" i="76"/>
  <c r="CY45" i="76"/>
  <c r="CX45" i="76"/>
  <c r="CW45" i="76"/>
  <c r="CV45" i="76"/>
  <c r="CU45" i="76"/>
  <c r="CT45" i="76"/>
  <c r="CS45" i="76"/>
  <c r="CR45" i="76"/>
  <c r="CQ45" i="76"/>
  <c r="CP45" i="76"/>
  <c r="CO45" i="76"/>
  <c r="CN45" i="76"/>
  <c r="CM45" i="76"/>
  <c r="CL45" i="76"/>
  <c r="CK45" i="76"/>
  <c r="CJ45" i="76"/>
  <c r="CI45" i="76"/>
  <c r="CH45" i="76"/>
  <c r="CG45" i="76"/>
  <c r="CF45" i="76"/>
  <c r="CE45" i="76"/>
  <c r="CD45" i="76"/>
  <c r="CC45" i="76"/>
  <c r="CB45" i="76"/>
  <c r="CA45" i="76"/>
  <c r="BZ45" i="76"/>
  <c r="BY45" i="76"/>
  <c r="BX45" i="76"/>
  <c r="BW45" i="76"/>
  <c r="BV45" i="76"/>
  <c r="BU45" i="76"/>
  <c r="BT45" i="76"/>
  <c r="BS45" i="76"/>
  <c r="BR45" i="76"/>
  <c r="BQ45" i="76"/>
  <c r="BP45" i="76"/>
  <c r="BO45" i="76"/>
  <c r="BN45" i="76"/>
  <c r="BM45" i="76"/>
  <c r="BL45" i="76"/>
  <c r="BK45" i="76"/>
  <c r="BJ45" i="76"/>
  <c r="BI45" i="76"/>
  <c r="BH45" i="76"/>
  <c r="BG45" i="76"/>
  <c r="BF45" i="76"/>
  <c r="BE45" i="76"/>
  <c r="BD45" i="76"/>
  <c r="BC45" i="76"/>
  <c r="BB45" i="76"/>
  <c r="BA45" i="76"/>
  <c r="AZ45" i="76"/>
  <c r="AY45" i="76"/>
  <c r="AX45" i="76"/>
  <c r="AW45" i="76"/>
  <c r="AV45" i="76"/>
  <c r="AU45" i="76"/>
  <c r="AT45" i="76"/>
  <c r="AS45" i="76"/>
  <c r="AR45" i="76"/>
  <c r="AQ45" i="76"/>
  <c r="AP45" i="76"/>
  <c r="AO45" i="76"/>
  <c r="AN45" i="76"/>
  <c r="AM45" i="76"/>
  <c r="AL45" i="76"/>
  <c r="AK45" i="76"/>
  <c r="AJ45" i="76"/>
  <c r="AI45" i="76"/>
  <c r="AH45" i="76"/>
  <c r="AG45" i="76"/>
  <c r="AF45" i="76"/>
  <c r="AE45" i="76"/>
  <c r="AD45" i="76"/>
  <c r="AC45" i="76"/>
  <c r="AB45" i="76"/>
  <c r="AA45" i="76"/>
  <c r="Z45" i="76"/>
  <c r="Y45" i="76"/>
  <c r="X45" i="76"/>
  <c r="W45" i="76"/>
  <c r="Q45" i="76"/>
  <c r="K45" i="76"/>
  <c r="A45" i="76"/>
  <c r="MS44" i="76"/>
  <c r="MR44" i="76"/>
  <c r="MQ44" i="76"/>
  <c r="MP44" i="76"/>
  <c r="MO44" i="76"/>
  <c r="MN44" i="76"/>
  <c r="MM44" i="76"/>
  <c r="ML44" i="76"/>
  <c r="MK44" i="76"/>
  <c r="MJ44" i="76"/>
  <c r="MI44" i="76"/>
  <c r="MH44" i="76"/>
  <c r="MG44" i="76"/>
  <c r="MF44" i="76"/>
  <c r="ME44" i="76"/>
  <c r="MD44" i="76"/>
  <c r="MC44" i="76"/>
  <c r="MB44" i="76"/>
  <c r="MA44" i="76"/>
  <c r="LZ44" i="76"/>
  <c r="LY44" i="76"/>
  <c r="LX44" i="76"/>
  <c r="LW44" i="76"/>
  <c r="LV44" i="76"/>
  <c r="LU44" i="76"/>
  <c r="LT44" i="76"/>
  <c r="LS44" i="76"/>
  <c r="LR44" i="76"/>
  <c r="LQ44" i="76"/>
  <c r="LP44" i="76"/>
  <c r="LO44" i="76"/>
  <c r="LN44" i="76"/>
  <c r="LM44" i="76"/>
  <c r="LL44" i="76"/>
  <c r="LK44" i="76"/>
  <c r="LJ44" i="76"/>
  <c r="LI44" i="76"/>
  <c r="LH44" i="76"/>
  <c r="LG44" i="76"/>
  <c r="LF44" i="76"/>
  <c r="LE44" i="76"/>
  <c r="LD44" i="76"/>
  <c r="LC44" i="76"/>
  <c r="LB44" i="76"/>
  <c r="LA44" i="76"/>
  <c r="KZ44" i="76"/>
  <c r="KY44" i="76"/>
  <c r="KX44" i="76"/>
  <c r="KW44" i="76"/>
  <c r="KV44" i="76"/>
  <c r="KU44" i="76"/>
  <c r="KT44" i="76"/>
  <c r="KS44" i="76"/>
  <c r="KR44" i="76"/>
  <c r="KQ44" i="76"/>
  <c r="KP44" i="76"/>
  <c r="KO44" i="76"/>
  <c r="KN44" i="76"/>
  <c r="KM44" i="76"/>
  <c r="KL44" i="76"/>
  <c r="KK44" i="76"/>
  <c r="KJ44" i="76"/>
  <c r="KI44" i="76"/>
  <c r="KH44" i="76"/>
  <c r="KG44" i="76"/>
  <c r="KF44" i="76"/>
  <c r="KE44" i="76"/>
  <c r="KD44" i="76"/>
  <c r="KC44" i="76"/>
  <c r="KB44" i="76"/>
  <c r="KA44" i="76"/>
  <c r="JZ44" i="76"/>
  <c r="JY44" i="76"/>
  <c r="JX44" i="76"/>
  <c r="JW44" i="76"/>
  <c r="JV44" i="76"/>
  <c r="JU44" i="76"/>
  <c r="JT44" i="76"/>
  <c r="JS44" i="76"/>
  <c r="JR44" i="76"/>
  <c r="JQ44" i="76"/>
  <c r="JP44" i="76"/>
  <c r="JO44" i="76"/>
  <c r="JN44" i="76"/>
  <c r="JM44" i="76"/>
  <c r="JL44" i="76"/>
  <c r="JK44" i="76"/>
  <c r="JJ44" i="76"/>
  <c r="JI44" i="76"/>
  <c r="JH44" i="76"/>
  <c r="JG44" i="76"/>
  <c r="JF44" i="76"/>
  <c r="JE44" i="76"/>
  <c r="JD44" i="76"/>
  <c r="JC44" i="76"/>
  <c r="JB44" i="76"/>
  <c r="JA44" i="76"/>
  <c r="IZ44" i="76"/>
  <c r="IY44" i="76"/>
  <c r="IX44" i="76"/>
  <c r="IW44" i="76"/>
  <c r="IV44" i="76"/>
  <c r="IU44" i="76"/>
  <c r="IT44" i="76"/>
  <c r="IS44" i="76"/>
  <c r="IR44" i="76"/>
  <c r="IQ44" i="76"/>
  <c r="IP44" i="76"/>
  <c r="IO44" i="76"/>
  <c r="IN44" i="76"/>
  <c r="IM44" i="76"/>
  <c r="IL44" i="76"/>
  <c r="IK44" i="76"/>
  <c r="IJ44" i="76"/>
  <c r="II44" i="76"/>
  <c r="IH44" i="76"/>
  <c r="IG44" i="76"/>
  <c r="IF44" i="76"/>
  <c r="IE44" i="76"/>
  <c r="ID44" i="76"/>
  <c r="IC44" i="76"/>
  <c r="IB44" i="76"/>
  <c r="IA44" i="76"/>
  <c r="HZ44" i="76"/>
  <c r="HY44" i="76"/>
  <c r="HX44" i="76"/>
  <c r="HW44" i="76"/>
  <c r="HV44" i="76"/>
  <c r="HU44" i="76"/>
  <c r="HT44" i="76"/>
  <c r="HS44" i="76"/>
  <c r="HR44" i="76"/>
  <c r="HQ44" i="76"/>
  <c r="HP44" i="76"/>
  <c r="HO44" i="76"/>
  <c r="HN44" i="76"/>
  <c r="HM44" i="76"/>
  <c r="HL44" i="76"/>
  <c r="HK44" i="76"/>
  <c r="HJ44" i="76"/>
  <c r="HI44" i="76"/>
  <c r="HH44" i="76"/>
  <c r="HG44" i="76"/>
  <c r="HF44" i="76"/>
  <c r="HE44" i="76"/>
  <c r="HD44" i="76"/>
  <c r="HC44" i="76"/>
  <c r="HB44" i="76"/>
  <c r="HA44" i="76"/>
  <c r="GZ44" i="76"/>
  <c r="GY44" i="76"/>
  <c r="GX44" i="76"/>
  <c r="GW44" i="76"/>
  <c r="GV44" i="76"/>
  <c r="GU44" i="76"/>
  <c r="GT44" i="76"/>
  <c r="GS44" i="76"/>
  <c r="GR44" i="76"/>
  <c r="GQ44" i="76"/>
  <c r="GP44" i="76"/>
  <c r="GO44" i="76"/>
  <c r="GN44" i="76"/>
  <c r="GM44" i="76"/>
  <c r="GL44" i="76"/>
  <c r="GK44" i="76"/>
  <c r="GJ44" i="76"/>
  <c r="GI44" i="76"/>
  <c r="GH44" i="76"/>
  <c r="GG44" i="76"/>
  <c r="GF44" i="76"/>
  <c r="GE44" i="76"/>
  <c r="GD44" i="76"/>
  <c r="GC44" i="76"/>
  <c r="GB44" i="76"/>
  <c r="GA44" i="76"/>
  <c r="FZ44" i="76"/>
  <c r="FY44" i="76"/>
  <c r="FX44" i="76"/>
  <c r="FW44" i="76"/>
  <c r="FV44" i="76"/>
  <c r="FU44" i="76"/>
  <c r="FT44" i="76"/>
  <c r="FS44" i="76"/>
  <c r="FR44" i="76"/>
  <c r="FQ44" i="76"/>
  <c r="FP44" i="76"/>
  <c r="FO44" i="76"/>
  <c r="FN44" i="76"/>
  <c r="FM44" i="76"/>
  <c r="FL44" i="76"/>
  <c r="FK44" i="76"/>
  <c r="FJ44" i="76"/>
  <c r="FI44" i="76"/>
  <c r="FH44" i="76"/>
  <c r="FG44" i="76"/>
  <c r="FF44" i="76"/>
  <c r="FE44" i="76"/>
  <c r="FD44" i="76"/>
  <c r="FC44" i="76"/>
  <c r="FB44" i="76"/>
  <c r="FA44" i="76"/>
  <c r="EZ44" i="76"/>
  <c r="EY44" i="76"/>
  <c r="EX44" i="76"/>
  <c r="EW44" i="76"/>
  <c r="EV44" i="76"/>
  <c r="EU44" i="76"/>
  <c r="ET44" i="76"/>
  <c r="ES44" i="76"/>
  <c r="ER44" i="76"/>
  <c r="EQ44" i="76"/>
  <c r="EP44" i="76"/>
  <c r="EO44" i="76"/>
  <c r="EN44" i="76"/>
  <c r="EM44" i="76"/>
  <c r="EL44" i="76"/>
  <c r="EK44" i="76"/>
  <c r="EJ44" i="76"/>
  <c r="EI44" i="76"/>
  <c r="EH44" i="76"/>
  <c r="EG44" i="76"/>
  <c r="EF44" i="76"/>
  <c r="EE44" i="76"/>
  <c r="ED44" i="76"/>
  <c r="EC44" i="76"/>
  <c r="EB44" i="76"/>
  <c r="EA44" i="76"/>
  <c r="DZ44" i="76"/>
  <c r="DY44" i="76"/>
  <c r="DX44" i="76"/>
  <c r="DW44" i="76"/>
  <c r="DV44" i="76"/>
  <c r="DU44" i="76"/>
  <c r="DT44" i="76"/>
  <c r="DS44" i="76"/>
  <c r="DR44" i="76"/>
  <c r="DQ44" i="76"/>
  <c r="DP44" i="76"/>
  <c r="DO44" i="76"/>
  <c r="DN44" i="76"/>
  <c r="DM44" i="76"/>
  <c r="DL44" i="76"/>
  <c r="DK44" i="76"/>
  <c r="DJ44" i="76"/>
  <c r="DI44" i="76"/>
  <c r="DH44" i="76"/>
  <c r="DG44" i="76"/>
  <c r="DF44" i="76"/>
  <c r="DE44" i="76"/>
  <c r="DD44" i="76"/>
  <c r="DC44" i="76"/>
  <c r="DB44" i="76"/>
  <c r="DA44" i="76"/>
  <c r="CZ44" i="76"/>
  <c r="CY44" i="76"/>
  <c r="CX44" i="76"/>
  <c r="CW44" i="76"/>
  <c r="CV44" i="76"/>
  <c r="CU44" i="76"/>
  <c r="CT44" i="76"/>
  <c r="CS44" i="76"/>
  <c r="CR44" i="76"/>
  <c r="CQ44" i="76"/>
  <c r="CP44" i="76"/>
  <c r="CO44" i="76"/>
  <c r="CN44" i="76"/>
  <c r="CM44" i="76"/>
  <c r="CL44" i="76"/>
  <c r="CK44" i="76"/>
  <c r="CJ44" i="76"/>
  <c r="CI44" i="76"/>
  <c r="CH44" i="76"/>
  <c r="CG44" i="76"/>
  <c r="CF44" i="76"/>
  <c r="CE44" i="76"/>
  <c r="CD44" i="76"/>
  <c r="CC44" i="76"/>
  <c r="CB44" i="76"/>
  <c r="CA44" i="76"/>
  <c r="BZ44" i="76"/>
  <c r="BY44" i="76"/>
  <c r="BX44" i="76"/>
  <c r="BW44" i="76"/>
  <c r="BV44" i="76"/>
  <c r="BU44" i="76"/>
  <c r="BT44" i="76"/>
  <c r="BS44" i="76"/>
  <c r="BR44" i="76"/>
  <c r="BQ44" i="76"/>
  <c r="BP44" i="76"/>
  <c r="BO44" i="76"/>
  <c r="BN44" i="76"/>
  <c r="BM44" i="76"/>
  <c r="BL44" i="76"/>
  <c r="BK44" i="76"/>
  <c r="BJ44" i="76"/>
  <c r="BI44" i="76"/>
  <c r="BH44" i="76"/>
  <c r="BG44" i="76"/>
  <c r="BF44" i="76"/>
  <c r="BE44" i="76"/>
  <c r="BD44" i="76"/>
  <c r="BC44" i="76"/>
  <c r="BB44" i="76"/>
  <c r="BA44" i="76"/>
  <c r="AZ44" i="76"/>
  <c r="AY44" i="76"/>
  <c r="AX44" i="76"/>
  <c r="AW44" i="76"/>
  <c r="AV44" i="76"/>
  <c r="AU44" i="76"/>
  <c r="AT44" i="76"/>
  <c r="AS44" i="76"/>
  <c r="AR44" i="76"/>
  <c r="AQ44" i="76"/>
  <c r="AP44" i="76"/>
  <c r="AO44" i="76"/>
  <c r="AN44" i="76"/>
  <c r="AM44" i="76"/>
  <c r="AL44" i="76"/>
  <c r="AK44" i="76"/>
  <c r="AJ44" i="76"/>
  <c r="AI44" i="76"/>
  <c r="AH44" i="76"/>
  <c r="AG44" i="76"/>
  <c r="AF44" i="76"/>
  <c r="AE44" i="76"/>
  <c r="AD44" i="76"/>
  <c r="AC44" i="76"/>
  <c r="AB44" i="76"/>
  <c r="AA44" i="76"/>
  <c r="Z44" i="76"/>
  <c r="Y44" i="76"/>
  <c r="X44" i="76"/>
  <c r="W44" i="76"/>
  <c r="Q44" i="76"/>
  <c r="K44" i="76"/>
  <c r="A44" i="76"/>
  <c r="MS43" i="76"/>
  <c r="MR43" i="76"/>
  <c r="MQ43" i="76"/>
  <c r="MP43" i="76"/>
  <c r="MO43" i="76"/>
  <c r="MN43" i="76"/>
  <c r="MM43" i="76"/>
  <c r="ML43" i="76"/>
  <c r="MK43" i="76"/>
  <c r="MJ43" i="76"/>
  <c r="MI43" i="76"/>
  <c r="MH43" i="76"/>
  <c r="MG43" i="76"/>
  <c r="MF43" i="76"/>
  <c r="ME43" i="76"/>
  <c r="MD43" i="76"/>
  <c r="MC43" i="76"/>
  <c r="MB43" i="76"/>
  <c r="MA43" i="76"/>
  <c r="LZ43" i="76"/>
  <c r="LY43" i="76"/>
  <c r="LX43" i="76"/>
  <c r="LW43" i="76"/>
  <c r="LV43" i="76"/>
  <c r="LU43" i="76"/>
  <c r="LT43" i="76"/>
  <c r="LS43" i="76"/>
  <c r="LR43" i="76"/>
  <c r="LQ43" i="76"/>
  <c r="LP43" i="76"/>
  <c r="LO43" i="76"/>
  <c r="LN43" i="76"/>
  <c r="LM43" i="76"/>
  <c r="LL43" i="76"/>
  <c r="LK43" i="76"/>
  <c r="LJ43" i="76"/>
  <c r="LI43" i="76"/>
  <c r="LH43" i="76"/>
  <c r="LG43" i="76"/>
  <c r="LF43" i="76"/>
  <c r="LE43" i="76"/>
  <c r="LD43" i="76"/>
  <c r="LC43" i="76"/>
  <c r="LB43" i="76"/>
  <c r="LA43" i="76"/>
  <c r="KZ43" i="76"/>
  <c r="KY43" i="76"/>
  <c r="KX43" i="76"/>
  <c r="KW43" i="76"/>
  <c r="KV43" i="76"/>
  <c r="KU43" i="76"/>
  <c r="KT43" i="76"/>
  <c r="KS43" i="76"/>
  <c r="KR43" i="76"/>
  <c r="KQ43" i="76"/>
  <c r="KP43" i="76"/>
  <c r="KO43" i="76"/>
  <c r="KN43" i="76"/>
  <c r="KM43" i="76"/>
  <c r="KL43" i="76"/>
  <c r="KK43" i="76"/>
  <c r="KJ43" i="76"/>
  <c r="KI43" i="76"/>
  <c r="KH43" i="76"/>
  <c r="KG43" i="76"/>
  <c r="KF43" i="76"/>
  <c r="KE43" i="76"/>
  <c r="KD43" i="76"/>
  <c r="KC43" i="76"/>
  <c r="KB43" i="76"/>
  <c r="KA43" i="76"/>
  <c r="JZ43" i="76"/>
  <c r="JY43" i="76"/>
  <c r="JX43" i="76"/>
  <c r="JW43" i="76"/>
  <c r="JV43" i="76"/>
  <c r="JU43" i="76"/>
  <c r="JT43" i="76"/>
  <c r="JS43" i="76"/>
  <c r="JR43" i="76"/>
  <c r="JQ43" i="76"/>
  <c r="JP43" i="76"/>
  <c r="JO43" i="76"/>
  <c r="JN43" i="76"/>
  <c r="JM43" i="76"/>
  <c r="JL43" i="76"/>
  <c r="JK43" i="76"/>
  <c r="JJ43" i="76"/>
  <c r="JI43" i="76"/>
  <c r="JH43" i="76"/>
  <c r="JG43" i="76"/>
  <c r="JF43" i="76"/>
  <c r="JE43" i="76"/>
  <c r="JD43" i="76"/>
  <c r="JC43" i="76"/>
  <c r="JB43" i="76"/>
  <c r="JA43" i="76"/>
  <c r="IZ43" i="76"/>
  <c r="IY43" i="76"/>
  <c r="IX43" i="76"/>
  <c r="IW43" i="76"/>
  <c r="IV43" i="76"/>
  <c r="IU43" i="76"/>
  <c r="IT43" i="76"/>
  <c r="IS43" i="76"/>
  <c r="IR43" i="76"/>
  <c r="IQ43" i="76"/>
  <c r="IP43" i="76"/>
  <c r="IO43" i="76"/>
  <c r="IN43" i="76"/>
  <c r="IM43" i="76"/>
  <c r="IL43" i="76"/>
  <c r="IK43" i="76"/>
  <c r="IJ43" i="76"/>
  <c r="II43" i="76"/>
  <c r="IH43" i="76"/>
  <c r="IG43" i="76"/>
  <c r="IF43" i="76"/>
  <c r="IE43" i="76"/>
  <c r="ID43" i="76"/>
  <c r="IC43" i="76"/>
  <c r="IB43" i="76"/>
  <c r="IA43" i="76"/>
  <c r="HZ43" i="76"/>
  <c r="HY43" i="76"/>
  <c r="HX43" i="76"/>
  <c r="HW43" i="76"/>
  <c r="HV43" i="76"/>
  <c r="HU43" i="76"/>
  <c r="HT43" i="76"/>
  <c r="HS43" i="76"/>
  <c r="HR43" i="76"/>
  <c r="HQ43" i="76"/>
  <c r="HP43" i="76"/>
  <c r="HO43" i="76"/>
  <c r="HN43" i="76"/>
  <c r="HM43" i="76"/>
  <c r="HL43" i="76"/>
  <c r="HK43" i="76"/>
  <c r="HJ43" i="76"/>
  <c r="HI43" i="76"/>
  <c r="HH43" i="76"/>
  <c r="HG43" i="76"/>
  <c r="HF43" i="76"/>
  <c r="HE43" i="76"/>
  <c r="HD43" i="76"/>
  <c r="HC43" i="76"/>
  <c r="HB43" i="76"/>
  <c r="HA43" i="76"/>
  <c r="GZ43" i="76"/>
  <c r="GY43" i="76"/>
  <c r="GX43" i="76"/>
  <c r="GW43" i="76"/>
  <c r="GV43" i="76"/>
  <c r="GU43" i="76"/>
  <c r="GT43" i="76"/>
  <c r="GS43" i="76"/>
  <c r="GR43" i="76"/>
  <c r="GQ43" i="76"/>
  <c r="GP43" i="76"/>
  <c r="GO43" i="76"/>
  <c r="GN43" i="76"/>
  <c r="GM43" i="76"/>
  <c r="GL43" i="76"/>
  <c r="GK43" i="76"/>
  <c r="GJ43" i="76"/>
  <c r="GI43" i="76"/>
  <c r="GH43" i="76"/>
  <c r="GG43" i="76"/>
  <c r="GF43" i="76"/>
  <c r="GE43" i="76"/>
  <c r="GD43" i="76"/>
  <c r="GC43" i="76"/>
  <c r="GB43" i="76"/>
  <c r="GA43" i="76"/>
  <c r="FZ43" i="76"/>
  <c r="FY43" i="76"/>
  <c r="FX43" i="76"/>
  <c r="FW43" i="76"/>
  <c r="FV43" i="76"/>
  <c r="FU43" i="76"/>
  <c r="FT43" i="76"/>
  <c r="FS43" i="76"/>
  <c r="FR43" i="76"/>
  <c r="FQ43" i="76"/>
  <c r="FP43" i="76"/>
  <c r="FO43" i="76"/>
  <c r="FN43" i="76"/>
  <c r="FM43" i="76"/>
  <c r="FL43" i="76"/>
  <c r="FK43" i="76"/>
  <c r="FJ43" i="76"/>
  <c r="FI43" i="76"/>
  <c r="FH43" i="76"/>
  <c r="FG43" i="76"/>
  <c r="FF43" i="76"/>
  <c r="FE43" i="76"/>
  <c r="FD43" i="76"/>
  <c r="FC43" i="76"/>
  <c r="FB43" i="76"/>
  <c r="FA43" i="76"/>
  <c r="EZ43" i="76"/>
  <c r="EY43" i="76"/>
  <c r="EX43" i="76"/>
  <c r="EW43" i="76"/>
  <c r="EV43" i="76"/>
  <c r="EU43" i="76"/>
  <c r="ET43" i="76"/>
  <c r="ES43" i="76"/>
  <c r="ER43" i="76"/>
  <c r="EQ43" i="76"/>
  <c r="EP43" i="76"/>
  <c r="EO43" i="76"/>
  <c r="EN43" i="76"/>
  <c r="EM43" i="76"/>
  <c r="EL43" i="76"/>
  <c r="EK43" i="76"/>
  <c r="EJ43" i="76"/>
  <c r="EI43" i="76"/>
  <c r="EH43" i="76"/>
  <c r="EG43" i="76"/>
  <c r="EF43" i="76"/>
  <c r="EE43" i="76"/>
  <c r="ED43" i="76"/>
  <c r="EC43" i="76"/>
  <c r="EB43" i="76"/>
  <c r="EA43" i="76"/>
  <c r="DZ43" i="76"/>
  <c r="DY43" i="76"/>
  <c r="DX43" i="76"/>
  <c r="DW43" i="76"/>
  <c r="DV43" i="76"/>
  <c r="DU43" i="76"/>
  <c r="DT43" i="76"/>
  <c r="DS43" i="76"/>
  <c r="DR43" i="76"/>
  <c r="DQ43" i="76"/>
  <c r="DP43" i="76"/>
  <c r="DO43" i="76"/>
  <c r="DN43" i="76"/>
  <c r="DM43" i="76"/>
  <c r="DL43" i="76"/>
  <c r="DK43" i="76"/>
  <c r="DJ43" i="76"/>
  <c r="DI43" i="76"/>
  <c r="DH43" i="76"/>
  <c r="DG43" i="76"/>
  <c r="DF43" i="76"/>
  <c r="DE43" i="76"/>
  <c r="DD43" i="76"/>
  <c r="DC43" i="76"/>
  <c r="DB43" i="76"/>
  <c r="DA43" i="76"/>
  <c r="CZ43" i="76"/>
  <c r="CY43" i="76"/>
  <c r="CX43" i="76"/>
  <c r="CW43" i="76"/>
  <c r="CV43" i="76"/>
  <c r="CU43" i="76"/>
  <c r="CT43" i="76"/>
  <c r="CS43" i="76"/>
  <c r="CR43" i="76"/>
  <c r="CQ43" i="76"/>
  <c r="CP43" i="76"/>
  <c r="CO43" i="76"/>
  <c r="CN43" i="76"/>
  <c r="CM43" i="76"/>
  <c r="CL43" i="76"/>
  <c r="CK43" i="76"/>
  <c r="CJ43" i="76"/>
  <c r="CI43" i="76"/>
  <c r="CH43" i="76"/>
  <c r="CG43" i="76"/>
  <c r="CF43" i="76"/>
  <c r="CE43" i="76"/>
  <c r="CD43" i="76"/>
  <c r="CC43" i="76"/>
  <c r="CB43" i="76"/>
  <c r="CA43" i="76"/>
  <c r="BZ43" i="76"/>
  <c r="BY43" i="76"/>
  <c r="BX43" i="76"/>
  <c r="BW43" i="76"/>
  <c r="BV43" i="76"/>
  <c r="BU43" i="76"/>
  <c r="BT43" i="76"/>
  <c r="BS43" i="76"/>
  <c r="BR43" i="76"/>
  <c r="BQ43" i="76"/>
  <c r="BP43" i="76"/>
  <c r="BO43" i="76"/>
  <c r="BN43" i="76"/>
  <c r="BM43" i="76"/>
  <c r="BL43" i="76"/>
  <c r="BK43" i="76"/>
  <c r="BJ43" i="76"/>
  <c r="BI43" i="76"/>
  <c r="BH43" i="76"/>
  <c r="BG43" i="76"/>
  <c r="BF43" i="76"/>
  <c r="BE43" i="76"/>
  <c r="BD43" i="76"/>
  <c r="BC43" i="76"/>
  <c r="BB43" i="76"/>
  <c r="BA43" i="76"/>
  <c r="AZ43" i="76"/>
  <c r="AY43" i="76"/>
  <c r="AX43" i="76"/>
  <c r="AW43" i="76"/>
  <c r="AV43" i="76"/>
  <c r="AU43" i="76"/>
  <c r="AT43" i="76"/>
  <c r="AS43" i="76"/>
  <c r="AR43" i="76"/>
  <c r="AQ43" i="76"/>
  <c r="AP43" i="76"/>
  <c r="AO43" i="76"/>
  <c r="AN43" i="76"/>
  <c r="AM43" i="76"/>
  <c r="AL43" i="76"/>
  <c r="AK43" i="76"/>
  <c r="AJ43" i="76"/>
  <c r="AI43" i="76"/>
  <c r="AH43" i="76"/>
  <c r="AG43" i="76"/>
  <c r="AF43" i="76"/>
  <c r="AE43" i="76"/>
  <c r="AD43" i="76"/>
  <c r="AC43" i="76"/>
  <c r="AB43" i="76"/>
  <c r="AA43" i="76"/>
  <c r="Z43" i="76"/>
  <c r="Y43" i="76"/>
  <c r="X43" i="76"/>
  <c r="W43" i="76"/>
  <c r="Q43" i="76"/>
  <c r="K43" i="76"/>
  <c r="A43" i="76"/>
  <c r="MS42" i="76"/>
  <c r="MR42" i="76"/>
  <c r="MQ42" i="76"/>
  <c r="MP42" i="76"/>
  <c r="MO42" i="76"/>
  <c r="MN42" i="76"/>
  <c r="MM42" i="76"/>
  <c r="ML42" i="76"/>
  <c r="MK42" i="76"/>
  <c r="MJ42" i="76"/>
  <c r="MI42" i="76"/>
  <c r="MH42" i="76"/>
  <c r="MG42" i="76"/>
  <c r="MF42" i="76"/>
  <c r="ME42" i="76"/>
  <c r="MD42" i="76"/>
  <c r="MC42" i="76"/>
  <c r="MB42" i="76"/>
  <c r="MA42" i="76"/>
  <c r="LZ42" i="76"/>
  <c r="LY42" i="76"/>
  <c r="LX42" i="76"/>
  <c r="LW42" i="76"/>
  <c r="LV42" i="76"/>
  <c r="LU42" i="76"/>
  <c r="LT42" i="76"/>
  <c r="LS42" i="76"/>
  <c r="LR42" i="76"/>
  <c r="LQ42" i="76"/>
  <c r="LP42" i="76"/>
  <c r="LO42" i="76"/>
  <c r="LN42" i="76"/>
  <c r="LM42" i="76"/>
  <c r="LL42" i="76"/>
  <c r="LK42" i="76"/>
  <c r="LJ42" i="76"/>
  <c r="LI42" i="76"/>
  <c r="LH42" i="76"/>
  <c r="LG42" i="76"/>
  <c r="LF42" i="76"/>
  <c r="LE42" i="76"/>
  <c r="LD42" i="76"/>
  <c r="LC42" i="76"/>
  <c r="LB42" i="76"/>
  <c r="LA42" i="76"/>
  <c r="KZ42" i="76"/>
  <c r="KY42" i="76"/>
  <c r="KX42" i="76"/>
  <c r="KW42" i="76"/>
  <c r="KV42" i="76"/>
  <c r="KU42" i="76"/>
  <c r="KT42" i="76"/>
  <c r="KS42" i="76"/>
  <c r="KR42" i="76"/>
  <c r="KQ42" i="76"/>
  <c r="KP42" i="76"/>
  <c r="KO42" i="76"/>
  <c r="KN42" i="76"/>
  <c r="KM42" i="76"/>
  <c r="KL42" i="76"/>
  <c r="KK42" i="76"/>
  <c r="KJ42" i="76"/>
  <c r="KI42" i="76"/>
  <c r="KH42" i="76"/>
  <c r="KG42" i="76"/>
  <c r="KF42" i="76"/>
  <c r="KE42" i="76"/>
  <c r="KD42" i="76"/>
  <c r="KC42" i="76"/>
  <c r="KB42" i="76"/>
  <c r="KA42" i="76"/>
  <c r="JZ42" i="76"/>
  <c r="JY42" i="76"/>
  <c r="JX42" i="76"/>
  <c r="JW42" i="76"/>
  <c r="JV42" i="76"/>
  <c r="JU42" i="76"/>
  <c r="JT42" i="76"/>
  <c r="JS42" i="76"/>
  <c r="JR42" i="76"/>
  <c r="JQ42" i="76"/>
  <c r="JP42" i="76"/>
  <c r="JO42" i="76"/>
  <c r="JN42" i="76"/>
  <c r="JM42" i="76"/>
  <c r="JL42" i="76"/>
  <c r="JK42" i="76"/>
  <c r="JJ42" i="76"/>
  <c r="JI42" i="76"/>
  <c r="JH42" i="76"/>
  <c r="JG42" i="76"/>
  <c r="JF42" i="76"/>
  <c r="JE42" i="76"/>
  <c r="JD42" i="76"/>
  <c r="JC42" i="76"/>
  <c r="JB42" i="76"/>
  <c r="JA42" i="76"/>
  <c r="IZ42" i="76"/>
  <c r="IY42" i="76"/>
  <c r="IX42" i="76"/>
  <c r="IW42" i="76"/>
  <c r="IV42" i="76"/>
  <c r="IU42" i="76"/>
  <c r="IT42" i="76"/>
  <c r="IS42" i="76"/>
  <c r="IR42" i="76"/>
  <c r="IQ42" i="76"/>
  <c r="IP42" i="76"/>
  <c r="IO42" i="76"/>
  <c r="IN42" i="76"/>
  <c r="IM42" i="76"/>
  <c r="IL42" i="76"/>
  <c r="IK42" i="76"/>
  <c r="IJ42" i="76"/>
  <c r="II42" i="76"/>
  <c r="IH42" i="76"/>
  <c r="IG42" i="76"/>
  <c r="IF42" i="76"/>
  <c r="IE42" i="76"/>
  <c r="ID42" i="76"/>
  <c r="IC42" i="76"/>
  <c r="IB42" i="76"/>
  <c r="IA42" i="76"/>
  <c r="HZ42" i="76"/>
  <c r="HY42" i="76"/>
  <c r="HX42" i="76"/>
  <c r="HW42" i="76"/>
  <c r="HV42" i="76"/>
  <c r="HU42" i="76"/>
  <c r="HT42" i="76"/>
  <c r="HS42" i="76"/>
  <c r="HR42" i="76"/>
  <c r="HQ42" i="76"/>
  <c r="HP42" i="76"/>
  <c r="HO42" i="76"/>
  <c r="HN42" i="76"/>
  <c r="HM42" i="76"/>
  <c r="HL42" i="76"/>
  <c r="HK42" i="76"/>
  <c r="HJ42" i="76"/>
  <c r="HI42" i="76"/>
  <c r="HH42" i="76"/>
  <c r="HG42" i="76"/>
  <c r="HF42" i="76"/>
  <c r="HE42" i="76"/>
  <c r="HD42" i="76"/>
  <c r="HC42" i="76"/>
  <c r="HB42" i="76"/>
  <c r="HA42" i="76"/>
  <c r="GZ42" i="76"/>
  <c r="GY42" i="76"/>
  <c r="GX42" i="76"/>
  <c r="GW42" i="76"/>
  <c r="GV42" i="76"/>
  <c r="GU42" i="76"/>
  <c r="GT42" i="76"/>
  <c r="GS42" i="76"/>
  <c r="GR42" i="76"/>
  <c r="GQ42" i="76"/>
  <c r="GP42" i="76"/>
  <c r="GO42" i="76"/>
  <c r="GN42" i="76"/>
  <c r="GM42" i="76"/>
  <c r="GL42" i="76"/>
  <c r="GK42" i="76"/>
  <c r="GJ42" i="76"/>
  <c r="GI42" i="76"/>
  <c r="GH42" i="76"/>
  <c r="GG42" i="76"/>
  <c r="GF42" i="76"/>
  <c r="GE42" i="76"/>
  <c r="GD42" i="76"/>
  <c r="GC42" i="76"/>
  <c r="GB42" i="76"/>
  <c r="GA42" i="76"/>
  <c r="FZ42" i="76"/>
  <c r="FY42" i="76"/>
  <c r="FX42" i="76"/>
  <c r="FW42" i="76"/>
  <c r="FV42" i="76"/>
  <c r="FU42" i="76"/>
  <c r="FT42" i="76"/>
  <c r="FS42" i="76"/>
  <c r="FR42" i="76"/>
  <c r="FQ42" i="76"/>
  <c r="FP42" i="76"/>
  <c r="FO42" i="76"/>
  <c r="FN42" i="76"/>
  <c r="FM42" i="76"/>
  <c r="FL42" i="76"/>
  <c r="FK42" i="76"/>
  <c r="FJ42" i="76"/>
  <c r="FI42" i="76"/>
  <c r="FH42" i="76"/>
  <c r="FG42" i="76"/>
  <c r="FF42" i="76"/>
  <c r="FE42" i="76"/>
  <c r="FD42" i="76"/>
  <c r="FC42" i="76"/>
  <c r="FB42" i="76"/>
  <c r="FA42" i="76"/>
  <c r="EZ42" i="76"/>
  <c r="EY42" i="76"/>
  <c r="EX42" i="76"/>
  <c r="EW42" i="76"/>
  <c r="EV42" i="76"/>
  <c r="EU42" i="76"/>
  <c r="ET42" i="76"/>
  <c r="ES42" i="76"/>
  <c r="ER42" i="76"/>
  <c r="EQ42" i="76"/>
  <c r="EP42" i="76"/>
  <c r="EO42" i="76"/>
  <c r="EN42" i="76"/>
  <c r="EM42" i="76"/>
  <c r="EL42" i="76"/>
  <c r="EK42" i="76"/>
  <c r="EJ42" i="76"/>
  <c r="EI42" i="76"/>
  <c r="EH42" i="76"/>
  <c r="EG42" i="76"/>
  <c r="EF42" i="76"/>
  <c r="EE42" i="76"/>
  <c r="ED42" i="76"/>
  <c r="EC42" i="76"/>
  <c r="EB42" i="76"/>
  <c r="EA42" i="76"/>
  <c r="DZ42" i="76"/>
  <c r="DY42" i="76"/>
  <c r="DX42" i="76"/>
  <c r="DW42" i="76"/>
  <c r="DV42" i="76"/>
  <c r="DU42" i="76"/>
  <c r="DT42" i="76"/>
  <c r="DS42" i="76"/>
  <c r="DR42" i="76"/>
  <c r="DQ42" i="76"/>
  <c r="DP42" i="76"/>
  <c r="DO42" i="76"/>
  <c r="DN42" i="76"/>
  <c r="DM42" i="76"/>
  <c r="DL42" i="76"/>
  <c r="DK42" i="76"/>
  <c r="DJ42" i="76"/>
  <c r="DI42" i="76"/>
  <c r="DH42" i="76"/>
  <c r="DG42" i="76"/>
  <c r="DF42" i="76"/>
  <c r="DE42" i="76"/>
  <c r="DD42" i="76"/>
  <c r="DC42" i="76"/>
  <c r="DB42" i="76"/>
  <c r="DA42" i="76"/>
  <c r="CZ42" i="76"/>
  <c r="CY42" i="76"/>
  <c r="CX42" i="76"/>
  <c r="CW42" i="76"/>
  <c r="CV42" i="76"/>
  <c r="CU42" i="76"/>
  <c r="CT42" i="76"/>
  <c r="CS42" i="76"/>
  <c r="CR42" i="76"/>
  <c r="CQ42" i="76"/>
  <c r="CP42" i="76"/>
  <c r="CO42" i="76"/>
  <c r="CN42" i="76"/>
  <c r="CM42" i="76"/>
  <c r="CL42" i="76"/>
  <c r="CK42" i="76"/>
  <c r="CJ42" i="76"/>
  <c r="CI42" i="76"/>
  <c r="CH42" i="76"/>
  <c r="CG42" i="76"/>
  <c r="CF42" i="76"/>
  <c r="CE42" i="76"/>
  <c r="CD42" i="76"/>
  <c r="CC42" i="76"/>
  <c r="CB42" i="76"/>
  <c r="CA42" i="76"/>
  <c r="BZ42" i="76"/>
  <c r="BY42" i="76"/>
  <c r="BX42" i="76"/>
  <c r="BW42" i="76"/>
  <c r="BV42" i="76"/>
  <c r="BU42" i="76"/>
  <c r="BT42" i="76"/>
  <c r="BS42" i="76"/>
  <c r="BR42" i="76"/>
  <c r="BQ42" i="76"/>
  <c r="BP42" i="76"/>
  <c r="BO42" i="76"/>
  <c r="BN42" i="76"/>
  <c r="BM42" i="76"/>
  <c r="BL42" i="76"/>
  <c r="BK42" i="76"/>
  <c r="BJ42" i="76"/>
  <c r="BI42" i="76"/>
  <c r="BH42" i="76"/>
  <c r="BG42" i="76"/>
  <c r="BF42" i="76"/>
  <c r="BE42" i="76"/>
  <c r="BD42" i="76"/>
  <c r="BC42" i="76"/>
  <c r="BB42" i="76"/>
  <c r="BA42" i="76"/>
  <c r="AZ42" i="76"/>
  <c r="AY42" i="76"/>
  <c r="AX42" i="76"/>
  <c r="AW42" i="76"/>
  <c r="AV42" i="76"/>
  <c r="AU42" i="76"/>
  <c r="AT42" i="76"/>
  <c r="AS42" i="76"/>
  <c r="AR42" i="76"/>
  <c r="AQ42" i="76"/>
  <c r="AP42" i="76"/>
  <c r="AO42" i="76"/>
  <c r="AN42" i="76"/>
  <c r="AM42" i="76"/>
  <c r="AL42" i="76"/>
  <c r="AK42" i="76"/>
  <c r="AJ42" i="76"/>
  <c r="AI42" i="76"/>
  <c r="AH42" i="76"/>
  <c r="AG42" i="76"/>
  <c r="AF42" i="76"/>
  <c r="AE42" i="76"/>
  <c r="AD42" i="76"/>
  <c r="AC42" i="76"/>
  <c r="AB42" i="76"/>
  <c r="AA42" i="76"/>
  <c r="Z42" i="76"/>
  <c r="Y42" i="76"/>
  <c r="X42" i="76"/>
  <c r="W42" i="76"/>
  <c r="Q42" i="76"/>
  <c r="K42" i="76"/>
  <c r="A42" i="76"/>
  <c r="MS41" i="76"/>
  <c r="MR41" i="76"/>
  <c r="MQ41" i="76"/>
  <c r="MP41" i="76"/>
  <c r="MO41" i="76"/>
  <c r="MN41" i="76"/>
  <c r="MM41" i="76"/>
  <c r="ML41" i="76"/>
  <c r="MK41" i="76"/>
  <c r="MJ41" i="76"/>
  <c r="MI41" i="76"/>
  <c r="MH41" i="76"/>
  <c r="MG41" i="76"/>
  <c r="MF41" i="76"/>
  <c r="ME41" i="76"/>
  <c r="MD41" i="76"/>
  <c r="MC41" i="76"/>
  <c r="MB41" i="76"/>
  <c r="MA41" i="76"/>
  <c r="LZ41" i="76"/>
  <c r="LY41" i="76"/>
  <c r="LX41" i="76"/>
  <c r="LW41" i="76"/>
  <c r="LV41" i="76"/>
  <c r="LU41" i="76"/>
  <c r="LT41" i="76"/>
  <c r="LS41" i="76"/>
  <c r="LR41" i="76"/>
  <c r="LQ41" i="76"/>
  <c r="LP41" i="76"/>
  <c r="LO41" i="76"/>
  <c r="LN41" i="76"/>
  <c r="LM41" i="76"/>
  <c r="LL41" i="76"/>
  <c r="LK41" i="76"/>
  <c r="LJ41" i="76"/>
  <c r="LI41" i="76"/>
  <c r="LH41" i="76"/>
  <c r="LG41" i="76"/>
  <c r="LF41" i="76"/>
  <c r="LE41" i="76"/>
  <c r="LD41" i="76"/>
  <c r="LC41" i="76"/>
  <c r="LB41" i="76"/>
  <c r="LA41" i="76"/>
  <c r="KZ41" i="76"/>
  <c r="KY41" i="76"/>
  <c r="KX41" i="76"/>
  <c r="KW41" i="76"/>
  <c r="KV41" i="76"/>
  <c r="KU41" i="76"/>
  <c r="KT41" i="76"/>
  <c r="KS41" i="76"/>
  <c r="KR41" i="76"/>
  <c r="KQ41" i="76"/>
  <c r="KP41" i="76"/>
  <c r="KO41" i="76"/>
  <c r="KN41" i="76"/>
  <c r="KM41" i="76"/>
  <c r="KL41" i="76"/>
  <c r="KK41" i="76"/>
  <c r="KJ41" i="76"/>
  <c r="KI41" i="76"/>
  <c r="KH41" i="76"/>
  <c r="KG41" i="76"/>
  <c r="KF41" i="76"/>
  <c r="KE41" i="76"/>
  <c r="KD41" i="76"/>
  <c r="KC41" i="76"/>
  <c r="KB41" i="76"/>
  <c r="KA41" i="76"/>
  <c r="JZ41" i="76"/>
  <c r="JY41" i="76"/>
  <c r="JX41" i="76"/>
  <c r="JW41" i="76"/>
  <c r="JV41" i="76"/>
  <c r="JU41" i="76"/>
  <c r="JT41" i="76"/>
  <c r="JS41" i="76"/>
  <c r="JR41" i="76"/>
  <c r="JQ41" i="76"/>
  <c r="JP41" i="76"/>
  <c r="JO41" i="76"/>
  <c r="JN41" i="76"/>
  <c r="JM41" i="76"/>
  <c r="JL41" i="76"/>
  <c r="JK41" i="76"/>
  <c r="JJ41" i="76"/>
  <c r="JI41" i="76"/>
  <c r="JH41" i="76"/>
  <c r="JG41" i="76"/>
  <c r="JF41" i="76"/>
  <c r="JE41" i="76"/>
  <c r="JD41" i="76"/>
  <c r="JC41" i="76"/>
  <c r="JB41" i="76"/>
  <c r="JA41" i="76"/>
  <c r="IZ41" i="76"/>
  <c r="IY41" i="76"/>
  <c r="IX41" i="76"/>
  <c r="IW41" i="76"/>
  <c r="IV41" i="76"/>
  <c r="IU41" i="76"/>
  <c r="IT41" i="76"/>
  <c r="IS41" i="76"/>
  <c r="IR41" i="76"/>
  <c r="IQ41" i="76"/>
  <c r="IP41" i="76"/>
  <c r="IO41" i="76"/>
  <c r="IN41" i="76"/>
  <c r="IM41" i="76"/>
  <c r="IL41" i="76"/>
  <c r="IK41" i="76"/>
  <c r="IJ41" i="76"/>
  <c r="II41" i="76"/>
  <c r="IH41" i="76"/>
  <c r="IG41" i="76"/>
  <c r="IF41" i="76"/>
  <c r="IE41" i="76"/>
  <c r="ID41" i="76"/>
  <c r="IC41" i="76"/>
  <c r="IB41" i="76"/>
  <c r="IA41" i="76"/>
  <c r="HZ41" i="76"/>
  <c r="HY41" i="76"/>
  <c r="HX41" i="76"/>
  <c r="HW41" i="76"/>
  <c r="HV41" i="76"/>
  <c r="HU41" i="76"/>
  <c r="HT41" i="76"/>
  <c r="HS41" i="76"/>
  <c r="HR41" i="76"/>
  <c r="HQ41" i="76"/>
  <c r="HP41" i="76"/>
  <c r="HO41" i="76"/>
  <c r="HN41" i="76"/>
  <c r="HM41" i="76"/>
  <c r="HL41" i="76"/>
  <c r="HK41" i="76"/>
  <c r="HJ41" i="76"/>
  <c r="HI41" i="76"/>
  <c r="HH41" i="76"/>
  <c r="HG41" i="76"/>
  <c r="HF41" i="76"/>
  <c r="HE41" i="76"/>
  <c r="HD41" i="76"/>
  <c r="HC41" i="76"/>
  <c r="HB41" i="76"/>
  <c r="HA41" i="76"/>
  <c r="GZ41" i="76"/>
  <c r="GY41" i="76"/>
  <c r="GX41" i="76"/>
  <c r="GW41" i="76"/>
  <c r="GV41" i="76"/>
  <c r="GU41" i="76"/>
  <c r="GT41" i="76"/>
  <c r="GS41" i="76"/>
  <c r="GR41" i="76"/>
  <c r="GQ41" i="76"/>
  <c r="GP41" i="76"/>
  <c r="GO41" i="76"/>
  <c r="GN41" i="76"/>
  <c r="GM41" i="76"/>
  <c r="GL41" i="76"/>
  <c r="GK41" i="76"/>
  <c r="GJ41" i="76"/>
  <c r="GI41" i="76"/>
  <c r="GH41" i="76"/>
  <c r="GG41" i="76"/>
  <c r="GF41" i="76"/>
  <c r="GE41" i="76"/>
  <c r="GD41" i="76"/>
  <c r="GC41" i="76"/>
  <c r="GB41" i="76"/>
  <c r="GA41" i="76"/>
  <c r="FZ41" i="76"/>
  <c r="FY41" i="76"/>
  <c r="FX41" i="76"/>
  <c r="FW41" i="76"/>
  <c r="FV41" i="76"/>
  <c r="FU41" i="76"/>
  <c r="FT41" i="76"/>
  <c r="FS41" i="76"/>
  <c r="FR41" i="76"/>
  <c r="FQ41" i="76"/>
  <c r="FP41" i="76"/>
  <c r="FO41" i="76"/>
  <c r="FN41" i="76"/>
  <c r="FM41" i="76"/>
  <c r="FL41" i="76"/>
  <c r="FK41" i="76"/>
  <c r="FJ41" i="76"/>
  <c r="FI41" i="76"/>
  <c r="FH41" i="76"/>
  <c r="FG41" i="76"/>
  <c r="FF41" i="76"/>
  <c r="FE41" i="76"/>
  <c r="FD41" i="76"/>
  <c r="FC41" i="76"/>
  <c r="FB41" i="76"/>
  <c r="FA41" i="76"/>
  <c r="EZ41" i="76"/>
  <c r="EY41" i="76"/>
  <c r="EX41" i="76"/>
  <c r="EW41" i="76"/>
  <c r="EV41" i="76"/>
  <c r="EU41" i="76"/>
  <c r="ET41" i="76"/>
  <c r="ES41" i="76"/>
  <c r="ER41" i="76"/>
  <c r="EQ41" i="76"/>
  <c r="EP41" i="76"/>
  <c r="EO41" i="76"/>
  <c r="EN41" i="76"/>
  <c r="EM41" i="76"/>
  <c r="EL41" i="76"/>
  <c r="EK41" i="76"/>
  <c r="EJ41" i="76"/>
  <c r="EI41" i="76"/>
  <c r="EH41" i="76"/>
  <c r="EG41" i="76"/>
  <c r="EF41" i="76"/>
  <c r="EE41" i="76"/>
  <c r="ED41" i="76"/>
  <c r="EC41" i="76"/>
  <c r="EB41" i="76"/>
  <c r="EA41" i="76"/>
  <c r="DZ41" i="76"/>
  <c r="DY41" i="76"/>
  <c r="DX41" i="76"/>
  <c r="DW41" i="76"/>
  <c r="DV41" i="76"/>
  <c r="DU41" i="76"/>
  <c r="DT41" i="76"/>
  <c r="DS41" i="76"/>
  <c r="DR41" i="76"/>
  <c r="DQ41" i="76"/>
  <c r="DP41" i="76"/>
  <c r="DO41" i="76"/>
  <c r="DN41" i="76"/>
  <c r="DM41" i="76"/>
  <c r="DL41" i="76"/>
  <c r="DK41" i="76"/>
  <c r="DJ41" i="76"/>
  <c r="DI41" i="76"/>
  <c r="DH41" i="76"/>
  <c r="DG41" i="76"/>
  <c r="DF41" i="76"/>
  <c r="DE41" i="76"/>
  <c r="DD41" i="76"/>
  <c r="DC41" i="76"/>
  <c r="DB41" i="76"/>
  <c r="DA41" i="76"/>
  <c r="CZ41" i="76"/>
  <c r="CY41" i="76"/>
  <c r="CX41" i="76"/>
  <c r="CW41" i="76"/>
  <c r="CV41" i="76"/>
  <c r="CU41" i="76"/>
  <c r="CT41" i="76"/>
  <c r="CS41" i="76"/>
  <c r="CR41" i="76"/>
  <c r="CQ41" i="76"/>
  <c r="CP41" i="76"/>
  <c r="CO41" i="76"/>
  <c r="CN41" i="76"/>
  <c r="CM41" i="76"/>
  <c r="CL41" i="76"/>
  <c r="CK41" i="76"/>
  <c r="CJ41" i="76"/>
  <c r="CI41" i="76"/>
  <c r="CH41" i="76"/>
  <c r="CG41" i="76"/>
  <c r="CF41" i="76"/>
  <c r="CE41" i="76"/>
  <c r="CD41" i="76"/>
  <c r="CC41" i="76"/>
  <c r="CB41" i="76"/>
  <c r="CA41" i="76"/>
  <c r="BZ41" i="76"/>
  <c r="BY41" i="76"/>
  <c r="BX41" i="76"/>
  <c r="BW41" i="76"/>
  <c r="BV41" i="76"/>
  <c r="BU41" i="76"/>
  <c r="BT41" i="76"/>
  <c r="BS41" i="76"/>
  <c r="BR41" i="76"/>
  <c r="BQ41" i="76"/>
  <c r="BP41" i="76"/>
  <c r="BO41" i="76"/>
  <c r="BN41" i="76"/>
  <c r="BM41" i="76"/>
  <c r="BL41" i="76"/>
  <c r="BK41" i="76"/>
  <c r="BJ41" i="76"/>
  <c r="BI41" i="76"/>
  <c r="BH41" i="76"/>
  <c r="BG41" i="76"/>
  <c r="BF41" i="76"/>
  <c r="BE41" i="76"/>
  <c r="BD41" i="76"/>
  <c r="BC41" i="76"/>
  <c r="BB41" i="76"/>
  <c r="BA41" i="76"/>
  <c r="AZ41" i="76"/>
  <c r="AY41" i="76"/>
  <c r="AX41" i="76"/>
  <c r="AW41" i="76"/>
  <c r="AV41" i="76"/>
  <c r="AU41" i="76"/>
  <c r="AT41" i="76"/>
  <c r="AS41" i="76"/>
  <c r="AR41" i="76"/>
  <c r="AQ41" i="76"/>
  <c r="AP41" i="76"/>
  <c r="AO41" i="76"/>
  <c r="AN41" i="76"/>
  <c r="AM41" i="76"/>
  <c r="AL41" i="76"/>
  <c r="AK41" i="76"/>
  <c r="AJ41" i="76"/>
  <c r="AI41" i="76"/>
  <c r="AH41" i="76"/>
  <c r="AG41" i="76"/>
  <c r="AF41" i="76"/>
  <c r="AE41" i="76"/>
  <c r="AD41" i="76"/>
  <c r="AC41" i="76"/>
  <c r="AB41" i="76"/>
  <c r="AA41" i="76"/>
  <c r="Z41" i="76"/>
  <c r="Y41" i="76"/>
  <c r="X41" i="76"/>
  <c r="W41" i="76"/>
  <c r="Q41" i="76"/>
  <c r="K41" i="76"/>
  <c r="A41" i="76"/>
  <c r="MS40" i="76"/>
  <c r="MR40" i="76"/>
  <c r="MQ40" i="76"/>
  <c r="MP40" i="76"/>
  <c r="MO40" i="76"/>
  <c r="MN40" i="76"/>
  <c r="MM40" i="76"/>
  <c r="ML40" i="76"/>
  <c r="MK40" i="76"/>
  <c r="MJ40" i="76"/>
  <c r="MI40" i="76"/>
  <c r="MH40" i="76"/>
  <c r="MG40" i="76"/>
  <c r="MF40" i="76"/>
  <c r="ME40" i="76"/>
  <c r="MD40" i="76"/>
  <c r="MC40" i="76"/>
  <c r="MB40" i="76"/>
  <c r="MA40" i="76"/>
  <c r="LZ40" i="76"/>
  <c r="LY40" i="76"/>
  <c r="LX40" i="76"/>
  <c r="LW40" i="76"/>
  <c r="LV40" i="76"/>
  <c r="LU40" i="76"/>
  <c r="LT40" i="76"/>
  <c r="LS40" i="76"/>
  <c r="LR40" i="76"/>
  <c r="LQ40" i="76"/>
  <c r="LP40" i="76"/>
  <c r="LO40" i="76"/>
  <c r="LN40" i="76"/>
  <c r="LM40" i="76"/>
  <c r="LL40" i="76"/>
  <c r="LK40" i="76"/>
  <c r="LJ40" i="76"/>
  <c r="LI40" i="76"/>
  <c r="LH40" i="76"/>
  <c r="LG40" i="76"/>
  <c r="LF40" i="76"/>
  <c r="LE40" i="76"/>
  <c r="LD40" i="76"/>
  <c r="LC40" i="76"/>
  <c r="LB40" i="76"/>
  <c r="LA40" i="76"/>
  <c r="KZ40" i="76"/>
  <c r="KY40" i="76"/>
  <c r="KX40" i="76"/>
  <c r="KW40" i="76"/>
  <c r="KV40" i="76"/>
  <c r="KU40" i="76"/>
  <c r="KT40" i="76"/>
  <c r="KS40" i="76"/>
  <c r="KR40" i="76"/>
  <c r="KQ40" i="76"/>
  <c r="KP40" i="76"/>
  <c r="KO40" i="76"/>
  <c r="KN40" i="76"/>
  <c r="KM40" i="76"/>
  <c r="KL40" i="76"/>
  <c r="KK40" i="76"/>
  <c r="KJ40" i="76"/>
  <c r="KI40" i="76"/>
  <c r="KH40" i="76"/>
  <c r="KG40" i="76"/>
  <c r="KF40" i="76"/>
  <c r="KE40" i="76"/>
  <c r="KD40" i="76"/>
  <c r="KC40" i="76"/>
  <c r="KB40" i="76"/>
  <c r="KA40" i="76"/>
  <c r="JZ40" i="76"/>
  <c r="JY40" i="76"/>
  <c r="JX40" i="76"/>
  <c r="JW40" i="76"/>
  <c r="JV40" i="76"/>
  <c r="JU40" i="76"/>
  <c r="JT40" i="76"/>
  <c r="JS40" i="76"/>
  <c r="JR40" i="76"/>
  <c r="JQ40" i="76"/>
  <c r="JP40" i="76"/>
  <c r="JO40" i="76"/>
  <c r="JN40" i="76"/>
  <c r="JM40" i="76"/>
  <c r="JL40" i="76"/>
  <c r="JK40" i="76"/>
  <c r="JJ40" i="76"/>
  <c r="JI40" i="76"/>
  <c r="JH40" i="76"/>
  <c r="JG40" i="76"/>
  <c r="JF40" i="76"/>
  <c r="JE40" i="76"/>
  <c r="JD40" i="76"/>
  <c r="JC40" i="76"/>
  <c r="JB40" i="76"/>
  <c r="JA40" i="76"/>
  <c r="IZ40" i="76"/>
  <c r="IY40" i="76"/>
  <c r="IX40" i="76"/>
  <c r="IW40" i="76"/>
  <c r="IV40" i="76"/>
  <c r="IU40" i="76"/>
  <c r="IT40" i="76"/>
  <c r="IS40" i="76"/>
  <c r="IR40" i="76"/>
  <c r="IQ40" i="76"/>
  <c r="IP40" i="76"/>
  <c r="IO40" i="76"/>
  <c r="IN40" i="76"/>
  <c r="IM40" i="76"/>
  <c r="IL40" i="76"/>
  <c r="IK40" i="76"/>
  <c r="IJ40" i="76"/>
  <c r="II40" i="76"/>
  <c r="IH40" i="76"/>
  <c r="IG40" i="76"/>
  <c r="IF40" i="76"/>
  <c r="IE40" i="76"/>
  <c r="ID40" i="76"/>
  <c r="IC40" i="76"/>
  <c r="IB40" i="76"/>
  <c r="IA40" i="76"/>
  <c r="HZ40" i="76"/>
  <c r="HY40" i="76"/>
  <c r="HX40" i="76"/>
  <c r="HW40" i="76"/>
  <c r="HV40" i="76"/>
  <c r="HU40" i="76"/>
  <c r="HT40" i="76"/>
  <c r="HS40" i="76"/>
  <c r="HR40" i="76"/>
  <c r="HQ40" i="76"/>
  <c r="HP40" i="76"/>
  <c r="HO40" i="76"/>
  <c r="HN40" i="76"/>
  <c r="HM40" i="76"/>
  <c r="HL40" i="76"/>
  <c r="HK40" i="76"/>
  <c r="HJ40" i="76"/>
  <c r="HI40" i="76"/>
  <c r="HH40" i="76"/>
  <c r="HG40" i="76"/>
  <c r="HF40" i="76"/>
  <c r="HE40" i="76"/>
  <c r="HD40" i="76"/>
  <c r="HC40" i="76"/>
  <c r="HB40" i="76"/>
  <c r="HA40" i="76"/>
  <c r="GZ40" i="76"/>
  <c r="GY40" i="76"/>
  <c r="GX40" i="76"/>
  <c r="GW40" i="76"/>
  <c r="GV40" i="76"/>
  <c r="GU40" i="76"/>
  <c r="GT40" i="76"/>
  <c r="GS40" i="76"/>
  <c r="GR40" i="76"/>
  <c r="GQ40" i="76"/>
  <c r="GP40" i="76"/>
  <c r="GO40" i="76"/>
  <c r="GN40" i="76"/>
  <c r="GM40" i="76"/>
  <c r="GL40" i="76"/>
  <c r="GK40" i="76"/>
  <c r="GJ40" i="76"/>
  <c r="GI40" i="76"/>
  <c r="GH40" i="76"/>
  <c r="GG40" i="76"/>
  <c r="GF40" i="76"/>
  <c r="GE40" i="76"/>
  <c r="GD40" i="76"/>
  <c r="GC40" i="76"/>
  <c r="GB40" i="76"/>
  <c r="GA40" i="76"/>
  <c r="FZ40" i="76"/>
  <c r="FY40" i="76"/>
  <c r="FX40" i="76"/>
  <c r="FW40" i="76"/>
  <c r="FV40" i="76"/>
  <c r="FU40" i="76"/>
  <c r="FT40" i="76"/>
  <c r="FS40" i="76"/>
  <c r="FR40" i="76"/>
  <c r="FQ40" i="76"/>
  <c r="FP40" i="76"/>
  <c r="FO40" i="76"/>
  <c r="FN40" i="76"/>
  <c r="FM40" i="76"/>
  <c r="FL40" i="76"/>
  <c r="FK40" i="76"/>
  <c r="FJ40" i="76"/>
  <c r="FI40" i="76"/>
  <c r="FH40" i="76"/>
  <c r="FG40" i="76"/>
  <c r="FF40" i="76"/>
  <c r="FE40" i="76"/>
  <c r="FD40" i="76"/>
  <c r="FC40" i="76"/>
  <c r="FB40" i="76"/>
  <c r="FA40" i="76"/>
  <c r="EZ40" i="76"/>
  <c r="EY40" i="76"/>
  <c r="EX40" i="76"/>
  <c r="EW40" i="76"/>
  <c r="EV40" i="76"/>
  <c r="EU40" i="76"/>
  <c r="ET40" i="76"/>
  <c r="ES40" i="76"/>
  <c r="ER40" i="76"/>
  <c r="EQ40" i="76"/>
  <c r="EP40" i="76"/>
  <c r="EO40" i="76"/>
  <c r="EN40" i="76"/>
  <c r="EM40" i="76"/>
  <c r="EL40" i="76"/>
  <c r="EK40" i="76"/>
  <c r="EJ40" i="76"/>
  <c r="EI40" i="76"/>
  <c r="EH40" i="76"/>
  <c r="EG40" i="76"/>
  <c r="EF40" i="76"/>
  <c r="EE40" i="76"/>
  <c r="ED40" i="76"/>
  <c r="EC40" i="76"/>
  <c r="EB40" i="76"/>
  <c r="EA40" i="76"/>
  <c r="DZ40" i="76"/>
  <c r="DY40" i="76"/>
  <c r="DX40" i="76"/>
  <c r="DW40" i="76"/>
  <c r="DV40" i="76"/>
  <c r="DU40" i="76"/>
  <c r="DT40" i="76"/>
  <c r="DS40" i="76"/>
  <c r="DR40" i="76"/>
  <c r="DQ40" i="76"/>
  <c r="DP40" i="76"/>
  <c r="DO40" i="76"/>
  <c r="DN40" i="76"/>
  <c r="DM40" i="76"/>
  <c r="DL40" i="76"/>
  <c r="DK40" i="76"/>
  <c r="DJ40" i="76"/>
  <c r="DI40" i="76"/>
  <c r="DH40" i="76"/>
  <c r="DG40" i="76"/>
  <c r="DF40" i="76"/>
  <c r="DE40" i="76"/>
  <c r="DD40" i="76"/>
  <c r="DC40" i="76"/>
  <c r="DB40" i="76"/>
  <c r="DA40" i="76"/>
  <c r="CZ40" i="76"/>
  <c r="CY40" i="76"/>
  <c r="CX40" i="76"/>
  <c r="CW40" i="76"/>
  <c r="CV40" i="76"/>
  <c r="CU40" i="76"/>
  <c r="CT40" i="76"/>
  <c r="CS40" i="76"/>
  <c r="CR40" i="76"/>
  <c r="CQ40" i="76"/>
  <c r="CP40" i="76"/>
  <c r="CO40" i="76"/>
  <c r="CN40" i="76"/>
  <c r="CM40" i="76"/>
  <c r="CL40" i="76"/>
  <c r="CK40" i="76"/>
  <c r="CJ40" i="76"/>
  <c r="CI40" i="76"/>
  <c r="CH40" i="76"/>
  <c r="CG40" i="76"/>
  <c r="CF40" i="76"/>
  <c r="CE40" i="76"/>
  <c r="CD40" i="76"/>
  <c r="CC40" i="76"/>
  <c r="CB40" i="76"/>
  <c r="CA40" i="76"/>
  <c r="BZ40" i="76"/>
  <c r="BY40" i="76"/>
  <c r="BX40" i="76"/>
  <c r="BW40" i="76"/>
  <c r="BV40" i="76"/>
  <c r="BU40" i="76"/>
  <c r="BT40" i="76"/>
  <c r="BS40" i="76"/>
  <c r="BR40" i="76"/>
  <c r="BQ40" i="76"/>
  <c r="BP40" i="76"/>
  <c r="BO40" i="76"/>
  <c r="BN40" i="76"/>
  <c r="BM40" i="76"/>
  <c r="BL40" i="76"/>
  <c r="BK40" i="76"/>
  <c r="BJ40" i="76"/>
  <c r="BI40" i="76"/>
  <c r="BH40" i="76"/>
  <c r="BG40" i="76"/>
  <c r="BF40" i="76"/>
  <c r="BE40" i="76"/>
  <c r="BD40" i="76"/>
  <c r="BC40" i="76"/>
  <c r="BB40" i="76"/>
  <c r="BA40" i="76"/>
  <c r="AZ40" i="76"/>
  <c r="AY40" i="76"/>
  <c r="AX40" i="76"/>
  <c r="AW40" i="76"/>
  <c r="AV40" i="76"/>
  <c r="AU40" i="76"/>
  <c r="AT40" i="76"/>
  <c r="AS40" i="76"/>
  <c r="AR40" i="76"/>
  <c r="AQ40" i="76"/>
  <c r="AP40" i="76"/>
  <c r="AO40" i="76"/>
  <c r="AN40" i="76"/>
  <c r="AM40" i="76"/>
  <c r="AL40" i="76"/>
  <c r="AK40" i="76"/>
  <c r="AJ40" i="76"/>
  <c r="AI40" i="76"/>
  <c r="AH40" i="76"/>
  <c r="AG40" i="76"/>
  <c r="AF40" i="76"/>
  <c r="AE40" i="76"/>
  <c r="AD40" i="76"/>
  <c r="AC40" i="76"/>
  <c r="AB40" i="76"/>
  <c r="AA40" i="76"/>
  <c r="Z40" i="76"/>
  <c r="Y40" i="76"/>
  <c r="X40" i="76"/>
  <c r="W40" i="76"/>
  <c r="Q40" i="76"/>
  <c r="K40" i="76"/>
  <c r="A40" i="76"/>
  <c r="MS39" i="76"/>
  <c r="MR39" i="76"/>
  <c r="MQ39" i="76"/>
  <c r="MP39" i="76"/>
  <c r="MO39" i="76"/>
  <c r="MN39" i="76"/>
  <c r="MM39" i="76"/>
  <c r="ML39" i="76"/>
  <c r="MK39" i="76"/>
  <c r="MJ39" i="76"/>
  <c r="MI39" i="76"/>
  <c r="MH39" i="76"/>
  <c r="MG39" i="76"/>
  <c r="MF39" i="76"/>
  <c r="ME39" i="76"/>
  <c r="MD39" i="76"/>
  <c r="MC39" i="76"/>
  <c r="MB39" i="76"/>
  <c r="MA39" i="76"/>
  <c r="LZ39" i="76"/>
  <c r="LY39" i="76"/>
  <c r="LX39" i="76"/>
  <c r="LW39" i="76"/>
  <c r="LV39" i="76"/>
  <c r="LU39" i="76"/>
  <c r="LT39" i="76"/>
  <c r="LS39" i="76"/>
  <c r="LR39" i="76"/>
  <c r="LQ39" i="76"/>
  <c r="LP39" i="76"/>
  <c r="LO39" i="76"/>
  <c r="LN39" i="76"/>
  <c r="LM39" i="76"/>
  <c r="LL39" i="76"/>
  <c r="LK39" i="76"/>
  <c r="LJ39" i="76"/>
  <c r="LI39" i="76"/>
  <c r="LH39" i="76"/>
  <c r="LG39" i="76"/>
  <c r="LF39" i="76"/>
  <c r="LE39" i="76"/>
  <c r="LD39" i="76"/>
  <c r="LC39" i="76"/>
  <c r="LB39" i="76"/>
  <c r="LA39" i="76"/>
  <c r="KZ39" i="76"/>
  <c r="KY39" i="76"/>
  <c r="KX39" i="76"/>
  <c r="KW39" i="76"/>
  <c r="KV39" i="76"/>
  <c r="KU39" i="76"/>
  <c r="KT39" i="76"/>
  <c r="KS39" i="76"/>
  <c r="KR39" i="76"/>
  <c r="KQ39" i="76"/>
  <c r="KP39" i="76"/>
  <c r="KO39" i="76"/>
  <c r="KN39" i="76"/>
  <c r="KM39" i="76"/>
  <c r="KL39" i="76"/>
  <c r="KK39" i="76"/>
  <c r="KJ39" i="76"/>
  <c r="KI39" i="76"/>
  <c r="KH39" i="76"/>
  <c r="KG39" i="76"/>
  <c r="KF39" i="76"/>
  <c r="KE39" i="76"/>
  <c r="KD39" i="76"/>
  <c r="KC39" i="76"/>
  <c r="KB39" i="76"/>
  <c r="KA39" i="76"/>
  <c r="JZ39" i="76"/>
  <c r="JY39" i="76"/>
  <c r="JX39" i="76"/>
  <c r="JW39" i="76"/>
  <c r="JV39" i="76"/>
  <c r="JU39" i="76"/>
  <c r="JT39" i="76"/>
  <c r="JS39" i="76"/>
  <c r="JR39" i="76"/>
  <c r="JQ39" i="76"/>
  <c r="JP39" i="76"/>
  <c r="JO39" i="76"/>
  <c r="JN39" i="76"/>
  <c r="JM39" i="76"/>
  <c r="JL39" i="76"/>
  <c r="JK39" i="76"/>
  <c r="JJ39" i="76"/>
  <c r="JI39" i="76"/>
  <c r="JH39" i="76"/>
  <c r="JG39" i="76"/>
  <c r="JF39" i="76"/>
  <c r="JE39" i="76"/>
  <c r="JD39" i="76"/>
  <c r="JC39" i="76"/>
  <c r="JB39" i="76"/>
  <c r="JA39" i="76"/>
  <c r="IZ39" i="76"/>
  <c r="IY39" i="76"/>
  <c r="IX39" i="76"/>
  <c r="IW39" i="76"/>
  <c r="IV39" i="76"/>
  <c r="IU39" i="76"/>
  <c r="IT39" i="76"/>
  <c r="IS39" i="76"/>
  <c r="IR39" i="76"/>
  <c r="IQ39" i="76"/>
  <c r="IP39" i="76"/>
  <c r="IO39" i="76"/>
  <c r="IN39" i="76"/>
  <c r="IM39" i="76"/>
  <c r="IL39" i="76"/>
  <c r="IK39" i="76"/>
  <c r="IJ39" i="76"/>
  <c r="II39" i="76"/>
  <c r="IH39" i="76"/>
  <c r="IG39" i="76"/>
  <c r="IF39" i="76"/>
  <c r="IE39" i="76"/>
  <c r="ID39" i="76"/>
  <c r="IC39" i="76"/>
  <c r="IB39" i="76"/>
  <c r="IA39" i="76"/>
  <c r="HZ39" i="76"/>
  <c r="HY39" i="76"/>
  <c r="HX39" i="76"/>
  <c r="HW39" i="76"/>
  <c r="HV39" i="76"/>
  <c r="HU39" i="76"/>
  <c r="HT39" i="76"/>
  <c r="HS39" i="76"/>
  <c r="HR39" i="76"/>
  <c r="HQ39" i="76"/>
  <c r="HP39" i="76"/>
  <c r="HO39" i="76"/>
  <c r="HN39" i="76"/>
  <c r="HM39" i="76"/>
  <c r="HL39" i="76"/>
  <c r="HK39" i="76"/>
  <c r="HJ39" i="76"/>
  <c r="HI39" i="76"/>
  <c r="HH39" i="76"/>
  <c r="HG39" i="76"/>
  <c r="HF39" i="76"/>
  <c r="HE39" i="76"/>
  <c r="HD39" i="76"/>
  <c r="HC39" i="76"/>
  <c r="HB39" i="76"/>
  <c r="HA39" i="76"/>
  <c r="GZ39" i="76"/>
  <c r="GY39" i="76"/>
  <c r="GX39" i="76"/>
  <c r="GW39" i="76"/>
  <c r="GV39" i="76"/>
  <c r="GU39" i="76"/>
  <c r="GT39" i="76"/>
  <c r="GS39" i="76"/>
  <c r="GR39" i="76"/>
  <c r="GQ39" i="76"/>
  <c r="GP39" i="76"/>
  <c r="GO39" i="76"/>
  <c r="GN39" i="76"/>
  <c r="GM39" i="76"/>
  <c r="GL39" i="76"/>
  <c r="GK39" i="76"/>
  <c r="GJ39" i="76"/>
  <c r="GI39" i="76"/>
  <c r="GH39" i="76"/>
  <c r="GG39" i="76"/>
  <c r="GF39" i="76"/>
  <c r="GE39" i="76"/>
  <c r="GD39" i="76"/>
  <c r="GC39" i="76"/>
  <c r="GB39" i="76"/>
  <c r="GA39" i="76"/>
  <c r="FZ39" i="76"/>
  <c r="FY39" i="76"/>
  <c r="FX39" i="76"/>
  <c r="FW39" i="76"/>
  <c r="FV39" i="76"/>
  <c r="FU39" i="76"/>
  <c r="FT39" i="76"/>
  <c r="FS39" i="76"/>
  <c r="FR39" i="76"/>
  <c r="FQ39" i="76"/>
  <c r="FP39" i="76"/>
  <c r="FO39" i="76"/>
  <c r="FN39" i="76"/>
  <c r="FM39" i="76"/>
  <c r="FL39" i="76"/>
  <c r="FK39" i="76"/>
  <c r="FJ39" i="76"/>
  <c r="FI39" i="76"/>
  <c r="FH39" i="76"/>
  <c r="FG39" i="76"/>
  <c r="FF39" i="76"/>
  <c r="FE39" i="76"/>
  <c r="FD39" i="76"/>
  <c r="FC39" i="76"/>
  <c r="FB39" i="76"/>
  <c r="FA39" i="76"/>
  <c r="EZ39" i="76"/>
  <c r="EY39" i="76"/>
  <c r="EX39" i="76"/>
  <c r="EW39" i="76"/>
  <c r="EV39" i="76"/>
  <c r="EU39" i="76"/>
  <c r="ET39" i="76"/>
  <c r="ES39" i="76"/>
  <c r="ER39" i="76"/>
  <c r="EQ39" i="76"/>
  <c r="EP39" i="76"/>
  <c r="EO39" i="76"/>
  <c r="EN39" i="76"/>
  <c r="EM39" i="76"/>
  <c r="EL39" i="76"/>
  <c r="EK39" i="76"/>
  <c r="EJ39" i="76"/>
  <c r="EI39" i="76"/>
  <c r="EH39" i="76"/>
  <c r="EG39" i="76"/>
  <c r="EF39" i="76"/>
  <c r="EE39" i="76"/>
  <c r="ED39" i="76"/>
  <c r="EC39" i="76"/>
  <c r="EB39" i="76"/>
  <c r="EA39" i="76"/>
  <c r="DZ39" i="76"/>
  <c r="DY39" i="76"/>
  <c r="DX39" i="76"/>
  <c r="DW39" i="76"/>
  <c r="DV39" i="76"/>
  <c r="DU39" i="76"/>
  <c r="DT39" i="76"/>
  <c r="DS39" i="76"/>
  <c r="DR39" i="76"/>
  <c r="DQ39" i="76"/>
  <c r="DP39" i="76"/>
  <c r="DO39" i="76"/>
  <c r="DN39" i="76"/>
  <c r="DM39" i="76"/>
  <c r="DL39" i="76"/>
  <c r="DK39" i="76"/>
  <c r="DJ39" i="76"/>
  <c r="DI39" i="76"/>
  <c r="DH39" i="76"/>
  <c r="DG39" i="76"/>
  <c r="DF39" i="76"/>
  <c r="DE39" i="76"/>
  <c r="DD39" i="76"/>
  <c r="DC39" i="76"/>
  <c r="DB39" i="76"/>
  <c r="DA39" i="76"/>
  <c r="CZ39" i="76"/>
  <c r="CY39" i="76"/>
  <c r="CX39" i="76"/>
  <c r="CW39" i="76"/>
  <c r="CV39" i="76"/>
  <c r="CU39" i="76"/>
  <c r="CT39" i="76"/>
  <c r="CS39" i="76"/>
  <c r="CR39" i="76"/>
  <c r="CQ39" i="76"/>
  <c r="CP39" i="76"/>
  <c r="CO39" i="76"/>
  <c r="CN39" i="76"/>
  <c r="CM39" i="76"/>
  <c r="CL39" i="76"/>
  <c r="CK39" i="76"/>
  <c r="CJ39" i="76"/>
  <c r="CI39" i="76"/>
  <c r="CH39" i="76"/>
  <c r="CG39" i="76"/>
  <c r="CF39" i="76"/>
  <c r="CE39" i="76"/>
  <c r="CD39" i="76"/>
  <c r="CC39" i="76"/>
  <c r="CB39" i="76"/>
  <c r="CA39" i="76"/>
  <c r="BZ39" i="76"/>
  <c r="BY39" i="76"/>
  <c r="BX39" i="76"/>
  <c r="BW39" i="76"/>
  <c r="BV39" i="76"/>
  <c r="BU39" i="76"/>
  <c r="BT39" i="76"/>
  <c r="BS39" i="76"/>
  <c r="BR39" i="76"/>
  <c r="BQ39" i="76"/>
  <c r="BP39" i="76"/>
  <c r="BO39" i="76"/>
  <c r="BN39" i="76"/>
  <c r="BM39" i="76"/>
  <c r="BL39" i="76"/>
  <c r="BK39" i="76"/>
  <c r="BJ39" i="76"/>
  <c r="BI39" i="76"/>
  <c r="BH39" i="76"/>
  <c r="BG39" i="76"/>
  <c r="BF39" i="76"/>
  <c r="BE39" i="76"/>
  <c r="BD39" i="76"/>
  <c r="BC39" i="76"/>
  <c r="BB39" i="76"/>
  <c r="BA39" i="76"/>
  <c r="AZ39" i="76"/>
  <c r="AY39" i="76"/>
  <c r="AX39" i="76"/>
  <c r="AW39" i="76"/>
  <c r="AV39" i="76"/>
  <c r="AU39" i="76"/>
  <c r="AT39" i="76"/>
  <c r="AS39" i="76"/>
  <c r="AR39" i="76"/>
  <c r="AQ39" i="76"/>
  <c r="AP39" i="76"/>
  <c r="AO39" i="76"/>
  <c r="AN39" i="76"/>
  <c r="AM39" i="76"/>
  <c r="AL39" i="76"/>
  <c r="AK39" i="76"/>
  <c r="AJ39" i="76"/>
  <c r="AI39" i="76"/>
  <c r="AH39" i="76"/>
  <c r="AG39" i="76"/>
  <c r="AF39" i="76"/>
  <c r="AE39" i="76"/>
  <c r="AD39" i="76"/>
  <c r="AC39" i="76"/>
  <c r="AB39" i="76"/>
  <c r="AA39" i="76"/>
  <c r="Z39" i="76"/>
  <c r="Y39" i="76"/>
  <c r="X39" i="76"/>
  <c r="W39" i="76"/>
  <c r="Q39" i="76"/>
  <c r="K39" i="76"/>
  <c r="A39" i="76"/>
  <c r="MS38" i="76"/>
  <c r="MR38" i="76"/>
  <c r="MQ38" i="76"/>
  <c r="MP38" i="76"/>
  <c r="MO38" i="76"/>
  <c r="MN38" i="76"/>
  <c r="MM38" i="76"/>
  <c r="ML38" i="76"/>
  <c r="MK38" i="76"/>
  <c r="MJ38" i="76"/>
  <c r="MI38" i="76"/>
  <c r="MH38" i="76"/>
  <c r="MG38" i="76"/>
  <c r="MF38" i="76"/>
  <c r="ME38" i="76"/>
  <c r="MD38" i="76"/>
  <c r="MC38" i="76"/>
  <c r="MB38" i="76"/>
  <c r="MA38" i="76"/>
  <c r="LZ38" i="76"/>
  <c r="LY38" i="76"/>
  <c r="LX38" i="76"/>
  <c r="LW38" i="76"/>
  <c r="LV38" i="76"/>
  <c r="LU38" i="76"/>
  <c r="LT38" i="76"/>
  <c r="LS38" i="76"/>
  <c r="LR38" i="76"/>
  <c r="LQ38" i="76"/>
  <c r="LP38" i="76"/>
  <c r="LO38" i="76"/>
  <c r="LN38" i="76"/>
  <c r="LM38" i="76"/>
  <c r="LL38" i="76"/>
  <c r="LK38" i="76"/>
  <c r="LJ38" i="76"/>
  <c r="LI38" i="76"/>
  <c r="LH38" i="76"/>
  <c r="LG38" i="76"/>
  <c r="LF38" i="76"/>
  <c r="LE38" i="76"/>
  <c r="LD38" i="76"/>
  <c r="LC38" i="76"/>
  <c r="LB38" i="76"/>
  <c r="LA38" i="76"/>
  <c r="KZ38" i="76"/>
  <c r="KY38" i="76"/>
  <c r="KX38" i="76"/>
  <c r="KW38" i="76"/>
  <c r="KV38" i="76"/>
  <c r="KU38" i="76"/>
  <c r="KT38" i="76"/>
  <c r="KS38" i="76"/>
  <c r="KR38" i="76"/>
  <c r="KQ38" i="76"/>
  <c r="KP38" i="76"/>
  <c r="KO38" i="76"/>
  <c r="KN38" i="76"/>
  <c r="KM38" i="76"/>
  <c r="KL38" i="76"/>
  <c r="KK38" i="76"/>
  <c r="KJ38" i="76"/>
  <c r="KI38" i="76"/>
  <c r="KH38" i="76"/>
  <c r="KG38" i="76"/>
  <c r="KF38" i="76"/>
  <c r="KE38" i="76"/>
  <c r="KD38" i="76"/>
  <c r="KC38" i="76"/>
  <c r="KB38" i="76"/>
  <c r="KA38" i="76"/>
  <c r="JZ38" i="76"/>
  <c r="JY38" i="76"/>
  <c r="JX38" i="76"/>
  <c r="JW38" i="76"/>
  <c r="JV38" i="76"/>
  <c r="JU38" i="76"/>
  <c r="JT38" i="76"/>
  <c r="JS38" i="76"/>
  <c r="JR38" i="76"/>
  <c r="JQ38" i="76"/>
  <c r="JP38" i="76"/>
  <c r="JO38" i="76"/>
  <c r="JN38" i="76"/>
  <c r="JM38" i="76"/>
  <c r="JL38" i="76"/>
  <c r="JK38" i="76"/>
  <c r="JJ38" i="76"/>
  <c r="JI38" i="76"/>
  <c r="JH38" i="76"/>
  <c r="JG38" i="76"/>
  <c r="JF38" i="76"/>
  <c r="JE38" i="76"/>
  <c r="JD38" i="76"/>
  <c r="JC38" i="76"/>
  <c r="JB38" i="76"/>
  <c r="JA38" i="76"/>
  <c r="IZ38" i="76"/>
  <c r="IY38" i="76"/>
  <c r="IX38" i="76"/>
  <c r="IW38" i="76"/>
  <c r="IV38" i="76"/>
  <c r="IU38" i="76"/>
  <c r="IT38" i="76"/>
  <c r="IS38" i="76"/>
  <c r="IR38" i="76"/>
  <c r="IQ38" i="76"/>
  <c r="IP38" i="76"/>
  <c r="IO38" i="76"/>
  <c r="IN38" i="76"/>
  <c r="IM38" i="76"/>
  <c r="IL38" i="76"/>
  <c r="IK38" i="76"/>
  <c r="IJ38" i="76"/>
  <c r="II38" i="76"/>
  <c r="IH38" i="76"/>
  <c r="IG38" i="76"/>
  <c r="IF38" i="76"/>
  <c r="IE38" i="76"/>
  <c r="ID38" i="76"/>
  <c r="IC38" i="76"/>
  <c r="IB38" i="76"/>
  <c r="IA38" i="76"/>
  <c r="HZ38" i="76"/>
  <c r="HY38" i="76"/>
  <c r="HX38" i="76"/>
  <c r="HW38" i="76"/>
  <c r="HV38" i="76"/>
  <c r="HU38" i="76"/>
  <c r="HT38" i="76"/>
  <c r="HS38" i="76"/>
  <c r="HR38" i="76"/>
  <c r="HQ38" i="76"/>
  <c r="HP38" i="76"/>
  <c r="HO38" i="76"/>
  <c r="HN38" i="76"/>
  <c r="HM38" i="76"/>
  <c r="HL38" i="76"/>
  <c r="HK38" i="76"/>
  <c r="HJ38" i="76"/>
  <c r="HI38" i="76"/>
  <c r="HH38" i="76"/>
  <c r="HG38" i="76"/>
  <c r="HF38" i="76"/>
  <c r="HE38" i="76"/>
  <c r="HD38" i="76"/>
  <c r="HC38" i="76"/>
  <c r="HB38" i="76"/>
  <c r="HA38" i="76"/>
  <c r="GZ38" i="76"/>
  <c r="GY38" i="76"/>
  <c r="GX38" i="76"/>
  <c r="GW38" i="76"/>
  <c r="GV38" i="76"/>
  <c r="GU38" i="76"/>
  <c r="GT38" i="76"/>
  <c r="GS38" i="76"/>
  <c r="GR38" i="76"/>
  <c r="GQ38" i="76"/>
  <c r="GP38" i="76"/>
  <c r="GO38" i="76"/>
  <c r="GN38" i="76"/>
  <c r="GM38" i="76"/>
  <c r="GL38" i="76"/>
  <c r="GK38" i="76"/>
  <c r="GJ38" i="76"/>
  <c r="GI38" i="76"/>
  <c r="GH38" i="76"/>
  <c r="GG38" i="76"/>
  <c r="GF38" i="76"/>
  <c r="GE38" i="76"/>
  <c r="GD38" i="76"/>
  <c r="GC38" i="76"/>
  <c r="GB38" i="76"/>
  <c r="GA38" i="76"/>
  <c r="FZ38" i="76"/>
  <c r="FY38" i="76"/>
  <c r="FX38" i="76"/>
  <c r="FW38" i="76"/>
  <c r="FV38" i="76"/>
  <c r="FU38" i="76"/>
  <c r="FT38" i="76"/>
  <c r="FS38" i="76"/>
  <c r="FR38" i="76"/>
  <c r="FQ38" i="76"/>
  <c r="FP38" i="76"/>
  <c r="FO38" i="76"/>
  <c r="FN38" i="76"/>
  <c r="FM38" i="76"/>
  <c r="FL38" i="76"/>
  <c r="FK38" i="76"/>
  <c r="FJ38" i="76"/>
  <c r="FI38" i="76"/>
  <c r="FH38" i="76"/>
  <c r="FG38" i="76"/>
  <c r="FF38" i="76"/>
  <c r="FE38" i="76"/>
  <c r="FD38" i="76"/>
  <c r="FC38" i="76"/>
  <c r="FB38" i="76"/>
  <c r="FA38" i="76"/>
  <c r="EZ38" i="76"/>
  <c r="EY38" i="76"/>
  <c r="EX38" i="76"/>
  <c r="EW38" i="76"/>
  <c r="EV38" i="76"/>
  <c r="EU38" i="76"/>
  <c r="ET38" i="76"/>
  <c r="ES38" i="76"/>
  <c r="ER38" i="76"/>
  <c r="EQ38" i="76"/>
  <c r="EP38" i="76"/>
  <c r="EO38" i="76"/>
  <c r="EN38" i="76"/>
  <c r="EM38" i="76"/>
  <c r="EL38" i="76"/>
  <c r="EK38" i="76"/>
  <c r="EJ38" i="76"/>
  <c r="EI38" i="76"/>
  <c r="EH38" i="76"/>
  <c r="EG38" i="76"/>
  <c r="EF38" i="76"/>
  <c r="EE38" i="76"/>
  <c r="ED38" i="76"/>
  <c r="EC38" i="76"/>
  <c r="EB38" i="76"/>
  <c r="EA38" i="76"/>
  <c r="DZ38" i="76"/>
  <c r="DY38" i="76"/>
  <c r="DX38" i="76"/>
  <c r="DW38" i="76"/>
  <c r="DV38" i="76"/>
  <c r="DU38" i="76"/>
  <c r="DT38" i="76"/>
  <c r="DS38" i="76"/>
  <c r="DR38" i="76"/>
  <c r="DQ38" i="76"/>
  <c r="DP38" i="76"/>
  <c r="DO38" i="76"/>
  <c r="DN38" i="76"/>
  <c r="DM38" i="76"/>
  <c r="DL38" i="76"/>
  <c r="DK38" i="76"/>
  <c r="DJ38" i="76"/>
  <c r="DI38" i="76"/>
  <c r="DH38" i="76"/>
  <c r="DG38" i="76"/>
  <c r="DF38" i="76"/>
  <c r="DE38" i="76"/>
  <c r="DD38" i="76"/>
  <c r="DC38" i="76"/>
  <c r="DB38" i="76"/>
  <c r="DA38" i="76"/>
  <c r="CZ38" i="76"/>
  <c r="CY38" i="76"/>
  <c r="CX38" i="76"/>
  <c r="CW38" i="76"/>
  <c r="CV38" i="76"/>
  <c r="CU38" i="76"/>
  <c r="CT38" i="76"/>
  <c r="CS38" i="76"/>
  <c r="CR38" i="76"/>
  <c r="CQ38" i="76"/>
  <c r="CP38" i="76"/>
  <c r="CO38" i="76"/>
  <c r="CN38" i="76"/>
  <c r="CM38" i="76"/>
  <c r="CL38" i="76"/>
  <c r="CK38" i="76"/>
  <c r="CJ38" i="76"/>
  <c r="CI38" i="76"/>
  <c r="CH38" i="76"/>
  <c r="CG38" i="76"/>
  <c r="CF38" i="76"/>
  <c r="CE38" i="76"/>
  <c r="CD38" i="76"/>
  <c r="CC38" i="76"/>
  <c r="CB38" i="76"/>
  <c r="CA38" i="76"/>
  <c r="BZ38" i="76"/>
  <c r="BY38" i="76"/>
  <c r="BX38" i="76"/>
  <c r="BW38" i="76"/>
  <c r="BV38" i="76"/>
  <c r="BU38" i="76"/>
  <c r="BT38" i="76"/>
  <c r="BS38" i="76"/>
  <c r="BR38" i="76"/>
  <c r="BQ38" i="76"/>
  <c r="BP38" i="76"/>
  <c r="BO38" i="76"/>
  <c r="BN38" i="76"/>
  <c r="BM38" i="76"/>
  <c r="BL38" i="76"/>
  <c r="BK38" i="76"/>
  <c r="BJ38" i="76"/>
  <c r="BI38" i="76"/>
  <c r="BH38" i="76"/>
  <c r="BG38" i="76"/>
  <c r="BF38" i="76"/>
  <c r="BE38" i="76"/>
  <c r="BD38" i="76"/>
  <c r="BC38" i="76"/>
  <c r="BB38" i="76"/>
  <c r="BA38" i="76"/>
  <c r="AZ38" i="76"/>
  <c r="AY38" i="76"/>
  <c r="AX38" i="76"/>
  <c r="AW38" i="76"/>
  <c r="AV38" i="76"/>
  <c r="AU38" i="76"/>
  <c r="AT38" i="76"/>
  <c r="AS38" i="76"/>
  <c r="AR38" i="76"/>
  <c r="AQ38" i="76"/>
  <c r="AP38" i="76"/>
  <c r="AO38" i="76"/>
  <c r="AN38" i="76"/>
  <c r="AM38" i="76"/>
  <c r="AL38" i="76"/>
  <c r="AK38" i="76"/>
  <c r="AJ38" i="76"/>
  <c r="AI38" i="76"/>
  <c r="AH38" i="76"/>
  <c r="AG38" i="76"/>
  <c r="AF38" i="76"/>
  <c r="AE38" i="76"/>
  <c r="AD38" i="76"/>
  <c r="AC38" i="76"/>
  <c r="AB38" i="76"/>
  <c r="AA38" i="76"/>
  <c r="Z38" i="76"/>
  <c r="Y38" i="76"/>
  <c r="X38" i="76"/>
  <c r="W38" i="76"/>
  <c r="Q38" i="76"/>
  <c r="K38" i="76"/>
  <c r="A38" i="76"/>
  <c r="MS37" i="76"/>
  <c r="MR37" i="76"/>
  <c r="MQ37" i="76"/>
  <c r="MP37" i="76"/>
  <c r="MO37" i="76"/>
  <c r="MN37" i="76"/>
  <c r="MM37" i="76"/>
  <c r="ML37" i="76"/>
  <c r="MK37" i="76"/>
  <c r="MJ37" i="76"/>
  <c r="MI37" i="76"/>
  <c r="MH37" i="76"/>
  <c r="MG37" i="76"/>
  <c r="MF37" i="76"/>
  <c r="ME37" i="76"/>
  <c r="MD37" i="76"/>
  <c r="MC37" i="76"/>
  <c r="MB37" i="76"/>
  <c r="MA37" i="76"/>
  <c r="LZ37" i="76"/>
  <c r="LY37" i="76"/>
  <c r="LX37" i="76"/>
  <c r="LW37" i="76"/>
  <c r="LV37" i="76"/>
  <c r="LU37" i="76"/>
  <c r="LT37" i="76"/>
  <c r="LS37" i="76"/>
  <c r="LR37" i="76"/>
  <c r="LQ37" i="76"/>
  <c r="LP37" i="76"/>
  <c r="LO37" i="76"/>
  <c r="LN37" i="76"/>
  <c r="LM37" i="76"/>
  <c r="LL37" i="76"/>
  <c r="LK37" i="76"/>
  <c r="LJ37" i="76"/>
  <c r="LI37" i="76"/>
  <c r="LH37" i="76"/>
  <c r="LG37" i="76"/>
  <c r="LF37" i="76"/>
  <c r="LE37" i="76"/>
  <c r="LD37" i="76"/>
  <c r="LC37" i="76"/>
  <c r="LB37" i="76"/>
  <c r="LA37" i="76"/>
  <c r="KZ37" i="76"/>
  <c r="KY37" i="76"/>
  <c r="KX37" i="76"/>
  <c r="KW37" i="76"/>
  <c r="KV37" i="76"/>
  <c r="KU37" i="76"/>
  <c r="KT37" i="76"/>
  <c r="KS37" i="76"/>
  <c r="KR37" i="76"/>
  <c r="KQ37" i="76"/>
  <c r="KP37" i="76"/>
  <c r="KO37" i="76"/>
  <c r="KN37" i="76"/>
  <c r="KM37" i="76"/>
  <c r="KL37" i="76"/>
  <c r="KK37" i="76"/>
  <c r="KJ37" i="76"/>
  <c r="KI37" i="76"/>
  <c r="KH37" i="76"/>
  <c r="KG37" i="76"/>
  <c r="KF37" i="76"/>
  <c r="KE37" i="76"/>
  <c r="KD37" i="76"/>
  <c r="KC37" i="76"/>
  <c r="KB37" i="76"/>
  <c r="KA37" i="76"/>
  <c r="JZ37" i="76"/>
  <c r="JY37" i="76"/>
  <c r="JX37" i="76"/>
  <c r="JW37" i="76"/>
  <c r="JV37" i="76"/>
  <c r="JU37" i="76"/>
  <c r="JT37" i="76"/>
  <c r="JS37" i="76"/>
  <c r="JR37" i="76"/>
  <c r="JQ37" i="76"/>
  <c r="JP37" i="76"/>
  <c r="JO37" i="76"/>
  <c r="JN37" i="76"/>
  <c r="JM37" i="76"/>
  <c r="JL37" i="76"/>
  <c r="JK37" i="76"/>
  <c r="JJ37" i="76"/>
  <c r="JI37" i="76"/>
  <c r="JH37" i="76"/>
  <c r="JG37" i="76"/>
  <c r="JF37" i="76"/>
  <c r="JE37" i="76"/>
  <c r="JD37" i="76"/>
  <c r="JC37" i="76"/>
  <c r="JB37" i="76"/>
  <c r="JA37" i="76"/>
  <c r="IZ37" i="76"/>
  <c r="IY37" i="76"/>
  <c r="IX37" i="76"/>
  <c r="IW37" i="76"/>
  <c r="IV37" i="76"/>
  <c r="IU37" i="76"/>
  <c r="IT37" i="76"/>
  <c r="IS37" i="76"/>
  <c r="IR37" i="76"/>
  <c r="IQ37" i="76"/>
  <c r="IP37" i="76"/>
  <c r="IO37" i="76"/>
  <c r="IN37" i="76"/>
  <c r="IM37" i="76"/>
  <c r="IL37" i="76"/>
  <c r="IK37" i="76"/>
  <c r="IJ37" i="76"/>
  <c r="II37" i="76"/>
  <c r="IH37" i="76"/>
  <c r="IG37" i="76"/>
  <c r="IF37" i="76"/>
  <c r="IE37" i="76"/>
  <c r="ID37" i="76"/>
  <c r="IC37" i="76"/>
  <c r="IB37" i="76"/>
  <c r="IA37" i="76"/>
  <c r="HZ37" i="76"/>
  <c r="HY37" i="76"/>
  <c r="HX37" i="76"/>
  <c r="HW37" i="76"/>
  <c r="HV37" i="76"/>
  <c r="HU37" i="76"/>
  <c r="HT37" i="76"/>
  <c r="HS37" i="76"/>
  <c r="HR37" i="76"/>
  <c r="HQ37" i="76"/>
  <c r="HP37" i="76"/>
  <c r="HO37" i="76"/>
  <c r="HN37" i="76"/>
  <c r="HM37" i="76"/>
  <c r="HL37" i="76"/>
  <c r="HK37" i="76"/>
  <c r="HJ37" i="76"/>
  <c r="HI37" i="76"/>
  <c r="HH37" i="76"/>
  <c r="HG37" i="76"/>
  <c r="HF37" i="76"/>
  <c r="HE37" i="76"/>
  <c r="HD37" i="76"/>
  <c r="HC37" i="76"/>
  <c r="HB37" i="76"/>
  <c r="HA37" i="76"/>
  <c r="GZ37" i="76"/>
  <c r="GY37" i="76"/>
  <c r="GX37" i="76"/>
  <c r="GW37" i="76"/>
  <c r="GV37" i="76"/>
  <c r="GU37" i="76"/>
  <c r="GT37" i="76"/>
  <c r="GS37" i="76"/>
  <c r="GR37" i="76"/>
  <c r="GQ37" i="76"/>
  <c r="GP37" i="76"/>
  <c r="GO37" i="76"/>
  <c r="GN37" i="76"/>
  <c r="GM37" i="76"/>
  <c r="GL37" i="76"/>
  <c r="GK37" i="76"/>
  <c r="GJ37" i="76"/>
  <c r="GI37" i="76"/>
  <c r="GH37" i="76"/>
  <c r="GG37" i="76"/>
  <c r="GF37" i="76"/>
  <c r="GE37" i="76"/>
  <c r="GD37" i="76"/>
  <c r="GC37" i="76"/>
  <c r="GB37" i="76"/>
  <c r="GA37" i="76"/>
  <c r="FZ37" i="76"/>
  <c r="FY37" i="76"/>
  <c r="FX37" i="76"/>
  <c r="FW37" i="76"/>
  <c r="FV37" i="76"/>
  <c r="FU37" i="76"/>
  <c r="FT37" i="76"/>
  <c r="FS37" i="76"/>
  <c r="FR37" i="76"/>
  <c r="FQ37" i="76"/>
  <c r="FP37" i="76"/>
  <c r="FO37" i="76"/>
  <c r="FN37" i="76"/>
  <c r="FM37" i="76"/>
  <c r="FL37" i="76"/>
  <c r="FK37" i="76"/>
  <c r="FJ37" i="76"/>
  <c r="FI37" i="76"/>
  <c r="FH37" i="76"/>
  <c r="FG37" i="76"/>
  <c r="FF37" i="76"/>
  <c r="FE37" i="76"/>
  <c r="FD37" i="76"/>
  <c r="FC37" i="76"/>
  <c r="FB37" i="76"/>
  <c r="FA37" i="76"/>
  <c r="EZ37" i="76"/>
  <c r="EY37" i="76"/>
  <c r="EX37" i="76"/>
  <c r="EW37" i="76"/>
  <c r="EV37" i="76"/>
  <c r="EU37" i="76"/>
  <c r="ET37" i="76"/>
  <c r="ES37" i="76"/>
  <c r="ER37" i="76"/>
  <c r="EQ37" i="76"/>
  <c r="EP37" i="76"/>
  <c r="EO37" i="76"/>
  <c r="EN37" i="76"/>
  <c r="EM37" i="76"/>
  <c r="EL37" i="76"/>
  <c r="EK37" i="76"/>
  <c r="EJ37" i="76"/>
  <c r="EI37" i="76"/>
  <c r="EH37" i="76"/>
  <c r="EG37" i="76"/>
  <c r="EF37" i="76"/>
  <c r="EE37" i="76"/>
  <c r="ED37" i="76"/>
  <c r="EC37" i="76"/>
  <c r="EB37" i="76"/>
  <c r="EA37" i="76"/>
  <c r="DZ37" i="76"/>
  <c r="DY37" i="76"/>
  <c r="DX37" i="76"/>
  <c r="DW37" i="76"/>
  <c r="DV37" i="76"/>
  <c r="DU37" i="76"/>
  <c r="DT37" i="76"/>
  <c r="DS37" i="76"/>
  <c r="DR37" i="76"/>
  <c r="DQ37" i="76"/>
  <c r="DP37" i="76"/>
  <c r="DO37" i="76"/>
  <c r="DN37" i="76"/>
  <c r="DM37" i="76"/>
  <c r="DL37" i="76"/>
  <c r="DK37" i="76"/>
  <c r="DJ37" i="76"/>
  <c r="DI37" i="76"/>
  <c r="DH37" i="76"/>
  <c r="DG37" i="76"/>
  <c r="DF37" i="76"/>
  <c r="DE37" i="76"/>
  <c r="DD37" i="76"/>
  <c r="DC37" i="76"/>
  <c r="DB37" i="76"/>
  <c r="DA37" i="76"/>
  <c r="CZ37" i="76"/>
  <c r="CY37" i="76"/>
  <c r="CX37" i="76"/>
  <c r="CW37" i="76"/>
  <c r="CV37" i="76"/>
  <c r="CU37" i="76"/>
  <c r="CT37" i="76"/>
  <c r="CS37" i="76"/>
  <c r="CR37" i="76"/>
  <c r="CQ37" i="76"/>
  <c r="CP37" i="76"/>
  <c r="CO37" i="76"/>
  <c r="CN37" i="76"/>
  <c r="CM37" i="76"/>
  <c r="CL37" i="76"/>
  <c r="CK37" i="76"/>
  <c r="CJ37" i="76"/>
  <c r="CI37" i="76"/>
  <c r="CH37" i="76"/>
  <c r="CG37" i="76"/>
  <c r="CF37" i="76"/>
  <c r="CE37" i="76"/>
  <c r="CD37" i="76"/>
  <c r="CC37" i="76"/>
  <c r="CB37" i="76"/>
  <c r="CA37" i="76"/>
  <c r="BZ37" i="76"/>
  <c r="BY37" i="76"/>
  <c r="BX37" i="76"/>
  <c r="BW37" i="76"/>
  <c r="BV37" i="76"/>
  <c r="BU37" i="76"/>
  <c r="BT37" i="76"/>
  <c r="BS37" i="76"/>
  <c r="BR37" i="76"/>
  <c r="BQ37" i="76"/>
  <c r="BP37" i="76"/>
  <c r="BO37" i="76"/>
  <c r="BN37" i="76"/>
  <c r="BM37" i="76"/>
  <c r="BL37" i="76"/>
  <c r="BK37" i="76"/>
  <c r="BJ37" i="76"/>
  <c r="BI37" i="76"/>
  <c r="BH37" i="76"/>
  <c r="BG37" i="76"/>
  <c r="BF37" i="76"/>
  <c r="BE37" i="76"/>
  <c r="BD37" i="76"/>
  <c r="BC37" i="76"/>
  <c r="BB37" i="76"/>
  <c r="BA37" i="76"/>
  <c r="AZ37" i="76"/>
  <c r="AY37" i="76"/>
  <c r="AX37" i="76"/>
  <c r="AW37" i="76"/>
  <c r="AV37" i="76"/>
  <c r="AU37" i="76"/>
  <c r="AT37" i="76"/>
  <c r="AS37" i="76"/>
  <c r="AR37" i="76"/>
  <c r="AQ37" i="76"/>
  <c r="AP37" i="76"/>
  <c r="AO37" i="76"/>
  <c r="AN37" i="76"/>
  <c r="AM37" i="76"/>
  <c r="AL37" i="76"/>
  <c r="AK37" i="76"/>
  <c r="AJ37" i="76"/>
  <c r="AI37" i="76"/>
  <c r="AH37" i="76"/>
  <c r="AG37" i="76"/>
  <c r="AF37" i="76"/>
  <c r="AE37" i="76"/>
  <c r="AD37" i="76"/>
  <c r="AC37" i="76"/>
  <c r="AB37" i="76"/>
  <c r="AA37" i="76"/>
  <c r="Z37" i="76"/>
  <c r="Y37" i="76"/>
  <c r="X37" i="76"/>
  <c r="W37" i="76"/>
  <c r="Q37" i="76"/>
  <c r="K37" i="76"/>
  <c r="A37" i="76"/>
  <c r="MS36" i="76"/>
  <c r="MR36" i="76"/>
  <c r="MQ36" i="76"/>
  <c r="MP36" i="76"/>
  <c r="MO36" i="76"/>
  <c r="MN36" i="76"/>
  <c r="MM36" i="76"/>
  <c r="ML36" i="76"/>
  <c r="MK36" i="76"/>
  <c r="MJ36" i="76"/>
  <c r="MI36" i="76"/>
  <c r="MH36" i="76"/>
  <c r="MG36" i="76"/>
  <c r="MF36" i="76"/>
  <c r="ME36" i="76"/>
  <c r="MD36" i="76"/>
  <c r="MC36" i="76"/>
  <c r="MB36" i="76"/>
  <c r="MA36" i="76"/>
  <c r="LZ36" i="76"/>
  <c r="LY36" i="76"/>
  <c r="LX36" i="76"/>
  <c r="LW36" i="76"/>
  <c r="LV36" i="76"/>
  <c r="LU36" i="76"/>
  <c r="LT36" i="76"/>
  <c r="LS36" i="76"/>
  <c r="LR36" i="76"/>
  <c r="LQ36" i="76"/>
  <c r="LP36" i="76"/>
  <c r="LO36" i="76"/>
  <c r="LN36" i="76"/>
  <c r="LM36" i="76"/>
  <c r="LL36" i="76"/>
  <c r="LK36" i="76"/>
  <c r="LJ36" i="76"/>
  <c r="LI36" i="76"/>
  <c r="LH36" i="76"/>
  <c r="LG36" i="76"/>
  <c r="LF36" i="76"/>
  <c r="LE36" i="76"/>
  <c r="LD36" i="76"/>
  <c r="LC36" i="76"/>
  <c r="LB36" i="76"/>
  <c r="LA36" i="76"/>
  <c r="KZ36" i="76"/>
  <c r="KY36" i="76"/>
  <c r="KX36" i="76"/>
  <c r="KW36" i="76"/>
  <c r="KV36" i="76"/>
  <c r="KU36" i="76"/>
  <c r="KT36" i="76"/>
  <c r="KS36" i="76"/>
  <c r="KR36" i="76"/>
  <c r="KQ36" i="76"/>
  <c r="KP36" i="76"/>
  <c r="KO36" i="76"/>
  <c r="KN36" i="76"/>
  <c r="KM36" i="76"/>
  <c r="KL36" i="76"/>
  <c r="KK36" i="76"/>
  <c r="KJ36" i="76"/>
  <c r="KI36" i="76"/>
  <c r="KH36" i="76"/>
  <c r="KG36" i="76"/>
  <c r="KF36" i="76"/>
  <c r="KE36" i="76"/>
  <c r="KD36" i="76"/>
  <c r="KC36" i="76"/>
  <c r="KB36" i="76"/>
  <c r="KA36" i="76"/>
  <c r="JZ36" i="76"/>
  <c r="JY36" i="76"/>
  <c r="JX36" i="76"/>
  <c r="JW36" i="76"/>
  <c r="JV36" i="76"/>
  <c r="JU36" i="76"/>
  <c r="JT36" i="76"/>
  <c r="JS36" i="76"/>
  <c r="JR36" i="76"/>
  <c r="JQ36" i="76"/>
  <c r="JP36" i="76"/>
  <c r="JO36" i="76"/>
  <c r="JN36" i="76"/>
  <c r="JM36" i="76"/>
  <c r="JL36" i="76"/>
  <c r="JK36" i="76"/>
  <c r="JJ36" i="76"/>
  <c r="JI36" i="76"/>
  <c r="JH36" i="76"/>
  <c r="JG36" i="76"/>
  <c r="JF36" i="76"/>
  <c r="JE36" i="76"/>
  <c r="JD36" i="76"/>
  <c r="JC36" i="76"/>
  <c r="JB36" i="76"/>
  <c r="JA36" i="76"/>
  <c r="IZ36" i="76"/>
  <c r="IY36" i="76"/>
  <c r="IX36" i="76"/>
  <c r="IW36" i="76"/>
  <c r="IV36" i="76"/>
  <c r="IU36" i="76"/>
  <c r="IT36" i="76"/>
  <c r="IS36" i="76"/>
  <c r="IR36" i="76"/>
  <c r="IQ36" i="76"/>
  <c r="IP36" i="76"/>
  <c r="IO36" i="76"/>
  <c r="IN36" i="76"/>
  <c r="IM36" i="76"/>
  <c r="IL36" i="76"/>
  <c r="IK36" i="76"/>
  <c r="IJ36" i="76"/>
  <c r="II36" i="76"/>
  <c r="IH36" i="76"/>
  <c r="IG36" i="76"/>
  <c r="IF36" i="76"/>
  <c r="IE36" i="76"/>
  <c r="ID36" i="76"/>
  <c r="IC36" i="76"/>
  <c r="IB36" i="76"/>
  <c r="IA36" i="76"/>
  <c r="HZ36" i="76"/>
  <c r="HY36" i="76"/>
  <c r="HX36" i="76"/>
  <c r="HW36" i="76"/>
  <c r="HV36" i="76"/>
  <c r="HU36" i="76"/>
  <c r="HT36" i="76"/>
  <c r="HS36" i="76"/>
  <c r="HR36" i="76"/>
  <c r="HQ36" i="76"/>
  <c r="HP36" i="76"/>
  <c r="HO36" i="76"/>
  <c r="HN36" i="76"/>
  <c r="HM36" i="76"/>
  <c r="HL36" i="76"/>
  <c r="HK36" i="76"/>
  <c r="HJ36" i="76"/>
  <c r="HI36" i="76"/>
  <c r="HH36" i="76"/>
  <c r="HG36" i="76"/>
  <c r="HF36" i="76"/>
  <c r="HE36" i="76"/>
  <c r="HD36" i="76"/>
  <c r="HC36" i="76"/>
  <c r="HB36" i="76"/>
  <c r="HA36" i="76"/>
  <c r="GZ36" i="76"/>
  <c r="GY36" i="76"/>
  <c r="GX36" i="76"/>
  <c r="GW36" i="76"/>
  <c r="GV36" i="76"/>
  <c r="GU36" i="76"/>
  <c r="GT36" i="76"/>
  <c r="GS36" i="76"/>
  <c r="GR36" i="76"/>
  <c r="GQ36" i="76"/>
  <c r="GP36" i="76"/>
  <c r="GO36" i="76"/>
  <c r="GN36" i="76"/>
  <c r="GM36" i="76"/>
  <c r="GL36" i="76"/>
  <c r="GK36" i="76"/>
  <c r="GJ36" i="76"/>
  <c r="GI36" i="76"/>
  <c r="GH36" i="76"/>
  <c r="GG36" i="76"/>
  <c r="GF36" i="76"/>
  <c r="GE36" i="76"/>
  <c r="GD36" i="76"/>
  <c r="GC36" i="76"/>
  <c r="GB36" i="76"/>
  <c r="GA36" i="76"/>
  <c r="FZ36" i="76"/>
  <c r="FY36" i="76"/>
  <c r="FX36" i="76"/>
  <c r="FW36" i="76"/>
  <c r="FV36" i="76"/>
  <c r="FU36" i="76"/>
  <c r="FT36" i="76"/>
  <c r="FS36" i="76"/>
  <c r="FR36" i="76"/>
  <c r="FQ36" i="76"/>
  <c r="FP36" i="76"/>
  <c r="FO36" i="76"/>
  <c r="FN36" i="76"/>
  <c r="FM36" i="76"/>
  <c r="FL36" i="76"/>
  <c r="FK36" i="76"/>
  <c r="FJ36" i="76"/>
  <c r="FI36" i="76"/>
  <c r="FH36" i="76"/>
  <c r="FG36" i="76"/>
  <c r="FF36" i="76"/>
  <c r="FE36" i="76"/>
  <c r="FD36" i="76"/>
  <c r="FC36" i="76"/>
  <c r="FB36" i="76"/>
  <c r="FA36" i="76"/>
  <c r="EZ36" i="76"/>
  <c r="EY36" i="76"/>
  <c r="EX36" i="76"/>
  <c r="EW36" i="76"/>
  <c r="EV36" i="76"/>
  <c r="EU36" i="76"/>
  <c r="ET36" i="76"/>
  <c r="ES36" i="76"/>
  <c r="ER36" i="76"/>
  <c r="EQ36" i="76"/>
  <c r="EP36" i="76"/>
  <c r="EO36" i="76"/>
  <c r="EN36" i="76"/>
  <c r="EM36" i="76"/>
  <c r="EL36" i="76"/>
  <c r="EK36" i="76"/>
  <c r="EJ36" i="76"/>
  <c r="EI36" i="76"/>
  <c r="EH36" i="76"/>
  <c r="EG36" i="76"/>
  <c r="EF36" i="76"/>
  <c r="EE36" i="76"/>
  <c r="ED36" i="76"/>
  <c r="EC36" i="76"/>
  <c r="EB36" i="76"/>
  <c r="EA36" i="76"/>
  <c r="DZ36" i="76"/>
  <c r="DY36" i="76"/>
  <c r="DX36" i="76"/>
  <c r="DW36" i="76"/>
  <c r="DV36" i="76"/>
  <c r="DU36" i="76"/>
  <c r="DT36" i="76"/>
  <c r="DS36" i="76"/>
  <c r="DR36" i="76"/>
  <c r="DQ36" i="76"/>
  <c r="DP36" i="76"/>
  <c r="DO36" i="76"/>
  <c r="DN36" i="76"/>
  <c r="DM36" i="76"/>
  <c r="DL36" i="76"/>
  <c r="DK36" i="76"/>
  <c r="DJ36" i="76"/>
  <c r="DI36" i="76"/>
  <c r="DH36" i="76"/>
  <c r="DG36" i="76"/>
  <c r="DF36" i="76"/>
  <c r="DE36" i="76"/>
  <c r="DD36" i="76"/>
  <c r="DC36" i="76"/>
  <c r="DB36" i="76"/>
  <c r="DA36" i="76"/>
  <c r="CZ36" i="76"/>
  <c r="CY36" i="76"/>
  <c r="CX36" i="76"/>
  <c r="CW36" i="76"/>
  <c r="CV36" i="76"/>
  <c r="CU36" i="76"/>
  <c r="CT36" i="76"/>
  <c r="CS36" i="76"/>
  <c r="CR36" i="76"/>
  <c r="CQ36" i="76"/>
  <c r="CP36" i="76"/>
  <c r="CO36" i="76"/>
  <c r="CN36" i="76"/>
  <c r="CM36" i="76"/>
  <c r="CL36" i="76"/>
  <c r="CK36" i="76"/>
  <c r="CJ36" i="76"/>
  <c r="CI36" i="76"/>
  <c r="CH36" i="76"/>
  <c r="CG36" i="76"/>
  <c r="CF36" i="76"/>
  <c r="CE36" i="76"/>
  <c r="CD36" i="76"/>
  <c r="CC36" i="76"/>
  <c r="CB36" i="76"/>
  <c r="CA36" i="76"/>
  <c r="BZ36" i="76"/>
  <c r="BY36" i="76"/>
  <c r="BX36" i="76"/>
  <c r="BW36" i="76"/>
  <c r="BV36" i="76"/>
  <c r="BU36" i="76"/>
  <c r="BT36" i="76"/>
  <c r="BS36" i="76"/>
  <c r="BR36" i="76"/>
  <c r="BQ36" i="76"/>
  <c r="BP36" i="76"/>
  <c r="BO36" i="76"/>
  <c r="BN36" i="76"/>
  <c r="BM36" i="76"/>
  <c r="BL36" i="76"/>
  <c r="BK36" i="76"/>
  <c r="BJ36" i="76"/>
  <c r="BI36" i="76"/>
  <c r="BH36" i="76"/>
  <c r="BG36" i="76"/>
  <c r="BF36" i="76"/>
  <c r="BE36" i="76"/>
  <c r="BD36" i="76"/>
  <c r="BC36" i="76"/>
  <c r="BB36" i="76"/>
  <c r="BA36" i="76"/>
  <c r="AZ36" i="76"/>
  <c r="AY36" i="76"/>
  <c r="AX36" i="76"/>
  <c r="AW36" i="76"/>
  <c r="AV36" i="76"/>
  <c r="AU36" i="76"/>
  <c r="AT36" i="76"/>
  <c r="AS36" i="76"/>
  <c r="AR36" i="76"/>
  <c r="AQ36" i="76"/>
  <c r="AP36" i="76"/>
  <c r="AO36" i="76"/>
  <c r="AN36" i="76"/>
  <c r="AM36" i="76"/>
  <c r="AL36" i="76"/>
  <c r="AK36" i="76"/>
  <c r="AJ36" i="76"/>
  <c r="AI36" i="76"/>
  <c r="AH36" i="76"/>
  <c r="AG36" i="76"/>
  <c r="AF36" i="76"/>
  <c r="AE36" i="76"/>
  <c r="AD36" i="76"/>
  <c r="AC36" i="76"/>
  <c r="AB36" i="76"/>
  <c r="AA36" i="76"/>
  <c r="Z36" i="76"/>
  <c r="Y36" i="76"/>
  <c r="X36" i="76"/>
  <c r="W36" i="76"/>
  <c r="Q36" i="76"/>
  <c r="K36" i="76"/>
  <c r="A36" i="76"/>
  <c r="MS35" i="76"/>
  <c r="MR35" i="76"/>
  <c r="MQ35" i="76"/>
  <c r="MP35" i="76"/>
  <c r="MO35" i="76"/>
  <c r="MN35" i="76"/>
  <c r="MM35" i="76"/>
  <c r="ML35" i="76"/>
  <c r="MK35" i="76"/>
  <c r="MJ35" i="76"/>
  <c r="MI35" i="76"/>
  <c r="MH35" i="76"/>
  <c r="MG35" i="76"/>
  <c r="MF35" i="76"/>
  <c r="ME35" i="76"/>
  <c r="MD35" i="76"/>
  <c r="MC35" i="76"/>
  <c r="MB35" i="76"/>
  <c r="MA35" i="76"/>
  <c r="LZ35" i="76"/>
  <c r="LY35" i="76"/>
  <c r="LX35" i="76"/>
  <c r="LW35" i="76"/>
  <c r="LV35" i="76"/>
  <c r="LU35" i="76"/>
  <c r="LT35" i="76"/>
  <c r="LS35" i="76"/>
  <c r="LR35" i="76"/>
  <c r="LQ35" i="76"/>
  <c r="LP35" i="76"/>
  <c r="LO35" i="76"/>
  <c r="LN35" i="76"/>
  <c r="LM35" i="76"/>
  <c r="LL35" i="76"/>
  <c r="LK35" i="76"/>
  <c r="LJ35" i="76"/>
  <c r="LI35" i="76"/>
  <c r="LH35" i="76"/>
  <c r="LG35" i="76"/>
  <c r="LF35" i="76"/>
  <c r="LE35" i="76"/>
  <c r="LD35" i="76"/>
  <c r="LC35" i="76"/>
  <c r="LB35" i="76"/>
  <c r="LA35" i="76"/>
  <c r="KZ35" i="76"/>
  <c r="KY35" i="76"/>
  <c r="KX35" i="76"/>
  <c r="KW35" i="76"/>
  <c r="KV35" i="76"/>
  <c r="KU35" i="76"/>
  <c r="KT35" i="76"/>
  <c r="KS35" i="76"/>
  <c r="KR35" i="76"/>
  <c r="KQ35" i="76"/>
  <c r="KP35" i="76"/>
  <c r="KO35" i="76"/>
  <c r="KN35" i="76"/>
  <c r="KM35" i="76"/>
  <c r="KL35" i="76"/>
  <c r="KK35" i="76"/>
  <c r="KJ35" i="76"/>
  <c r="KI35" i="76"/>
  <c r="KH35" i="76"/>
  <c r="KG35" i="76"/>
  <c r="KF35" i="76"/>
  <c r="KE35" i="76"/>
  <c r="KD35" i="76"/>
  <c r="KC35" i="76"/>
  <c r="KB35" i="76"/>
  <c r="KA35" i="76"/>
  <c r="JZ35" i="76"/>
  <c r="JY35" i="76"/>
  <c r="JX35" i="76"/>
  <c r="JW35" i="76"/>
  <c r="JV35" i="76"/>
  <c r="JU35" i="76"/>
  <c r="JT35" i="76"/>
  <c r="JS35" i="76"/>
  <c r="JR35" i="76"/>
  <c r="JQ35" i="76"/>
  <c r="JP35" i="76"/>
  <c r="JO35" i="76"/>
  <c r="JN35" i="76"/>
  <c r="JM35" i="76"/>
  <c r="JL35" i="76"/>
  <c r="JK35" i="76"/>
  <c r="JJ35" i="76"/>
  <c r="JI35" i="76"/>
  <c r="JH35" i="76"/>
  <c r="JG35" i="76"/>
  <c r="JF35" i="76"/>
  <c r="JE35" i="76"/>
  <c r="JD35" i="76"/>
  <c r="JC35" i="76"/>
  <c r="JB35" i="76"/>
  <c r="JA35" i="76"/>
  <c r="IZ35" i="76"/>
  <c r="IY35" i="76"/>
  <c r="IX35" i="76"/>
  <c r="IW35" i="76"/>
  <c r="IV35" i="76"/>
  <c r="IU35" i="76"/>
  <c r="IT35" i="76"/>
  <c r="IS35" i="76"/>
  <c r="IR35" i="76"/>
  <c r="IQ35" i="76"/>
  <c r="IP35" i="76"/>
  <c r="IO35" i="76"/>
  <c r="IN35" i="76"/>
  <c r="IM35" i="76"/>
  <c r="IL35" i="76"/>
  <c r="IK35" i="76"/>
  <c r="IJ35" i="76"/>
  <c r="II35" i="76"/>
  <c r="IH35" i="76"/>
  <c r="IG35" i="76"/>
  <c r="IF35" i="76"/>
  <c r="IE35" i="76"/>
  <c r="ID35" i="76"/>
  <c r="IC35" i="76"/>
  <c r="IB35" i="76"/>
  <c r="IA35" i="76"/>
  <c r="HZ35" i="76"/>
  <c r="HY35" i="76"/>
  <c r="HX35" i="76"/>
  <c r="HW35" i="76"/>
  <c r="HV35" i="76"/>
  <c r="HU35" i="76"/>
  <c r="HT35" i="76"/>
  <c r="HS35" i="76"/>
  <c r="HR35" i="76"/>
  <c r="HQ35" i="76"/>
  <c r="HP35" i="76"/>
  <c r="HO35" i="76"/>
  <c r="HN35" i="76"/>
  <c r="HM35" i="76"/>
  <c r="HL35" i="76"/>
  <c r="HK35" i="76"/>
  <c r="HJ35" i="76"/>
  <c r="HI35" i="76"/>
  <c r="HH35" i="76"/>
  <c r="HG35" i="76"/>
  <c r="HF35" i="76"/>
  <c r="HE35" i="76"/>
  <c r="HD35" i="76"/>
  <c r="HC35" i="76"/>
  <c r="HB35" i="76"/>
  <c r="HA35" i="76"/>
  <c r="GZ35" i="76"/>
  <c r="GY35" i="76"/>
  <c r="GX35" i="76"/>
  <c r="GW35" i="76"/>
  <c r="GV35" i="76"/>
  <c r="GU35" i="76"/>
  <c r="GT35" i="76"/>
  <c r="GS35" i="76"/>
  <c r="GR35" i="76"/>
  <c r="GQ35" i="76"/>
  <c r="GP35" i="76"/>
  <c r="GO35" i="76"/>
  <c r="GN35" i="76"/>
  <c r="GM35" i="76"/>
  <c r="GL35" i="76"/>
  <c r="GK35" i="76"/>
  <c r="GJ35" i="76"/>
  <c r="GI35" i="76"/>
  <c r="GH35" i="76"/>
  <c r="GG35" i="76"/>
  <c r="GF35" i="76"/>
  <c r="GE35" i="76"/>
  <c r="GD35" i="76"/>
  <c r="GC35" i="76"/>
  <c r="GB35" i="76"/>
  <c r="GA35" i="76"/>
  <c r="FZ35" i="76"/>
  <c r="FY35" i="76"/>
  <c r="FX35" i="76"/>
  <c r="FW35" i="76"/>
  <c r="FV35" i="76"/>
  <c r="FU35" i="76"/>
  <c r="FT35" i="76"/>
  <c r="FS35" i="76"/>
  <c r="FR35" i="76"/>
  <c r="FQ35" i="76"/>
  <c r="FP35" i="76"/>
  <c r="FO35" i="76"/>
  <c r="FN35" i="76"/>
  <c r="FM35" i="76"/>
  <c r="FL35" i="76"/>
  <c r="FK35" i="76"/>
  <c r="FJ35" i="76"/>
  <c r="FI35" i="76"/>
  <c r="FH35" i="76"/>
  <c r="FG35" i="76"/>
  <c r="FF35" i="76"/>
  <c r="FE35" i="76"/>
  <c r="FD35" i="76"/>
  <c r="FC35" i="76"/>
  <c r="FB35" i="76"/>
  <c r="FA35" i="76"/>
  <c r="EZ35" i="76"/>
  <c r="EY35" i="76"/>
  <c r="EX35" i="76"/>
  <c r="EW35" i="76"/>
  <c r="EV35" i="76"/>
  <c r="EU35" i="76"/>
  <c r="ET35" i="76"/>
  <c r="ES35" i="76"/>
  <c r="ER35" i="76"/>
  <c r="EQ35" i="76"/>
  <c r="EP35" i="76"/>
  <c r="EO35" i="76"/>
  <c r="EN35" i="76"/>
  <c r="EM35" i="76"/>
  <c r="EL35" i="76"/>
  <c r="EK35" i="76"/>
  <c r="EJ35" i="76"/>
  <c r="EI35" i="76"/>
  <c r="EH35" i="76"/>
  <c r="EG35" i="76"/>
  <c r="EF35" i="76"/>
  <c r="EE35" i="76"/>
  <c r="ED35" i="76"/>
  <c r="EC35" i="76"/>
  <c r="EB35" i="76"/>
  <c r="EA35" i="76"/>
  <c r="DZ35" i="76"/>
  <c r="DY35" i="76"/>
  <c r="DX35" i="76"/>
  <c r="DW35" i="76"/>
  <c r="DV35" i="76"/>
  <c r="DU35" i="76"/>
  <c r="DT35" i="76"/>
  <c r="DS35" i="76"/>
  <c r="DR35" i="76"/>
  <c r="DQ35" i="76"/>
  <c r="DP35" i="76"/>
  <c r="DO35" i="76"/>
  <c r="DN35" i="76"/>
  <c r="DM35" i="76"/>
  <c r="DL35" i="76"/>
  <c r="DK35" i="76"/>
  <c r="DJ35" i="76"/>
  <c r="DI35" i="76"/>
  <c r="DH35" i="76"/>
  <c r="DG35" i="76"/>
  <c r="DF35" i="76"/>
  <c r="DE35" i="76"/>
  <c r="DD35" i="76"/>
  <c r="DC35" i="76"/>
  <c r="DB35" i="76"/>
  <c r="DA35" i="76"/>
  <c r="CZ35" i="76"/>
  <c r="CY35" i="76"/>
  <c r="CX35" i="76"/>
  <c r="CW35" i="76"/>
  <c r="CV35" i="76"/>
  <c r="CU35" i="76"/>
  <c r="CT35" i="76"/>
  <c r="CS35" i="76"/>
  <c r="CR35" i="76"/>
  <c r="CQ35" i="76"/>
  <c r="CP35" i="76"/>
  <c r="CO35" i="76"/>
  <c r="CN35" i="76"/>
  <c r="CM35" i="76"/>
  <c r="CL35" i="76"/>
  <c r="CK35" i="76"/>
  <c r="CJ35" i="76"/>
  <c r="CI35" i="76"/>
  <c r="CH35" i="76"/>
  <c r="CG35" i="76"/>
  <c r="CF35" i="76"/>
  <c r="CE35" i="76"/>
  <c r="CD35" i="76"/>
  <c r="CC35" i="76"/>
  <c r="CB35" i="76"/>
  <c r="CA35" i="76"/>
  <c r="BZ35" i="76"/>
  <c r="BY35" i="76"/>
  <c r="BX35" i="76"/>
  <c r="BW35" i="76"/>
  <c r="BV35" i="76"/>
  <c r="BU35" i="76"/>
  <c r="BT35" i="76"/>
  <c r="BS35" i="76"/>
  <c r="BR35" i="76"/>
  <c r="BQ35" i="76"/>
  <c r="BP35" i="76"/>
  <c r="BO35" i="76"/>
  <c r="BN35" i="76"/>
  <c r="BM35" i="76"/>
  <c r="BL35" i="76"/>
  <c r="BK35" i="76"/>
  <c r="BJ35" i="76"/>
  <c r="BI35" i="76"/>
  <c r="BH35" i="76"/>
  <c r="BG35" i="76"/>
  <c r="BF35" i="76"/>
  <c r="BE35" i="76"/>
  <c r="BD35" i="76"/>
  <c r="BC35" i="76"/>
  <c r="BB35" i="76"/>
  <c r="BA35" i="76"/>
  <c r="AZ35" i="76"/>
  <c r="AY35" i="76"/>
  <c r="AX35" i="76"/>
  <c r="AW35" i="76"/>
  <c r="AV35" i="76"/>
  <c r="AU35" i="76"/>
  <c r="AT35" i="76"/>
  <c r="AS35" i="76"/>
  <c r="AR35" i="76"/>
  <c r="AQ35" i="76"/>
  <c r="AP35" i="76"/>
  <c r="AO35" i="76"/>
  <c r="AN35" i="76"/>
  <c r="AM35" i="76"/>
  <c r="AL35" i="76"/>
  <c r="AK35" i="76"/>
  <c r="AJ35" i="76"/>
  <c r="AI35" i="76"/>
  <c r="AH35" i="76"/>
  <c r="AG35" i="76"/>
  <c r="AF35" i="76"/>
  <c r="AE35" i="76"/>
  <c r="AD35" i="76"/>
  <c r="AC35" i="76"/>
  <c r="AB35" i="76"/>
  <c r="AA35" i="76"/>
  <c r="Z35" i="76"/>
  <c r="Y35" i="76"/>
  <c r="X35" i="76"/>
  <c r="W35" i="76"/>
  <c r="Q35" i="76"/>
  <c r="K35" i="76"/>
  <c r="A35" i="76"/>
  <c r="MS34" i="76"/>
  <c r="MR34" i="76"/>
  <c r="MQ34" i="76"/>
  <c r="MP34" i="76"/>
  <c r="MO34" i="76"/>
  <c r="MN34" i="76"/>
  <c r="MM34" i="76"/>
  <c r="ML34" i="76"/>
  <c r="MK34" i="76"/>
  <c r="MJ34" i="76"/>
  <c r="MI34" i="76"/>
  <c r="MH34" i="76"/>
  <c r="MG34" i="76"/>
  <c r="MF34" i="76"/>
  <c r="ME34" i="76"/>
  <c r="MD34" i="76"/>
  <c r="MC34" i="76"/>
  <c r="MB34" i="76"/>
  <c r="MA34" i="76"/>
  <c r="LZ34" i="76"/>
  <c r="LY34" i="76"/>
  <c r="LX34" i="76"/>
  <c r="LW34" i="76"/>
  <c r="LV34" i="76"/>
  <c r="LU34" i="76"/>
  <c r="LT34" i="76"/>
  <c r="LS34" i="76"/>
  <c r="LR34" i="76"/>
  <c r="LQ34" i="76"/>
  <c r="LP34" i="76"/>
  <c r="LO34" i="76"/>
  <c r="LN34" i="76"/>
  <c r="LM34" i="76"/>
  <c r="LL34" i="76"/>
  <c r="LK34" i="76"/>
  <c r="LJ34" i="76"/>
  <c r="LI34" i="76"/>
  <c r="LH34" i="76"/>
  <c r="LG34" i="76"/>
  <c r="LF34" i="76"/>
  <c r="LE34" i="76"/>
  <c r="LD34" i="76"/>
  <c r="LC34" i="76"/>
  <c r="LB34" i="76"/>
  <c r="LA34" i="76"/>
  <c r="KZ34" i="76"/>
  <c r="KY34" i="76"/>
  <c r="KX34" i="76"/>
  <c r="KW34" i="76"/>
  <c r="KV34" i="76"/>
  <c r="KU34" i="76"/>
  <c r="KT34" i="76"/>
  <c r="KS34" i="76"/>
  <c r="KR34" i="76"/>
  <c r="KQ34" i="76"/>
  <c r="KP34" i="76"/>
  <c r="KO34" i="76"/>
  <c r="KN34" i="76"/>
  <c r="KM34" i="76"/>
  <c r="KL34" i="76"/>
  <c r="KK34" i="76"/>
  <c r="KJ34" i="76"/>
  <c r="KI34" i="76"/>
  <c r="KH34" i="76"/>
  <c r="KG34" i="76"/>
  <c r="KF34" i="76"/>
  <c r="KE34" i="76"/>
  <c r="KD34" i="76"/>
  <c r="KC34" i="76"/>
  <c r="KB34" i="76"/>
  <c r="KA34" i="76"/>
  <c r="JZ34" i="76"/>
  <c r="JY34" i="76"/>
  <c r="JX34" i="76"/>
  <c r="JW34" i="76"/>
  <c r="JV34" i="76"/>
  <c r="JU34" i="76"/>
  <c r="JT34" i="76"/>
  <c r="JS34" i="76"/>
  <c r="JR34" i="76"/>
  <c r="JQ34" i="76"/>
  <c r="JP34" i="76"/>
  <c r="JO34" i="76"/>
  <c r="JN34" i="76"/>
  <c r="JM34" i="76"/>
  <c r="JL34" i="76"/>
  <c r="JK34" i="76"/>
  <c r="JJ34" i="76"/>
  <c r="JI34" i="76"/>
  <c r="JH34" i="76"/>
  <c r="JG34" i="76"/>
  <c r="JF34" i="76"/>
  <c r="JE34" i="76"/>
  <c r="JD34" i="76"/>
  <c r="JC34" i="76"/>
  <c r="JB34" i="76"/>
  <c r="JA34" i="76"/>
  <c r="IZ34" i="76"/>
  <c r="IY34" i="76"/>
  <c r="IX34" i="76"/>
  <c r="IW34" i="76"/>
  <c r="IV34" i="76"/>
  <c r="IU34" i="76"/>
  <c r="IT34" i="76"/>
  <c r="IS34" i="76"/>
  <c r="IR34" i="76"/>
  <c r="IQ34" i="76"/>
  <c r="IP34" i="76"/>
  <c r="IO34" i="76"/>
  <c r="IN34" i="76"/>
  <c r="IM34" i="76"/>
  <c r="IL34" i="76"/>
  <c r="IK34" i="76"/>
  <c r="IJ34" i="76"/>
  <c r="II34" i="76"/>
  <c r="IH34" i="76"/>
  <c r="IG34" i="76"/>
  <c r="IF34" i="76"/>
  <c r="IE34" i="76"/>
  <c r="ID34" i="76"/>
  <c r="IC34" i="76"/>
  <c r="IB34" i="76"/>
  <c r="IA34" i="76"/>
  <c r="HZ34" i="76"/>
  <c r="HY34" i="76"/>
  <c r="HX34" i="76"/>
  <c r="HW34" i="76"/>
  <c r="HV34" i="76"/>
  <c r="HU34" i="76"/>
  <c r="HT34" i="76"/>
  <c r="HS34" i="76"/>
  <c r="HR34" i="76"/>
  <c r="HQ34" i="76"/>
  <c r="HP34" i="76"/>
  <c r="HO34" i="76"/>
  <c r="HN34" i="76"/>
  <c r="HM34" i="76"/>
  <c r="HL34" i="76"/>
  <c r="HK34" i="76"/>
  <c r="HJ34" i="76"/>
  <c r="HI34" i="76"/>
  <c r="HH34" i="76"/>
  <c r="HG34" i="76"/>
  <c r="HF34" i="76"/>
  <c r="HE34" i="76"/>
  <c r="HD34" i="76"/>
  <c r="HC34" i="76"/>
  <c r="HB34" i="76"/>
  <c r="HA34" i="76"/>
  <c r="GZ34" i="76"/>
  <c r="GY34" i="76"/>
  <c r="GX34" i="76"/>
  <c r="GW34" i="76"/>
  <c r="GV34" i="76"/>
  <c r="GU34" i="76"/>
  <c r="GT34" i="76"/>
  <c r="GS34" i="76"/>
  <c r="GR34" i="76"/>
  <c r="GQ34" i="76"/>
  <c r="GP34" i="76"/>
  <c r="GO34" i="76"/>
  <c r="GN34" i="76"/>
  <c r="GM34" i="76"/>
  <c r="GL34" i="76"/>
  <c r="GK34" i="76"/>
  <c r="GJ34" i="76"/>
  <c r="GI34" i="76"/>
  <c r="GH34" i="76"/>
  <c r="GG34" i="76"/>
  <c r="GF34" i="76"/>
  <c r="GE34" i="76"/>
  <c r="GD34" i="76"/>
  <c r="GC34" i="76"/>
  <c r="GB34" i="76"/>
  <c r="GA34" i="76"/>
  <c r="FZ34" i="76"/>
  <c r="FY34" i="76"/>
  <c r="FX34" i="76"/>
  <c r="FW34" i="76"/>
  <c r="FV34" i="76"/>
  <c r="FU34" i="76"/>
  <c r="FT34" i="76"/>
  <c r="FS34" i="76"/>
  <c r="FR34" i="76"/>
  <c r="FQ34" i="76"/>
  <c r="FP34" i="76"/>
  <c r="FO34" i="76"/>
  <c r="FN34" i="76"/>
  <c r="FM34" i="76"/>
  <c r="FL34" i="76"/>
  <c r="FK34" i="76"/>
  <c r="FJ34" i="76"/>
  <c r="FI34" i="76"/>
  <c r="FH34" i="76"/>
  <c r="FG34" i="76"/>
  <c r="FF34" i="76"/>
  <c r="FE34" i="76"/>
  <c r="FD34" i="76"/>
  <c r="FC34" i="76"/>
  <c r="FB34" i="76"/>
  <c r="FA34" i="76"/>
  <c r="EZ34" i="76"/>
  <c r="EY34" i="76"/>
  <c r="EX34" i="76"/>
  <c r="EW34" i="76"/>
  <c r="EV34" i="76"/>
  <c r="EU34" i="76"/>
  <c r="ET34" i="76"/>
  <c r="ES34" i="76"/>
  <c r="ER34" i="76"/>
  <c r="EQ34" i="76"/>
  <c r="EP34" i="76"/>
  <c r="EO34" i="76"/>
  <c r="EN34" i="76"/>
  <c r="EM34" i="76"/>
  <c r="EL34" i="76"/>
  <c r="EK34" i="76"/>
  <c r="EJ34" i="76"/>
  <c r="EI34" i="76"/>
  <c r="EH34" i="76"/>
  <c r="EG34" i="76"/>
  <c r="EF34" i="76"/>
  <c r="EE34" i="76"/>
  <c r="ED34" i="76"/>
  <c r="EC34" i="76"/>
  <c r="EB34" i="76"/>
  <c r="EA34" i="76"/>
  <c r="DZ34" i="76"/>
  <c r="DY34" i="76"/>
  <c r="DX34" i="76"/>
  <c r="DW34" i="76"/>
  <c r="DV34" i="76"/>
  <c r="DU34" i="76"/>
  <c r="DT34" i="76"/>
  <c r="DS34" i="76"/>
  <c r="DR34" i="76"/>
  <c r="DQ34" i="76"/>
  <c r="DP34" i="76"/>
  <c r="DO34" i="76"/>
  <c r="DN34" i="76"/>
  <c r="DM34" i="76"/>
  <c r="DL34" i="76"/>
  <c r="DK34" i="76"/>
  <c r="DJ34" i="76"/>
  <c r="DI34" i="76"/>
  <c r="DH34" i="76"/>
  <c r="DG34" i="76"/>
  <c r="DF34" i="76"/>
  <c r="DE34" i="76"/>
  <c r="DD34" i="76"/>
  <c r="DC34" i="76"/>
  <c r="DB34" i="76"/>
  <c r="DA34" i="76"/>
  <c r="CZ34" i="76"/>
  <c r="CY34" i="76"/>
  <c r="CX34" i="76"/>
  <c r="CW34" i="76"/>
  <c r="CV34" i="76"/>
  <c r="CU34" i="76"/>
  <c r="CT34" i="76"/>
  <c r="CS34" i="76"/>
  <c r="CR34" i="76"/>
  <c r="CQ34" i="76"/>
  <c r="CP34" i="76"/>
  <c r="CO34" i="76"/>
  <c r="CN34" i="76"/>
  <c r="CM34" i="76"/>
  <c r="CL34" i="76"/>
  <c r="CK34" i="76"/>
  <c r="CJ34" i="76"/>
  <c r="CI34" i="76"/>
  <c r="CH34" i="76"/>
  <c r="CG34" i="76"/>
  <c r="CF34" i="76"/>
  <c r="CE34" i="76"/>
  <c r="CD34" i="76"/>
  <c r="CC34" i="76"/>
  <c r="CB34" i="76"/>
  <c r="CA34" i="76"/>
  <c r="BZ34" i="76"/>
  <c r="BY34" i="76"/>
  <c r="BX34" i="76"/>
  <c r="BW34" i="76"/>
  <c r="BV34" i="76"/>
  <c r="BU34" i="76"/>
  <c r="BT34" i="76"/>
  <c r="BS34" i="76"/>
  <c r="BR34" i="76"/>
  <c r="BQ34" i="76"/>
  <c r="BP34" i="76"/>
  <c r="BO34" i="76"/>
  <c r="BN34" i="76"/>
  <c r="BM34" i="76"/>
  <c r="BL34" i="76"/>
  <c r="BK34" i="76"/>
  <c r="BJ34" i="76"/>
  <c r="BI34" i="76"/>
  <c r="BH34" i="76"/>
  <c r="BG34" i="76"/>
  <c r="BF34" i="76"/>
  <c r="BE34" i="76"/>
  <c r="BD34" i="76"/>
  <c r="BC34" i="76"/>
  <c r="BB34" i="76"/>
  <c r="BA34" i="76"/>
  <c r="AZ34" i="76"/>
  <c r="AY34" i="76"/>
  <c r="AX34" i="76"/>
  <c r="AW34" i="76"/>
  <c r="AV34" i="76"/>
  <c r="AU34" i="76"/>
  <c r="AT34" i="76"/>
  <c r="AS34" i="76"/>
  <c r="AR34" i="76"/>
  <c r="AQ34" i="76"/>
  <c r="AP34" i="76"/>
  <c r="AO34" i="76"/>
  <c r="AN34" i="76"/>
  <c r="AM34" i="76"/>
  <c r="AL34" i="76"/>
  <c r="AK34" i="76"/>
  <c r="AJ34" i="76"/>
  <c r="AI34" i="76"/>
  <c r="AH34" i="76"/>
  <c r="AG34" i="76"/>
  <c r="AF34" i="76"/>
  <c r="AE34" i="76"/>
  <c r="AD34" i="76"/>
  <c r="AC34" i="76"/>
  <c r="AB34" i="76"/>
  <c r="AA34" i="76"/>
  <c r="Z34" i="76"/>
  <c r="Y34" i="76"/>
  <c r="X34" i="76"/>
  <c r="W34" i="76"/>
  <c r="Q34" i="76"/>
  <c r="K34" i="76"/>
  <c r="A34" i="76"/>
  <c r="MS33" i="76"/>
  <c r="MR33" i="76"/>
  <c r="MQ33" i="76"/>
  <c r="MP33" i="76"/>
  <c r="MO33" i="76"/>
  <c r="MN33" i="76"/>
  <c r="MM33" i="76"/>
  <c r="ML33" i="76"/>
  <c r="MK33" i="76"/>
  <c r="MJ33" i="76"/>
  <c r="MI33" i="76"/>
  <c r="MH33" i="76"/>
  <c r="MG33" i="76"/>
  <c r="MF33" i="76"/>
  <c r="ME33" i="76"/>
  <c r="MD33" i="76"/>
  <c r="MC33" i="76"/>
  <c r="MB33" i="76"/>
  <c r="MA33" i="76"/>
  <c r="LZ33" i="76"/>
  <c r="LY33" i="76"/>
  <c r="LX33" i="76"/>
  <c r="LW33" i="76"/>
  <c r="LV33" i="76"/>
  <c r="LU33" i="76"/>
  <c r="LT33" i="76"/>
  <c r="LS33" i="76"/>
  <c r="LR33" i="76"/>
  <c r="LQ33" i="76"/>
  <c r="LP33" i="76"/>
  <c r="LO33" i="76"/>
  <c r="LN33" i="76"/>
  <c r="LM33" i="76"/>
  <c r="LL33" i="76"/>
  <c r="LK33" i="76"/>
  <c r="LJ33" i="76"/>
  <c r="LI33" i="76"/>
  <c r="LH33" i="76"/>
  <c r="LG33" i="76"/>
  <c r="LF33" i="76"/>
  <c r="LE33" i="76"/>
  <c r="LD33" i="76"/>
  <c r="LC33" i="76"/>
  <c r="LB33" i="76"/>
  <c r="LA33" i="76"/>
  <c r="KZ33" i="76"/>
  <c r="KY33" i="76"/>
  <c r="KX33" i="76"/>
  <c r="KW33" i="76"/>
  <c r="KV33" i="76"/>
  <c r="KU33" i="76"/>
  <c r="KT33" i="76"/>
  <c r="KS33" i="76"/>
  <c r="KR33" i="76"/>
  <c r="KQ33" i="76"/>
  <c r="KP33" i="76"/>
  <c r="KO33" i="76"/>
  <c r="KN33" i="76"/>
  <c r="KM33" i="76"/>
  <c r="KL33" i="76"/>
  <c r="KK33" i="76"/>
  <c r="KJ33" i="76"/>
  <c r="KI33" i="76"/>
  <c r="KH33" i="76"/>
  <c r="KG33" i="76"/>
  <c r="KF33" i="76"/>
  <c r="KE33" i="76"/>
  <c r="KD33" i="76"/>
  <c r="KC33" i="76"/>
  <c r="KB33" i="76"/>
  <c r="KA33" i="76"/>
  <c r="JZ33" i="76"/>
  <c r="JY33" i="76"/>
  <c r="JX33" i="76"/>
  <c r="JW33" i="76"/>
  <c r="JV33" i="76"/>
  <c r="JU33" i="76"/>
  <c r="JT33" i="76"/>
  <c r="JS33" i="76"/>
  <c r="JR33" i="76"/>
  <c r="JQ33" i="76"/>
  <c r="JP33" i="76"/>
  <c r="JO33" i="76"/>
  <c r="JN33" i="76"/>
  <c r="JM33" i="76"/>
  <c r="JL33" i="76"/>
  <c r="JK33" i="76"/>
  <c r="JJ33" i="76"/>
  <c r="JI33" i="76"/>
  <c r="JH33" i="76"/>
  <c r="JG33" i="76"/>
  <c r="JF33" i="76"/>
  <c r="JE33" i="76"/>
  <c r="JD33" i="76"/>
  <c r="JC33" i="76"/>
  <c r="JB33" i="76"/>
  <c r="JA33" i="76"/>
  <c r="IZ33" i="76"/>
  <c r="IY33" i="76"/>
  <c r="IX33" i="76"/>
  <c r="IW33" i="76"/>
  <c r="IV33" i="76"/>
  <c r="IU33" i="76"/>
  <c r="IT33" i="76"/>
  <c r="IS33" i="76"/>
  <c r="IR33" i="76"/>
  <c r="IQ33" i="76"/>
  <c r="IP33" i="76"/>
  <c r="IO33" i="76"/>
  <c r="IN33" i="76"/>
  <c r="IM33" i="76"/>
  <c r="IL33" i="76"/>
  <c r="IK33" i="76"/>
  <c r="IJ33" i="76"/>
  <c r="II33" i="76"/>
  <c r="IH33" i="76"/>
  <c r="IG33" i="76"/>
  <c r="IF33" i="76"/>
  <c r="IE33" i="76"/>
  <c r="ID33" i="76"/>
  <c r="IC33" i="76"/>
  <c r="IB33" i="76"/>
  <c r="IA33" i="76"/>
  <c r="HZ33" i="76"/>
  <c r="HY33" i="76"/>
  <c r="HX33" i="76"/>
  <c r="HW33" i="76"/>
  <c r="HV33" i="76"/>
  <c r="HU33" i="76"/>
  <c r="HT33" i="76"/>
  <c r="HS33" i="76"/>
  <c r="HR33" i="76"/>
  <c r="HQ33" i="76"/>
  <c r="HP33" i="76"/>
  <c r="HO33" i="76"/>
  <c r="HN33" i="76"/>
  <c r="HM33" i="76"/>
  <c r="HL33" i="76"/>
  <c r="HK33" i="76"/>
  <c r="HJ33" i="76"/>
  <c r="HI33" i="76"/>
  <c r="HH33" i="76"/>
  <c r="HG33" i="76"/>
  <c r="HF33" i="76"/>
  <c r="HE33" i="76"/>
  <c r="HD33" i="76"/>
  <c r="HC33" i="76"/>
  <c r="HB33" i="76"/>
  <c r="HA33" i="76"/>
  <c r="GZ33" i="76"/>
  <c r="GY33" i="76"/>
  <c r="GX33" i="76"/>
  <c r="GW33" i="76"/>
  <c r="GV33" i="76"/>
  <c r="GU33" i="76"/>
  <c r="GT33" i="76"/>
  <c r="GS33" i="76"/>
  <c r="GR33" i="76"/>
  <c r="GQ33" i="76"/>
  <c r="GP33" i="76"/>
  <c r="GO33" i="76"/>
  <c r="GN33" i="76"/>
  <c r="GM33" i="76"/>
  <c r="GL33" i="76"/>
  <c r="GK33" i="76"/>
  <c r="GJ33" i="76"/>
  <c r="GI33" i="76"/>
  <c r="GH33" i="76"/>
  <c r="GG33" i="76"/>
  <c r="GF33" i="76"/>
  <c r="GE33" i="76"/>
  <c r="GD33" i="76"/>
  <c r="GC33" i="76"/>
  <c r="GB33" i="76"/>
  <c r="GA33" i="76"/>
  <c r="FZ33" i="76"/>
  <c r="FY33" i="76"/>
  <c r="FX33" i="76"/>
  <c r="FW33" i="76"/>
  <c r="FV33" i="76"/>
  <c r="FU33" i="76"/>
  <c r="FT33" i="76"/>
  <c r="FS33" i="76"/>
  <c r="FR33" i="76"/>
  <c r="FQ33" i="76"/>
  <c r="FP33" i="76"/>
  <c r="FO33" i="76"/>
  <c r="FN33" i="76"/>
  <c r="FM33" i="76"/>
  <c r="FL33" i="76"/>
  <c r="FK33" i="76"/>
  <c r="FJ33" i="76"/>
  <c r="FI33" i="76"/>
  <c r="FH33" i="76"/>
  <c r="FG33" i="76"/>
  <c r="FF33" i="76"/>
  <c r="FE33" i="76"/>
  <c r="FD33" i="76"/>
  <c r="FC33" i="76"/>
  <c r="FB33" i="76"/>
  <c r="FA33" i="76"/>
  <c r="EZ33" i="76"/>
  <c r="EY33" i="76"/>
  <c r="EX33" i="76"/>
  <c r="EW33" i="76"/>
  <c r="EV33" i="76"/>
  <c r="EU33" i="76"/>
  <c r="ET33" i="76"/>
  <c r="ES33" i="76"/>
  <c r="ER33" i="76"/>
  <c r="EQ33" i="76"/>
  <c r="EP33" i="76"/>
  <c r="EO33" i="76"/>
  <c r="EN33" i="76"/>
  <c r="EM33" i="76"/>
  <c r="EL33" i="76"/>
  <c r="EK33" i="76"/>
  <c r="EJ33" i="76"/>
  <c r="EI33" i="76"/>
  <c r="EH33" i="76"/>
  <c r="EG33" i="76"/>
  <c r="EF33" i="76"/>
  <c r="EE33" i="76"/>
  <c r="ED33" i="76"/>
  <c r="EC33" i="76"/>
  <c r="EB33" i="76"/>
  <c r="EA33" i="76"/>
  <c r="DZ33" i="76"/>
  <c r="DY33" i="76"/>
  <c r="DX33" i="76"/>
  <c r="DW33" i="76"/>
  <c r="DV33" i="76"/>
  <c r="DU33" i="76"/>
  <c r="DT33" i="76"/>
  <c r="DS33" i="76"/>
  <c r="DR33" i="76"/>
  <c r="DQ33" i="76"/>
  <c r="DP33" i="76"/>
  <c r="DO33" i="76"/>
  <c r="DN33" i="76"/>
  <c r="DM33" i="76"/>
  <c r="DL33" i="76"/>
  <c r="DK33" i="76"/>
  <c r="DJ33" i="76"/>
  <c r="DI33" i="76"/>
  <c r="DH33" i="76"/>
  <c r="DG33" i="76"/>
  <c r="DF33" i="76"/>
  <c r="DE33" i="76"/>
  <c r="DD33" i="76"/>
  <c r="DC33" i="76"/>
  <c r="DB33" i="76"/>
  <c r="DA33" i="76"/>
  <c r="CZ33" i="76"/>
  <c r="CY33" i="76"/>
  <c r="CX33" i="76"/>
  <c r="CW33" i="76"/>
  <c r="CV33" i="76"/>
  <c r="CU33" i="76"/>
  <c r="CT33" i="76"/>
  <c r="CS33" i="76"/>
  <c r="CR33" i="76"/>
  <c r="CQ33" i="76"/>
  <c r="CP33" i="76"/>
  <c r="CO33" i="76"/>
  <c r="CN33" i="76"/>
  <c r="CM33" i="76"/>
  <c r="CL33" i="76"/>
  <c r="CK33" i="76"/>
  <c r="CJ33" i="76"/>
  <c r="CI33" i="76"/>
  <c r="CH33" i="76"/>
  <c r="CG33" i="76"/>
  <c r="CF33" i="76"/>
  <c r="CE33" i="76"/>
  <c r="CD33" i="76"/>
  <c r="CC33" i="76"/>
  <c r="CB33" i="76"/>
  <c r="CA33" i="76"/>
  <c r="BZ33" i="76"/>
  <c r="BY33" i="76"/>
  <c r="BX33" i="76"/>
  <c r="BW33" i="76"/>
  <c r="BV33" i="76"/>
  <c r="BU33" i="76"/>
  <c r="BT33" i="76"/>
  <c r="BS33" i="76"/>
  <c r="BR33" i="76"/>
  <c r="BQ33" i="76"/>
  <c r="BP33" i="76"/>
  <c r="BO33" i="76"/>
  <c r="BN33" i="76"/>
  <c r="BM33" i="76"/>
  <c r="BL33" i="76"/>
  <c r="BK33" i="76"/>
  <c r="BJ33" i="76"/>
  <c r="BI33" i="76"/>
  <c r="BH33" i="76"/>
  <c r="BG33" i="76"/>
  <c r="BF33" i="76"/>
  <c r="BE33" i="76"/>
  <c r="BD33" i="76"/>
  <c r="BC33" i="76"/>
  <c r="BB33" i="76"/>
  <c r="BA33" i="76"/>
  <c r="AZ33" i="76"/>
  <c r="AY33" i="76"/>
  <c r="AX33" i="76"/>
  <c r="AW33" i="76"/>
  <c r="AV33" i="76"/>
  <c r="AU33" i="76"/>
  <c r="AT33" i="76"/>
  <c r="AS33" i="76"/>
  <c r="AR33" i="76"/>
  <c r="AQ33" i="76"/>
  <c r="AP33" i="76"/>
  <c r="AO33" i="76"/>
  <c r="AN33" i="76"/>
  <c r="AM33" i="76"/>
  <c r="AL33" i="76"/>
  <c r="AK33" i="76"/>
  <c r="AJ33" i="76"/>
  <c r="AI33" i="76"/>
  <c r="AH33" i="76"/>
  <c r="AG33" i="76"/>
  <c r="AF33" i="76"/>
  <c r="AE33" i="76"/>
  <c r="AD33" i="76"/>
  <c r="AC33" i="76"/>
  <c r="AB33" i="76"/>
  <c r="AA33" i="76"/>
  <c r="Z33" i="76"/>
  <c r="Y33" i="76"/>
  <c r="X33" i="76"/>
  <c r="W33" i="76"/>
  <c r="Q33" i="76"/>
  <c r="K33" i="76"/>
  <c r="A33" i="76"/>
  <c r="MS32" i="76"/>
  <c r="MR32" i="76"/>
  <c r="MQ32" i="76"/>
  <c r="MP32" i="76"/>
  <c r="MO32" i="76"/>
  <c r="MN32" i="76"/>
  <c r="MM32" i="76"/>
  <c r="ML32" i="76"/>
  <c r="MK32" i="76"/>
  <c r="MJ32" i="76"/>
  <c r="MI32" i="76"/>
  <c r="MH32" i="76"/>
  <c r="MG32" i="76"/>
  <c r="MF32" i="76"/>
  <c r="ME32" i="76"/>
  <c r="MD32" i="76"/>
  <c r="MC32" i="76"/>
  <c r="MB32" i="76"/>
  <c r="MA32" i="76"/>
  <c r="LZ32" i="76"/>
  <c r="LY32" i="76"/>
  <c r="LX32" i="76"/>
  <c r="LW32" i="76"/>
  <c r="LV32" i="76"/>
  <c r="LU32" i="76"/>
  <c r="LT32" i="76"/>
  <c r="LS32" i="76"/>
  <c r="LR32" i="76"/>
  <c r="LQ32" i="76"/>
  <c r="LP32" i="76"/>
  <c r="LO32" i="76"/>
  <c r="LN32" i="76"/>
  <c r="LM32" i="76"/>
  <c r="LL32" i="76"/>
  <c r="LK32" i="76"/>
  <c r="LJ32" i="76"/>
  <c r="LI32" i="76"/>
  <c r="LH32" i="76"/>
  <c r="LG32" i="76"/>
  <c r="LF32" i="76"/>
  <c r="LE32" i="76"/>
  <c r="LD32" i="76"/>
  <c r="LC32" i="76"/>
  <c r="LB32" i="76"/>
  <c r="LA32" i="76"/>
  <c r="KZ32" i="76"/>
  <c r="KY32" i="76"/>
  <c r="KX32" i="76"/>
  <c r="KW32" i="76"/>
  <c r="KV32" i="76"/>
  <c r="KU32" i="76"/>
  <c r="KT32" i="76"/>
  <c r="KS32" i="76"/>
  <c r="KR32" i="76"/>
  <c r="KQ32" i="76"/>
  <c r="KP32" i="76"/>
  <c r="KO32" i="76"/>
  <c r="KN32" i="76"/>
  <c r="KM32" i="76"/>
  <c r="KL32" i="76"/>
  <c r="KK32" i="76"/>
  <c r="KJ32" i="76"/>
  <c r="KI32" i="76"/>
  <c r="KH32" i="76"/>
  <c r="KG32" i="76"/>
  <c r="KF32" i="76"/>
  <c r="KE32" i="76"/>
  <c r="KD32" i="76"/>
  <c r="KC32" i="76"/>
  <c r="KB32" i="76"/>
  <c r="KA32" i="76"/>
  <c r="JZ32" i="76"/>
  <c r="JY32" i="76"/>
  <c r="JX32" i="76"/>
  <c r="JW32" i="76"/>
  <c r="JV32" i="76"/>
  <c r="JU32" i="76"/>
  <c r="JT32" i="76"/>
  <c r="JS32" i="76"/>
  <c r="JR32" i="76"/>
  <c r="JQ32" i="76"/>
  <c r="JP32" i="76"/>
  <c r="JO32" i="76"/>
  <c r="JN32" i="76"/>
  <c r="JM32" i="76"/>
  <c r="JL32" i="76"/>
  <c r="JK32" i="76"/>
  <c r="JJ32" i="76"/>
  <c r="JI32" i="76"/>
  <c r="JH32" i="76"/>
  <c r="JG32" i="76"/>
  <c r="JF32" i="76"/>
  <c r="JE32" i="76"/>
  <c r="JD32" i="76"/>
  <c r="JC32" i="76"/>
  <c r="JB32" i="76"/>
  <c r="JA32" i="76"/>
  <c r="IZ32" i="76"/>
  <c r="IY32" i="76"/>
  <c r="IX32" i="76"/>
  <c r="IW32" i="76"/>
  <c r="IV32" i="76"/>
  <c r="IU32" i="76"/>
  <c r="IT32" i="76"/>
  <c r="IS32" i="76"/>
  <c r="IR32" i="76"/>
  <c r="IQ32" i="76"/>
  <c r="IP32" i="76"/>
  <c r="IO32" i="76"/>
  <c r="IN32" i="76"/>
  <c r="IM32" i="76"/>
  <c r="IL32" i="76"/>
  <c r="IK32" i="76"/>
  <c r="IJ32" i="76"/>
  <c r="II32" i="76"/>
  <c r="IH32" i="76"/>
  <c r="IG32" i="76"/>
  <c r="IF32" i="76"/>
  <c r="IE32" i="76"/>
  <c r="ID32" i="76"/>
  <c r="IC32" i="76"/>
  <c r="IB32" i="76"/>
  <c r="IA32" i="76"/>
  <c r="HZ32" i="76"/>
  <c r="HY32" i="76"/>
  <c r="HX32" i="76"/>
  <c r="HW32" i="76"/>
  <c r="HV32" i="76"/>
  <c r="HU32" i="76"/>
  <c r="HT32" i="76"/>
  <c r="HS32" i="76"/>
  <c r="HR32" i="76"/>
  <c r="HQ32" i="76"/>
  <c r="HP32" i="76"/>
  <c r="HO32" i="76"/>
  <c r="HN32" i="76"/>
  <c r="HM32" i="76"/>
  <c r="HL32" i="76"/>
  <c r="HK32" i="76"/>
  <c r="HJ32" i="76"/>
  <c r="HI32" i="76"/>
  <c r="HH32" i="76"/>
  <c r="HG32" i="76"/>
  <c r="HF32" i="76"/>
  <c r="HE32" i="76"/>
  <c r="HD32" i="76"/>
  <c r="HC32" i="76"/>
  <c r="HB32" i="76"/>
  <c r="HA32" i="76"/>
  <c r="GZ32" i="76"/>
  <c r="GY32" i="76"/>
  <c r="GX32" i="76"/>
  <c r="GW32" i="76"/>
  <c r="GV32" i="76"/>
  <c r="GU32" i="76"/>
  <c r="GT32" i="76"/>
  <c r="GS32" i="76"/>
  <c r="GR32" i="76"/>
  <c r="GQ32" i="76"/>
  <c r="GP32" i="76"/>
  <c r="GO32" i="76"/>
  <c r="GN32" i="76"/>
  <c r="GM32" i="76"/>
  <c r="GL32" i="76"/>
  <c r="GK32" i="76"/>
  <c r="GJ32" i="76"/>
  <c r="GI32" i="76"/>
  <c r="GH32" i="76"/>
  <c r="GG32" i="76"/>
  <c r="GF32" i="76"/>
  <c r="GE32" i="76"/>
  <c r="GD32" i="76"/>
  <c r="GC32" i="76"/>
  <c r="GB32" i="76"/>
  <c r="GA32" i="76"/>
  <c r="FZ32" i="76"/>
  <c r="FY32" i="76"/>
  <c r="FX32" i="76"/>
  <c r="FW32" i="76"/>
  <c r="FV32" i="76"/>
  <c r="FU32" i="76"/>
  <c r="FT32" i="76"/>
  <c r="FS32" i="76"/>
  <c r="FR32" i="76"/>
  <c r="FQ32" i="76"/>
  <c r="FP32" i="76"/>
  <c r="FO32" i="76"/>
  <c r="FN32" i="76"/>
  <c r="FM32" i="76"/>
  <c r="FL32" i="76"/>
  <c r="FK32" i="76"/>
  <c r="FJ32" i="76"/>
  <c r="FI32" i="76"/>
  <c r="FH32" i="76"/>
  <c r="FG32" i="76"/>
  <c r="FF32" i="76"/>
  <c r="FE32" i="76"/>
  <c r="FD32" i="76"/>
  <c r="FC32" i="76"/>
  <c r="FB32" i="76"/>
  <c r="FA32" i="76"/>
  <c r="EZ32" i="76"/>
  <c r="EY32" i="76"/>
  <c r="EX32" i="76"/>
  <c r="EW32" i="76"/>
  <c r="EV32" i="76"/>
  <c r="EU32" i="76"/>
  <c r="ET32" i="76"/>
  <c r="ES32" i="76"/>
  <c r="ER32" i="76"/>
  <c r="EQ32" i="76"/>
  <c r="EP32" i="76"/>
  <c r="EO32" i="76"/>
  <c r="EN32" i="76"/>
  <c r="EM32" i="76"/>
  <c r="EL32" i="76"/>
  <c r="EK32" i="76"/>
  <c r="EJ32" i="76"/>
  <c r="EI32" i="76"/>
  <c r="EH32" i="76"/>
  <c r="EG32" i="76"/>
  <c r="EF32" i="76"/>
  <c r="EE32" i="76"/>
  <c r="ED32" i="76"/>
  <c r="EC32" i="76"/>
  <c r="EB32" i="76"/>
  <c r="EA32" i="76"/>
  <c r="DZ32" i="76"/>
  <c r="DY32" i="76"/>
  <c r="DX32" i="76"/>
  <c r="DW32" i="76"/>
  <c r="DV32" i="76"/>
  <c r="DU32" i="76"/>
  <c r="DT32" i="76"/>
  <c r="DS32" i="76"/>
  <c r="DR32" i="76"/>
  <c r="DQ32" i="76"/>
  <c r="DP32" i="76"/>
  <c r="DO32" i="76"/>
  <c r="DN32" i="76"/>
  <c r="DM32" i="76"/>
  <c r="DL32" i="76"/>
  <c r="DK32" i="76"/>
  <c r="DJ32" i="76"/>
  <c r="DI32" i="76"/>
  <c r="DH32" i="76"/>
  <c r="DG32" i="76"/>
  <c r="DF32" i="76"/>
  <c r="DE32" i="76"/>
  <c r="DD32" i="76"/>
  <c r="DC32" i="76"/>
  <c r="DB32" i="76"/>
  <c r="DA32" i="76"/>
  <c r="CZ32" i="76"/>
  <c r="CY32" i="76"/>
  <c r="CX32" i="76"/>
  <c r="CW32" i="76"/>
  <c r="CV32" i="76"/>
  <c r="CU32" i="76"/>
  <c r="CT32" i="76"/>
  <c r="CS32" i="76"/>
  <c r="CR32" i="76"/>
  <c r="CQ32" i="76"/>
  <c r="CP32" i="76"/>
  <c r="CO32" i="76"/>
  <c r="CN32" i="76"/>
  <c r="CM32" i="76"/>
  <c r="CL32" i="76"/>
  <c r="CK32" i="76"/>
  <c r="CJ32" i="76"/>
  <c r="CI32" i="76"/>
  <c r="CH32" i="76"/>
  <c r="CG32" i="76"/>
  <c r="CF32" i="76"/>
  <c r="CE32" i="76"/>
  <c r="CD32" i="76"/>
  <c r="CC32" i="76"/>
  <c r="CB32" i="76"/>
  <c r="CA32" i="76"/>
  <c r="BZ32" i="76"/>
  <c r="BY32" i="76"/>
  <c r="BX32" i="76"/>
  <c r="BW32" i="76"/>
  <c r="BV32" i="76"/>
  <c r="BU32" i="76"/>
  <c r="BT32" i="76"/>
  <c r="BS32" i="76"/>
  <c r="BR32" i="76"/>
  <c r="BQ32" i="76"/>
  <c r="BP32" i="76"/>
  <c r="BO32" i="76"/>
  <c r="BN32" i="76"/>
  <c r="BM32" i="76"/>
  <c r="BL32" i="76"/>
  <c r="BK32" i="76"/>
  <c r="BJ32" i="76"/>
  <c r="BI32" i="76"/>
  <c r="BH32" i="76"/>
  <c r="BG32" i="76"/>
  <c r="BF32" i="76"/>
  <c r="BE32" i="76"/>
  <c r="BD32" i="76"/>
  <c r="BC32" i="76"/>
  <c r="BB32" i="76"/>
  <c r="BA32" i="76"/>
  <c r="AZ32" i="76"/>
  <c r="AY32" i="76"/>
  <c r="AX32" i="76"/>
  <c r="AW32" i="76"/>
  <c r="AV32" i="76"/>
  <c r="AU32" i="76"/>
  <c r="AT32" i="76"/>
  <c r="AS32" i="76"/>
  <c r="AR32" i="76"/>
  <c r="AQ32" i="76"/>
  <c r="AP32" i="76"/>
  <c r="AO32" i="76"/>
  <c r="AN32" i="76"/>
  <c r="AM32" i="76"/>
  <c r="AL32" i="76"/>
  <c r="AK32" i="76"/>
  <c r="AJ32" i="76"/>
  <c r="AI32" i="76"/>
  <c r="AH32" i="76"/>
  <c r="AG32" i="76"/>
  <c r="AF32" i="76"/>
  <c r="AE32" i="76"/>
  <c r="AD32" i="76"/>
  <c r="AC32" i="76"/>
  <c r="AB32" i="76"/>
  <c r="AA32" i="76"/>
  <c r="Z32" i="76"/>
  <c r="Y32" i="76"/>
  <c r="X32" i="76"/>
  <c r="W32" i="76"/>
  <c r="Q32" i="76"/>
  <c r="K32" i="76"/>
  <c r="A32" i="76"/>
  <c r="MS31" i="76"/>
  <c r="MR31" i="76"/>
  <c r="MQ31" i="76"/>
  <c r="MP31" i="76"/>
  <c r="MO31" i="76"/>
  <c r="MN31" i="76"/>
  <c r="MM31" i="76"/>
  <c r="ML31" i="76"/>
  <c r="MK31" i="76"/>
  <c r="MJ31" i="76"/>
  <c r="MI31" i="76"/>
  <c r="MH31" i="76"/>
  <c r="MG31" i="76"/>
  <c r="MF31" i="76"/>
  <c r="ME31" i="76"/>
  <c r="MD31" i="76"/>
  <c r="MC31" i="76"/>
  <c r="MB31" i="76"/>
  <c r="MA31" i="76"/>
  <c r="LZ31" i="76"/>
  <c r="LY31" i="76"/>
  <c r="LX31" i="76"/>
  <c r="LW31" i="76"/>
  <c r="LV31" i="76"/>
  <c r="LU31" i="76"/>
  <c r="LT31" i="76"/>
  <c r="LS31" i="76"/>
  <c r="LR31" i="76"/>
  <c r="LQ31" i="76"/>
  <c r="LP31" i="76"/>
  <c r="LO31" i="76"/>
  <c r="LN31" i="76"/>
  <c r="LM31" i="76"/>
  <c r="LL31" i="76"/>
  <c r="LK31" i="76"/>
  <c r="LJ31" i="76"/>
  <c r="LI31" i="76"/>
  <c r="LH31" i="76"/>
  <c r="LG31" i="76"/>
  <c r="LF31" i="76"/>
  <c r="LE31" i="76"/>
  <c r="LD31" i="76"/>
  <c r="LC31" i="76"/>
  <c r="LB31" i="76"/>
  <c r="LA31" i="76"/>
  <c r="KZ31" i="76"/>
  <c r="KY31" i="76"/>
  <c r="KX31" i="76"/>
  <c r="KW31" i="76"/>
  <c r="KV31" i="76"/>
  <c r="KU31" i="76"/>
  <c r="KT31" i="76"/>
  <c r="KS31" i="76"/>
  <c r="KR31" i="76"/>
  <c r="KQ31" i="76"/>
  <c r="KP31" i="76"/>
  <c r="KO31" i="76"/>
  <c r="KN31" i="76"/>
  <c r="KM31" i="76"/>
  <c r="KL31" i="76"/>
  <c r="KK31" i="76"/>
  <c r="KJ31" i="76"/>
  <c r="KI31" i="76"/>
  <c r="KH31" i="76"/>
  <c r="KG31" i="76"/>
  <c r="KF31" i="76"/>
  <c r="KE31" i="76"/>
  <c r="KD31" i="76"/>
  <c r="KC31" i="76"/>
  <c r="KB31" i="76"/>
  <c r="KA31" i="76"/>
  <c r="JZ31" i="76"/>
  <c r="JY31" i="76"/>
  <c r="JX31" i="76"/>
  <c r="JW31" i="76"/>
  <c r="JV31" i="76"/>
  <c r="JU31" i="76"/>
  <c r="JT31" i="76"/>
  <c r="JS31" i="76"/>
  <c r="JR31" i="76"/>
  <c r="JQ31" i="76"/>
  <c r="JP31" i="76"/>
  <c r="JO31" i="76"/>
  <c r="JN31" i="76"/>
  <c r="JM31" i="76"/>
  <c r="JL31" i="76"/>
  <c r="JK31" i="76"/>
  <c r="JJ31" i="76"/>
  <c r="JI31" i="76"/>
  <c r="JH31" i="76"/>
  <c r="JG31" i="76"/>
  <c r="JF31" i="76"/>
  <c r="JE31" i="76"/>
  <c r="JD31" i="76"/>
  <c r="JC31" i="76"/>
  <c r="JB31" i="76"/>
  <c r="JA31" i="76"/>
  <c r="IZ31" i="76"/>
  <c r="IY31" i="76"/>
  <c r="IX31" i="76"/>
  <c r="IW31" i="76"/>
  <c r="IV31" i="76"/>
  <c r="IU31" i="76"/>
  <c r="IT31" i="76"/>
  <c r="IS31" i="76"/>
  <c r="IR31" i="76"/>
  <c r="IQ31" i="76"/>
  <c r="IP31" i="76"/>
  <c r="IO31" i="76"/>
  <c r="IN31" i="76"/>
  <c r="IM31" i="76"/>
  <c r="IL31" i="76"/>
  <c r="IK31" i="76"/>
  <c r="IJ31" i="76"/>
  <c r="II31" i="76"/>
  <c r="IH31" i="76"/>
  <c r="IG31" i="76"/>
  <c r="IF31" i="76"/>
  <c r="IE31" i="76"/>
  <c r="ID31" i="76"/>
  <c r="IC31" i="76"/>
  <c r="IB31" i="76"/>
  <c r="IA31" i="76"/>
  <c r="HZ31" i="76"/>
  <c r="HY31" i="76"/>
  <c r="HX31" i="76"/>
  <c r="HW31" i="76"/>
  <c r="HV31" i="76"/>
  <c r="HU31" i="76"/>
  <c r="HT31" i="76"/>
  <c r="HS31" i="76"/>
  <c r="HR31" i="76"/>
  <c r="HQ31" i="76"/>
  <c r="HP31" i="76"/>
  <c r="HO31" i="76"/>
  <c r="HN31" i="76"/>
  <c r="HM31" i="76"/>
  <c r="HL31" i="76"/>
  <c r="HK31" i="76"/>
  <c r="HJ31" i="76"/>
  <c r="HI31" i="76"/>
  <c r="HH31" i="76"/>
  <c r="HG31" i="76"/>
  <c r="HF31" i="76"/>
  <c r="HE31" i="76"/>
  <c r="HD31" i="76"/>
  <c r="HC31" i="76"/>
  <c r="HB31" i="76"/>
  <c r="HA31" i="76"/>
  <c r="GZ31" i="76"/>
  <c r="GY31" i="76"/>
  <c r="GX31" i="76"/>
  <c r="GW31" i="76"/>
  <c r="GV31" i="76"/>
  <c r="GU31" i="76"/>
  <c r="GT31" i="76"/>
  <c r="GS31" i="76"/>
  <c r="GR31" i="76"/>
  <c r="GQ31" i="76"/>
  <c r="GP31" i="76"/>
  <c r="GO31" i="76"/>
  <c r="GN31" i="76"/>
  <c r="GM31" i="76"/>
  <c r="GL31" i="76"/>
  <c r="GK31" i="76"/>
  <c r="GJ31" i="76"/>
  <c r="GI31" i="76"/>
  <c r="GH31" i="76"/>
  <c r="GG31" i="76"/>
  <c r="GF31" i="76"/>
  <c r="GE31" i="76"/>
  <c r="GD31" i="76"/>
  <c r="GC31" i="76"/>
  <c r="GB31" i="76"/>
  <c r="GA31" i="76"/>
  <c r="FZ31" i="76"/>
  <c r="FY31" i="76"/>
  <c r="FX31" i="76"/>
  <c r="FW31" i="76"/>
  <c r="FV31" i="76"/>
  <c r="FU31" i="76"/>
  <c r="FT31" i="76"/>
  <c r="FS31" i="76"/>
  <c r="FR31" i="76"/>
  <c r="FQ31" i="76"/>
  <c r="FP31" i="76"/>
  <c r="FO31" i="76"/>
  <c r="FN31" i="76"/>
  <c r="FM31" i="76"/>
  <c r="FL31" i="76"/>
  <c r="FK31" i="76"/>
  <c r="FJ31" i="76"/>
  <c r="FI31" i="76"/>
  <c r="FH31" i="76"/>
  <c r="FG31" i="76"/>
  <c r="FF31" i="76"/>
  <c r="FE31" i="76"/>
  <c r="FD31" i="76"/>
  <c r="FC31" i="76"/>
  <c r="FB31" i="76"/>
  <c r="FA31" i="76"/>
  <c r="EZ31" i="76"/>
  <c r="EY31" i="76"/>
  <c r="EX31" i="76"/>
  <c r="EW31" i="76"/>
  <c r="EV31" i="76"/>
  <c r="EU31" i="76"/>
  <c r="ET31" i="76"/>
  <c r="ES31" i="76"/>
  <c r="ER31" i="76"/>
  <c r="EQ31" i="76"/>
  <c r="EP31" i="76"/>
  <c r="EO31" i="76"/>
  <c r="EN31" i="76"/>
  <c r="EM31" i="76"/>
  <c r="EL31" i="76"/>
  <c r="EK31" i="76"/>
  <c r="EJ31" i="76"/>
  <c r="EI31" i="76"/>
  <c r="EH31" i="76"/>
  <c r="EG31" i="76"/>
  <c r="EF31" i="76"/>
  <c r="EE31" i="76"/>
  <c r="ED31" i="76"/>
  <c r="EC31" i="76"/>
  <c r="EB31" i="76"/>
  <c r="EA31" i="76"/>
  <c r="DZ31" i="76"/>
  <c r="DY31" i="76"/>
  <c r="DX31" i="76"/>
  <c r="DW31" i="76"/>
  <c r="DV31" i="76"/>
  <c r="DU31" i="76"/>
  <c r="DT31" i="76"/>
  <c r="DS31" i="76"/>
  <c r="DR31" i="76"/>
  <c r="DQ31" i="76"/>
  <c r="DP31" i="76"/>
  <c r="DO31" i="76"/>
  <c r="DN31" i="76"/>
  <c r="DM31" i="76"/>
  <c r="DL31" i="76"/>
  <c r="DK31" i="76"/>
  <c r="DJ31" i="76"/>
  <c r="DI31" i="76"/>
  <c r="DH31" i="76"/>
  <c r="DG31" i="76"/>
  <c r="DF31" i="76"/>
  <c r="DE31" i="76"/>
  <c r="DD31" i="76"/>
  <c r="DC31" i="76"/>
  <c r="DB31" i="76"/>
  <c r="DA31" i="76"/>
  <c r="CZ31" i="76"/>
  <c r="CY31" i="76"/>
  <c r="CX31" i="76"/>
  <c r="CW31" i="76"/>
  <c r="CV31" i="76"/>
  <c r="CU31" i="76"/>
  <c r="CT31" i="76"/>
  <c r="CS31" i="76"/>
  <c r="CR31" i="76"/>
  <c r="CQ31" i="76"/>
  <c r="CP31" i="76"/>
  <c r="CO31" i="76"/>
  <c r="CN31" i="76"/>
  <c r="CM31" i="76"/>
  <c r="CL31" i="76"/>
  <c r="CK31" i="76"/>
  <c r="CJ31" i="76"/>
  <c r="CI31" i="76"/>
  <c r="CH31" i="76"/>
  <c r="CG31" i="76"/>
  <c r="CF31" i="76"/>
  <c r="CE31" i="76"/>
  <c r="CD31" i="76"/>
  <c r="CC31" i="76"/>
  <c r="CB31" i="76"/>
  <c r="CA31" i="76"/>
  <c r="BZ31" i="76"/>
  <c r="BY31" i="76"/>
  <c r="BX31" i="76"/>
  <c r="BW31" i="76"/>
  <c r="BV31" i="76"/>
  <c r="BU31" i="76"/>
  <c r="BT31" i="76"/>
  <c r="BS31" i="76"/>
  <c r="BR31" i="76"/>
  <c r="BQ31" i="76"/>
  <c r="BP31" i="76"/>
  <c r="BO31" i="76"/>
  <c r="BN31" i="76"/>
  <c r="BM31" i="76"/>
  <c r="BL31" i="76"/>
  <c r="BK31" i="76"/>
  <c r="BJ31" i="76"/>
  <c r="BI31" i="76"/>
  <c r="BH31" i="76"/>
  <c r="BG31" i="76"/>
  <c r="BF31" i="76"/>
  <c r="BE31" i="76"/>
  <c r="BD31" i="76"/>
  <c r="BC31" i="76"/>
  <c r="BB31" i="76"/>
  <c r="BA31" i="76"/>
  <c r="AZ31" i="76"/>
  <c r="AY31" i="76"/>
  <c r="AX31" i="76"/>
  <c r="AW31" i="76"/>
  <c r="AV31" i="76"/>
  <c r="AU31" i="76"/>
  <c r="AT31" i="76"/>
  <c r="AS31" i="76"/>
  <c r="AR31" i="76"/>
  <c r="AQ31" i="76"/>
  <c r="AP31" i="76"/>
  <c r="AO31" i="76"/>
  <c r="AN31" i="76"/>
  <c r="AM31" i="76"/>
  <c r="AL31" i="76"/>
  <c r="AK31" i="76"/>
  <c r="AJ31" i="76"/>
  <c r="AI31" i="76"/>
  <c r="AH31" i="76"/>
  <c r="AG31" i="76"/>
  <c r="AF31" i="76"/>
  <c r="AE31" i="76"/>
  <c r="AD31" i="76"/>
  <c r="AC31" i="76"/>
  <c r="AB31" i="76"/>
  <c r="AA31" i="76"/>
  <c r="Z31" i="76"/>
  <c r="Y31" i="76"/>
  <c r="X31" i="76"/>
  <c r="W31" i="76"/>
  <c r="Q31" i="76"/>
  <c r="K31" i="76"/>
  <c r="A31" i="76"/>
  <c r="MS30" i="76"/>
  <c r="MR30" i="76"/>
  <c r="MQ30" i="76"/>
  <c r="MP30" i="76"/>
  <c r="MO30" i="76"/>
  <c r="MN30" i="76"/>
  <c r="MM30" i="76"/>
  <c r="ML30" i="76"/>
  <c r="MK30" i="76"/>
  <c r="MJ30" i="76"/>
  <c r="MI30" i="76"/>
  <c r="MH30" i="76"/>
  <c r="MG30" i="76"/>
  <c r="MF30" i="76"/>
  <c r="ME30" i="76"/>
  <c r="MD30" i="76"/>
  <c r="MC30" i="76"/>
  <c r="MB30" i="76"/>
  <c r="MA30" i="76"/>
  <c r="LZ30" i="76"/>
  <c r="LY30" i="76"/>
  <c r="LX30" i="76"/>
  <c r="LW30" i="76"/>
  <c r="LV30" i="76"/>
  <c r="LU30" i="76"/>
  <c r="LT30" i="76"/>
  <c r="LS30" i="76"/>
  <c r="LR30" i="76"/>
  <c r="LQ30" i="76"/>
  <c r="LP30" i="76"/>
  <c r="LO30" i="76"/>
  <c r="LN30" i="76"/>
  <c r="LM30" i="76"/>
  <c r="LL30" i="76"/>
  <c r="LK30" i="76"/>
  <c r="LJ30" i="76"/>
  <c r="LI30" i="76"/>
  <c r="LH30" i="76"/>
  <c r="LG30" i="76"/>
  <c r="LF30" i="76"/>
  <c r="LE30" i="76"/>
  <c r="LD30" i="76"/>
  <c r="LC30" i="76"/>
  <c r="LB30" i="76"/>
  <c r="LA30" i="76"/>
  <c r="KZ30" i="76"/>
  <c r="KY30" i="76"/>
  <c r="KX30" i="76"/>
  <c r="KW30" i="76"/>
  <c r="KV30" i="76"/>
  <c r="KU30" i="76"/>
  <c r="KT30" i="76"/>
  <c r="KS30" i="76"/>
  <c r="KR30" i="76"/>
  <c r="KQ30" i="76"/>
  <c r="KP30" i="76"/>
  <c r="KO30" i="76"/>
  <c r="KN30" i="76"/>
  <c r="KM30" i="76"/>
  <c r="KL30" i="76"/>
  <c r="KK30" i="76"/>
  <c r="KJ30" i="76"/>
  <c r="KI30" i="76"/>
  <c r="KH30" i="76"/>
  <c r="KG30" i="76"/>
  <c r="KF30" i="76"/>
  <c r="KE30" i="76"/>
  <c r="KD30" i="76"/>
  <c r="KC30" i="76"/>
  <c r="KB30" i="76"/>
  <c r="KA30" i="76"/>
  <c r="JZ30" i="76"/>
  <c r="JY30" i="76"/>
  <c r="JX30" i="76"/>
  <c r="JW30" i="76"/>
  <c r="JV30" i="76"/>
  <c r="JU30" i="76"/>
  <c r="JT30" i="76"/>
  <c r="JS30" i="76"/>
  <c r="JR30" i="76"/>
  <c r="JQ30" i="76"/>
  <c r="JP30" i="76"/>
  <c r="JO30" i="76"/>
  <c r="JN30" i="76"/>
  <c r="JM30" i="76"/>
  <c r="JL30" i="76"/>
  <c r="JK30" i="76"/>
  <c r="JJ30" i="76"/>
  <c r="JI30" i="76"/>
  <c r="JH30" i="76"/>
  <c r="JG30" i="76"/>
  <c r="JF30" i="76"/>
  <c r="JE30" i="76"/>
  <c r="JD30" i="76"/>
  <c r="JC30" i="76"/>
  <c r="JB30" i="76"/>
  <c r="JA30" i="76"/>
  <c r="IZ30" i="76"/>
  <c r="IY30" i="76"/>
  <c r="IX30" i="76"/>
  <c r="IW30" i="76"/>
  <c r="IV30" i="76"/>
  <c r="IU30" i="76"/>
  <c r="IT30" i="76"/>
  <c r="IS30" i="76"/>
  <c r="IR30" i="76"/>
  <c r="IQ30" i="76"/>
  <c r="IP30" i="76"/>
  <c r="IO30" i="76"/>
  <c r="IN30" i="76"/>
  <c r="IM30" i="76"/>
  <c r="IL30" i="76"/>
  <c r="IK30" i="76"/>
  <c r="IJ30" i="76"/>
  <c r="II30" i="76"/>
  <c r="IH30" i="76"/>
  <c r="IG30" i="76"/>
  <c r="IF30" i="76"/>
  <c r="IE30" i="76"/>
  <c r="ID30" i="76"/>
  <c r="IC30" i="76"/>
  <c r="IB30" i="76"/>
  <c r="IA30" i="76"/>
  <c r="HZ30" i="76"/>
  <c r="HY30" i="76"/>
  <c r="HX30" i="76"/>
  <c r="HW30" i="76"/>
  <c r="HV30" i="76"/>
  <c r="HU30" i="76"/>
  <c r="HT30" i="76"/>
  <c r="HS30" i="76"/>
  <c r="HR30" i="76"/>
  <c r="HQ30" i="76"/>
  <c r="HP30" i="76"/>
  <c r="HO30" i="76"/>
  <c r="HN30" i="76"/>
  <c r="HM30" i="76"/>
  <c r="HL30" i="76"/>
  <c r="HK30" i="76"/>
  <c r="HJ30" i="76"/>
  <c r="HI30" i="76"/>
  <c r="HH30" i="76"/>
  <c r="HG30" i="76"/>
  <c r="HF30" i="76"/>
  <c r="HE30" i="76"/>
  <c r="HD30" i="76"/>
  <c r="HC30" i="76"/>
  <c r="HB30" i="76"/>
  <c r="HA30" i="76"/>
  <c r="GZ30" i="76"/>
  <c r="GY30" i="76"/>
  <c r="GX30" i="76"/>
  <c r="GW30" i="76"/>
  <c r="GV30" i="76"/>
  <c r="GU30" i="76"/>
  <c r="GT30" i="76"/>
  <c r="GS30" i="76"/>
  <c r="GR30" i="76"/>
  <c r="GQ30" i="76"/>
  <c r="GP30" i="76"/>
  <c r="GO30" i="76"/>
  <c r="GN30" i="76"/>
  <c r="GM30" i="76"/>
  <c r="GL30" i="76"/>
  <c r="GK30" i="76"/>
  <c r="GJ30" i="76"/>
  <c r="GI30" i="76"/>
  <c r="GH30" i="76"/>
  <c r="GG30" i="76"/>
  <c r="GF30" i="76"/>
  <c r="GE30" i="76"/>
  <c r="GD30" i="76"/>
  <c r="GC30" i="76"/>
  <c r="GB30" i="76"/>
  <c r="GA30" i="76"/>
  <c r="FZ30" i="76"/>
  <c r="FY30" i="76"/>
  <c r="FX30" i="76"/>
  <c r="FW30" i="76"/>
  <c r="FV30" i="76"/>
  <c r="FU30" i="76"/>
  <c r="FT30" i="76"/>
  <c r="FS30" i="76"/>
  <c r="FR30" i="76"/>
  <c r="FQ30" i="76"/>
  <c r="FP30" i="76"/>
  <c r="FO30" i="76"/>
  <c r="FN30" i="76"/>
  <c r="FM30" i="76"/>
  <c r="FL30" i="76"/>
  <c r="FK30" i="76"/>
  <c r="FJ30" i="76"/>
  <c r="FI30" i="76"/>
  <c r="FH30" i="76"/>
  <c r="FG30" i="76"/>
  <c r="FF30" i="76"/>
  <c r="FE30" i="76"/>
  <c r="FD30" i="76"/>
  <c r="FC30" i="76"/>
  <c r="FB30" i="76"/>
  <c r="FA30" i="76"/>
  <c r="EZ30" i="76"/>
  <c r="EY30" i="76"/>
  <c r="EX30" i="76"/>
  <c r="EW30" i="76"/>
  <c r="EV30" i="76"/>
  <c r="EU30" i="76"/>
  <c r="ET30" i="76"/>
  <c r="ES30" i="76"/>
  <c r="ER30" i="76"/>
  <c r="EQ30" i="76"/>
  <c r="EP30" i="76"/>
  <c r="EO30" i="76"/>
  <c r="EN30" i="76"/>
  <c r="EM30" i="76"/>
  <c r="EL30" i="76"/>
  <c r="EK30" i="76"/>
  <c r="EJ30" i="76"/>
  <c r="EI30" i="76"/>
  <c r="EH30" i="76"/>
  <c r="EG30" i="76"/>
  <c r="EF30" i="76"/>
  <c r="EE30" i="76"/>
  <c r="ED30" i="76"/>
  <c r="EC30" i="76"/>
  <c r="EB30" i="76"/>
  <c r="EA30" i="76"/>
  <c r="DZ30" i="76"/>
  <c r="DY30" i="76"/>
  <c r="DX30" i="76"/>
  <c r="DW30" i="76"/>
  <c r="DV30" i="76"/>
  <c r="DU30" i="76"/>
  <c r="DT30" i="76"/>
  <c r="DS30" i="76"/>
  <c r="DR30" i="76"/>
  <c r="DQ30" i="76"/>
  <c r="DP30" i="76"/>
  <c r="DO30" i="76"/>
  <c r="DN30" i="76"/>
  <c r="DM30" i="76"/>
  <c r="DL30" i="76"/>
  <c r="DK30" i="76"/>
  <c r="DJ30" i="76"/>
  <c r="DI30" i="76"/>
  <c r="DH30" i="76"/>
  <c r="DG30" i="76"/>
  <c r="DF30" i="76"/>
  <c r="DE30" i="76"/>
  <c r="DD30" i="76"/>
  <c r="DC30" i="76"/>
  <c r="DB30" i="76"/>
  <c r="DA30" i="76"/>
  <c r="CZ30" i="76"/>
  <c r="CY30" i="76"/>
  <c r="CX30" i="76"/>
  <c r="CW30" i="76"/>
  <c r="CV30" i="76"/>
  <c r="CU30" i="76"/>
  <c r="CT30" i="76"/>
  <c r="CS30" i="76"/>
  <c r="CR30" i="76"/>
  <c r="CQ30" i="76"/>
  <c r="CP30" i="76"/>
  <c r="CO30" i="76"/>
  <c r="CN30" i="76"/>
  <c r="CM30" i="76"/>
  <c r="CL30" i="76"/>
  <c r="CK30" i="76"/>
  <c r="CJ30" i="76"/>
  <c r="CI30" i="76"/>
  <c r="CH30" i="76"/>
  <c r="CG30" i="76"/>
  <c r="CF30" i="76"/>
  <c r="CE30" i="76"/>
  <c r="CD30" i="76"/>
  <c r="CC30" i="76"/>
  <c r="CB30" i="76"/>
  <c r="CA30" i="76"/>
  <c r="BZ30" i="76"/>
  <c r="BY30" i="76"/>
  <c r="BX30" i="76"/>
  <c r="BW30" i="76"/>
  <c r="BV30" i="76"/>
  <c r="BU30" i="76"/>
  <c r="BT30" i="76"/>
  <c r="BS30" i="76"/>
  <c r="BR30" i="76"/>
  <c r="BQ30" i="76"/>
  <c r="BP30" i="76"/>
  <c r="BO30" i="76"/>
  <c r="BN30" i="76"/>
  <c r="BM30" i="76"/>
  <c r="BL30" i="76"/>
  <c r="BK30" i="76"/>
  <c r="BJ30" i="76"/>
  <c r="BI30" i="76"/>
  <c r="BH30" i="76"/>
  <c r="BG30" i="76"/>
  <c r="BF30" i="76"/>
  <c r="BE30" i="76"/>
  <c r="BD30" i="76"/>
  <c r="BC30" i="76"/>
  <c r="BB30" i="76"/>
  <c r="BA30" i="76"/>
  <c r="AZ30" i="76"/>
  <c r="AY30" i="76"/>
  <c r="AX30" i="76"/>
  <c r="AW30" i="76"/>
  <c r="AV30" i="76"/>
  <c r="AU30" i="76"/>
  <c r="AT30" i="76"/>
  <c r="AS30" i="76"/>
  <c r="AR30" i="76"/>
  <c r="AQ30" i="76"/>
  <c r="AP30" i="76"/>
  <c r="AO30" i="76"/>
  <c r="AN30" i="76"/>
  <c r="AM30" i="76"/>
  <c r="AL30" i="76"/>
  <c r="AK30" i="76"/>
  <c r="AJ30" i="76"/>
  <c r="AI30" i="76"/>
  <c r="AH30" i="76"/>
  <c r="AG30" i="76"/>
  <c r="AF30" i="76"/>
  <c r="AE30" i="76"/>
  <c r="AD30" i="76"/>
  <c r="AC30" i="76"/>
  <c r="AB30" i="76"/>
  <c r="AA30" i="76"/>
  <c r="Z30" i="76"/>
  <c r="Y30" i="76"/>
  <c r="X30" i="76"/>
  <c r="W30" i="76"/>
  <c r="Q30" i="76"/>
  <c r="K30" i="76"/>
  <c r="A30" i="76"/>
  <c r="MS29" i="76"/>
  <c r="MR29" i="76"/>
  <c r="MQ29" i="76"/>
  <c r="MP29" i="76"/>
  <c r="MO29" i="76"/>
  <c r="MN29" i="76"/>
  <c r="MM29" i="76"/>
  <c r="ML29" i="76"/>
  <c r="MK29" i="76"/>
  <c r="MJ29" i="76"/>
  <c r="MI29" i="76"/>
  <c r="MH29" i="76"/>
  <c r="MG29" i="76"/>
  <c r="MF29" i="76"/>
  <c r="ME29" i="76"/>
  <c r="MD29" i="76"/>
  <c r="MC29" i="76"/>
  <c r="MB29" i="76"/>
  <c r="MA29" i="76"/>
  <c r="LZ29" i="76"/>
  <c r="LY29" i="76"/>
  <c r="LX29" i="76"/>
  <c r="LW29" i="76"/>
  <c r="LV29" i="76"/>
  <c r="LU29" i="76"/>
  <c r="LT29" i="76"/>
  <c r="LS29" i="76"/>
  <c r="LR29" i="76"/>
  <c r="LQ29" i="76"/>
  <c r="LP29" i="76"/>
  <c r="LO29" i="76"/>
  <c r="LN29" i="76"/>
  <c r="LM29" i="76"/>
  <c r="LL29" i="76"/>
  <c r="LK29" i="76"/>
  <c r="LJ29" i="76"/>
  <c r="LI29" i="76"/>
  <c r="LH29" i="76"/>
  <c r="LG29" i="76"/>
  <c r="LF29" i="76"/>
  <c r="LE29" i="76"/>
  <c r="LD29" i="76"/>
  <c r="LC29" i="76"/>
  <c r="LB29" i="76"/>
  <c r="LA29" i="76"/>
  <c r="KZ29" i="76"/>
  <c r="KY29" i="76"/>
  <c r="KX29" i="76"/>
  <c r="KW29" i="76"/>
  <c r="KV29" i="76"/>
  <c r="KU29" i="76"/>
  <c r="KT29" i="76"/>
  <c r="KS29" i="76"/>
  <c r="KR29" i="76"/>
  <c r="KQ29" i="76"/>
  <c r="KP29" i="76"/>
  <c r="KO29" i="76"/>
  <c r="KN29" i="76"/>
  <c r="KM29" i="76"/>
  <c r="KL29" i="76"/>
  <c r="KK29" i="76"/>
  <c r="KJ29" i="76"/>
  <c r="KI29" i="76"/>
  <c r="KH29" i="76"/>
  <c r="KG29" i="76"/>
  <c r="KF29" i="76"/>
  <c r="KE29" i="76"/>
  <c r="KD29" i="76"/>
  <c r="KC29" i="76"/>
  <c r="KB29" i="76"/>
  <c r="KA29" i="76"/>
  <c r="JZ29" i="76"/>
  <c r="JY29" i="76"/>
  <c r="JX29" i="76"/>
  <c r="JW29" i="76"/>
  <c r="JV29" i="76"/>
  <c r="JU29" i="76"/>
  <c r="JT29" i="76"/>
  <c r="JS29" i="76"/>
  <c r="JR29" i="76"/>
  <c r="JQ29" i="76"/>
  <c r="JP29" i="76"/>
  <c r="JO29" i="76"/>
  <c r="JN29" i="76"/>
  <c r="JM29" i="76"/>
  <c r="JL29" i="76"/>
  <c r="JK29" i="76"/>
  <c r="JJ29" i="76"/>
  <c r="JI29" i="76"/>
  <c r="JH29" i="76"/>
  <c r="JG29" i="76"/>
  <c r="JF29" i="76"/>
  <c r="JE29" i="76"/>
  <c r="JD29" i="76"/>
  <c r="JC29" i="76"/>
  <c r="JB29" i="76"/>
  <c r="JA29" i="76"/>
  <c r="IZ29" i="76"/>
  <c r="IY29" i="76"/>
  <c r="IX29" i="76"/>
  <c r="IW29" i="76"/>
  <c r="IV29" i="76"/>
  <c r="IU29" i="76"/>
  <c r="IT29" i="76"/>
  <c r="IS29" i="76"/>
  <c r="IR29" i="76"/>
  <c r="IQ29" i="76"/>
  <c r="IP29" i="76"/>
  <c r="IO29" i="76"/>
  <c r="IN29" i="76"/>
  <c r="IM29" i="76"/>
  <c r="IL29" i="76"/>
  <c r="IK29" i="76"/>
  <c r="IJ29" i="76"/>
  <c r="II29" i="76"/>
  <c r="IH29" i="76"/>
  <c r="IG29" i="76"/>
  <c r="IF29" i="76"/>
  <c r="IE29" i="76"/>
  <c r="ID29" i="76"/>
  <c r="IC29" i="76"/>
  <c r="IB29" i="76"/>
  <c r="IA29" i="76"/>
  <c r="HZ29" i="76"/>
  <c r="HY29" i="76"/>
  <c r="HX29" i="76"/>
  <c r="HW29" i="76"/>
  <c r="HV29" i="76"/>
  <c r="HU29" i="76"/>
  <c r="HT29" i="76"/>
  <c r="HS29" i="76"/>
  <c r="HR29" i="76"/>
  <c r="HQ29" i="76"/>
  <c r="HP29" i="76"/>
  <c r="HO29" i="76"/>
  <c r="HN29" i="76"/>
  <c r="HM29" i="76"/>
  <c r="HL29" i="76"/>
  <c r="HK29" i="76"/>
  <c r="HJ29" i="76"/>
  <c r="HI29" i="76"/>
  <c r="HH29" i="76"/>
  <c r="HG29" i="76"/>
  <c r="HF29" i="76"/>
  <c r="HE29" i="76"/>
  <c r="HD29" i="76"/>
  <c r="HC29" i="76"/>
  <c r="HB29" i="76"/>
  <c r="HA29" i="76"/>
  <c r="GZ29" i="76"/>
  <c r="GY29" i="76"/>
  <c r="GX29" i="76"/>
  <c r="GW29" i="76"/>
  <c r="GV29" i="76"/>
  <c r="GU29" i="76"/>
  <c r="GT29" i="76"/>
  <c r="GS29" i="76"/>
  <c r="GR29" i="76"/>
  <c r="GQ29" i="76"/>
  <c r="GP29" i="76"/>
  <c r="GO29" i="76"/>
  <c r="GN29" i="76"/>
  <c r="GM29" i="76"/>
  <c r="GL29" i="76"/>
  <c r="GK29" i="76"/>
  <c r="GJ29" i="76"/>
  <c r="GI29" i="76"/>
  <c r="GH29" i="76"/>
  <c r="GG29" i="76"/>
  <c r="GF29" i="76"/>
  <c r="GE29" i="76"/>
  <c r="GD29" i="76"/>
  <c r="GC29" i="76"/>
  <c r="GB29" i="76"/>
  <c r="GA29" i="76"/>
  <c r="FZ29" i="76"/>
  <c r="FY29" i="76"/>
  <c r="FX29" i="76"/>
  <c r="FW29" i="76"/>
  <c r="FV29" i="76"/>
  <c r="FU29" i="76"/>
  <c r="FT29" i="76"/>
  <c r="FS29" i="76"/>
  <c r="FR29" i="76"/>
  <c r="FQ29" i="76"/>
  <c r="FP29" i="76"/>
  <c r="FO29" i="76"/>
  <c r="FN29" i="76"/>
  <c r="FM29" i="76"/>
  <c r="FL29" i="76"/>
  <c r="FK29" i="76"/>
  <c r="FJ29" i="76"/>
  <c r="FI29" i="76"/>
  <c r="FH29" i="76"/>
  <c r="FG29" i="76"/>
  <c r="FF29" i="76"/>
  <c r="FE29" i="76"/>
  <c r="FD29" i="76"/>
  <c r="FC29" i="76"/>
  <c r="FB29" i="76"/>
  <c r="FA29" i="76"/>
  <c r="EZ29" i="76"/>
  <c r="EY29" i="76"/>
  <c r="EX29" i="76"/>
  <c r="EW29" i="76"/>
  <c r="EV29" i="76"/>
  <c r="EU29" i="76"/>
  <c r="ET29" i="76"/>
  <c r="ES29" i="76"/>
  <c r="ER29" i="76"/>
  <c r="EQ29" i="76"/>
  <c r="EP29" i="76"/>
  <c r="EO29" i="76"/>
  <c r="EN29" i="76"/>
  <c r="EM29" i="76"/>
  <c r="EL29" i="76"/>
  <c r="EK29" i="76"/>
  <c r="EJ29" i="76"/>
  <c r="EI29" i="76"/>
  <c r="EH29" i="76"/>
  <c r="EG29" i="76"/>
  <c r="EF29" i="76"/>
  <c r="EE29" i="76"/>
  <c r="ED29" i="76"/>
  <c r="EC29" i="76"/>
  <c r="EB29" i="76"/>
  <c r="EA29" i="76"/>
  <c r="DZ29" i="76"/>
  <c r="DY29" i="76"/>
  <c r="DX29" i="76"/>
  <c r="DW29" i="76"/>
  <c r="DV29" i="76"/>
  <c r="DU29" i="76"/>
  <c r="DT29" i="76"/>
  <c r="DS29" i="76"/>
  <c r="DR29" i="76"/>
  <c r="DQ29" i="76"/>
  <c r="DP29" i="76"/>
  <c r="DO29" i="76"/>
  <c r="DN29" i="76"/>
  <c r="DM29" i="76"/>
  <c r="DL29" i="76"/>
  <c r="DK29" i="76"/>
  <c r="DJ29" i="76"/>
  <c r="DI29" i="76"/>
  <c r="DH29" i="76"/>
  <c r="DG29" i="76"/>
  <c r="DF29" i="76"/>
  <c r="DE29" i="76"/>
  <c r="DD29" i="76"/>
  <c r="DC29" i="76"/>
  <c r="DB29" i="76"/>
  <c r="DA29" i="76"/>
  <c r="CZ29" i="76"/>
  <c r="CY29" i="76"/>
  <c r="CX29" i="76"/>
  <c r="CW29" i="76"/>
  <c r="CV29" i="76"/>
  <c r="CU29" i="76"/>
  <c r="CT29" i="76"/>
  <c r="CS29" i="76"/>
  <c r="CR29" i="76"/>
  <c r="CQ29" i="76"/>
  <c r="CP29" i="76"/>
  <c r="CO29" i="76"/>
  <c r="CN29" i="76"/>
  <c r="CM29" i="76"/>
  <c r="CL29" i="76"/>
  <c r="CK29" i="76"/>
  <c r="CJ29" i="76"/>
  <c r="CI29" i="76"/>
  <c r="CH29" i="76"/>
  <c r="CG29" i="76"/>
  <c r="CF29" i="76"/>
  <c r="CE29" i="76"/>
  <c r="CD29" i="76"/>
  <c r="CC29" i="76"/>
  <c r="CB29" i="76"/>
  <c r="CA29" i="76"/>
  <c r="BZ29" i="76"/>
  <c r="BY29" i="76"/>
  <c r="BX29" i="76"/>
  <c r="BW29" i="76"/>
  <c r="BV29" i="76"/>
  <c r="BU29" i="76"/>
  <c r="BT29" i="76"/>
  <c r="BS29" i="76"/>
  <c r="BR29" i="76"/>
  <c r="BQ29" i="76"/>
  <c r="BP29" i="76"/>
  <c r="BO29" i="76"/>
  <c r="BN29" i="76"/>
  <c r="BM29" i="76"/>
  <c r="BL29" i="76"/>
  <c r="BK29" i="76"/>
  <c r="BJ29" i="76"/>
  <c r="BI29" i="76"/>
  <c r="BH29" i="76"/>
  <c r="BG29" i="76"/>
  <c r="BF29" i="76"/>
  <c r="BE29" i="76"/>
  <c r="BD29" i="76"/>
  <c r="BC29" i="76"/>
  <c r="BB29" i="76"/>
  <c r="BA29" i="76"/>
  <c r="AZ29" i="76"/>
  <c r="AY29" i="76"/>
  <c r="AX29" i="76"/>
  <c r="AW29" i="76"/>
  <c r="AV29" i="76"/>
  <c r="AU29" i="76"/>
  <c r="AT29" i="76"/>
  <c r="AS29" i="76"/>
  <c r="AR29" i="76"/>
  <c r="AQ29" i="76"/>
  <c r="AP29" i="76"/>
  <c r="AO29" i="76"/>
  <c r="AN29" i="76"/>
  <c r="AM29" i="76"/>
  <c r="AL29" i="76"/>
  <c r="AK29" i="76"/>
  <c r="AJ29" i="76"/>
  <c r="AI29" i="76"/>
  <c r="AH29" i="76"/>
  <c r="AG29" i="76"/>
  <c r="AF29" i="76"/>
  <c r="AE29" i="76"/>
  <c r="AD29" i="76"/>
  <c r="AC29" i="76"/>
  <c r="AB29" i="76"/>
  <c r="AA29" i="76"/>
  <c r="Z29" i="76"/>
  <c r="Y29" i="76"/>
  <c r="X29" i="76"/>
  <c r="W29" i="76"/>
  <c r="Q29" i="76"/>
  <c r="K29" i="76"/>
  <c r="A29" i="76"/>
  <c r="MS28" i="76"/>
  <c r="MR28" i="76"/>
  <c r="MQ28" i="76"/>
  <c r="MP28" i="76"/>
  <c r="MO28" i="76"/>
  <c r="MN28" i="76"/>
  <c r="MM28" i="76"/>
  <c r="ML28" i="76"/>
  <c r="MK28" i="76"/>
  <c r="MJ28" i="76"/>
  <c r="MI28" i="76"/>
  <c r="MH28" i="76"/>
  <c r="MG28" i="76"/>
  <c r="MF28" i="76"/>
  <c r="ME28" i="76"/>
  <c r="MD28" i="76"/>
  <c r="MC28" i="76"/>
  <c r="MB28" i="76"/>
  <c r="MA28" i="76"/>
  <c r="LZ28" i="76"/>
  <c r="LY28" i="76"/>
  <c r="LX28" i="76"/>
  <c r="LW28" i="76"/>
  <c r="LV28" i="76"/>
  <c r="LU28" i="76"/>
  <c r="LT28" i="76"/>
  <c r="LS28" i="76"/>
  <c r="LR28" i="76"/>
  <c r="LQ28" i="76"/>
  <c r="LP28" i="76"/>
  <c r="LO28" i="76"/>
  <c r="LN28" i="76"/>
  <c r="LM28" i="76"/>
  <c r="LL28" i="76"/>
  <c r="LK28" i="76"/>
  <c r="LJ28" i="76"/>
  <c r="LI28" i="76"/>
  <c r="LH28" i="76"/>
  <c r="LG28" i="76"/>
  <c r="LF28" i="76"/>
  <c r="LE28" i="76"/>
  <c r="LD28" i="76"/>
  <c r="LC28" i="76"/>
  <c r="LB28" i="76"/>
  <c r="LA28" i="76"/>
  <c r="KZ28" i="76"/>
  <c r="KY28" i="76"/>
  <c r="KX28" i="76"/>
  <c r="KW28" i="76"/>
  <c r="KV28" i="76"/>
  <c r="KU28" i="76"/>
  <c r="KT28" i="76"/>
  <c r="KS28" i="76"/>
  <c r="KR28" i="76"/>
  <c r="KQ28" i="76"/>
  <c r="KP28" i="76"/>
  <c r="KO28" i="76"/>
  <c r="KN28" i="76"/>
  <c r="KM28" i="76"/>
  <c r="KL28" i="76"/>
  <c r="KK28" i="76"/>
  <c r="KJ28" i="76"/>
  <c r="KI28" i="76"/>
  <c r="KH28" i="76"/>
  <c r="KG28" i="76"/>
  <c r="KF28" i="76"/>
  <c r="KE28" i="76"/>
  <c r="KD28" i="76"/>
  <c r="KC28" i="76"/>
  <c r="KB28" i="76"/>
  <c r="KA28" i="76"/>
  <c r="JZ28" i="76"/>
  <c r="JY28" i="76"/>
  <c r="JX28" i="76"/>
  <c r="JW28" i="76"/>
  <c r="JV28" i="76"/>
  <c r="JU28" i="76"/>
  <c r="JT28" i="76"/>
  <c r="JS28" i="76"/>
  <c r="JR28" i="76"/>
  <c r="JQ28" i="76"/>
  <c r="JP28" i="76"/>
  <c r="JO28" i="76"/>
  <c r="JN28" i="76"/>
  <c r="JM28" i="76"/>
  <c r="JL28" i="76"/>
  <c r="JK28" i="76"/>
  <c r="JJ28" i="76"/>
  <c r="JI28" i="76"/>
  <c r="JH28" i="76"/>
  <c r="JG28" i="76"/>
  <c r="JF28" i="76"/>
  <c r="JE28" i="76"/>
  <c r="JD28" i="76"/>
  <c r="JC28" i="76"/>
  <c r="JB28" i="76"/>
  <c r="JA28" i="76"/>
  <c r="IZ28" i="76"/>
  <c r="IY28" i="76"/>
  <c r="IX28" i="76"/>
  <c r="IW28" i="76"/>
  <c r="IV28" i="76"/>
  <c r="IU28" i="76"/>
  <c r="IT28" i="76"/>
  <c r="IS28" i="76"/>
  <c r="IR28" i="76"/>
  <c r="IQ28" i="76"/>
  <c r="IP28" i="76"/>
  <c r="IO28" i="76"/>
  <c r="IN28" i="76"/>
  <c r="IM28" i="76"/>
  <c r="IL28" i="76"/>
  <c r="IK28" i="76"/>
  <c r="IJ28" i="76"/>
  <c r="II28" i="76"/>
  <c r="IH28" i="76"/>
  <c r="IG28" i="76"/>
  <c r="IF28" i="76"/>
  <c r="IE28" i="76"/>
  <c r="ID28" i="76"/>
  <c r="IC28" i="76"/>
  <c r="IB28" i="76"/>
  <c r="IA28" i="76"/>
  <c r="HZ28" i="76"/>
  <c r="HY28" i="76"/>
  <c r="HX28" i="76"/>
  <c r="HW28" i="76"/>
  <c r="HV28" i="76"/>
  <c r="HU28" i="76"/>
  <c r="HT28" i="76"/>
  <c r="HS28" i="76"/>
  <c r="HR28" i="76"/>
  <c r="HQ28" i="76"/>
  <c r="HP28" i="76"/>
  <c r="HO28" i="76"/>
  <c r="HN28" i="76"/>
  <c r="HM28" i="76"/>
  <c r="HL28" i="76"/>
  <c r="HK28" i="76"/>
  <c r="HJ28" i="76"/>
  <c r="HI28" i="76"/>
  <c r="HH28" i="76"/>
  <c r="HG28" i="76"/>
  <c r="HF28" i="76"/>
  <c r="HE28" i="76"/>
  <c r="HD28" i="76"/>
  <c r="HC28" i="76"/>
  <c r="HB28" i="76"/>
  <c r="HA28" i="76"/>
  <c r="GZ28" i="76"/>
  <c r="GY28" i="76"/>
  <c r="GX28" i="76"/>
  <c r="GW28" i="76"/>
  <c r="GV28" i="76"/>
  <c r="GU28" i="76"/>
  <c r="GT28" i="76"/>
  <c r="GS28" i="76"/>
  <c r="GR28" i="76"/>
  <c r="GQ28" i="76"/>
  <c r="GP28" i="76"/>
  <c r="GO28" i="76"/>
  <c r="GN28" i="76"/>
  <c r="GM28" i="76"/>
  <c r="GL28" i="76"/>
  <c r="GK28" i="76"/>
  <c r="GJ28" i="76"/>
  <c r="GI28" i="76"/>
  <c r="GH28" i="76"/>
  <c r="GG28" i="76"/>
  <c r="GF28" i="76"/>
  <c r="GE28" i="76"/>
  <c r="GD28" i="76"/>
  <c r="GC28" i="76"/>
  <c r="GB28" i="76"/>
  <c r="GA28" i="76"/>
  <c r="FZ28" i="76"/>
  <c r="FY28" i="76"/>
  <c r="FX28" i="76"/>
  <c r="FW28" i="76"/>
  <c r="FV28" i="76"/>
  <c r="FU28" i="76"/>
  <c r="FT28" i="76"/>
  <c r="FS28" i="76"/>
  <c r="FR28" i="76"/>
  <c r="FQ28" i="76"/>
  <c r="FP28" i="76"/>
  <c r="FO28" i="76"/>
  <c r="FN28" i="76"/>
  <c r="FM28" i="76"/>
  <c r="FL28" i="76"/>
  <c r="FK28" i="76"/>
  <c r="FJ28" i="76"/>
  <c r="FI28" i="76"/>
  <c r="FH28" i="76"/>
  <c r="FG28" i="76"/>
  <c r="FF28" i="76"/>
  <c r="FE28" i="76"/>
  <c r="FD28" i="76"/>
  <c r="FC28" i="76"/>
  <c r="FB28" i="76"/>
  <c r="FA28" i="76"/>
  <c r="EZ28" i="76"/>
  <c r="EY28" i="76"/>
  <c r="EX28" i="76"/>
  <c r="EW28" i="76"/>
  <c r="EV28" i="76"/>
  <c r="EU28" i="76"/>
  <c r="ET28" i="76"/>
  <c r="ES28" i="76"/>
  <c r="ER28" i="76"/>
  <c r="EQ28" i="76"/>
  <c r="EP28" i="76"/>
  <c r="EO28" i="76"/>
  <c r="EN28" i="76"/>
  <c r="EM28" i="76"/>
  <c r="EL28" i="76"/>
  <c r="EK28" i="76"/>
  <c r="EJ28" i="76"/>
  <c r="EI28" i="76"/>
  <c r="EH28" i="76"/>
  <c r="EG28" i="76"/>
  <c r="EF28" i="76"/>
  <c r="EE28" i="76"/>
  <c r="ED28" i="76"/>
  <c r="EC28" i="76"/>
  <c r="EB28" i="76"/>
  <c r="EA28" i="76"/>
  <c r="DZ28" i="76"/>
  <c r="DY28" i="76"/>
  <c r="DX28" i="76"/>
  <c r="DW28" i="76"/>
  <c r="DV28" i="76"/>
  <c r="DU28" i="76"/>
  <c r="DT28" i="76"/>
  <c r="DS28" i="76"/>
  <c r="DR28" i="76"/>
  <c r="DQ28" i="76"/>
  <c r="DP28" i="76"/>
  <c r="DO28" i="76"/>
  <c r="DN28" i="76"/>
  <c r="DM28" i="76"/>
  <c r="DL28" i="76"/>
  <c r="DK28" i="76"/>
  <c r="DJ28" i="76"/>
  <c r="DI28" i="76"/>
  <c r="DH28" i="76"/>
  <c r="DG28" i="76"/>
  <c r="DF28" i="76"/>
  <c r="DE28" i="76"/>
  <c r="DD28" i="76"/>
  <c r="DC28" i="76"/>
  <c r="DB28" i="76"/>
  <c r="DA28" i="76"/>
  <c r="CZ28" i="76"/>
  <c r="CY28" i="76"/>
  <c r="CX28" i="76"/>
  <c r="CW28" i="76"/>
  <c r="CV28" i="76"/>
  <c r="CU28" i="76"/>
  <c r="CT28" i="76"/>
  <c r="CS28" i="76"/>
  <c r="CR28" i="76"/>
  <c r="CQ28" i="76"/>
  <c r="CP28" i="76"/>
  <c r="CO28" i="76"/>
  <c r="CN28" i="76"/>
  <c r="CM28" i="76"/>
  <c r="CL28" i="76"/>
  <c r="CK28" i="76"/>
  <c r="CJ28" i="76"/>
  <c r="CI28" i="76"/>
  <c r="CH28" i="76"/>
  <c r="CG28" i="76"/>
  <c r="CF28" i="76"/>
  <c r="CE28" i="76"/>
  <c r="CD28" i="76"/>
  <c r="CC28" i="76"/>
  <c r="CB28" i="76"/>
  <c r="CA28" i="76"/>
  <c r="BZ28" i="76"/>
  <c r="BY28" i="76"/>
  <c r="BX28" i="76"/>
  <c r="BW28" i="76"/>
  <c r="BV28" i="76"/>
  <c r="BU28" i="76"/>
  <c r="BT28" i="76"/>
  <c r="BS28" i="76"/>
  <c r="BR28" i="76"/>
  <c r="BQ28" i="76"/>
  <c r="BP28" i="76"/>
  <c r="BO28" i="76"/>
  <c r="BN28" i="76"/>
  <c r="BM28" i="76"/>
  <c r="BL28" i="76"/>
  <c r="BK28" i="76"/>
  <c r="BJ28" i="76"/>
  <c r="BI28" i="76"/>
  <c r="BH28" i="76"/>
  <c r="BG28" i="76"/>
  <c r="BF28" i="76"/>
  <c r="BE28" i="76"/>
  <c r="BD28" i="76"/>
  <c r="BC28" i="76"/>
  <c r="BB28" i="76"/>
  <c r="BA28" i="76"/>
  <c r="AZ28" i="76"/>
  <c r="AY28" i="76"/>
  <c r="AX28" i="76"/>
  <c r="AW28" i="76"/>
  <c r="AV28" i="76"/>
  <c r="AU28" i="76"/>
  <c r="AT28" i="76"/>
  <c r="AS28" i="76"/>
  <c r="AR28" i="76"/>
  <c r="AQ28" i="76"/>
  <c r="AP28" i="76"/>
  <c r="AO28" i="76"/>
  <c r="AN28" i="76"/>
  <c r="AM28" i="76"/>
  <c r="AL28" i="76"/>
  <c r="AK28" i="76"/>
  <c r="AJ28" i="76"/>
  <c r="AI28" i="76"/>
  <c r="AH28" i="76"/>
  <c r="AG28" i="76"/>
  <c r="AF28" i="76"/>
  <c r="AE28" i="76"/>
  <c r="AD28" i="76"/>
  <c r="AC28" i="76"/>
  <c r="AB28" i="76"/>
  <c r="AA28" i="76"/>
  <c r="Z28" i="76"/>
  <c r="Y28" i="76"/>
  <c r="X28" i="76"/>
  <c r="W28" i="76"/>
  <c r="Q28" i="76"/>
  <c r="K28" i="76"/>
  <c r="A28" i="76"/>
  <c r="MS27" i="76"/>
  <c r="MR27" i="76"/>
  <c r="MQ27" i="76"/>
  <c r="MP27" i="76"/>
  <c r="MO27" i="76"/>
  <c r="MN27" i="76"/>
  <c r="MM27" i="76"/>
  <c r="ML27" i="76"/>
  <c r="MK27" i="76"/>
  <c r="MJ27" i="76"/>
  <c r="MI27" i="76"/>
  <c r="MH27" i="76"/>
  <c r="MG27" i="76"/>
  <c r="MF27" i="76"/>
  <c r="ME27" i="76"/>
  <c r="MD27" i="76"/>
  <c r="MC27" i="76"/>
  <c r="MB27" i="76"/>
  <c r="MA27" i="76"/>
  <c r="LZ27" i="76"/>
  <c r="LY27" i="76"/>
  <c r="LX27" i="76"/>
  <c r="LW27" i="76"/>
  <c r="LV27" i="76"/>
  <c r="LU27" i="76"/>
  <c r="LT27" i="76"/>
  <c r="LS27" i="76"/>
  <c r="LR27" i="76"/>
  <c r="LQ27" i="76"/>
  <c r="LP27" i="76"/>
  <c r="LO27" i="76"/>
  <c r="LN27" i="76"/>
  <c r="LM27" i="76"/>
  <c r="LL27" i="76"/>
  <c r="LK27" i="76"/>
  <c r="LJ27" i="76"/>
  <c r="LI27" i="76"/>
  <c r="LH27" i="76"/>
  <c r="LG27" i="76"/>
  <c r="LF27" i="76"/>
  <c r="LE27" i="76"/>
  <c r="LD27" i="76"/>
  <c r="LC27" i="76"/>
  <c r="LB27" i="76"/>
  <c r="LA27" i="76"/>
  <c r="KZ27" i="76"/>
  <c r="KY27" i="76"/>
  <c r="KX27" i="76"/>
  <c r="KW27" i="76"/>
  <c r="KV27" i="76"/>
  <c r="KU27" i="76"/>
  <c r="KT27" i="76"/>
  <c r="KS27" i="76"/>
  <c r="KR27" i="76"/>
  <c r="KQ27" i="76"/>
  <c r="KP27" i="76"/>
  <c r="KO27" i="76"/>
  <c r="KN27" i="76"/>
  <c r="KM27" i="76"/>
  <c r="KL27" i="76"/>
  <c r="KK27" i="76"/>
  <c r="KJ27" i="76"/>
  <c r="KI27" i="76"/>
  <c r="KH27" i="76"/>
  <c r="KG27" i="76"/>
  <c r="KF27" i="76"/>
  <c r="KE27" i="76"/>
  <c r="KD27" i="76"/>
  <c r="KC27" i="76"/>
  <c r="KB27" i="76"/>
  <c r="KA27" i="76"/>
  <c r="JZ27" i="76"/>
  <c r="JY27" i="76"/>
  <c r="JX27" i="76"/>
  <c r="JW27" i="76"/>
  <c r="JV27" i="76"/>
  <c r="JU27" i="76"/>
  <c r="JT27" i="76"/>
  <c r="JS27" i="76"/>
  <c r="JR27" i="76"/>
  <c r="JQ27" i="76"/>
  <c r="JP27" i="76"/>
  <c r="JO27" i="76"/>
  <c r="JN27" i="76"/>
  <c r="JM27" i="76"/>
  <c r="JL27" i="76"/>
  <c r="JK27" i="76"/>
  <c r="JJ27" i="76"/>
  <c r="JI27" i="76"/>
  <c r="JH27" i="76"/>
  <c r="JG27" i="76"/>
  <c r="JF27" i="76"/>
  <c r="JE27" i="76"/>
  <c r="JD27" i="76"/>
  <c r="JC27" i="76"/>
  <c r="JB27" i="76"/>
  <c r="JA27" i="76"/>
  <c r="IZ27" i="76"/>
  <c r="IY27" i="76"/>
  <c r="IX27" i="76"/>
  <c r="IW27" i="76"/>
  <c r="IV27" i="76"/>
  <c r="IU27" i="76"/>
  <c r="IT27" i="76"/>
  <c r="IS27" i="76"/>
  <c r="IR27" i="76"/>
  <c r="IQ27" i="76"/>
  <c r="IP27" i="76"/>
  <c r="IO27" i="76"/>
  <c r="IN27" i="76"/>
  <c r="IM27" i="76"/>
  <c r="IL27" i="76"/>
  <c r="IK27" i="76"/>
  <c r="IJ27" i="76"/>
  <c r="II27" i="76"/>
  <c r="IH27" i="76"/>
  <c r="IG27" i="76"/>
  <c r="IF27" i="76"/>
  <c r="IE27" i="76"/>
  <c r="ID27" i="76"/>
  <c r="IC27" i="76"/>
  <c r="IB27" i="76"/>
  <c r="IA27" i="76"/>
  <c r="HZ27" i="76"/>
  <c r="HY27" i="76"/>
  <c r="HX27" i="76"/>
  <c r="HW27" i="76"/>
  <c r="HV27" i="76"/>
  <c r="HU27" i="76"/>
  <c r="HT27" i="76"/>
  <c r="HS27" i="76"/>
  <c r="HR27" i="76"/>
  <c r="HQ27" i="76"/>
  <c r="HP27" i="76"/>
  <c r="HO27" i="76"/>
  <c r="HN27" i="76"/>
  <c r="HM27" i="76"/>
  <c r="HL27" i="76"/>
  <c r="HK27" i="76"/>
  <c r="HJ27" i="76"/>
  <c r="HI27" i="76"/>
  <c r="HH27" i="76"/>
  <c r="HG27" i="76"/>
  <c r="HF27" i="76"/>
  <c r="HE27" i="76"/>
  <c r="HD27" i="76"/>
  <c r="HC27" i="76"/>
  <c r="HB27" i="76"/>
  <c r="HA27" i="76"/>
  <c r="GZ27" i="76"/>
  <c r="GY27" i="76"/>
  <c r="GX27" i="76"/>
  <c r="GW27" i="76"/>
  <c r="GV27" i="76"/>
  <c r="GU27" i="76"/>
  <c r="GT27" i="76"/>
  <c r="GS27" i="76"/>
  <c r="GR27" i="76"/>
  <c r="GQ27" i="76"/>
  <c r="GP27" i="76"/>
  <c r="GO27" i="76"/>
  <c r="GN27" i="76"/>
  <c r="GM27" i="76"/>
  <c r="GL27" i="76"/>
  <c r="GK27" i="76"/>
  <c r="GJ27" i="76"/>
  <c r="GI27" i="76"/>
  <c r="GH27" i="76"/>
  <c r="GG27" i="76"/>
  <c r="GF27" i="76"/>
  <c r="GE27" i="76"/>
  <c r="GD27" i="76"/>
  <c r="GC27" i="76"/>
  <c r="GB27" i="76"/>
  <c r="GA27" i="76"/>
  <c r="FZ27" i="76"/>
  <c r="FY27" i="76"/>
  <c r="FX27" i="76"/>
  <c r="FW27" i="76"/>
  <c r="FV27" i="76"/>
  <c r="FU27" i="76"/>
  <c r="FT27" i="76"/>
  <c r="FS27" i="76"/>
  <c r="FR27" i="76"/>
  <c r="FQ27" i="76"/>
  <c r="FP27" i="76"/>
  <c r="FO27" i="76"/>
  <c r="FN27" i="76"/>
  <c r="FM27" i="76"/>
  <c r="FL27" i="76"/>
  <c r="FK27" i="76"/>
  <c r="FJ27" i="76"/>
  <c r="FI27" i="76"/>
  <c r="FH27" i="76"/>
  <c r="FG27" i="76"/>
  <c r="FF27" i="76"/>
  <c r="FE27" i="76"/>
  <c r="FD27" i="76"/>
  <c r="FC27" i="76"/>
  <c r="FB27" i="76"/>
  <c r="FA27" i="76"/>
  <c r="EZ27" i="76"/>
  <c r="EY27" i="76"/>
  <c r="EX27" i="76"/>
  <c r="EW27" i="76"/>
  <c r="EV27" i="76"/>
  <c r="EU27" i="76"/>
  <c r="ET27" i="76"/>
  <c r="ES27" i="76"/>
  <c r="ER27" i="76"/>
  <c r="EQ27" i="76"/>
  <c r="EP27" i="76"/>
  <c r="EO27" i="76"/>
  <c r="EN27" i="76"/>
  <c r="EM27" i="76"/>
  <c r="EL27" i="76"/>
  <c r="EK27" i="76"/>
  <c r="EJ27" i="76"/>
  <c r="EI27" i="76"/>
  <c r="EH27" i="76"/>
  <c r="EG27" i="76"/>
  <c r="EF27" i="76"/>
  <c r="EE27" i="76"/>
  <c r="ED27" i="76"/>
  <c r="EC27" i="76"/>
  <c r="EB27" i="76"/>
  <c r="EA27" i="76"/>
  <c r="DZ27" i="76"/>
  <c r="DY27" i="76"/>
  <c r="DX27" i="76"/>
  <c r="DW27" i="76"/>
  <c r="DV27" i="76"/>
  <c r="DU27" i="76"/>
  <c r="DT27" i="76"/>
  <c r="DS27" i="76"/>
  <c r="DR27" i="76"/>
  <c r="DQ27" i="76"/>
  <c r="DP27" i="76"/>
  <c r="DO27" i="76"/>
  <c r="DN27" i="76"/>
  <c r="DM27" i="76"/>
  <c r="DL27" i="76"/>
  <c r="DK27" i="76"/>
  <c r="DJ27" i="76"/>
  <c r="DI27" i="76"/>
  <c r="DH27" i="76"/>
  <c r="DG27" i="76"/>
  <c r="DF27" i="76"/>
  <c r="DE27" i="76"/>
  <c r="DD27" i="76"/>
  <c r="DC27" i="76"/>
  <c r="DB27" i="76"/>
  <c r="DA27" i="76"/>
  <c r="CZ27" i="76"/>
  <c r="CY27" i="76"/>
  <c r="CX27" i="76"/>
  <c r="CW27" i="76"/>
  <c r="CV27" i="76"/>
  <c r="CU27" i="76"/>
  <c r="CT27" i="76"/>
  <c r="CS27" i="76"/>
  <c r="CR27" i="76"/>
  <c r="CQ27" i="76"/>
  <c r="CP27" i="76"/>
  <c r="CO27" i="76"/>
  <c r="CN27" i="76"/>
  <c r="CM27" i="76"/>
  <c r="CL27" i="76"/>
  <c r="CK27" i="76"/>
  <c r="CJ27" i="76"/>
  <c r="CI27" i="76"/>
  <c r="CH27" i="76"/>
  <c r="CG27" i="76"/>
  <c r="CF27" i="76"/>
  <c r="CE27" i="76"/>
  <c r="CD27" i="76"/>
  <c r="CC27" i="76"/>
  <c r="CB27" i="76"/>
  <c r="CA27" i="76"/>
  <c r="BZ27" i="76"/>
  <c r="BY27" i="76"/>
  <c r="BX27" i="76"/>
  <c r="BW27" i="76"/>
  <c r="BV27" i="76"/>
  <c r="BU27" i="76"/>
  <c r="BT27" i="76"/>
  <c r="BS27" i="76"/>
  <c r="BR27" i="76"/>
  <c r="BQ27" i="76"/>
  <c r="BP27" i="76"/>
  <c r="BO27" i="76"/>
  <c r="BN27" i="76"/>
  <c r="BM27" i="76"/>
  <c r="BL27" i="76"/>
  <c r="BK27" i="76"/>
  <c r="BJ27" i="76"/>
  <c r="BI27" i="76"/>
  <c r="BH27" i="76"/>
  <c r="BG27" i="76"/>
  <c r="BF27" i="76"/>
  <c r="BE27" i="76"/>
  <c r="BD27" i="76"/>
  <c r="BC27" i="76"/>
  <c r="BB27" i="76"/>
  <c r="BA27" i="76"/>
  <c r="AZ27" i="76"/>
  <c r="AY27" i="76"/>
  <c r="AX27" i="76"/>
  <c r="AW27" i="76"/>
  <c r="AV27" i="76"/>
  <c r="AU27" i="76"/>
  <c r="AT27" i="76"/>
  <c r="AS27" i="76"/>
  <c r="AR27" i="76"/>
  <c r="AQ27" i="76"/>
  <c r="AP27" i="76"/>
  <c r="AO27" i="76"/>
  <c r="AN27" i="76"/>
  <c r="AM27" i="76"/>
  <c r="AL27" i="76"/>
  <c r="AK27" i="76"/>
  <c r="AJ27" i="76"/>
  <c r="AI27" i="76"/>
  <c r="AH27" i="76"/>
  <c r="AG27" i="76"/>
  <c r="AF27" i="76"/>
  <c r="AE27" i="76"/>
  <c r="AD27" i="76"/>
  <c r="AC27" i="76"/>
  <c r="AB27" i="76"/>
  <c r="AA27" i="76"/>
  <c r="Z27" i="76"/>
  <c r="Y27" i="76"/>
  <c r="X27" i="76"/>
  <c r="W27" i="76"/>
  <c r="Q27" i="76"/>
  <c r="K27" i="76"/>
  <c r="A27" i="76"/>
  <c r="MS26" i="76"/>
  <c r="MR26" i="76"/>
  <c r="MQ26" i="76"/>
  <c r="MP26" i="76"/>
  <c r="MO26" i="76"/>
  <c r="MN26" i="76"/>
  <c r="MM26" i="76"/>
  <c r="ML26" i="76"/>
  <c r="MK26" i="76"/>
  <c r="MJ26" i="76"/>
  <c r="MI26" i="76"/>
  <c r="MH26" i="76"/>
  <c r="MG26" i="76"/>
  <c r="MF26" i="76"/>
  <c r="ME26" i="76"/>
  <c r="MD26" i="76"/>
  <c r="MC26" i="76"/>
  <c r="MB26" i="76"/>
  <c r="MA26" i="76"/>
  <c r="LZ26" i="76"/>
  <c r="LY26" i="76"/>
  <c r="LX26" i="76"/>
  <c r="LW26" i="76"/>
  <c r="LV26" i="76"/>
  <c r="LU26" i="76"/>
  <c r="LT26" i="76"/>
  <c r="LS26" i="76"/>
  <c r="LR26" i="76"/>
  <c r="LQ26" i="76"/>
  <c r="LP26" i="76"/>
  <c r="LO26" i="76"/>
  <c r="LN26" i="76"/>
  <c r="LM26" i="76"/>
  <c r="LL26" i="76"/>
  <c r="LK26" i="76"/>
  <c r="LJ26" i="76"/>
  <c r="LI26" i="76"/>
  <c r="LH26" i="76"/>
  <c r="LG26" i="76"/>
  <c r="LF26" i="76"/>
  <c r="LE26" i="76"/>
  <c r="LD26" i="76"/>
  <c r="LC26" i="76"/>
  <c r="LB26" i="76"/>
  <c r="LA26" i="76"/>
  <c r="KZ26" i="76"/>
  <c r="KY26" i="76"/>
  <c r="KX26" i="76"/>
  <c r="KW26" i="76"/>
  <c r="KV26" i="76"/>
  <c r="KU26" i="76"/>
  <c r="KT26" i="76"/>
  <c r="KS26" i="76"/>
  <c r="KR26" i="76"/>
  <c r="KQ26" i="76"/>
  <c r="KP26" i="76"/>
  <c r="KO26" i="76"/>
  <c r="KN26" i="76"/>
  <c r="KM26" i="76"/>
  <c r="KL26" i="76"/>
  <c r="KK26" i="76"/>
  <c r="KJ26" i="76"/>
  <c r="KI26" i="76"/>
  <c r="KH26" i="76"/>
  <c r="KG26" i="76"/>
  <c r="KF26" i="76"/>
  <c r="KE26" i="76"/>
  <c r="KD26" i="76"/>
  <c r="KC26" i="76"/>
  <c r="KB26" i="76"/>
  <c r="KA26" i="76"/>
  <c r="JZ26" i="76"/>
  <c r="JY26" i="76"/>
  <c r="JX26" i="76"/>
  <c r="JW26" i="76"/>
  <c r="JV26" i="76"/>
  <c r="JU26" i="76"/>
  <c r="JT26" i="76"/>
  <c r="JS26" i="76"/>
  <c r="JR26" i="76"/>
  <c r="JQ26" i="76"/>
  <c r="JP26" i="76"/>
  <c r="JO26" i="76"/>
  <c r="JN26" i="76"/>
  <c r="JM26" i="76"/>
  <c r="JL26" i="76"/>
  <c r="JK26" i="76"/>
  <c r="JJ26" i="76"/>
  <c r="JI26" i="76"/>
  <c r="JH26" i="76"/>
  <c r="JG26" i="76"/>
  <c r="JF26" i="76"/>
  <c r="JE26" i="76"/>
  <c r="JD26" i="76"/>
  <c r="JC26" i="76"/>
  <c r="JB26" i="76"/>
  <c r="JA26" i="76"/>
  <c r="IZ26" i="76"/>
  <c r="IY26" i="76"/>
  <c r="IX26" i="76"/>
  <c r="IW26" i="76"/>
  <c r="IV26" i="76"/>
  <c r="IU26" i="76"/>
  <c r="IT26" i="76"/>
  <c r="IS26" i="76"/>
  <c r="IR26" i="76"/>
  <c r="IQ26" i="76"/>
  <c r="IP26" i="76"/>
  <c r="IO26" i="76"/>
  <c r="IN26" i="76"/>
  <c r="IM26" i="76"/>
  <c r="IL26" i="76"/>
  <c r="IK26" i="76"/>
  <c r="IJ26" i="76"/>
  <c r="II26" i="76"/>
  <c r="IH26" i="76"/>
  <c r="IG26" i="76"/>
  <c r="IF26" i="76"/>
  <c r="IE26" i="76"/>
  <c r="ID26" i="76"/>
  <c r="IC26" i="76"/>
  <c r="IB26" i="76"/>
  <c r="IA26" i="76"/>
  <c r="HZ26" i="76"/>
  <c r="HY26" i="76"/>
  <c r="HX26" i="76"/>
  <c r="HW26" i="76"/>
  <c r="HV26" i="76"/>
  <c r="HU26" i="76"/>
  <c r="HT26" i="76"/>
  <c r="HS26" i="76"/>
  <c r="HR26" i="76"/>
  <c r="HQ26" i="76"/>
  <c r="HP26" i="76"/>
  <c r="HO26" i="76"/>
  <c r="HN26" i="76"/>
  <c r="HM26" i="76"/>
  <c r="HL26" i="76"/>
  <c r="HK26" i="76"/>
  <c r="HJ26" i="76"/>
  <c r="HI26" i="76"/>
  <c r="HH26" i="76"/>
  <c r="HG26" i="76"/>
  <c r="HF26" i="76"/>
  <c r="HE26" i="76"/>
  <c r="HD26" i="76"/>
  <c r="HC26" i="76"/>
  <c r="HB26" i="76"/>
  <c r="HA26" i="76"/>
  <c r="GZ26" i="76"/>
  <c r="GY26" i="76"/>
  <c r="GX26" i="76"/>
  <c r="GW26" i="76"/>
  <c r="GV26" i="76"/>
  <c r="GU26" i="76"/>
  <c r="GT26" i="76"/>
  <c r="GS26" i="76"/>
  <c r="GR26" i="76"/>
  <c r="GQ26" i="76"/>
  <c r="GP26" i="76"/>
  <c r="GO26" i="76"/>
  <c r="GN26" i="76"/>
  <c r="GM26" i="76"/>
  <c r="GL26" i="76"/>
  <c r="GK26" i="76"/>
  <c r="GJ26" i="76"/>
  <c r="GI26" i="76"/>
  <c r="GH26" i="76"/>
  <c r="GG26" i="76"/>
  <c r="GF26" i="76"/>
  <c r="GE26" i="76"/>
  <c r="GD26" i="76"/>
  <c r="GC26" i="76"/>
  <c r="GB26" i="76"/>
  <c r="GA26" i="76"/>
  <c r="FZ26" i="76"/>
  <c r="FY26" i="76"/>
  <c r="FX26" i="76"/>
  <c r="FW26" i="76"/>
  <c r="FV26" i="76"/>
  <c r="FU26" i="76"/>
  <c r="FT26" i="76"/>
  <c r="FS26" i="76"/>
  <c r="FR26" i="76"/>
  <c r="FQ26" i="76"/>
  <c r="FP26" i="76"/>
  <c r="FO26" i="76"/>
  <c r="FN26" i="76"/>
  <c r="FM26" i="76"/>
  <c r="FL26" i="76"/>
  <c r="FK26" i="76"/>
  <c r="FJ26" i="76"/>
  <c r="FI26" i="76"/>
  <c r="FH26" i="76"/>
  <c r="FG26" i="76"/>
  <c r="FF26" i="76"/>
  <c r="FE26" i="76"/>
  <c r="FD26" i="76"/>
  <c r="FC26" i="76"/>
  <c r="FB26" i="76"/>
  <c r="FA26" i="76"/>
  <c r="EZ26" i="76"/>
  <c r="EY26" i="76"/>
  <c r="EX26" i="76"/>
  <c r="EW26" i="76"/>
  <c r="EV26" i="76"/>
  <c r="EU26" i="76"/>
  <c r="ET26" i="76"/>
  <c r="ES26" i="76"/>
  <c r="ER26" i="76"/>
  <c r="EQ26" i="76"/>
  <c r="EP26" i="76"/>
  <c r="EO26" i="76"/>
  <c r="EN26" i="76"/>
  <c r="EM26" i="76"/>
  <c r="EL26" i="76"/>
  <c r="EK26" i="76"/>
  <c r="EJ26" i="76"/>
  <c r="EI26" i="76"/>
  <c r="EH26" i="76"/>
  <c r="EG26" i="76"/>
  <c r="EF26" i="76"/>
  <c r="EE26" i="76"/>
  <c r="ED26" i="76"/>
  <c r="EC26" i="76"/>
  <c r="EB26" i="76"/>
  <c r="EA26" i="76"/>
  <c r="DZ26" i="76"/>
  <c r="DY26" i="76"/>
  <c r="DX26" i="76"/>
  <c r="DW26" i="76"/>
  <c r="DV26" i="76"/>
  <c r="DU26" i="76"/>
  <c r="DT26" i="76"/>
  <c r="DS26" i="76"/>
  <c r="DR26" i="76"/>
  <c r="DQ26" i="76"/>
  <c r="DP26" i="76"/>
  <c r="DO26" i="76"/>
  <c r="DN26" i="76"/>
  <c r="DM26" i="76"/>
  <c r="DL26" i="76"/>
  <c r="DK26" i="76"/>
  <c r="DJ26" i="76"/>
  <c r="DI26" i="76"/>
  <c r="DH26" i="76"/>
  <c r="DG26" i="76"/>
  <c r="DF26" i="76"/>
  <c r="DE26" i="76"/>
  <c r="DD26" i="76"/>
  <c r="DC26" i="76"/>
  <c r="DB26" i="76"/>
  <c r="DA26" i="76"/>
  <c r="CZ26" i="76"/>
  <c r="CY26" i="76"/>
  <c r="CX26" i="76"/>
  <c r="CW26" i="76"/>
  <c r="CV26" i="76"/>
  <c r="CU26" i="76"/>
  <c r="CT26" i="76"/>
  <c r="CS26" i="76"/>
  <c r="CR26" i="76"/>
  <c r="CQ26" i="76"/>
  <c r="CP26" i="76"/>
  <c r="CO26" i="76"/>
  <c r="CN26" i="76"/>
  <c r="CM26" i="76"/>
  <c r="CL26" i="76"/>
  <c r="CK26" i="76"/>
  <c r="CJ26" i="76"/>
  <c r="CI26" i="76"/>
  <c r="CH26" i="76"/>
  <c r="CG26" i="76"/>
  <c r="CF26" i="76"/>
  <c r="CE26" i="76"/>
  <c r="CD26" i="76"/>
  <c r="CC26" i="76"/>
  <c r="CB26" i="76"/>
  <c r="CA26" i="76"/>
  <c r="BZ26" i="76"/>
  <c r="BY26" i="76"/>
  <c r="BX26" i="76"/>
  <c r="BW26" i="76"/>
  <c r="BV26" i="76"/>
  <c r="BU26" i="76"/>
  <c r="BT26" i="76"/>
  <c r="BS26" i="76"/>
  <c r="BR26" i="76"/>
  <c r="BQ26" i="76"/>
  <c r="BP26" i="76"/>
  <c r="BO26" i="76"/>
  <c r="BN26" i="76"/>
  <c r="BM26" i="76"/>
  <c r="BL26" i="76"/>
  <c r="BK26" i="76"/>
  <c r="BJ26" i="76"/>
  <c r="BI26" i="76"/>
  <c r="BH26" i="76"/>
  <c r="BG26" i="76"/>
  <c r="BF26" i="76"/>
  <c r="BE26" i="76"/>
  <c r="BD26" i="76"/>
  <c r="BC26" i="76"/>
  <c r="BB26" i="76"/>
  <c r="BA26" i="76"/>
  <c r="AZ26" i="76"/>
  <c r="AY26" i="76"/>
  <c r="AX26" i="76"/>
  <c r="AW26" i="76"/>
  <c r="AV26" i="76"/>
  <c r="AU26" i="76"/>
  <c r="AT26" i="76"/>
  <c r="AS26" i="76"/>
  <c r="AR26" i="76"/>
  <c r="AQ26" i="76"/>
  <c r="AP26" i="76"/>
  <c r="AO26" i="76"/>
  <c r="AN26" i="76"/>
  <c r="AM26" i="76"/>
  <c r="AL26" i="76"/>
  <c r="AK26" i="76"/>
  <c r="AJ26" i="76"/>
  <c r="AI26" i="76"/>
  <c r="AH26" i="76"/>
  <c r="AG26" i="76"/>
  <c r="AF26" i="76"/>
  <c r="AE26" i="76"/>
  <c r="AD26" i="76"/>
  <c r="AC26" i="76"/>
  <c r="AB26" i="76"/>
  <c r="AA26" i="76"/>
  <c r="Z26" i="76"/>
  <c r="Y26" i="76"/>
  <c r="X26" i="76"/>
  <c r="W26" i="76"/>
  <c r="Q26" i="76"/>
  <c r="K26" i="76"/>
  <c r="A26" i="76"/>
  <c r="MS25" i="76"/>
  <c r="MR25" i="76"/>
  <c r="MQ25" i="76"/>
  <c r="MP25" i="76"/>
  <c r="MO25" i="76"/>
  <c r="MN25" i="76"/>
  <c r="MM25" i="76"/>
  <c r="ML25" i="76"/>
  <c r="MK25" i="76"/>
  <c r="MJ25" i="76"/>
  <c r="MI25" i="76"/>
  <c r="MH25" i="76"/>
  <c r="MG25" i="76"/>
  <c r="MF25" i="76"/>
  <c r="ME25" i="76"/>
  <c r="MD25" i="76"/>
  <c r="MC25" i="76"/>
  <c r="MB25" i="76"/>
  <c r="MA25" i="76"/>
  <c r="LZ25" i="76"/>
  <c r="LY25" i="76"/>
  <c r="LX25" i="76"/>
  <c r="LW25" i="76"/>
  <c r="LV25" i="76"/>
  <c r="LU25" i="76"/>
  <c r="LT25" i="76"/>
  <c r="LS25" i="76"/>
  <c r="LR25" i="76"/>
  <c r="LQ25" i="76"/>
  <c r="LP25" i="76"/>
  <c r="LO25" i="76"/>
  <c r="LN25" i="76"/>
  <c r="LM25" i="76"/>
  <c r="LL25" i="76"/>
  <c r="LK25" i="76"/>
  <c r="LJ25" i="76"/>
  <c r="LI25" i="76"/>
  <c r="LH25" i="76"/>
  <c r="LG25" i="76"/>
  <c r="LF25" i="76"/>
  <c r="LE25" i="76"/>
  <c r="LD25" i="76"/>
  <c r="LC25" i="76"/>
  <c r="LB25" i="76"/>
  <c r="LA25" i="76"/>
  <c r="KZ25" i="76"/>
  <c r="KY25" i="76"/>
  <c r="KX25" i="76"/>
  <c r="KW25" i="76"/>
  <c r="KV25" i="76"/>
  <c r="KU25" i="76"/>
  <c r="KT25" i="76"/>
  <c r="KS25" i="76"/>
  <c r="KR25" i="76"/>
  <c r="KQ25" i="76"/>
  <c r="KP25" i="76"/>
  <c r="KO25" i="76"/>
  <c r="KN25" i="76"/>
  <c r="KM25" i="76"/>
  <c r="KL25" i="76"/>
  <c r="KK25" i="76"/>
  <c r="KJ25" i="76"/>
  <c r="KI25" i="76"/>
  <c r="KH25" i="76"/>
  <c r="KG25" i="76"/>
  <c r="KF25" i="76"/>
  <c r="KE25" i="76"/>
  <c r="KD25" i="76"/>
  <c r="KC25" i="76"/>
  <c r="KB25" i="76"/>
  <c r="KA25" i="76"/>
  <c r="JZ25" i="76"/>
  <c r="JY25" i="76"/>
  <c r="JX25" i="76"/>
  <c r="JW25" i="76"/>
  <c r="JV25" i="76"/>
  <c r="JU25" i="76"/>
  <c r="JT25" i="76"/>
  <c r="JS25" i="76"/>
  <c r="JR25" i="76"/>
  <c r="JQ25" i="76"/>
  <c r="JP25" i="76"/>
  <c r="JO25" i="76"/>
  <c r="JN25" i="76"/>
  <c r="JM25" i="76"/>
  <c r="JL25" i="76"/>
  <c r="JK25" i="76"/>
  <c r="JJ25" i="76"/>
  <c r="JI25" i="76"/>
  <c r="JH25" i="76"/>
  <c r="JG25" i="76"/>
  <c r="JF25" i="76"/>
  <c r="JE25" i="76"/>
  <c r="JD25" i="76"/>
  <c r="JC25" i="76"/>
  <c r="JB25" i="76"/>
  <c r="JA25" i="76"/>
  <c r="IZ25" i="76"/>
  <c r="IY25" i="76"/>
  <c r="IX25" i="76"/>
  <c r="IW25" i="76"/>
  <c r="IV25" i="76"/>
  <c r="IU25" i="76"/>
  <c r="IT25" i="76"/>
  <c r="IS25" i="76"/>
  <c r="IR25" i="76"/>
  <c r="IQ25" i="76"/>
  <c r="IP25" i="76"/>
  <c r="IO25" i="76"/>
  <c r="IN25" i="76"/>
  <c r="IM25" i="76"/>
  <c r="IL25" i="76"/>
  <c r="IK25" i="76"/>
  <c r="IJ25" i="76"/>
  <c r="II25" i="76"/>
  <c r="IH25" i="76"/>
  <c r="IG25" i="76"/>
  <c r="IF25" i="76"/>
  <c r="IE25" i="76"/>
  <c r="ID25" i="76"/>
  <c r="IC25" i="76"/>
  <c r="IB25" i="76"/>
  <c r="IA25" i="76"/>
  <c r="HZ25" i="76"/>
  <c r="HY25" i="76"/>
  <c r="HX25" i="76"/>
  <c r="HW25" i="76"/>
  <c r="HV25" i="76"/>
  <c r="HU25" i="76"/>
  <c r="HT25" i="76"/>
  <c r="HS25" i="76"/>
  <c r="HR25" i="76"/>
  <c r="HQ25" i="76"/>
  <c r="HP25" i="76"/>
  <c r="HO25" i="76"/>
  <c r="HN25" i="76"/>
  <c r="HM25" i="76"/>
  <c r="HL25" i="76"/>
  <c r="HK25" i="76"/>
  <c r="HJ25" i="76"/>
  <c r="HI25" i="76"/>
  <c r="HH25" i="76"/>
  <c r="HG25" i="76"/>
  <c r="HF25" i="76"/>
  <c r="HE25" i="76"/>
  <c r="HD25" i="76"/>
  <c r="HC25" i="76"/>
  <c r="HB25" i="76"/>
  <c r="HA25" i="76"/>
  <c r="GZ25" i="76"/>
  <c r="GY25" i="76"/>
  <c r="GX25" i="76"/>
  <c r="GW25" i="76"/>
  <c r="GV25" i="76"/>
  <c r="GU25" i="76"/>
  <c r="GT25" i="76"/>
  <c r="GS25" i="76"/>
  <c r="GR25" i="76"/>
  <c r="GQ25" i="76"/>
  <c r="GP25" i="76"/>
  <c r="GO25" i="76"/>
  <c r="GN25" i="76"/>
  <c r="GM25" i="76"/>
  <c r="GL25" i="76"/>
  <c r="GK25" i="76"/>
  <c r="GJ25" i="76"/>
  <c r="GI25" i="76"/>
  <c r="GH25" i="76"/>
  <c r="GG25" i="76"/>
  <c r="GF25" i="76"/>
  <c r="GE25" i="76"/>
  <c r="GD25" i="76"/>
  <c r="GC25" i="76"/>
  <c r="GB25" i="76"/>
  <c r="GA25" i="76"/>
  <c r="FZ25" i="76"/>
  <c r="FY25" i="76"/>
  <c r="FX25" i="76"/>
  <c r="FW25" i="76"/>
  <c r="FV25" i="76"/>
  <c r="FU25" i="76"/>
  <c r="FT25" i="76"/>
  <c r="FS25" i="76"/>
  <c r="FR25" i="76"/>
  <c r="FQ25" i="76"/>
  <c r="FP25" i="76"/>
  <c r="FO25" i="76"/>
  <c r="FN25" i="76"/>
  <c r="FM25" i="76"/>
  <c r="FL25" i="76"/>
  <c r="FK25" i="76"/>
  <c r="FJ25" i="76"/>
  <c r="FI25" i="76"/>
  <c r="FH25" i="76"/>
  <c r="FG25" i="76"/>
  <c r="FF25" i="76"/>
  <c r="FE25" i="76"/>
  <c r="FD25" i="76"/>
  <c r="FC25" i="76"/>
  <c r="FB25" i="76"/>
  <c r="FA25" i="76"/>
  <c r="EZ25" i="76"/>
  <c r="EY25" i="76"/>
  <c r="EX25" i="76"/>
  <c r="EW25" i="76"/>
  <c r="EV25" i="76"/>
  <c r="EU25" i="76"/>
  <c r="ET25" i="76"/>
  <c r="ES25" i="76"/>
  <c r="ER25" i="76"/>
  <c r="EQ25" i="76"/>
  <c r="EP25" i="76"/>
  <c r="EO25" i="76"/>
  <c r="EN25" i="76"/>
  <c r="EM25" i="76"/>
  <c r="EL25" i="76"/>
  <c r="EK25" i="76"/>
  <c r="EJ25" i="76"/>
  <c r="EI25" i="76"/>
  <c r="EH25" i="76"/>
  <c r="EG25" i="76"/>
  <c r="EF25" i="76"/>
  <c r="EE25" i="76"/>
  <c r="ED25" i="76"/>
  <c r="EC25" i="76"/>
  <c r="EB25" i="76"/>
  <c r="EA25" i="76"/>
  <c r="DZ25" i="76"/>
  <c r="DY25" i="76"/>
  <c r="DX25" i="76"/>
  <c r="DW25" i="76"/>
  <c r="DV25" i="76"/>
  <c r="DU25" i="76"/>
  <c r="DT25" i="76"/>
  <c r="DS25" i="76"/>
  <c r="DR25" i="76"/>
  <c r="DQ25" i="76"/>
  <c r="DP25" i="76"/>
  <c r="DO25" i="76"/>
  <c r="DN25" i="76"/>
  <c r="DM25" i="76"/>
  <c r="DL25" i="76"/>
  <c r="DK25" i="76"/>
  <c r="DJ25" i="76"/>
  <c r="DI25" i="76"/>
  <c r="DH25" i="76"/>
  <c r="DG25" i="76"/>
  <c r="DF25" i="76"/>
  <c r="DE25" i="76"/>
  <c r="DD25" i="76"/>
  <c r="DC25" i="76"/>
  <c r="DB25" i="76"/>
  <c r="DA25" i="76"/>
  <c r="CZ25" i="76"/>
  <c r="CY25" i="76"/>
  <c r="CX25" i="76"/>
  <c r="CW25" i="76"/>
  <c r="CV25" i="76"/>
  <c r="CU25" i="76"/>
  <c r="CT25" i="76"/>
  <c r="CS25" i="76"/>
  <c r="CR25" i="76"/>
  <c r="CQ25" i="76"/>
  <c r="CP25" i="76"/>
  <c r="CO25" i="76"/>
  <c r="CN25" i="76"/>
  <c r="CM25" i="76"/>
  <c r="CL25" i="76"/>
  <c r="CK25" i="76"/>
  <c r="CJ25" i="76"/>
  <c r="CI25" i="76"/>
  <c r="CH25" i="76"/>
  <c r="CG25" i="76"/>
  <c r="CF25" i="76"/>
  <c r="CE25" i="76"/>
  <c r="CD25" i="76"/>
  <c r="CC25" i="76"/>
  <c r="CB25" i="76"/>
  <c r="CA25" i="76"/>
  <c r="BZ25" i="76"/>
  <c r="BY25" i="76"/>
  <c r="BX25" i="76"/>
  <c r="BW25" i="76"/>
  <c r="BV25" i="76"/>
  <c r="BU25" i="76"/>
  <c r="BT25" i="76"/>
  <c r="BS25" i="76"/>
  <c r="BR25" i="76"/>
  <c r="BQ25" i="76"/>
  <c r="BP25" i="76"/>
  <c r="BO25" i="76"/>
  <c r="BN25" i="76"/>
  <c r="BM25" i="76"/>
  <c r="BL25" i="76"/>
  <c r="BK25" i="76"/>
  <c r="BJ25" i="76"/>
  <c r="BI25" i="76"/>
  <c r="BH25" i="76"/>
  <c r="BG25" i="76"/>
  <c r="BF25" i="76"/>
  <c r="BE25" i="76"/>
  <c r="BD25" i="76"/>
  <c r="BC25" i="76"/>
  <c r="BB25" i="76"/>
  <c r="BA25" i="76"/>
  <c r="AZ25" i="76"/>
  <c r="AY25" i="76"/>
  <c r="AX25" i="76"/>
  <c r="AW25" i="76"/>
  <c r="AV25" i="76"/>
  <c r="AU25" i="76"/>
  <c r="AT25" i="76"/>
  <c r="AS25" i="76"/>
  <c r="AR25" i="76"/>
  <c r="AQ25" i="76"/>
  <c r="AP25" i="76"/>
  <c r="AO25" i="76"/>
  <c r="AN25" i="76"/>
  <c r="AM25" i="76"/>
  <c r="AL25" i="76"/>
  <c r="AK25" i="76"/>
  <c r="AJ25" i="76"/>
  <c r="AI25" i="76"/>
  <c r="AH25" i="76"/>
  <c r="AG25" i="76"/>
  <c r="AF25" i="76"/>
  <c r="AE25" i="76"/>
  <c r="AD25" i="76"/>
  <c r="AC25" i="76"/>
  <c r="AB25" i="76"/>
  <c r="AA25" i="76"/>
  <c r="Z25" i="76"/>
  <c r="Y25" i="76"/>
  <c r="X25" i="76"/>
  <c r="W25" i="76"/>
  <c r="Q25" i="76"/>
  <c r="K25" i="76"/>
  <c r="A25" i="76"/>
  <c r="MS24" i="76"/>
  <c r="MR24" i="76"/>
  <c r="MQ24" i="76"/>
  <c r="MP24" i="76"/>
  <c r="MO24" i="76"/>
  <c r="MN24" i="76"/>
  <c r="MM24" i="76"/>
  <c r="ML24" i="76"/>
  <c r="MK24" i="76"/>
  <c r="MJ24" i="76"/>
  <c r="MI24" i="76"/>
  <c r="MH24" i="76"/>
  <c r="MG24" i="76"/>
  <c r="MF24" i="76"/>
  <c r="ME24" i="76"/>
  <c r="MD24" i="76"/>
  <c r="MC24" i="76"/>
  <c r="MB24" i="76"/>
  <c r="MA24" i="76"/>
  <c r="LZ24" i="76"/>
  <c r="LY24" i="76"/>
  <c r="LX24" i="76"/>
  <c r="LW24" i="76"/>
  <c r="LV24" i="76"/>
  <c r="LU24" i="76"/>
  <c r="LT24" i="76"/>
  <c r="LS24" i="76"/>
  <c r="LR24" i="76"/>
  <c r="LQ24" i="76"/>
  <c r="LP24" i="76"/>
  <c r="LO24" i="76"/>
  <c r="LN24" i="76"/>
  <c r="LM24" i="76"/>
  <c r="LL24" i="76"/>
  <c r="LK24" i="76"/>
  <c r="LJ24" i="76"/>
  <c r="LI24" i="76"/>
  <c r="LH24" i="76"/>
  <c r="LG24" i="76"/>
  <c r="LF24" i="76"/>
  <c r="LE24" i="76"/>
  <c r="LD24" i="76"/>
  <c r="LC24" i="76"/>
  <c r="LB24" i="76"/>
  <c r="LA24" i="76"/>
  <c r="KZ24" i="76"/>
  <c r="KY24" i="76"/>
  <c r="KX24" i="76"/>
  <c r="KW24" i="76"/>
  <c r="KV24" i="76"/>
  <c r="KU24" i="76"/>
  <c r="KT24" i="76"/>
  <c r="KS24" i="76"/>
  <c r="KR24" i="76"/>
  <c r="KQ24" i="76"/>
  <c r="KP24" i="76"/>
  <c r="KO24" i="76"/>
  <c r="KN24" i="76"/>
  <c r="KM24" i="76"/>
  <c r="KL24" i="76"/>
  <c r="KK24" i="76"/>
  <c r="KJ24" i="76"/>
  <c r="KI24" i="76"/>
  <c r="KH24" i="76"/>
  <c r="KG24" i="76"/>
  <c r="KF24" i="76"/>
  <c r="KE24" i="76"/>
  <c r="KD24" i="76"/>
  <c r="KC24" i="76"/>
  <c r="KB24" i="76"/>
  <c r="KA24" i="76"/>
  <c r="JZ24" i="76"/>
  <c r="JY24" i="76"/>
  <c r="JX24" i="76"/>
  <c r="JW24" i="76"/>
  <c r="JV24" i="76"/>
  <c r="JU24" i="76"/>
  <c r="JT24" i="76"/>
  <c r="JS24" i="76"/>
  <c r="JR24" i="76"/>
  <c r="JQ24" i="76"/>
  <c r="JP24" i="76"/>
  <c r="JO24" i="76"/>
  <c r="JN24" i="76"/>
  <c r="JM24" i="76"/>
  <c r="JL24" i="76"/>
  <c r="JK24" i="76"/>
  <c r="JJ24" i="76"/>
  <c r="JI24" i="76"/>
  <c r="JH24" i="76"/>
  <c r="JG24" i="76"/>
  <c r="JF24" i="76"/>
  <c r="JE24" i="76"/>
  <c r="JD24" i="76"/>
  <c r="JC24" i="76"/>
  <c r="JB24" i="76"/>
  <c r="JA24" i="76"/>
  <c r="IZ24" i="76"/>
  <c r="IY24" i="76"/>
  <c r="IX24" i="76"/>
  <c r="IW24" i="76"/>
  <c r="IV24" i="76"/>
  <c r="IU24" i="76"/>
  <c r="IT24" i="76"/>
  <c r="IS24" i="76"/>
  <c r="IR24" i="76"/>
  <c r="IQ24" i="76"/>
  <c r="IP24" i="76"/>
  <c r="IO24" i="76"/>
  <c r="IN24" i="76"/>
  <c r="IM24" i="76"/>
  <c r="IL24" i="76"/>
  <c r="IK24" i="76"/>
  <c r="IJ24" i="76"/>
  <c r="II24" i="76"/>
  <c r="IH24" i="76"/>
  <c r="IG24" i="76"/>
  <c r="IF24" i="76"/>
  <c r="IE24" i="76"/>
  <c r="ID24" i="76"/>
  <c r="IC24" i="76"/>
  <c r="IB24" i="76"/>
  <c r="IA24" i="76"/>
  <c r="HZ24" i="76"/>
  <c r="HY24" i="76"/>
  <c r="HX24" i="76"/>
  <c r="HW24" i="76"/>
  <c r="HV24" i="76"/>
  <c r="HU24" i="76"/>
  <c r="HT24" i="76"/>
  <c r="HS24" i="76"/>
  <c r="HR24" i="76"/>
  <c r="HQ24" i="76"/>
  <c r="HP24" i="76"/>
  <c r="HO24" i="76"/>
  <c r="HN24" i="76"/>
  <c r="HM24" i="76"/>
  <c r="HL24" i="76"/>
  <c r="HK24" i="76"/>
  <c r="HJ24" i="76"/>
  <c r="HI24" i="76"/>
  <c r="HH24" i="76"/>
  <c r="HG24" i="76"/>
  <c r="HF24" i="76"/>
  <c r="HE24" i="76"/>
  <c r="HD24" i="76"/>
  <c r="HC24" i="76"/>
  <c r="HB24" i="76"/>
  <c r="HA24" i="76"/>
  <c r="GZ24" i="76"/>
  <c r="GY24" i="76"/>
  <c r="GX24" i="76"/>
  <c r="GW24" i="76"/>
  <c r="GV24" i="76"/>
  <c r="GU24" i="76"/>
  <c r="GT24" i="76"/>
  <c r="GS24" i="76"/>
  <c r="GR24" i="76"/>
  <c r="GQ24" i="76"/>
  <c r="GP24" i="76"/>
  <c r="GO24" i="76"/>
  <c r="GN24" i="76"/>
  <c r="GM24" i="76"/>
  <c r="GL24" i="76"/>
  <c r="GK24" i="76"/>
  <c r="GJ24" i="76"/>
  <c r="GI24" i="76"/>
  <c r="GH24" i="76"/>
  <c r="GG24" i="76"/>
  <c r="GF24" i="76"/>
  <c r="GE24" i="76"/>
  <c r="GD24" i="76"/>
  <c r="GC24" i="76"/>
  <c r="GB24" i="76"/>
  <c r="GA24" i="76"/>
  <c r="FZ24" i="76"/>
  <c r="FY24" i="76"/>
  <c r="FX24" i="76"/>
  <c r="FW24" i="76"/>
  <c r="FV24" i="76"/>
  <c r="FU24" i="76"/>
  <c r="FT24" i="76"/>
  <c r="FS24" i="76"/>
  <c r="FR24" i="76"/>
  <c r="FQ24" i="76"/>
  <c r="FP24" i="76"/>
  <c r="FO24" i="76"/>
  <c r="FN24" i="76"/>
  <c r="FM24" i="76"/>
  <c r="FL24" i="76"/>
  <c r="FK24" i="76"/>
  <c r="FJ24" i="76"/>
  <c r="FI24" i="76"/>
  <c r="FH24" i="76"/>
  <c r="FG24" i="76"/>
  <c r="FF24" i="76"/>
  <c r="FE24" i="76"/>
  <c r="FD24" i="76"/>
  <c r="FC24" i="76"/>
  <c r="FB24" i="76"/>
  <c r="FA24" i="76"/>
  <c r="EZ24" i="76"/>
  <c r="EY24" i="76"/>
  <c r="EX24" i="76"/>
  <c r="EW24" i="76"/>
  <c r="EV24" i="76"/>
  <c r="EU24" i="76"/>
  <c r="ET24" i="76"/>
  <c r="ES24" i="76"/>
  <c r="ER24" i="76"/>
  <c r="EQ24" i="76"/>
  <c r="EP24" i="76"/>
  <c r="EO24" i="76"/>
  <c r="EN24" i="76"/>
  <c r="EM24" i="76"/>
  <c r="EL24" i="76"/>
  <c r="EK24" i="76"/>
  <c r="EJ24" i="76"/>
  <c r="EI24" i="76"/>
  <c r="EH24" i="76"/>
  <c r="EG24" i="76"/>
  <c r="EF24" i="76"/>
  <c r="EE24" i="76"/>
  <c r="ED24" i="76"/>
  <c r="EC24" i="76"/>
  <c r="EB24" i="76"/>
  <c r="EA24" i="76"/>
  <c r="DZ24" i="76"/>
  <c r="DY24" i="76"/>
  <c r="DX24" i="76"/>
  <c r="DW24" i="76"/>
  <c r="DV24" i="76"/>
  <c r="DU24" i="76"/>
  <c r="DT24" i="76"/>
  <c r="DS24" i="76"/>
  <c r="DR24" i="76"/>
  <c r="DQ24" i="76"/>
  <c r="DP24" i="76"/>
  <c r="DO24" i="76"/>
  <c r="DN24" i="76"/>
  <c r="DM24" i="76"/>
  <c r="DL24" i="76"/>
  <c r="DK24" i="76"/>
  <c r="DJ24" i="76"/>
  <c r="DI24" i="76"/>
  <c r="DH24" i="76"/>
  <c r="DG24" i="76"/>
  <c r="DF24" i="76"/>
  <c r="DE24" i="76"/>
  <c r="DD24" i="76"/>
  <c r="DC24" i="76"/>
  <c r="DB24" i="76"/>
  <c r="DA24" i="76"/>
  <c r="CZ24" i="76"/>
  <c r="CY24" i="76"/>
  <c r="CX24" i="76"/>
  <c r="CW24" i="76"/>
  <c r="CV24" i="76"/>
  <c r="CU24" i="76"/>
  <c r="CT24" i="76"/>
  <c r="CS24" i="76"/>
  <c r="CR24" i="76"/>
  <c r="CQ24" i="76"/>
  <c r="CP24" i="76"/>
  <c r="CO24" i="76"/>
  <c r="CN24" i="76"/>
  <c r="CM24" i="76"/>
  <c r="CL24" i="76"/>
  <c r="CK24" i="76"/>
  <c r="CJ24" i="76"/>
  <c r="CI24" i="76"/>
  <c r="CH24" i="76"/>
  <c r="CG24" i="76"/>
  <c r="CF24" i="76"/>
  <c r="CE24" i="76"/>
  <c r="CD24" i="76"/>
  <c r="CC24" i="76"/>
  <c r="CB24" i="76"/>
  <c r="CA24" i="76"/>
  <c r="BZ24" i="76"/>
  <c r="BY24" i="76"/>
  <c r="BX24" i="76"/>
  <c r="BW24" i="76"/>
  <c r="BV24" i="76"/>
  <c r="BU24" i="76"/>
  <c r="BT24" i="76"/>
  <c r="BS24" i="76"/>
  <c r="BR24" i="76"/>
  <c r="BQ24" i="76"/>
  <c r="BP24" i="76"/>
  <c r="BO24" i="76"/>
  <c r="BN24" i="76"/>
  <c r="BM24" i="76"/>
  <c r="BL24" i="76"/>
  <c r="BK24" i="76"/>
  <c r="BJ24" i="76"/>
  <c r="BI24" i="76"/>
  <c r="BH24" i="76"/>
  <c r="BG24" i="76"/>
  <c r="BF24" i="76"/>
  <c r="BE24" i="76"/>
  <c r="BD24" i="76"/>
  <c r="BC24" i="76"/>
  <c r="BB24" i="76"/>
  <c r="BA24" i="76"/>
  <c r="AZ24" i="76"/>
  <c r="AY24" i="76"/>
  <c r="AX24" i="76"/>
  <c r="AW24" i="76"/>
  <c r="AV24" i="76"/>
  <c r="AU24" i="76"/>
  <c r="AT24" i="76"/>
  <c r="AS24" i="76"/>
  <c r="AR24" i="76"/>
  <c r="AQ24" i="76"/>
  <c r="AP24" i="76"/>
  <c r="AO24" i="76"/>
  <c r="AN24" i="76"/>
  <c r="AM24" i="76"/>
  <c r="AL24" i="76"/>
  <c r="AK24" i="76"/>
  <c r="AJ24" i="76"/>
  <c r="AI24" i="76"/>
  <c r="AH24" i="76"/>
  <c r="AG24" i="76"/>
  <c r="AF24" i="76"/>
  <c r="AE24" i="76"/>
  <c r="AD24" i="76"/>
  <c r="AC24" i="76"/>
  <c r="AB24" i="76"/>
  <c r="AA24" i="76"/>
  <c r="Z24" i="76"/>
  <c r="Y24" i="76"/>
  <c r="X24" i="76"/>
  <c r="W24" i="76"/>
  <c r="Q24" i="76"/>
  <c r="K24" i="76"/>
  <c r="A24" i="76"/>
  <c r="MS23" i="76"/>
  <c r="MR23" i="76"/>
  <c r="MQ23" i="76"/>
  <c r="MP23" i="76"/>
  <c r="MO23" i="76"/>
  <c r="MN23" i="76"/>
  <c r="MM23" i="76"/>
  <c r="ML23" i="76"/>
  <c r="MK23" i="76"/>
  <c r="MJ23" i="76"/>
  <c r="MI23" i="76"/>
  <c r="MH23" i="76"/>
  <c r="MG23" i="76"/>
  <c r="MF23" i="76"/>
  <c r="ME23" i="76"/>
  <c r="MD23" i="76"/>
  <c r="MC23" i="76"/>
  <c r="MB23" i="76"/>
  <c r="MA23" i="76"/>
  <c r="LZ23" i="76"/>
  <c r="LY23" i="76"/>
  <c r="LX23" i="76"/>
  <c r="LW23" i="76"/>
  <c r="LV23" i="76"/>
  <c r="LU23" i="76"/>
  <c r="LT23" i="76"/>
  <c r="LS23" i="76"/>
  <c r="LR23" i="76"/>
  <c r="LQ23" i="76"/>
  <c r="LP23" i="76"/>
  <c r="LO23" i="76"/>
  <c r="LN23" i="76"/>
  <c r="LM23" i="76"/>
  <c r="LL23" i="76"/>
  <c r="LK23" i="76"/>
  <c r="LJ23" i="76"/>
  <c r="LI23" i="76"/>
  <c r="LH23" i="76"/>
  <c r="LG23" i="76"/>
  <c r="LF23" i="76"/>
  <c r="LE23" i="76"/>
  <c r="LD23" i="76"/>
  <c r="LC23" i="76"/>
  <c r="LB23" i="76"/>
  <c r="LA23" i="76"/>
  <c r="KZ23" i="76"/>
  <c r="KY23" i="76"/>
  <c r="KX23" i="76"/>
  <c r="KW23" i="76"/>
  <c r="KV23" i="76"/>
  <c r="KU23" i="76"/>
  <c r="KT23" i="76"/>
  <c r="KS23" i="76"/>
  <c r="KR23" i="76"/>
  <c r="KQ23" i="76"/>
  <c r="KP23" i="76"/>
  <c r="KO23" i="76"/>
  <c r="KN23" i="76"/>
  <c r="KM23" i="76"/>
  <c r="KL23" i="76"/>
  <c r="KK23" i="76"/>
  <c r="KJ23" i="76"/>
  <c r="KI23" i="76"/>
  <c r="KH23" i="76"/>
  <c r="KG23" i="76"/>
  <c r="KF23" i="76"/>
  <c r="KE23" i="76"/>
  <c r="KD23" i="76"/>
  <c r="KC23" i="76"/>
  <c r="KB23" i="76"/>
  <c r="KA23" i="76"/>
  <c r="JZ23" i="76"/>
  <c r="JY23" i="76"/>
  <c r="JX23" i="76"/>
  <c r="JW23" i="76"/>
  <c r="JV23" i="76"/>
  <c r="JU23" i="76"/>
  <c r="JT23" i="76"/>
  <c r="JS23" i="76"/>
  <c r="JR23" i="76"/>
  <c r="JQ23" i="76"/>
  <c r="JP23" i="76"/>
  <c r="JO23" i="76"/>
  <c r="JN23" i="76"/>
  <c r="JM23" i="76"/>
  <c r="JL23" i="76"/>
  <c r="JK23" i="76"/>
  <c r="JJ23" i="76"/>
  <c r="JI23" i="76"/>
  <c r="JH23" i="76"/>
  <c r="JG23" i="76"/>
  <c r="JF23" i="76"/>
  <c r="JE23" i="76"/>
  <c r="JD23" i="76"/>
  <c r="JC23" i="76"/>
  <c r="JB23" i="76"/>
  <c r="JA23" i="76"/>
  <c r="IZ23" i="76"/>
  <c r="IY23" i="76"/>
  <c r="IX23" i="76"/>
  <c r="IW23" i="76"/>
  <c r="IV23" i="76"/>
  <c r="IU23" i="76"/>
  <c r="IT23" i="76"/>
  <c r="IS23" i="76"/>
  <c r="IR23" i="76"/>
  <c r="IQ23" i="76"/>
  <c r="IP23" i="76"/>
  <c r="IO23" i="76"/>
  <c r="IN23" i="76"/>
  <c r="IM23" i="76"/>
  <c r="IL23" i="76"/>
  <c r="IK23" i="76"/>
  <c r="IJ23" i="76"/>
  <c r="II23" i="76"/>
  <c r="IH23" i="76"/>
  <c r="IG23" i="76"/>
  <c r="IF23" i="76"/>
  <c r="IE23" i="76"/>
  <c r="ID23" i="76"/>
  <c r="IC23" i="76"/>
  <c r="IB23" i="76"/>
  <c r="IA23" i="76"/>
  <c r="HZ23" i="76"/>
  <c r="HY23" i="76"/>
  <c r="HX23" i="76"/>
  <c r="HW23" i="76"/>
  <c r="HV23" i="76"/>
  <c r="HU23" i="76"/>
  <c r="HT23" i="76"/>
  <c r="HS23" i="76"/>
  <c r="HR23" i="76"/>
  <c r="HQ23" i="76"/>
  <c r="HP23" i="76"/>
  <c r="HO23" i="76"/>
  <c r="HN23" i="76"/>
  <c r="HM23" i="76"/>
  <c r="HL23" i="76"/>
  <c r="HK23" i="76"/>
  <c r="HJ23" i="76"/>
  <c r="HI23" i="76"/>
  <c r="HH23" i="76"/>
  <c r="HG23" i="76"/>
  <c r="HF23" i="76"/>
  <c r="HE23" i="76"/>
  <c r="HD23" i="76"/>
  <c r="HC23" i="76"/>
  <c r="HB23" i="76"/>
  <c r="HA23" i="76"/>
  <c r="GZ23" i="76"/>
  <c r="GY23" i="76"/>
  <c r="GX23" i="76"/>
  <c r="GW23" i="76"/>
  <c r="GV23" i="76"/>
  <c r="GU23" i="76"/>
  <c r="GT23" i="76"/>
  <c r="GS23" i="76"/>
  <c r="GR23" i="76"/>
  <c r="GQ23" i="76"/>
  <c r="GP23" i="76"/>
  <c r="GO23" i="76"/>
  <c r="GN23" i="76"/>
  <c r="GM23" i="76"/>
  <c r="GL23" i="76"/>
  <c r="GK23" i="76"/>
  <c r="GJ23" i="76"/>
  <c r="GI23" i="76"/>
  <c r="GH23" i="76"/>
  <c r="GG23" i="76"/>
  <c r="GF23" i="76"/>
  <c r="GE23" i="76"/>
  <c r="GD23" i="76"/>
  <c r="GC23" i="76"/>
  <c r="GB23" i="76"/>
  <c r="GA23" i="76"/>
  <c r="FZ23" i="76"/>
  <c r="FY23" i="76"/>
  <c r="FX23" i="76"/>
  <c r="FW23" i="76"/>
  <c r="FV23" i="76"/>
  <c r="FU23" i="76"/>
  <c r="FT23" i="76"/>
  <c r="FS23" i="76"/>
  <c r="FR23" i="76"/>
  <c r="FQ23" i="76"/>
  <c r="FP23" i="76"/>
  <c r="FO23" i="76"/>
  <c r="FN23" i="76"/>
  <c r="FM23" i="76"/>
  <c r="FL23" i="76"/>
  <c r="FK23" i="76"/>
  <c r="FJ23" i="76"/>
  <c r="FI23" i="76"/>
  <c r="FH23" i="76"/>
  <c r="FG23" i="76"/>
  <c r="FF23" i="76"/>
  <c r="FE23" i="76"/>
  <c r="FD23" i="76"/>
  <c r="FC23" i="76"/>
  <c r="FB23" i="76"/>
  <c r="FA23" i="76"/>
  <c r="EZ23" i="76"/>
  <c r="EY23" i="76"/>
  <c r="EX23" i="76"/>
  <c r="EW23" i="76"/>
  <c r="EV23" i="76"/>
  <c r="EU23" i="76"/>
  <c r="ET23" i="76"/>
  <c r="ES23" i="76"/>
  <c r="ER23" i="76"/>
  <c r="EQ23" i="76"/>
  <c r="EP23" i="76"/>
  <c r="EO23" i="76"/>
  <c r="EN23" i="76"/>
  <c r="EM23" i="76"/>
  <c r="EL23" i="76"/>
  <c r="EK23" i="76"/>
  <c r="EJ23" i="76"/>
  <c r="EI23" i="76"/>
  <c r="EH23" i="76"/>
  <c r="EG23" i="76"/>
  <c r="EF23" i="76"/>
  <c r="EE23" i="76"/>
  <c r="ED23" i="76"/>
  <c r="EC23" i="76"/>
  <c r="EB23" i="76"/>
  <c r="EA23" i="76"/>
  <c r="DZ23" i="76"/>
  <c r="DY23" i="76"/>
  <c r="DX23" i="76"/>
  <c r="DW23" i="76"/>
  <c r="DV23" i="76"/>
  <c r="DU23" i="76"/>
  <c r="DT23" i="76"/>
  <c r="DS23" i="76"/>
  <c r="DR23" i="76"/>
  <c r="DQ23" i="76"/>
  <c r="DP23" i="76"/>
  <c r="DO23" i="76"/>
  <c r="DN23" i="76"/>
  <c r="DM23" i="76"/>
  <c r="DL23" i="76"/>
  <c r="DK23" i="76"/>
  <c r="DJ23" i="76"/>
  <c r="DI23" i="76"/>
  <c r="DH23" i="76"/>
  <c r="DG23" i="76"/>
  <c r="DF23" i="76"/>
  <c r="DE23" i="76"/>
  <c r="DD23" i="76"/>
  <c r="DC23" i="76"/>
  <c r="DB23" i="76"/>
  <c r="DA23" i="76"/>
  <c r="CZ23" i="76"/>
  <c r="CY23" i="76"/>
  <c r="CX23" i="76"/>
  <c r="CW23" i="76"/>
  <c r="CV23" i="76"/>
  <c r="CU23" i="76"/>
  <c r="CT23" i="76"/>
  <c r="CS23" i="76"/>
  <c r="CR23" i="76"/>
  <c r="CQ23" i="76"/>
  <c r="CP23" i="76"/>
  <c r="CO23" i="76"/>
  <c r="CN23" i="76"/>
  <c r="CM23" i="76"/>
  <c r="CL23" i="76"/>
  <c r="CK23" i="76"/>
  <c r="CJ23" i="76"/>
  <c r="CI23" i="76"/>
  <c r="CH23" i="76"/>
  <c r="CG23" i="76"/>
  <c r="CF23" i="76"/>
  <c r="CE23" i="76"/>
  <c r="CD23" i="76"/>
  <c r="CC23" i="76"/>
  <c r="CB23" i="76"/>
  <c r="CA23" i="76"/>
  <c r="BZ23" i="76"/>
  <c r="BY23" i="76"/>
  <c r="BX23" i="76"/>
  <c r="BW23" i="76"/>
  <c r="BV23" i="76"/>
  <c r="BU23" i="76"/>
  <c r="BT23" i="76"/>
  <c r="BS23" i="76"/>
  <c r="BR23" i="76"/>
  <c r="BQ23" i="76"/>
  <c r="BP23" i="76"/>
  <c r="BO23" i="76"/>
  <c r="BN23" i="76"/>
  <c r="BM23" i="76"/>
  <c r="BL23" i="76"/>
  <c r="BK23" i="76"/>
  <c r="BJ23" i="76"/>
  <c r="BI23" i="76"/>
  <c r="BH23" i="76"/>
  <c r="BG23" i="76"/>
  <c r="BF23" i="76"/>
  <c r="BE23" i="76"/>
  <c r="BD23" i="76"/>
  <c r="BC23" i="76"/>
  <c r="BB23" i="76"/>
  <c r="BA23" i="76"/>
  <c r="AZ23" i="76"/>
  <c r="AY23" i="76"/>
  <c r="AX23" i="76"/>
  <c r="AW23" i="76"/>
  <c r="AV23" i="76"/>
  <c r="AU23" i="76"/>
  <c r="AT23" i="76"/>
  <c r="AS23" i="76"/>
  <c r="AR23" i="76"/>
  <c r="AQ23" i="76"/>
  <c r="AP23" i="76"/>
  <c r="AO23" i="76"/>
  <c r="AN23" i="76"/>
  <c r="AM23" i="76"/>
  <c r="AL23" i="76"/>
  <c r="AK23" i="76"/>
  <c r="AJ23" i="76"/>
  <c r="AI23" i="76"/>
  <c r="AH23" i="76"/>
  <c r="AG23" i="76"/>
  <c r="AF23" i="76"/>
  <c r="AE23" i="76"/>
  <c r="AD23" i="76"/>
  <c r="AC23" i="76"/>
  <c r="AB23" i="76"/>
  <c r="AA23" i="76"/>
  <c r="Z23" i="76"/>
  <c r="Y23" i="76"/>
  <c r="X23" i="76"/>
  <c r="W23" i="76"/>
  <c r="Q23" i="76"/>
  <c r="K23" i="76"/>
  <c r="A23" i="76"/>
  <c r="MS22" i="76"/>
  <c r="MR22" i="76"/>
  <c r="MQ22" i="76"/>
  <c r="MP22" i="76"/>
  <c r="MO22" i="76"/>
  <c r="MN22" i="76"/>
  <c r="MM22" i="76"/>
  <c r="ML22" i="76"/>
  <c r="MK22" i="76"/>
  <c r="MJ22" i="76"/>
  <c r="MI22" i="76"/>
  <c r="MH22" i="76"/>
  <c r="MG22" i="76"/>
  <c r="MF22" i="76"/>
  <c r="ME22" i="76"/>
  <c r="MD22" i="76"/>
  <c r="MC22" i="76"/>
  <c r="MB22" i="76"/>
  <c r="MA22" i="76"/>
  <c r="LZ22" i="76"/>
  <c r="LY22" i="76"/>
  <c r="LX22" i="76"/>
  <c r="LW22" i="76"/>
  <c r="LV22" i="76"/>
  <c r="LU22" i="76"/>
  <c r="LT22" i="76"/>
  <c r="LS22" i="76"/>
  <c r="LR22" i="76"/>
  <c r="LQ22" i="76"/>
  <c r="LP22" i="76"/>
  <c r="LO22" i="76"/>
  <c r="LN22" i="76"/>
  <c r="LM22" i="76"/>
  <c r="LL22" i="76"/>
  <c r="LK22" i="76"/>
  <c r="LJ22" i="76"/>
  <c r="LI22" i="76"/>
  <c r="LH22" i="76"/>
  <c r="LG22" i="76"/>
  <c r="LF22" i="76"/>
  <c r="LE22" i="76"/>
  <c r="LD22" i="76"/>
  <c r="LC22" i="76"/>
  <c r="LB22" i="76"/>
  <c r="LA22" i="76"/>
  <c r="KZ22" i="76"/>
  <c r="KY22" i="76"/>
  <c r="KX22" i="76"/>
  <c r="KW22" i="76"/>
  <c r="KV22" i="76"/>
  <c r="KU22" i="76"/>
  <c r="KT22" i="76"/>
  <c r="KS22" i="76"/>
  <c r="KR22" i="76"/>
  <c r="KQ22" i="76"/>
  <c r="KP22" i="76"/>
  <c r="KO22" i="76"/>
  <c r="KN22" i="76"/>
  <c r="KM22" i="76"/>
  <c r="KL22" i="76"/>
  <c r="KK22" i="76"/>
  <c r="KJ22" i="76"/>
  <c r="KI22" i="76"/>
  <c r="KH22" i="76"/>
  <c r="KG22" i="76"/>
  <c r="KF22" i="76"/>
  <c r="KE22" i="76"/>
  <c r="KD22" i="76"/>
  <c r="KC22" i="76"/>
  <c r="KB22" i="76"/>
  <c r="KA22" i="76"/>
  <c r="JZ22" i="76"/>
  <c r="JY22" i="76"/>
  <c r="JX22" i="76"/>
  <c r="JW22" i="76"/>
  <c r="JV22" i="76"/>
  <c r="JU22" i="76"/>
  <c r="JT22" i="76"/>
  <c r="JS22" i="76"/>
  <c r="JR22" i="76"/>
  <c r="JQ22" i="76"/>
  <c r="JP22" i="76"/>
  <c r="JO22" i="76"/>
  <c r="JN22" i="76"/>
  <c r="JM22" i="76"/>
  <c r="JL22" i="76"/>
  <c r="JK22" i="76"/>
  <c r="JJ22" i="76"/>
  <c r="JI22" i="76"/>
  <c r="JH22" i="76"/>
  <c r="JG22" i="76"/>
  <c r="JF22" i="76"/>
  <c r="JE22" i="76"/>
  <c r="JD22" i="76"/>
  <c r="JC22" i="76"/>
  <c r="JB22" i="76"/>
  <c r="JA22" i="76"/>
  <c r="IZ22" i="76"/>
  <c r="IY22" i="76"/>
  <c r="IX22" i="76"/>
  <c r="IW22" i="76"/>
  <c r="IV22" i="76"/>
  <c r="IU22" i="76"/>
  <c r="IT22" i="76"/>
  <c r="IS22" i="76"/>
  <c r="IR22" i="76"/>
  <c r="IQ22" i="76"/>
  <c r="IP22" i="76"/>
  <c r="IO22" i="76"/>
  <c r="IN22" i="76"/>
  <c r="IM22" i="76"/>
  <c r="IL22" i="76"/>
  <c r="IK22" i="76"/>
  <c r="IJ22" i="76"/>
  <c r="II22" i="76"/>
  <c r="IH22" i="76"/>
  <c r="IG22" i="76"/>
  <c r="IF22" i="76"/>
  <c r="IE22" i="76"/>
  <c r="ID22" i="76"/>
  <c r="IC22" i="76"/>
  <c r="IB22" i="76"/>
  <c r="IA22" i="76"/>
  <c r="HZ22" i="76"/>
  <c r="HY22" i="76"/>
  <c r="HX22" i="76"/>
  <c r="HW22" i="76"/>
  <c r="HV22" i="76"/>
  <c r="HU22" i="76"/>
  <c r="HT22" i="76"/>
  <c r="HS22" i="76"/>
  <c r="HR22" i="76"/>
  <c r="HQ22" i="76"/>
  <c r="HP22" i="76"/>
  <c r="HO22" i="76"/>
  <c r="HN22" i="76"/>
  <c r="HM22" i="76"/>
  <c r="HL22" i="76"/>
  <c r="HK22" i="76"/>
  <c r="HJ22" i="76"/>
  <c r="HI22" i="76"/>
  <c r="HH22" i="76"/>
  <c r="HG22" i="76"/>
  <c r="HF22" i="76"/>
  <c r="HE22" i="76"/>
  <c r="HD22" i="76"/>
  <c r="HC22" i="76"/>
  <c r="HB22" i="76"/>
  <c r="HA22" i="76"/>
  <c r="GZ22" i="76"/>
  <c r="GY22" i="76"/>
  <c r="GX22" i="76"/>
  <c r="GW22" i="76"/>
  <c r="GV22" i="76"/>
  <c r="GU22" i="76"/>
  <c r="GT22" i="76"/>
  <c r="GS22" i="76"/>
  <c r="GR22" i="76"/>
  <c r="GQ22" i="76"/>
  <c r="GP22" i="76"/>
  <c r="GO22" i="76"/>
  <c r="GN22" i="76"/>
  <c r="GM22" i="76"/>
  <c r="GL22" i="76"/>
  <c r="GK22" i="76"/>
  <c r="GJ22" i="76"/>
  <c r="GI22" i="76"/>
  <c r="GH22" i="76"/>
  <c r="GG22" i="76"/>
  <c r="GF22" i="76"/>
  <c r="GE22" i="76"/>
  <c r="GD22" i="76"/>
  <c r="GC22" i="76"/>
  <c r="GB22" i="76"/>
  <c r="GA22" i="76"/>
  <c r="FZ22" i="76"/>
  <c r="FY22" i="76"/>
  <c r="FX22" i="76"/>
  <c r="FW22" i="76"/>
  <c r="FV22" i="76"/>
  <c r="FU22" i="76"/>
  <c r="FT22" i="76"/>
  <c r="FS22" i="76"/>
  <c r="FR22" i="76"/>
  <c r="FQ22" i="76"/>
  <c r="FP22" i="76"/>
  <c r="FO22" i="76"/>
  <c r="FN22" i="76"/>
  <c r="FM22" i="76"/>
  <c r="FL22" i="76"/>
  <c r="FK22" i="76"/>
  <c r="FJ22" i="76"/>
  <c r="FI22" i="76"/>
  <c r="FH22" i="76"/>
  <c r="FG22" i="76"/>
  <c r="FF22" i="76"/>
  <c r="FE22" i="76"/>
  <c r="FD22" i="76"/>
  <c r="FC22" i="76"/>
  <c r="FB22" i="76"/>
  <c r="FA22" i="76"/>
  <c r="EZ22" i="76"/>
  <c r="EY22" i="76"/>
  <c r="EX22" i="76"/>
  <c r="EW22" i="76"/>
  <c r="EV22" i="76"/>
  <c r="EU22" i="76"/>
  <c r="ET22" i="76"/>
  <c r="ES22" i="76"/>
  <c r="ER22" i="76"/>
  <c r="EQ22" i="76"/>
  <c r="EP22" i="76"/>
  <c r="EO22" i="76"/>
  <c r="EN22" i="76"/>
  <c r="EM22" i="76"/>
  <c r="EL22" i="76"/>
  <c r="EK22" i="76"/>
  <c r="EJ22" i="76"/>
  <c r="EI22" i="76"/>
  <c r="EH22" i="76"/>
  <c r="EG22" i="76"/>
  <c r="EF22" i="76"/>
  <c r="EE22" i="76"/>
  <c r="ED22" i="76"/>
  <c r="EC22" i="76"/>
  <c r="EB22" i="76"/>
  <c r="EA22" i="76"/>
  <c r="DZ22" i="76"/>
  <c r="DY22" i="76"/>
  <c r="DX22" i="76"/>
  <c r="DW22" i="76"/>
  <c r="DV22" i="76"/>
  <c r="DU22" i="76"/>
  <c r="DT22" i="76"/>
  <c r="DS22" i="76"/>
  <c r="DR22" i="76"/>
  <c r="DQ22" i="76"/>
  <c r="DP22" i="76"/>
  <c r="DO22" i="76"/>
  <c r="DN22" i="76"/>
  <c r="DM22" i="76"/>
  <c r="DL22" i="76"/>
  <c r="DK22" i="76"/>
  <c r="DJ22" i="76"/>
  <c r="DI22" i="76"/>
  <c r="DH22" i="76"/>
  <c r="DG22" i="76"/>
  <c r="DF22" i="76"/>
  <c r="DE22" i="76"/>
  <c r="DD22" i="76"/>
  <c r="DC22" i="76"/>
  <c r="DB22" i="76"/>
  <c r="DA22" i="76"/>
  <c r="CZ22" i="76"/>
  <c r="CY22" i="76"/>
  <c r="CX22" i="76"/>
  <c r="CW22" i="76"/>
  <c r="CV22" i="76"/>
  <c r="CU22" i="76"/>
  <c r="CT22" i="76"/>
  <c r="CS22" i="76"/>
  <c r="CR22" i="76"/>
  <c r="CQ22" i="76"/>
  <c r="CP22" i="76"/>
  <c r="CO22" i="76"/>
  <c r="CN22" i="76"/>
  <c r="CM22" i="76"/>
  <c r="CL22" i="76"/>
  <c r="CK22" i="76"/>
  <c r="CJ22" i="76"/>
  <c r="CI22" i="76"/>
  <c r="CH22" i="76"/>
  <c r="CG22" i="76"/>
  <c r="CF22" i="76"/>
  <c r="CE22" i="76"/>
  <c r="CD22" i="76"/>
  <c r="CC22" i="76"/>
  <c r="CB22" i="76"/>
  <c r="CA22" i="76"/>
  <c r="BZ22" i="76"/>
  <c r="BY22" i="76"/>
  <c r="BX22" i="76"/>
  <c r="BW22" i="76"/>
  <c r="BV22" i="76"/>
  <c r="BU22" i="76"/>
  <c r="BT22" i="76"/>
  <c r="BS22" i="76"/>
  <c r="BR22" i="76"/>
  <c r="BQ22" i="76"/>
  <c r="BP22" i="76"/>
  <c r="BO22" i="76"/>
  <c r="BN22" i="76"/>
  <c r="BM22" i="76"/>
  <c r="BL22" i="76"/>
  <c r="BK22" i="76"/>
  <c r="BJ22" i="76"/>
  <c r="BI22" i="76"/>
  <c r="BH22" i="76"/>
  <c r="BG22" i="76"/>
  <c r="BF22" i="76"/>
  <c r="BE22" i="76"/>
  <c r="BD22" i="76"/>
  <c r="BC22" i="76"/>
  <c r="BB22" i="76"/>
  <c r="BA22" i="76"/>
  <c r="AZ22" i="76"/>
  <c r="AY22" i="76"/>
  <c r="AX22" i="76"/>
  <c r="AW22" i="76"/>
  <c r="AV22" i="76"/>
  <c r="AU22" i="76"/>
  <c r="AT22" i="76"/>
  <c r="AS22" i="76"/>
  <c r="AR22" i="76"/>
  <c r="AQ22" i="76"/>
  <c r="AP22" i="76"/>
  <c r="AO22" i="76"/>
  <c r="AN22" i="76"/>
  <c r="AM22" i="76"/>
  <c r="AL22" i="76"/>
  <c r="AK22" i="76"/>
  <c r="AJ22" i="76"/>
  <c r="AI22" i="76"/>
  <c r="AH22" i="76"/>
  <c r="AG22" i="76"/>
  <c r="AF22" i="76"/>
  <c r="AE22" i="76"/>
  <c r="AD22" i="76"/>
  <c r="AC22" i="76"/>
  <c r="AB22" i="76"/>
  <c r="AA22" i="76"/>
  <c r="Z22" i="76"/>
  <c r="Y22" i="76"/>
  <c r="X22" i="76"/>
  <c r="W22" i="76"/>
  <c r="Q22" i="76"/>
  <c r="K22" i="76"/>
  <c r="A22" i="76"/>
  <c r="MS21" i="76"/>
  <c r="MR21" i="76"/>
  <c r="MQ21" i="76"/>
  <c r="MP21" i="76"/>
  <c r="MO21" i="76"/>
  <c r="MN21" i="76"/>
  <c r="MM21" i="76"/>
  <c r="ML21" i="76"/>
  <c r="MK21" i="76"/>
  <c r="MJ21" i="76"/>
  <c r="MI21" i="76"/>
  <c r="MH21" i="76"/>
  <c r="MG21" i="76"/>
  <c r="MF21" i="76"/>
  <c r="ME21" i="76"/>
  <c r="MD21" i="76"/>
  <c r="MC21" i="76"/>
  <c r="MB21" i="76"/>
  <c r="MA21" i="76"/>
  <c r="LZ21" i="76"/>
  <c r="LY21" i="76"/>
  <c r="LX21" i="76"/>
  <c r="LW21" i="76"/>
  <c r="LV21" i="76"/>
  <c r="LU21" i="76"/>
  <c r="LT21" i="76"/>
  <c r="LS21" i="76"/>
  <c r="LR21" i="76"/>
  <c r="LQ21" i="76"/>
  <c r="LP21" i="76"/>
  <c r="LO21" i="76"/>
  <c r="LN21" i="76"/>
  <c r="LM21" i="76"/>
  <c r="LL21" i="76"/>
  <c r="LK21" i="76"/>
  <c r="LJ21" i="76"/>
  <c r="LI21" i="76"/>
  <c r="LH21" i="76"/>
  <c r="LG21" i="76"/>
  <c r="LF21" i="76"/>
  <c r="LE21" i="76"/>
  <c r="LD21" i="76"/>
  <c r="LC21" i="76"/>
  <c r="LB21" i="76"/>
  <c r="LA21" i="76"/>
  <c r="KZ21" i="76"/>
  <c r="KY21" i="76"/>
  <c r="KX21" i="76"/>
  <c r="KW21" i="76"/>
  <c r="KV21" i="76"/>
  <c r="KU21" i="76"/>
  <c r="KT21" i="76"/>
  <c r="KS21" i="76"/>
  <c r="KR21" i="76"/>
  <c r="KQ21" i="76"/>
  <c r="KP21" i="76"/>
  <c r="KO21" i="76"/>
  <c r="KN21" i="76"/>
  <c r="KM21" i="76"/>
  <c r="KL21" i="76"/>
  <c r="KK21" i="76"/>
  <c r="KJ21" i="76"/>
  <c r="KI21" i="76"/>
  <c r="KH21" i="76"/>
  <c r="KG21" i="76"/>
  <c r="KF21" i="76"/>
  <c r="KE21" i="76"/>
  <c r="KD21" i="76"/>
  <c r="KC21" i="76"/>
  <c r="KB21" i="76"/>
  <c r="KA21" i="76"/>
  <c r="JZ21" i="76"/>
  <c r="JY21" i="76"/>
  <c r="JX21" i="76"/>
  <c r="JW21" i="76"/>
  <c r="JV21" i="76"/>
  <c r="JU21" i="76"/>
  <c r="JT21" i="76"/>
  <c r="JS21" i="76"/>
  <c r="JR21" i="76"/>
  <c r="JQ21" i="76"/>
  <c r="JP21" i="76"/>
  <c r="JO21" i="76"/>
  <c r="JN21" i="76"/>
  <c r="JM21" i="76"/>
  <c r="JL21" i="76"/>
  <c r="JK21" i="76"/>
  <c r="JJ21" i="76"/>
  <c r="JI21" i="76"/>
  <c r="JH21" i="76"/>
  <c r="JG21" i="76"/>
  <c r="JF21" i="76"/>
  <c r="JE21" i="76"/>
  <c r="JD21" i="76"/>
  <c r="JC21" i="76"/>
  <c r="JB21" i="76"/>
  <c r="JA21" i="76"/>
  <c r="IZ21" i="76"/>
  <c r="IY21" i="76"/>
  <c r="IX21" i="76"/>
  <c r="IW21" i="76"/>
  <c r="IV21" i="76"/>
  <c r="IU21" i="76"/>
  <c r="IT21" i="76"/>
  <c r="IS21" i="76"/>
  <c r="IR21" i="76"/>
  <c r="IQ21" i="76"/>
  <c r="IP21" i="76"/>
  <c r="IO21" i="76"/>
  <c r="IN21" i="76"/>
  <c r="IM21" i="76"/>
  <c r="IL21" i="76"/>
  <c r="IK21" i="76"/>
  <c r="IJ21" i="76"/>
  <c r="II21" i="76"/>
  <c r="IH21" i="76"/>
  <c r="IG21" i="76"/>
  <c r="IF21" i="76"/>
  <c r="IE21" i="76"/>
  <c r="ID21" i="76"/>
  <c r="IC21" i="76"/>
  <c r="IB21" i="76"/>
  <c r="IA21" i="76"/>
  <c r="HZ21" i="76"/>
  <c r="HY21" i="76"/>
  <c r="HX21" i="76"/>
  <c r="HW21" i="76"/>
  <c r="HV21" i="76"/>
  <c r="HU21" i="76"/>
  <c r="HT21" i="76"/>
  <c r="HS21" i="76"/>
  <c r="HR21" i="76"/>
  <c r="HQ21" i="76"/>
  <c r="HP21" i="76"/>
  <c r="HO21" i="76"/>
  <c r="HN21" i="76"/>
  <c r="HM21" i="76"/>
  <c r="HL21" i="76"/>
  <c r="HK21" i="76"/>
  <c r="HJ21" i="76"/>
  <c r="HI21" i="76"/>
  <c r="HH21" i="76"/>
  <c r="HG21" i="76"/>
  <c r="HF21" i="76"/>
  <c r="HE21" i="76"/>
  <c r="HD21" i="76"/>
  <c r="HC21" i="76"/>
  <c r="HB21" i="76"/>
  <c r="HA21" i="76"/>
  <c r="GZ21" i="76"/>
  <c r="GY21" i="76"/>
  <c r="GX21" i="76"/>
  <c r="GW21" i="76"/>
  <c r="GV21" i="76"/>
  <c r="GU21" i="76"/>
  <c r="GT21" i="76"/>
  <c r="GS21" i="76"/>
  <c r="GR21" i="76"/>
  <c r="GQ21" i="76"/>
  <c r="GP21" i="76"/>
  <c r="GO21" i="76"/>
  <c r="GN21" i="76"/>
  <c r="GM21" i="76"/>
  <c r="GL21" i="76"/>
  <c r="GK21" i="76"/>
  <c r="GJ21" i="76"/>
  <c r="GI21" i="76"/>
  <c r="GH21" i="76"/>
  <c r="GG21" i="76"/>
  <c r="GF21" i="76"/>
  <c r="GE21" i="76"/>
  <c r="GD21" i="76"/>
  <c r="GC21" i="76"/>
  <c r="GB21" i="76"/>
  <c r="GA21" i="76"/>
  <c r="FZ21" i="76"/>
  <c r="FY21" i="76"/>
  <c r="FX21" i="76"/>
  <c r="FW21" i="76"/>
  <c r="FV21" i="76"/>
  <c r="FU21" i="76"/>
  <c r="FT21" i="76"/>
  <c r="FS21" i="76"/>
  <c r="FR21" i="76"/>
  <c r="FQ21" i="76"/>
  <c r="FP21" i="76"/>
  <c r="FO21" i="76"/>
  <c r="FN21" i="76"/>
  <c r="FM21" i="76"/>
  <c r="FL21" i="76"/>
  <c r="FK21" i="76"/>
  <c r="FJ21" i="76"/>
  <c r="FI21" i="76"/>
  <c r="FH21" i="76"/>
  <c r="FG21" i="76"/>
  <c r="FF21" i="76"/>
  <c r="FE21" i="76"/>
  <c r="FD21" i="76"/>
  <c r="FC21" i="76"/>
  <c r="FB21" i="76"/>
  <c r="FA21" i="76"/>
  <c r="EZ21" i="76"/>
  <c r="EY21" i="76"/>
  <c r="EX21" i="76"/>
  <c r="EW21" i="76"/>
  <c r="EV21" i="76"/>
  <c r="EU21" i="76"/>
  <c r="ET21" i="76"/>
  <c r="ES21" i="76"/>
  <c r="ER21" i="76"/>
  <c r="EQ21" i="76"/>
  <c r="EP21" i="76"/>
  <c r="EO21" i="76"/>
  <c r="EN21" i="76"/>
  <c r="EM21" i="76"/>
  <c r="EL21" i="76"/>
  <c r="EK21" i="76"/>
  <c r="EJ21" i="76"/>
  <c r="EI21" i="76"/>
  <c r="EH21" i="76"/>
  <c r="EG21" i="76"/>
  <c r="EF21" i="76"/>
  <c r="EE21" i="76"/>
  <c r="ED21" i="76"/>
  <c r="EC21" i="76"/>
  <c r="EB21" i="76"/>
  <c r="EA21" i="76"/>
  <c r="DZ21" i="76"/>
  <c r="DY21" i="76"/>
  <c r="DX21" i="76"/>
  <c r="DW21" i="76"/>
  <c r="DV21" i="76"/>
  <c r="DU21" i="76"/>
  <c r="DT21" i="76"/>
  <c r="DS21" i="76"/>
  <c r="DR21" i="76"/>
  <c r="DQ21" i="76"/>
  <c r="DP21" i="76"/>
  <c r="DO21" i="76"/>
  <c r="DN21" i="76"/>
  <c r="DM21" i="76"/>
  <c r="DL21" i="76"/>
  <c r="DK21" i="76"/>
  <c r="DJ21" i="76"/>
  <c r="DI21" i="76"/>
  <c r="DH21" i="76"/>
  <c r="DG21" i="76"/>
  <c r="DF21" i="76"/>
  <c r="DE21" i="76"/>
  <c r="DD21" i="76"/>
  <c r="DC21" i="76"/>
  <c r="DB21" i="76"/>
  <c r="DA21" i="76"/>
  <c r="CZ21" i="76"/>
  <c r="CY21" i="76"/>
  <c r="CX21" i="76"/>
  <c r="CW21" i="76"/>
  <c r="CV21" i="76"/>
  <c r="CU21" i="76"/>
  <c r="CT21" i="76"/>
  <c r="CS21" i="76"/>
  <c r="CR21" i="76"/>
  <c r="CQ21" i="76"/>
  <c r="CP21" i="76"/>
  <c r="CO21" i="76"/>
  <c r="CN21" i="76"/>
  <c r="CM21" i="76"/>
  <c r="CL21" i="76"/>
  <c r="CK21" i="76"/>
  <c r="CJ21" i="76"/>
  <c r="CI21" i="76"/>
  <c r="CH21" i="76"/>
  <c r="CG21" i="76"/>
  <c r="CF21" i="76"/>
  <c r="CE21" i="76"/>
  <c r="CD21" i="76"/>
  <c r="CC21" i="76"/>
  <c r="CB21" i="76"/>
  <c r="CA21" i="76"/>
  <c r="BZ21" i="76"/>
  <c r="BY21" i="76"/>
  <c r="BX21" i="76"/>
  <c r="BW21" i="76"/>
  <c r="BV21" i="76"/>
  <c r="BU21" i="76"/>
  <c r="BT21" i="76"/>
  <c r="BS21" i="76"/>
  <c r="BR21" i="76"/>
  <c r="BQ21" i="76"/>
  <c r="BP21" i="76"/>
  <c r="BO21" i="76"/>
  <c r="BN21" i="76"/>
  <c r="BM21" i="76"/>
  <c r="BL21" i="76"/>
  <c r="BK21" i="76"/>
  <c r="BJ21" i="76"/>
  <c r="BI21" i="76"/>
  <c r="BH21" i="76"/>
  <c r="BG21" i="76"/>
  <c r="BF21" i="76"/>
  <c r="BE21" i="76"/>
  <c r="BD21" i="76"/>
  <c r="BC21" i="76"/>
  <c r="BB21" i="76"/>
  <c r="BA21" i="76"/>
  <c r="AZ21" i="76"/>
  <c r="AY21" i="76"/>
  <c r="AX21" i="76"/>
  <c r="AW21" i="76"/>
  <c r="AV21" i="76"/>
  <c r="AU21" i="76"/>
  <c r="AT21" i="76"/>
  <c r="AS21" i="76"/>
  <c r="AR21" i="76"/>
  <c r="AQ21" i="76"/>
  <c r="AP21" i="76"/>
  <c r="AO21" i="76"/>
  <c r="AN21" i="76"/>
  <c r="AM21" i="76"/>
  <c r="AL21" i="76"/>
  <c r="AK21" i="76"/>
  <c r="AJ21" i="76"/>
  <c r="AI21" i="76"/>
  <c r="AH21" i="76"/>
  <c r="AG21" i="76"/>
  <c r="AF21" i="76"/>
  <c r="AE21" i="76"/>
  <c r="AD21" i="76"/>
  <c r="AC21" i="76"/>
  <c r="AB21" i="76"/>
  <c r="AA21" i="76"/>
  <c r="Z21" i="76"/>
  <c r="Y21" i="76"/>
  <c r="X21" i="76"/>
  <c r="W21" i="76"/>
  <c r="Q21" i="76"/>
  <c r="K21" i="76"/>
  <c r="A21" i="76"/>
  <c r="MS20" i="76"/>
  <c r="MR20" i="76"/>
  <c r="MQ20" i="76"/>
  <c r="MP20" i="76"/>
  <c r="MO20" i="76"/>
  <c r="MN20" i="76"/>
  <c r="MM20" i="76"/>
  <c r="ML20" i="76"/>
  <c r="MK20" i="76"/>
  <c r="MJ20" i="76"/>
  <c r="MI20" i="76"/>
  <c r="MH20" i="76"/>
  <c r="MG20" i="76"/>
  <c r="MF20" i="76"/>
  <c r="ME20" i="76"/>
  <c r="MD20" i="76"/>
  <c r="MC20" i="76"/>
  <c r="MB20" i="76"/>
  <c r="MA20" i="76"/>
  <c r="LZ20" i="76"/>
  <c r="LY20" i="76"/>
  <c r="LX20" i="76"/>
  <c r="LW20" i="76"/>
  <c r="LV20" i="76"/>
  <c r="LU20" i="76"/>
  <c r="LT20" i="76"/>
  <c r="LS20" i="76"/>
  <c r="LR20" i="76"/>
  <c r="LQ20" i="76"/>
  <c r="LP20" i="76"/>
  <c r="LO20" i="76"/>
  <c r="LN20" i="76"/>
  <c r="LM20" i="76"/>
  <c r="LL20" i="76"/>
  <c r="LK20" i="76"/>
  <c r="LJ20" i="76"/>
  <c r="LI20" i="76"/>
  <c r="LH20" i="76"/>
  <c r="LG20" i="76"/>
  <c r="LF20" i="76"/>
  <c r="LE20" i="76"/>
  <c r="LD20" i="76"/>
  <c r="LC20" i="76"/>
  <c r="LB20" i="76"/>
  <c r="LA20" i="76"/>
  <c r="KZ20" i="76"/>
  <c r="KY20" i="76"/>
  <c r="KX20" i="76"/>
  <c r="KW20" i="76"/>
  <c r="KV20" i="76"/>
  <c r="KU20" i="76"/>
  <c r="KT20" i="76"/>
  <c r="KS20" i="76"/>
  <c r="KR20" i="76"/>
  <c r="KQ20" i="76"/>
  <c r="KP20" i="76"/>
  <c r="KO20" i="76"/>
  <c r="KN20" i="76"/>
  <c r="KM20" i="76"/>
  <c r="KL20" i="76"/>
  <c r="KK20" i="76"/>
  <c r="KJ20" i="76"/>
  <c r="KI20" i="76"/>
  <c r="KH20" i="76"/>
  <c r="KG20" i="76"/>
  <c r="KF20" i="76"/>
  <c r="KE20" i="76"/>
  <c r="KD20" i="76"/>
  <c r="KC20" i="76"/>
  <c r="KB20" i="76"/>
  <c r="KA20" i="76"/>
  <c r="JZ20" i="76"/>
  <c r="JY20" i="76"/>
  <c r="JX20" i="76"/>
  <c r="JW20" i="76"/>
  <c r="JV20" i="76"/>
  <c r="JU20" i="76"/>
  <c r="JT20" i="76"/>
  <c r="JS20" i="76"/>
  <c r="JR20" i="76"/>
  <c r="JQ20" i="76"/>
  <c r="JP20" i="76"/>
  <c r="JO20" i="76"/>
  <c r="JN20" i="76"/>
  <c r="JM20" i="76"/>
  <c r="JL20" i="76"/>
  <c r="JK20" i="76"/>
  <c r="JJ20" i="76"/>
  <c r="JI20" i="76"/>
  <c r="JH20" i="76"/>
  <c r="JG20" i="76"/>
  <c r="JF20" i="76"/>
  <c r="JE20" i="76"/>
  <c r="JD20" i="76"/>
  <c r="JC20" i="76"/>
  <c r="JB20" i="76"/>
  <c r="JA20" i="76"/>
  <c r="IZ20" i="76"/>
  <c r="IY20" i="76"/>
  <c r="IX20" i="76"/>
  <c r="IW20" i="76"/>
  <c r="IV20" i="76"/>
  <c r="IU20" i="76"/>
  <c r="IT20" i="76"/>
  <c r="IS20" i="76"/>
  <c r="IR20" i="76"/>
  <c r="IQ20" i="76"/>
  <c r="IP20" i="76"/>
  <c r="IO20" i="76"/>
  <c r="IN20" i="76"/>
  <c r="IM20" i="76"/>
  <c r="IL20" i="76"/>
  <c r="IK20" i="76"/>
  <c r="IJ20" i="76"/>
  <c r="II20" i="76"/>
  <c r="IH20" i="76"/>
  <c r="IG20" i="76"/>
  <c r="IF20" i="76"/>
  <c r="IE20" i="76"/>
  <c r="ID20" i="76"/>
  <c r="IC20" i="76"/>
  <c r="IB20" i="76"/>
  <c r="IA20" i="76"/>
  <c r="HZ20" i="76"/>
  <c r="HY20" i="76"/>
  <c r="HX20" i="76"/>
  <c r="HW20" i="76"/>
  <c r="HV20" i="76"/>
  <c r="HU20" i="76"/>
  <c r="HT20" i="76"/>
  <c r="HS20" i="76"/>
  <c r="HR20" i="76"/>
  <c r="HQ20" i="76"/>
  <c r="HP20" i="76"/>
  <c r="HO20" i="76"/>
  <c r="HN20" i="76"/>
  <c r="HM20" i="76"/>
  <c r="HL20" i="76"/>
  <c r="HK20" i="76"/>
  <c r="HJ20" i="76"/>
  <c r="HI20" i="76"/>
  <c r="HH20" i="76"/>
  <c r="HG20" i="76"/>
  <c r="HF20" i="76"/>
  <c r="HE20" i="76"/>
  <c r="HD20" i="76"/>
  <c r="HC20" i="76"/>
  <c r="HB20" i="76"/>
  <c r="HA20" i="76"/>
  <c r="GZ20" i="76"/>
  <c r="GY20" i="76"/>
  <c r="GX20" i="76"/>
  <c r="GW20" i="76"/>
  <c r="GV20" i="76"/>
  <c r="GU20" i="76"/>
  <c r="GT20" i="76"/>
  <c r="GS20" i="76"/>
  <c r="GR20" i="76"/>
  <c r="GQ20" i="76"/>
  <c r="GP20" i="76"/>
  <c r="GO20" i="76"/>
  <c r="GN20" i="76"/>
  <c r="GM20" i="76"/>
  <c r="GL20" i="76"/>
  <c r="GK20" i="76"/>
  <c r="GJ20" i="76"/>
  <c r="GI20" i="76"/>
  <c r="GH20" i="76"/>
  <c r="GG20" i="76"/>
  <c r="GF20" i="76"/>
  <c r="GE20" i="76"/>
  <c r="GD20" i="76"/>
  <c r="GC20" i="76"/>
  <c r="GB20" i="76"/>
  <c r="GA20" i="76"/>
  <c r="FZ20" i="76"/>
  <c r="FY20" i="76"/>
  <c r="FX20" i="76"/>
  <c r="FW20" i="76"/>
  <c r="FV20" i="76"/>
  <c r="FU20" i="76"/>
  <c r="FT20" i="76"/>
  <c r="FS20" i="76"/>
  <c r="FR20" i="76"/>
  <c r="FQ20" i="76"/>
  <c r="FP20" i="76"/>
  <c r="FO20" i="76"/>
  <c r="FN20" i="76"/>
  <c r="FM20" i="76"/>
  <c r="FL20" i="76"/>
  <c r="FK20" i="76"/>
  <c r="FJ20" i="76"/>
  <c r="FI20" i="76"/>
  <c r="FH20" i="76"/>
  <c r="FG20" i="76"/>
  <c r="FF20" i="76"/>
  <c r="FE20" i="76"/>
  <c r="FD20" i="76"/>
  <c r="FC20" i="76"/>
  <c r="FB20" i="76"/>
  <c r="FA20" i="76"/>
  <c r="EZ20" i="76"/>
  <c r="EY20" i="76"/>
  <c r="EX20" i="76"/>
  <c r="EW20" i="76"/>
  <c r="EV20" i="76"/>
  <c r="EU20" i="76"/>
  <c r="ET20" i="76"/>
  <c r="ES20" i="76"/>
  <c r="ER20" i="76"/>
  <c r="EQ20" i="76"/>
  <c r="EP20" i="76"/>
  <c r="EO20" i="76"/>
  <c r="EN20" i="76"/>
  <c r="EM20" i="76"/>
  <c r="EL20" i="76"/>
  <c r="EK20" i="76"/>
  <c r="EJ20" i="76"/>
  <c r="EI20" i="76"/>
  <c r="EH20" i="76"/>
  <c r="EG20" i="76"/>
  <c r="EF20" i="76"/>
  <c r="EE20" i="76"/>
  <c r="ED20" i="76"/>
  <c r="EC20" i="76"/>
  <c r="EB20" i="76"/>
  <c r="EA20" i="76"/>
  <c r="DZ20" i="76"/>
  <c r="DY20" i="76"/>
  <c r="DX20" i="76"/>
  <c r="DW20" i="76"/>
  <c r="DV20" i="76"/>
  <c r="DU20" i="76"/>
  <c r="DT20" i="76"/>
  <c r="DS20" i="76"/>
  <c r="DR20" i="76"/>
  <c r="DQ20" i="76"/>
  <c r="DP20" i="76"/>
  <c r="DO20" i="76"/>
  <c r="DN20" i="76"/>
  <c r="DM20" i="76"/>
  <c r="DL20" i="76"/>
  <c r="DK20" i="76"/>
  <c r="DJ20" i="76"/>
  <c r="DI20" i="76"/>
  <c r="DH20" i="76"/>
  <c r="DG20" i="76"/>
  <c r="DF20" i="76"/>
  <c r="DE20" i="76"/>
  <c r="DD20" i="76"/>
  <c r="DC20" i="76"/>
  <c r="DB20" i="76"/>
  <c r="DA20" i="76"/>
  <c r="CZ20" i="76"/>
  <c r="CY20" i="76"/>
  <c r="CX20" i="76"/>
  <c r="CW20" i="76"/>
  <c r="CV20" i="76"/>
  <c r="CU20" i="76"/>
  <c r="CT20" i="76"/>
  <c r="CS20" i="76"/>
  <c r="CR20" i="76"/>
  <c r="CQ20" i="76"/>
  <c r="CP20" i="76"/>
  <c r="CO20" i="76"/>
  <c r="CN20" i="76"/>
  <c r="CM20" i="76"/>
  <c r="CL20" i="76"/>
  <c r="CK20" i="76"/>
  <c r="CJ20" i="76"/>
  <c r="CI20" i="76"/>
  <c r="CH20" i="76"/>
  <c r="CG20" i="76"/>
  <c r="CF20" i="76"/>
  <c r="CE20" i="76"/>
  <c r="CD20" i="76"/>
  <c r="CC20" i="76"/>
  <c r="CB20" i="76"/>
  <c r="CA20" i="76"/>
  <c r="BZ20" i="76"/>
  <c r="BY20" i="76"/>
  <c r="BX20" i="76"/>
  <c r="BW20" i="76"/>
  <c r="BV20" i="76"/>
  <c r="BU20" i="76"/>
  <c r="BT20" i="76"/>
  <c r="BS20" i="76"/>
  <c r="BR20" i="76"/>
  <c r="BQ20" i="76"/>
  <c r="BP20" i="76"/>
  <c r="BO20" i="76"/>
  <c r="BN20" i="76"/>
  <c r="BM20" i="76"/>
  <c r="BL20" i="76"/>
  <c r="BK20" i="76"/>
  <c r="BJ20" i="76"/>
  <c r="BI20" i="76"/>
  <c r="BH20" i="76"/>
  <c r="BG20" i="76"/>
  <c r="BF20" i="76"/>
  <c r="BE20" i="76"/>
  <c r="BD20" i="76"/>
  <c r="BC20" i="76"/>
  <c r="BB20" i="76"/>
  <c r="BA20" i="76"/>
  <c r="AZ20" i="76"/>
  <c r="AY20" i="76"/>
  <c r="AX20" i="76"/>
  <c r="AW20" i="76"/>
  <c r="AV20" i="76"/>
  <c r="AU20" i="76"/>
  <c r="AT20" i="76"/>
  <c r="AS20" i="76"/>
  <c r="AR20" i="76"/>
  <c r="AQ20" i="76"/>
  <c r="AP20" i="76"/>
  <c r="AO20" i="76"/>
  <c r="AN20" i="76"/>
  <c r="AM20" i="76"/>
  <c r="AL20" i="76"/>
  <c r="AK20" i="76"/>
  <c r="AJ20" i="76"/>
  <c r="AI20" i="76"/>
  <c r="AH20" i="76"/>
  <c r="AG20" i="76"/>
  <c r="AF20" i="76"/>
  <c r="AE20" i="76"/>
  <c r="AD20" i="76"/>
  <c r="AC20" i="76"/>
  <c r="AB20" i="76"/>
  <c r="AA20" i="76"/>
  <c r="Z20" i="76"/>
  <c r="Y20" i="76"/>
  <c r="X20" i="76"/>
  <c r="W20" i="76"/>
  <c r="Q20" i="76"/>
  <c r="K20" i="76"/>
  <c r="A20" i="76"/>
  <c r="MS19" i="76"/>
  <c r="MR19" i="76"/>
  <c r="MQ19" i="76"/>
  <c r="MP19" i="76"/>
  <c r="MO19" i="76"/>
  <c r="MN19" i="76"/>
  <c r="MM19" i="76"/>
  <c r="ML19" i="76"/>
  <c r="MK19" i="76"/>
  <c r="MJ19" i="76"/>
  <c r="MI19" i="76"/>
  <c r="MH19" i="76"/>
  <c r="MG19" i="76"/>
  <c r="MF19" i="76"/>
  <c r="ME19" i="76"/>
  <c r="MD19" i="76"/>
  <c r="MC19" i="76"/>
  <c r="MB19" i="76"/>
  <c r="MA19" i="76"/>
  <c r="LZ19" i="76"/>
  <c r="LY19" i="76"/>
  <c r="LX19" i="76"/>
  <c r="LW19" i="76"/>
  <c r="LV19" i="76"/>
  <c r="LU19" i="76"/>
  <c r="LT19" i="76"/>
  <c r="LS19" i="76"/>
  <c r="LR19" i="76"/>
  <c r="LQ19" i="76"/>
  <c r="LP19" i="76"/>
  <c r="LO19" i="76"/>
  <c r="LN19" i="76"/>
  <c r="LM19" i="76"/>
  <c r="LL19" i="76"/>
  <c r="LK19" i="76"/>
  <c r="LJ19" i="76"/>
  <c r="LI19" i="76"/>
  <c r="LH19" i="76"/>
  <c r="LG19" i="76"/>
  <c r="LF19" i="76"/>
  <c r="LE19" i="76"/>
  <c r="LD19" i="76"/>
  <c r="LC19" i="76"/>
  <c r="LB19" i="76"/>
  <c r="LA19" i="76"/>
  <c r="KZ19" i="76"/>
  <c r="KY19" i="76"/>
  <c r="KX19" i="76"/>
  <c r="KW19" i="76"/>
  <c r="KV19" i="76"/>
  <c r="KU19" i="76"/>
  <c r="KT19" i="76"/>
  <c r="KS19" i="76"/>
  <c r="KR19" i="76"/>
  <c r="KQ19" i="76"/>
  <c r="KP19" i="76"/>
  <c r="KO19" i="76"/>
  <c r="KN19" i="76"/>
  <c r="KM19" i="76"/>
  <c r="KL19" i="76"/>
  <c r="KK19" i="76"/>
  <c r="KJ19" i="76"/>
  <c r="KI19" i="76"/>
  <c r="KH19" i="76"/>
  <c r="KG19" i="76"/>
  <c r="KF19" i="76"/>
  <c r="KE19" i="76"/>
  <c r="KD19" i="76"/>
  <c r="KC19" i="76"/>
  <c r="KB19" i="76"/>
  <c r="KA19" i="76"/>
  <c r="JZ19" i="76"/>
  <c r="JY19" i="76"/>
  <c r="JX19" i="76"/>
  <c r="JW19" i="76"/>
  <c r="JV19" i="76"/>
  <c r="JU19" i="76"/>
  <c r="JT19" i="76"/>
  <c r="JS19" i="76"/>
  <c r="JR19" i="76"/>
  <c r="JQ19" i="76"/>
  <c r="JP19" i="76"/>
  <c r="JO19" i="76"/>
  <c r="JN19" i="76"/>
  <c r="JM19" i="76"/>
  <c r="JL19" i="76"/>
  <c r="JK19" i="76"/>
  <c r="JJ19" i="76"/>
  <c r="JI19" i="76"/>
  <c r="JH19" i="76"/>
  <c r="JG19" i="76"/>
  <c r="JF19" i="76"/>
  <c r="JE19" i="76"/>
  <c r="JD19" i="76"/>
  <c r="JC19" i="76"/>
  <c r="JB19" i="76"/>
  <c r="JA19" i="76"/>
  <c r="IZ19" i="76"/>
  <c r="IY19" i="76"/>
  <c r="IX19" i="76"/>
  <c r="IW19" i="76"/>
  <c r="IV19" i="76"/>
  <c r="IU19" i="76"/>
  <c r="IT19" i="76"/>
  <c r="IS19" i="76"/>
  <c r="IR19" i="76"/>
  <c r="IQ19" i="76"/>
  <c r="IP19" i="76"/>
  <c r="IO19" i="76"/>
  <c r="IN19" i="76"/>
  <c r="IM19" i="76"/>
  <c r="IL19" i="76"/>
  <c r="IK19" i="76"/>
  <c r="IJ19" i="76"/>
  <c r="II19" i="76"/>
  <c r="IH19" i="76"/>
  <c r="IG19" i="76"/>
  <c r="IF19" i="76"/>
  <c r="IE19" i="76"/>
  <c r="ID19" i="76"/>
  <c r="IC19" i="76"/>
  <c r="IB19" i="76"/>
  <c r="IA19" i="76"/>
  <c r="HZ19" i="76"/>
  <c r="HY19" i="76"/>
  <c r="HX19" i="76"/>
  <c r="HW19" i="76"/>
  <c r="HV19" i="76"/>
  <c r="HU19" i="76"/>
  <c r="HT19" i="76"/>
  <c r="HS19" i="76"/>
  <c r="HR19" i="76"/>
  <c r="HQ19" i="76"/>
  <c r="HP19" i="76"/>
  <c r="HO19" i="76"/>
  <c r="HN19" i="76"/>
  <c r="HM19" i="76"/>
  <c r="HL19" i="76"/>
  <c r="HK19" i="76"/>
  <c r="HJ19" i="76"/>
  <c r="HI19" i="76"/>
  <c r="HH19" i="76"/>
  <c r="HG19" i="76"/>
  <c r="HF19" i="76"/>
  <c r="HE19" i="76"/>
  <c r="HD19" i="76"/>
  <c r="HC19" i="76"/>
  <c r="HB19" i="76"/>
  <c r="HA19" i="76"/>
  <c r="GZ19" i="76"/>
  <c r="GY19" i="76"/>
  <c r="GX19" i="76"/>
  <c r="GW19" i="76"/>
  <c r="GV19" i="76"/>
  <c r="GU19" i="76"/>
  <c r="GT19" i="76"/>
  <c r="GS19" i="76"/>
  <c r="GR19" i="76"/>
  <c r="GQ19" i="76"/>
  <c r="GP19" i="76"/>
  <c r="GO19" i="76"/>
  <c r="GN19" i="76"/>
  <c r="GM19" i="76"/>
  <c r="GL19" i="76"/>
  <c r="GK19" i="76"/>
  <c r="GJ19" i="76"/>
  <c r="GI19" i="76"/>
  <c r="GH19" i="76"/>
  <c r="GG19" i="76"/>
  <c r="GF19" i="76"/>
  <c r="GE19" i="76"/>
  <c r="GD19" i="76"/>
  <c r="GC19" i="76"/>
  <c r="GB19" i="76"/>
  <c r="GA19" i="76"/>
  <c r="FZ19" i="76"/>
  <c r="FY19" i="76"/>
  <c r="FX19" i="76"/>
  <c r="FW19" i="76"/>
  <c r="FV19" i="76"/>
  <c r="FU19" i="76"/>
  <c r="FT19" i="76"/>
  <c r="FS19" i="76"/>
  <c r="FR19" i="76"/>
  <c r="FQ19" i="76"/>
  <c r="FP19" i="76"/>
  <c r="FO19" i="76"/>
  <c r="FN19" i="76"/>
  <c r="FM19" i="76"/>
  <c r="FL19" i="76"/>
  <c r="FK19" i="76"/>
  <c r="FJ19" i="76"/>
  <c r="FI19" i="76"/>
  <c r="FH19" i="76"/>
  <c r="FG19" i="76"/>
  <c r="FF19" i="76"/>
  <c r="FE19" i="76"/>
  <c r="FD19" i="76"/>
  <c r="FC19" i="76"/>
  <c r="FB19" i="76"/>
  <c r="FA19" i="76"/>
  <c r="EZ19" i="76"/>
  <c r="EY19" i="76"/>
  <c r="EX19" i="76"/>
  <c r="EW19" i="76"/>
  <c r="EV19" i="76"/>
  <c r="EU19" i="76"/>
  <c r="ET19" i="76"/>
  <c r="ES19" i="76"/>
  <c r="ER19" i="76"/>
  <c r="EQ19" i="76"/>
  <c r="EP19" i="76"/>
  <c r="EO19" i="76"/>
  <c r="EN19" i="76"/>
  <c r="EM19" i="76"/>
  <c r="EL19" i="76"/>
  <c r="EK19" i="76"/>
  <c r="EJ19" i="76"/>
  <c r="EI19" i="76"/>
  <c r="EH19" i="76"/>
  <c r="EG19" i="76"/>
  <c r="EF19" i="76"/>
  <c r="EE19" i="76"/>
  <c r="ED19" i="76"/>
  <c r="EC19" i="76"/>
  <c r="EB19" i="76"/>
  <c r="EA19" i="76"/>
  <c r="DZ19" i="76"/>
  <c r="DY19" i="76"/>
  <c r="DX19" i="76"/>
  <c r="DW19" i="76"/>
  <c r="DV19" i="76"/>
  <c r="DU19" i="76"/>
  <c r="DT19" i="76"/>
  <c r="DS19" i="76"/>
  <c r="DR19" i="76"/>
  <c r="DQ19" i="76"/>
  <c r="DP19" i="76"/>
  <c r="DO19" i="76"/>
  <c r="DN19" i="76"/>
  <c r="DM19" i="76"/>
  <c r="DL19" i="76"/>
  <c r="DK19" i="76"/>
  <c r="DJ19" i="76"/>
  <c r="DI19" i="76"/>
  <c r="DH19" i="76"/>
  <c r="DG19" i="76"/>
  <c r="DF19" i="76"/>
  <c r="DE19" i="76"/>
  <c r="DD19" i="76"/>
  <c r="DC19" i="76"/>
  <c r="DB19" i="76"/>
  <c r="DA19" i="76"/>
  <c r="CZ19" i="76"/>
  <c r="CY19" i="76"/>
  <c r="CX19" i="76"/>
  <c r="CW19" i="76"/>
  <c r="CV19" i="76"/>
  <c r="CU19" i="76"/>
  <c r="CT19" i="76"/>
  <c r="CS19" i="76"/>
  <c r="CR19" i="76"/>
  <c r="CQ19" i="76"/>
  <c r="CP19" i="76"/>
  <c r="CO19" i="76"/>
  <c r="CN19" i="76"/>
  <c r="CM19" i="76"/>
  <c r="CL19" i="76"/>
  <c r="CK19" i="76"/>
  <c r="CJ19" i="76"/>
  <c r="CI19" i="76"/>
  <c r="CH19" i="76"/>
  <c r="CG19" i="76"/>
  <c r="CF19" i="76"/>
  <c r="CE19" i="76"/>
  <c r="CD19" i="76"/>
  <c r="CC19" i="76"/>
  <c r="CB19" i="76"/>
  <c r="CA19" i="76"/>
  <c r="BZ19" i="76"/>
  <c r="BY19" i="76"/>
  <c r="BX19" i="76"/>
  <c r="BW19" i="76"/>
  <c r="BV19" i="76"/>
  <c r="BU19" i="76"/>
  <c r="BT19" i="76"/>
  <c r="BS19" i="76"/>
  <c r="BR19" i="76"/>
  <c r="BQ19" i="76"/>
  <c r="BP19" i="76"/>
  <c r="BO19" i="76"/>
  <c r="BN19" i="76"/>
  <c r="BM19" i="76"/>
  <c r="BL19" i="76"/>
  <c r="BK19" i="76"/>
  <c r="BJ19" i="76"/>
  <c r="BI19" i="76"/>
  <c r="BH19" i="76"/>
  <c r="BG19" i="76"/>
  <c r="BF19" i="76"/>
  <c r="BE19" i="76"/>
  <c r="BD19" i="76"/>
  <c r="BC19" i="76"/>
  <c r="BB19" i="76"/>
  <c r="BA19" i="76"/>
  <c r="AZ19" i="76"/>
  <c r="AY19" i="76"/>
  <c r="AX19" i="76"/>
  <c r="AW19" i="76"/>
  <c r="AV19" i="76"/>
  <c r="AU19" i="76"/>
  <c r="AT19" i="76"/>
  <c r="AS19" i="76"/>
  <c r="AR19" i="76"/>
  <c r="AQ19" i="76"/>
  <c r="AP19" i="76"/>
  <c r="AO19" i="76"/>
  <c r="AN19" i="76"/>
  <c r="AM19" i="76"/>
  <c r="AL19" i="76"/>
  <c r="AK19" i="76"/>
  <c r="AJ19" i="76"/>
  <c r="AI19" i="76"/>
  <c r="AH19" i="76"/>
  <c r="AG19" i="76"/>
  <c r="AF19" i="76"/>
  <c r="AE19" i="76"/>
  <c r="AD19" i="76"/>
  <c r="AC19" i="76"/>
  <c r="AB19" i="76"/>
  <c r="AA19" i="76"/>
  <c r="Z19" i="76"/>
  <c r="Y19" i="76"/>
  <c r="X19" i="76"/>
  <c r="W19" i="76"/>
  <c r="Q19" i="76"/>
  <c r="K19" i="76"/>
  <c r="A19" i="76"/>
  <c r="MS18" i="76"/>
  <c r="MR18" i="76"/>
  <c r="MQ18" i="76"/>
  <c r="MP18" i="76"/>
  <c r="MO18" i="76"/>
  <c r="MN18" i="76"/>
  <c r="MM18" i="76"/>
  <c r="ML18" i="76"/>
  <c r="MK18" i="76"/>
  <c r="MJ18" i="76"/>
  <c r="MI18" i="76"/>
  <c r="MH18" i="76"/>
  <c r="MG18" i="76"/>
  <c r="MF18" i="76"/>
  <c r="ME18" i="76"/>
  <c r="MD18" i="76"/>
  <c r="MC18" i="76"/>
  <c r="MB18" i="76"/>
  <c r="MA18" i="76"/>
  <c r="LZ18" i="76"/>
  <c r="LY18" i="76"/>
  <c r="LX18" i="76"/>
  <c r="LW18" i="76"/>
  <c r="LV18" i="76"/>
  <c r="LU18" i="76"/>
  <c r="LT18" i="76"/>
  <c r="LS18" i="76"/>
  <c r="LR18" i="76"/>
  <c r="LQ18" i="76"/>
  <c r="LP18" i="76"/>
  <c r="LO18" i="76"/>
  <c r="LN18" i="76"/>
  <c r="LM18" i="76"/>
  <c r="LL18" i="76"/>
  <c r="LK18" i="76"/>
  <c r="LJ18" i="76"/>
  <c r="LI18" i="76"/>
  <c r="LH18" i="76"/>
  <c r="LG18" i="76"/>
  <c r="LF18" i="76"/>
  <c r="LE18" i="76"/>
  <c r="LD18" i="76"/>
  <c r="LC18" i="76"/>
  <c r="LB18" i="76"/>
  <c r="LA18" i="76"/>
  <c r="KZ18" i="76"/>
  <c r="KY18" i="76"/>
  <c r="KX18" i="76"/>
  <c r="KW18" i="76"/>
  <c r="KV18" i="76"/>
  <c r="KU18" i="76"/>
  <c r="KT18" i="76"/>
  <c r="KS18" i="76"/>
  <c r="KR18" i="76"/>
  <c r="KQ18" i="76"/>
  <c r="KP18" i="76"/>
  <c r="KO18" i="76"/>
  <c r="KN18" i="76"/>
  <c r="KM18" i="76"/>
  <c r="KL18" i="76"/>
  <c r="KK18" i="76"/>
  <c r="KJ18" i="76"/>
  <c r="KI18" i="76"/>
  <c r="KH18" i="76"/>
  <c r="KG18" i="76"/>
  <c r="KF18" i="76"/>
  <c r="KE18" i="76"/>
  <c r="KD18" i="76"/>
  <c r="KC18" i="76"/>
  <c r="KB18" i="76"/>
  <c r="KA18" i="76"/>
  <c r="JZ18" i="76"/>
  <c r="JY18" i="76"/>
  <c r="JX18" i="76"/>
  <c r="JW18" i="76"/>
  <c r="JV18" i="76"/>
  <c r="JU18" i="76"/>
  <c r="JT18" i="76"/>
  <c r="JS18" i="76"/>
  <c r="JR18" i="76"/>
  <c r="JQ18" i="76"/>
  <c r="JP18" i="76"/>
  <c r="JO18" i="76"/>
  <c r="JN18" i="76"/>
  <c r="JM18" i="76"/>
  <c r="JL18" i="76"/>
  <c r="JK18" i="76"/>
  <c r="JJ18" i="76"/>
  <c r="JI18" i="76"/>
  <c r="JH18" i="76"/>
  <c r="JG18" i="76"/>
  <c r="JF18" i="76"/>
  <c r="JE18" i="76"/>
  <c r="JD18" i="76"/>
  <c r="JC18" i="76"/>
  <c r="JB18" i="76"/>
  <c r="JA18" i="76"/>
  <c r="IZ18" i="76"/>
  <c r="IY18" i="76"/>
  <c r="IX18" i="76"/>
  <c r="IW18" i="76"/>
  <c r="IV18" i="76"/>
  <c r="IU18" i="76"/>
  <c r="IT18" i="76"/>
  <c r="IS18" i="76"/>
  <c r="IR18" i="76"/>
  <c r="IQ18" i="76"/>
  <c r="IP18" i="76"/>
  <c r="IO18" i="76"/>
  <c r="IN18" i="76"/>
  <c r="IM18" i="76"/>
  <c r="IL18" i="76"/>
  <c r="IK18" i="76"/>
  <c r="IJ18" i="76"/>
  <c r="II18" i="76"/>
  <c r="IH18" i="76"/>
  <c r="IG18" i="76"/>
  <c r="IF18" i="76"/>
  <c r="IE18" i="76"/>
  <c r="ID18" i="76"/>
  <c r="IC18" i="76"/>
  <c r="IB18" i="76"/>
  <c r="IA18" i="76"/>
  <c r="HZ18" i="76"/>
  <c r="HY18" i="76"/>
  <c r="HX18" i="76"/>
  <c r="HW18" i="76"/>
  <c r="HV18" i="76"/>
  <c r="HU18" i="76"/>
  <c r="HT18" i="76"/>
  <c r="HS18" i="76"/>
  <c r="HR18" i="76"/>
  <c r="HQ18" i="76"/>
  <c r="HP18" i="76"/>
  <c r="HO18" i="76"/>
  <c r="HN18" i="76"/>
  <c r="HM18" i="76"/>
  <c r="HL18" i="76"/>
  <c r="HK18" i="76"/>
  <c r="HJ18" i="76"/>
  <c r="HI18" i="76"/>
  <c r="HH18" i="76"/>
  <c r="HG18" i="76"/>
  <c r="HF18" i="76"/>
  <c r="HE18" i="76"/>
  <c r="HD18" i="76"/>
  <c r="HC18" i="76"/>
  <c r="HB18" i="76"/>
  <c r="HA18" i="76"/>
  <c r="GZ18" i="76"/>
  <c r="GY18" i="76"/>
  <c r="GX18" i="76"/>
  <c r="GW18" i="76"/>
  <c r="GV18" i="76"/>
  <c r="GU18" i="76"/>
  <c r="GT18" i="76"/>
  <c r="GS18" i="76"/>
  <c r="GR18" i="76"/>
  <c r="GQ18" i="76"/>
  <c r="GP18" i="76"/>
  <c r="GO18" i="76"/>
  <c r="GN18" i="76"/>
  <c r="GM18" i="76"/>
  <c r="GL18" i="76"/>
  <c r="GK18" i="76"/>
  <c r="GJ18" i="76"/>
  <c r="GI18" i="76"/>
  <c r="GH18" i="76"/>
  <c r="GG18" i="76"/>
  <c r="GF18" i="76"/>
  <c r="GE18" i="76"/>
  <c r="GD18" i="76"/>
  <c r="GC18" i="76"/>
  <c r="GB18" i="76"/>
  <c r="GA18" i="76"/>
  <c r="FZ18" i="76"/>
  <c r="FY18" i="76"/>
  <c r="FX18" i="76"/>
  <c r="FW18" i="76"/>
  <c r="FV18" i="76"/>
  <c r="FU18" i="76"/>
  <c r="FT18" i="76"/>
  <c r="FS18" i="76"/>
  <c r="FR18" i="76"/>
  <c r="FQ18" i="76"/>
  <c r="FP18" i="76"/>
  <c r="FO18" i="76"/>
  <c r="FN18" i="76"/>
  <c r="FM18" i="76"/>
  <c r="FL18" i="76"/>
  <c r="FK18" i="76"/>
  <c r="FJ18" i="76"/>
  <c r="FI18" i="76"/>
  <c r="FH18" i="76"/>
  <c r="FG18" i="76"/>
  <c r="FF18" i="76"/>
  <c r="FE18" i="76"/>
  <c r="FD18" i="76"/>
  <c r="FC18" i="76"/>
  <c r="FB18" i="76"/>
  <c r="FA18" i="76"/>
  <c r="EZ18" i="76"/>
  <c r="EY18" i="76"/>
  <c r="EX18" i="76"/>
  <c r="EW18" i="76"/>
  <c r="EV18" i="76"/>
  <c r="EU18" i="76"/>
  <c r="ET18" i="76"/>
  <c r="ES18" i="76"/>
  <c r="ER18" i="76"/>
  <c r="EQ18" i="76"/>
  <c r="EP18" i="76"/>
  <c r="EO18" i="76"/>
  <c r="EN18" i="76"/>
  <c r="EM18" i="76"/>
  <c r="EL18" i="76"/>
  <c r="EK18" i="76"/>
  <c r="EJ18" i="76"/>
  <c r="EI18" i="76"/>
  <c r="EH18" i="76"/>
  <c r="EG18" i="76"/>
  <c r="EF18" i="76"/>
  <c r="EE18" i="76"/>
  <c r="ED18" i="76"/>
  <c r="EC18" i="76"/>
  <c r="EB18" i="76"/>
  <c r="EA18" i="76"/>
  <c r="DZ18" i="76"/>
  <c r="DY18" i="76"/>
  <c r="DX18" i="76"/>
  <c r="DW18" i="76"/>
  <c r="DV18" i="76"/>
  <c r="DU18" i="76"/>
  <c r="DT18" i="76"/>
  <c r="DS18" i="76"/>
  <c r="DR18" i="76"/>
  <c r="DQ18" i="76"/>
  <c r="DP18" i="76"/>
  <c r="DO18" i="76"/>
  <c r="DN18" i="76"/>
  <c r="DM18" i="76"/>
  <c r="DL18" i="76"/>
  <c r="DK18" i="76"/>
  <c r="DJ18" i="76"/>
  <c r="DI18" i="76"/>
  <c r="DH18" i="76"/>
  <c r="DG18" i="76"/>
  <c r="DF18" i="76"/>
  <c r="DE18" i="76"/>
  <c r="DD18" i="76"/>
  <c r="DC18" i="76"/>
  <c r="DB18" i="76"/>
  <c r="DA18" i="76"/>
  <c r="CZ18" i="76"/>
  <c r="CY18" i="76"/>
  <c r="CX18" i="76"/>
  <c r="CW18" i="76"/>
  <c r="CV18" i="76"/>
  <c r="CU18" i="76"/>
  <c r="CT18" i="76"/>
  <c r="CS18" i="76"/>
  <c r="CR18" i="76"/>
  <c r="CQ18" i="76"/>
  <c r="CP18" i="76"/>
  <c r="CO18" i="76"/>
  <c r="CN18" i="76"/>
  <c r="CM18" i="76"/>
  <c r="CL18" i="76"/>
  <c r="CK18" i="76"/>
  <c r="CJ18" i="76"/>
  <c r="CI18" i="76"/>
  <c r="CH18" i="76"/>
  <c r="CG18" i="76"/>
  <c r="CF18" i="76"/>
  <c r="CE18" i="76"/>
  <c r="CD18" i="76"/>
  <c r="CC18" i="76"/>
  <c r="CB18" i="76"/>
  <c r="CA18" i="76"/>
  <c r="BZ18" i="76"/>
  <c r="BY18" i="76"/>
  <c r="BX18" i="76"/>
  <c r="BW18" i="76"/>
  <c r="BV18" i="76"/>
  <c r="BU18" i="76"/>
  <c r="BT18" i="76"/>
  <c r="BS18" i="76"/>
  <c r="BR18" i="76"/>
  <c r="BQ18" i="76"/>
  <c r="BP18" i="76"/>
  <c r="BO18" i="76"/>
  <c r="BN18" i="76"/>
  <c r="BM18" i="76"/>
  <c r="BL18" i="76"/>
  <c r="BK18" i="76"/>
  <c r="BJ18" i="76"/>
  <c r="BI18" i="76"/>
  <c r="BH18" i="76"/>
  <c r="BG18" i="76"/>
  <c r="BF18" i="76"/>
  <c r="BE18" i="76"/>
  <c r="BD18" i="76"/>
  <c r="BC18" i="76"/>
  <c r="BB18" i="76"/>
  <c r="BA18" i="76"/>
  <c r="AZ18" i="76"/>
  <c r="AY18" i="76"/>
  <c r="AX18" i="76"/>
  <c r="AW18" i="76"/>
  <c r="AV18" i="76"/>
  <c r="AU18" i="76"/>
  <c r="AT18" i="76"/>
  <c r="AS18" i="76"/>
  <c r="AR18" i="76"/>
  <c r="AQ18" i="76"/>
  <c r="AP18" i="76"/>
  <c r="AO18" i="76"/>
  <c r="AN18" i="76"/>
  <c r="AM18" i="76"/>
  <c r="AL18" i="76"/>
  <c r="AK18" i="76"/>
  <c r="AJ18" i="76"/>
  <c r="AI18" i="76"/>
  <c r="AH18" i="76"/>
  <c r="AG18" i="76"/>
  <c r="AF18" i="76"/>
  <c r="AE18" i="76"/>
  <c r="AD18" i="76"/>
  <c r="AC18" i="76"/>
  <c r="AB18" i="76"/>
  <c r="AA18" i="76"/>
  <c r="Z18" i="76"/>
  <c r="Y18" i="76"/>
  <c r="X18" i="76"/>
  <c r="W18" i="76"/>
  <c r="Q18" i="76"/>
  <c r="K18" i="76"/>
  <c r="A18" i="76"/>
  <c r="MS17" i="76"/>
  <c r="MR17" i="76"/>
  <c r="MQ17" i="76"/>
  <c r="MP17" i="76"/>
  <c r="MO17" i="76"/>
  <c r="MN17" i="76"/>
  <c r="MM17" i="76"/>
  <c r="ML17" i="76"/>
  <c r="MK17" i="76"/>
  <c r="MJ17" i="76"/>
  <c r="MI17" i="76"/>
  <c r="MH17" i="76"/>
  <c r="MG17" i="76"/>
  <c r="MF17" i="76"/>
  <c r="ME17" i="76"/>
  <c r="MD17" i="76"/>
  <c r="MC17" i="76"/>
  <c r="MB17" i="76"/>
  <c r="MA17" i="76"/>
  <c r="LZ17" i="76"/>
  <c r="LY17" i="76"/>
  <c r="LX17" i="76"/>
  <c r="LW17" i="76"/>
  <c r="LV17" i="76"/>
  <c r="LU17" i="76"/>
  <c r="LT17" i="76"/>
  <c r="LS17" i="76"/>
  <c r="LR17" i="76"/>
  <c r="LQ17" i="76"/>
  <c r="LP17" i="76"/>
  <c r="LO17" i="76"/>
  <c r="LN17" i="76"/>
  <c r="LM17" i="76"/>
  <c r="LL17" i="76"/>
  <c r="LK17" i="76"/>
  <c r="LJ17" i="76"/>
  <c r="LI17" i="76"/>
  <c r="LH17" i="76"/>
  <c r="LG17" i="76"/>
  <c r="LF17" i="76"/>
  <c r="LE17" i="76"/>
  <c r="LD17" i="76"/>
  <c r="LC17" i="76"/>
  <c r="LB17" i="76"/>
  <c r="LA17" i="76"/>
  <c r="KZ17" i="76"/>
  <c r="KY17" i="76"/>
  <c r="KX17" i="76"/>
  <c r="KW17" i="76"/>
  <c r="KV17" i="76"/>
  <c r="KU17" i="76"/>
  <c r="KT17" i="76"/>
  <c r="KS17" i="76"/>
  <c r="KR17" i="76"/>
  <c r="KQ17" i="76"/>
  <c r="KP17" i="76"/>
  <c r="KO17" i="76"/>
  <c r="KN17" i="76"/>
  <c r="KM17" i="76"/>
  <c r="KL17" i="76"/>
  <c r="KK17" i="76"/>
  <c r="KJ17" i="76"/>
  <c r="KI17" i="76"/>
  <c r="KH17" i="76"/>
  <c r="KG17" i="76"/>
  <c r="KF17" i="76"/>
  <c r="KE17" i="76"/>
  <c r="KD17" i="76"/>
  <c r="KC17" i="76"/>
  <c r="KB17" i="76"/>
  <c r="KA17" i="76"/>
  <c r="JZ17" i="76"/>
  <c r="JY17" i="76"/>
  <c r="JX17" i="76"/>
  <c r="JW17" i="76"/>
  <c r="JV17" i="76"/>
  <c r="JU17" i="76"/>
  <c r="JT17" i="76"/>
  <c r="JS17" i="76"/>
  <c r="JR17" i="76"/>
  <c r="JQ17" i="76"/>
  <c r="JP17" i="76"/>
  <c r="JO17" i="76"/>
  <c r="JN17" i="76"/>
  <c r="JM17" i="76"/>
  <c r="JL17" i="76"/>
  <c r="JK17" i="76"/>
  <c r="JJ17" i="76"/>
  <c r="JI17" i="76"/>
  <c r="JH17" i="76"/>
  <c r="JG17" i="76"/>
  <c r="JF17" i="76"/>
  <c r="JE17" i="76"/>
  <c r="JD17" i="76"/>
  <c r="JC17" i="76"/>
  <c r="JB17" i="76"/>
  <c r="JA17" i="76"/>
  <c r="IZ17" i="76"/>
  <c r="IY17" i="76"/>
  <c r="IX17" i="76"/>
  <c r="IW17" i="76"/>
  <c r="IV17" i="76"/>
  <c r="IU17" i="76"/>
  <c r="IT17" i="76"/>
  <c r="IS17" i="76"/>
  <c r="IR17" i="76"/>
  <c r="IQ17" i="76"/>
  <c r="IP17" i="76"/>
  <c r="IO17" i="76"/>
  <c r="IN17" i="76"/>
  <c r="IM17" i="76"/>
  <c r="IL17" i="76"/>
  <c r="IK17" i="76"/>
  <c r="IJ17" i="76"/>
  <c r="II17" i="76"/>
  <c r="IH17" i="76"/>
  <c r="IG17" i="76"/>
  <c r="IF17" i="76"/>
  <c r="IE17" i="76"/>
  <c r="ID17" i="76"/>
  <c r="IC17" i="76"/>
  <c r="IB17" i="76"/>
  <c r="IA17" i="76"/>
  <c r="HZ17" i="76"/>
  <c r="HY17" i="76"/>
  <c r="HX17" i="76"/>
  <c r="HW17" i="76"/>
  <c r="HV17" i="76"/>
  <c r="HU17" i="76"/>
  <c r="HT17" i="76"/>
  <c r="HS17" i="76"/>
  <c r="HR17" i="76"/>
  <c r="HQ17" i="76"/>
  <c r="HP17" i="76"/>
  <c r="HO17" i="76"/>
  <c r="HN17" i="76"/>
  <c r="HM17" i="76"/>
  <c r="HL17" i="76"/>
  <c r="HK17" i="76"/>
  <c r="HJ17" i="76"/>
  <c r="HI17" i="76"/>
  <c r="HH17" i="76"/>
  <c r="HG17" i="76"/>
  <c r="HF17" i="76"/>
  <c r="HE17" i="76"/>
  <c r="HD17" i="76"/>
  <c r="HC17" i="76"/>
  <c r="HB17" i="76"/>
  <c r="HA17" i="76"/>
  <c r="GZ17" i="76"/>
  <c r="GY17" i="76"/>
  <c r="GX17" i="76"/>
  <c r="GW17" i="76"/>
  <c r="GV17" i="76"/>
  <c r="GU17" i="76"/>
  <c r="GT17" i="76"/>
  <c r="GS17" i="76"/>
  <c r="GR17" i="76"/>
  <c r="GQ17" i="76"/>
  <c r="GP17" i="76"/>
  <c r="GO17" i="76"/>
  <c r="GN17" i="76"/>
  <c r="GM17" i="76"/>
  <c r="GL17" i="76"/>
  <c r="GK17" i="76"/>
  <c r="GJ17" i="76"/>
  <c r="GI17" i="76"/>
  <c r="GH17" i="76"/>
  <c r="GG17" i="76"/>
  <c r="GF17" i="76"/>
  <c r="GE17" i="76"/>
  <c r="GD17" i="76"/>
  <c r="GC17" i="76"/>
  <c r="GB17" i="76"/>
  <c r="GA17" i="76"/>
  <c r="FZ17" i="76"/>
  <c r="FY17" i="76"/>
  <c r="FX17" i="76"/>
  <c r="FW17" i="76"/>
  <c r="FV17" i="76"/>
  <c r="FU17" i="76"/>
  <c r="FT17" i="76"/>
  <c r="FS17" i="76"/>
  <c r="FR17" i="76"/>
  <c r="FQ17" i="76"/>
  <c r="FP17" i="76"/>
  <c r="FO17" i="76"/>
  <c r="FN17" i="76"/>
  <c r="FM17" i="76"/>
  <c r="FL17" i="76"/>
  <c r="FK17" i="76"/>
  <c r="FJ17" i="76"/>
  <c r="FI17" i="76"/>
  <c r="FH17" i="76"/>
  <c r="FG17" i="76"/>
  <c r="FF17" i="76"/>
  <c r="FE17" i="76"/>
  <c r="FD17" i="76"/>
  <c r="FC17" i="76"/>
  <c r="FB17" i="76"/>
  <c r="FA17" i="76"/>
  <c r="EZ17" i="76"/>
  <c r="EY17" i="76"/>
  <c r="EX17" i="76"/>
  <c r="EW17" i="76"/>
  <c r="EV17" i="76"/>
  <c r="EU17" i="76"/>
  <c r="ET17" i="76"/>
  <c r="ES17" i="76"/>
  <c r="ER17" i="76"/>
  <c r="EQ17" i="76"/>
  <c r="EP17" i="76"/>
  <c r="EO17" i="76"/>
  <c r="EN17" i="76"/>
  <c r="EM17" i="76"/>
  <c r="EL17" i="76"/>
  <c r="EK17" i="76"/>
  <c r="EJ17" i="76"/>
  <c r="EI17" i="76"/>
  <c r="EH17" i="76"/>
  <c r="EG17" i="76"/>
  <c r="EF17" i="76"/>
  <c r="EE17" i="76"/>
  <c r="ED17" i="76"/>
  <c r="EC17" i="76"/>
  <c r="EB17" i="76"/>
  <c r="EA17" i="76"/>
  <c r="DZ17" i="76"/>
  <c r="DY17" i="76"/>
  <c r="DX17" i="76"/>
  <c r="DW17" i="76"/>
  <c r="DV17" i="76"/>
  <c r="DU17" i="76"/>
  <c r="DT17" i="76"/>
  <c r="DS17" i="76"/>
  <c r="DR17" i="76"/>
  <c r="DQ17" i="76"/>
  <c r="DP17" i="76"/>
  <c r="DO17" i="76"/>
  <c r="DN17" i="76"/>
  <c r="DM17" i="76"/>
  <c r="DL17" i="76"/>
  <c r="DK17" i="76"/>
  <c r="DJ17" i="76"/>
  <c r="DI17" i="76"/>
  <c r="DH17" i="76"/>
  <c r="DG17" i="76"/>
  <c r="DF17" i="76"/>
  <c r="DE17" i="76"/>
  <c r="DD17" i="76"/>
  <c r="DC17" i="76"/>
  <c r="DB17" i="76"/>
  <c r="DA17" i="76"/>
  <c r="CZ17" i="76"/>
  <c r="CY17" i="76"/>
  <c r="CX17" i="76"/>
  <c r="CW17" i="76"/>
  <c r="CV17" i="76"/>
  <c r="CU17" i="76"/>
  <c r="CT17" i="76"/>
  <c r="CS17" i="76"/>
  <c r="CR17" i="76"/>
  <c r="CQ17" i="76"/>
  <c r="CP17" i="76"/>
  <c r="CO17" i="76"/>
  <c r="CN17" i="76"/>
  <c r="CM17" i="76"/>
  <c r="CL17" i="76"/>
  <c r="CK17" i="76"/>
  <c r="CJ17" i="76"/>
  <c r="CI17" i="76"/>
  <c r="CH17" i="76"/>
  <c r="CG17" i="76"/>
  <c r="CF17" i="76"/>
  <c r="CE17" i="76"/>
  <c r="CD17" i="76"/>
  <c r="CC17" i="76"/>
  <c r="CB17" i="76"/>
  <c r="CA17" i="76"/>
  <c r="BZ17" i="76"/>
  <c r="BY17" i="76"/>
  <c r="BX17" i="76"/>
  <c r="BW17" i="76"/>
  <c r="BV17" i="76"/>
  <c r="BU17" i="76"/>
  <c r="BT17" i="76"/>
  <c r="BS17" i="76"/>
  <c r="BR17" i="76"/>
  <c r="BQ17" i="76"/>
  <c r="BP17" i="76"/>
  <c r="BO17" i="76"/>
  <c r="BN17" i="76"/>
  <c r="BM17" i="76"/>
  <c r="BL17" i="76"/>
  <c r="BK17" i="76"/>
  <c r="BJ17" i="76"/>
  <c r="BI17" i="76"/>
  <c r="BH17" i="76"/>
  <c r="BG17" i="76"/>
  <c r="BF17" i="76"/>
  <c r="BE17" i="76"/>
  <c r="BD17" i="76"/>
  <c r="BC17" i="76"/>
  <c r="BB17" i="76"/>
  <c r="BA17" i="76"/>
  <c r="AZ17" i="76"/>
  <c r="AY17" i="76"/>
  <c r="AX17" i="76"/>
  <c r="AW17" i="76"/>
  <c r="AV17" i="76"/>
  <c r="AU17" i="76"/>
  <c r="AT17" i="76"/>
  <c r="AS17" i="76"/>
  <c r="AR17" i="76"/>
  <c r="AQ17" i="76"/>
  <c r="AP17" i="76"/>
  <c r="AO17" i="76"/>
  <c r="AN17" i="76"/>
  <c r="AM17" i="76"/>
  <c r="AL17" i="76"/>
  <c r="AK17" i="76"/>
  <c r="AJ17" i="76"/>
  <c r="AI17" i="76"/>
  <c r="AH17" i="76"/>
  <c r="AG17" i="76"/>
  <c r="AF17" i="76"/>
  <c r="AE17" i="76"/>
  <c r="AD17" i="76"/>
  <c r="AC17" i="76"/>
  <c r="AB17" i="76"/>
  <c r="AA17" i="76"/>
  <c r="Z17" i="76"/>
  <c r="Y17" i="76"/>
  <c r="X17" i="76"/>
  <c r="W17" i="76"/>
  <c r="Q17" i="76"/>
  <c r="K17" i="76"/>
  <c r="A17" i="76"/>
  <c r="MS16" i="76"/>
  <c r="MR16" i="76"/>
  <c r="MQ16" i="76"/>
  <c r="MP16" i="76"/>
  <c r="MO16" i="76"/>
  <c r="MN16" i="76"/>
  <c r="MM16" i="76"/>
  <c r="ML16" i="76"/>
  <c r="MK16" i="76"/>
  <c r="MJ16" i="76"/>
  <c r="MI16" i="76"/>
  <c r="MH16" i="76"/>
  <c r="MG16" i="76"/>
  <c r="MF16" i="76"/>
  <c r="ME16" i="76"/>
  <c r="MD16" i="76"/>
  <c r="MC16" i="76"/>
  <c r="MB16" i="76"/>
  <c r="MA16" i="76"/>
  <c r="LZ16" i="76"/>
  <c r="LY16" i="76"/>
  <c r="LX16" i="76"/>
  <c r="LW16" i="76"/>
  <c r="LV16" i="76"/>
  <c r="LU16" i="76"/>
  <c r="LT16" i="76"/>
  <c r="LS16" i="76"/>
  <c r="LR16" i="76"/>
  <c r="LQ16" i="76"/>
  <c r="LP16" i="76"/>
  <c r="LO16" i="76"/>
  <c r="LN16" i="76"/>
  <c r="LM16" i="76"/>
  <c r="LL16" i="76"/>
  <c r="LK16" i="76"/>
  <c r="LJ16" i="76"/>
  <c r="LI16" i="76"/>
  <c r="LH16" i="76"/>
  <c r="LG16" i="76"/>
  <c r="LF16" i="76"/>
  <c r="LE16" i="76"/>
  <c r="LD16" i="76"/>
  <c r="LC16" i="76"/>
  <c r="LB16" i="76"/>
  <c r="LA16" i="76"/>
  <c r="KZ16" i="76"/>
  <c r="KY16" i="76"/>
  <c r="KX16" i="76"/>
  <c r="KW16" i="76"/>
  <c r="KV16" i="76"/>
  <c r="KU16" i="76"/>
  <c r="KT16" i="76"/>
  <c r="KS16" i="76"/>
  <c r="KR16" i="76"/>
  <c r="KQ16" i="76"/>
  <c r="KP16" i="76"/>
  <c r="KO16" i="76"/>
  <c r="KN16" i="76"/>
  <c r="KM16" i="76"/>
  <c r="KL16" i="76"/>
  <c r="KK16" i="76"/>
  <c r="KJ16" i="76"/>
  <c r="KI16" i="76"/>
  <c r="KH16" i="76"/>
  <c r="KG16" i="76"/>
  <c r="KF16" i="76"/>
  <c r="KE16" i="76"/>
  <c r="KD16" i="76"/>
  <c r="KC16" i="76"/>
  <c r="KB16" i="76"/>
  <c r="KA16" i="76"/>
  <c r="JZ16" i="76"/>
  <c r="JY16" i="76"/>
  <c r="JX16" i="76"/>
  <c r="JW16" i="76"/>
  <c r="JV16" i="76"/>
  <c r="JU16" i="76"/>
  <c r="JT16" i="76"/>
  <c r="JS16" i="76"/>
  <c r="JR16" i="76"/>
  <c r="JQ16" i="76"/>
  <c r="JP16" i="76"/>
  <c r="JO16" i="76"/>
  <c r="JN16" i="76"/>
  <c r="JM16" i="76"/>
  <c r="JL16" i="76"/>
  <c r="JK16" i="76"/>
  <c r="JJ16" i="76"/>
  <c r="JI16" i="76"/>
  <c r="JH16" i="76"/>
  <c r="JG16" i="76"/>
  <c r="JF16" i="76"/>
  <c r="JE16" i="76"/>
  <c r="JD16" i="76"/>
  <c r="JC16" i="76"/>
  <c r="JB16" i="76"/>
  <c r="JA16" i="76"/>
  <c r="IZ16" i="76"/>
  <c r="IY16" i="76"/>
  <c r="IX16" i="76"/>
  <c r="IW16" i="76"/>
  <c r="IV16" i="76"/>
  <c r="IU16" i="76"/>
  <c r="IT16" i="76"/>
  <c r="IS16" i="76"/>
  <c r="IR16" i="76"/>
  <c r="IQ16" i="76"/>
  <c r="IP16" i="76"/>
  <c r="IO16" i="76"/>
  <c r="IN16" i="76"/>
  <c r="IM16" i="76"/>
  <c r="IL16" i="76"/>
  <c r="IK16" i="76"/>
  <c r="IJ16" i="76"/>
  <c r="II16" i="76"/>
  <c r="IH16" i="76"/>
  <c r="IG16" i="76"/>
  <c r="IF16" i="76"/>
  <c r="IE16" i="76"/>
  <c r="ID16" i="76"/>
  <c r="IC16" i="76"/>
  <c r="IB16" i="76"/>
  <c r="IA16" i="76"/>
  <c r="HZ16" i="76"/>
  <c r="HY16" i="76"/>
  <c r="HX16" i="76"/>
  <c r="HW16" i="76"/>
  <c r="HV16" i="76"/>
  <c r="HU16" i="76"/>
  <c r="HT16" i="76"/>
  <c r="HS16" i="76"/>
  <c r="HR16" i="76"/>
  <c r="HQ16" i="76"/>
  <c r="HP16" i="76"/>
  <c r="HO16" i="76"/>
  <c r="HN16" i="76"/>
  <c r="HM16" i="76"/>
  <c r="HL16" i="76"/>
  <c r="HK16" i="76"/>
  <c r="HJ16" i="76"/>
  <c r="HI16" i="76"/>
  <c r="HH16" i="76"/>
  <c r="HG16" i="76"/>
  <c r="HF16" i="76"/>
  <c r="HE16" i="76"/>
  <c r="HD16" i="76"/>
  <c r="HC16" i="76"/>
  <c r="HB16" i="76"/>
  <c r="HA16" i="76"/>
  <c r="GZ16" i="76"/>
  <c r="GY16" i="76"/>
  <c r="GX16" i="76"/>
  <c r="GW16" i="76"/>
  <c r="GV16" i="76"/>
  <c r="GU16" i="76"/>
  <c r="GT16" i="76"/>
  <c r="GS16" i="76"/>
  <c r="GR16" i="76"/>
  <c r="GQ16" i="76"/>
  <c r="GP16" i="76"/>
  <c r="GO16" i="76"/>
  <c r="GN16" i="76"/>
  <c r="GM16" i="76"/>
  <c r="GL16" i="76"/>
  <c r="GK16" i="76"/>
  <c r="GJ16" i="76"/>
  <c r="GI16" i="76"/>
  <c r="GH16" i="76"/>
  <c r="GG16" i="76"/>
  <c r="GF16" i="76"/>
  <c r="GE16" i="76"/>
  <c r="GD16" i="76"/>
  <c r="GC16" i="76"/>
  <c r="GB16" i="76"/>
  <c r="GA16" i="76"/>
  <c r="FZ16" i="76"/>
  <c r="FY16" i="76"/>
  <c r="FX16" i="76"/>
  <c r="FW16" i="76"/>
  <c r="FV16" i="76"/>
  <c r="FU16" i="76"/>
  <c r="FT16" i="76"/>
  <c r="FS16" i="76"/>
  <c r="FR16" i="76"/>
  <c r="FQ16" i="76"/>
  <c r="FP16" i="76"/>
  <c r="FO16" i="76"/>
  <c r="FN16" i="76"/>
  <c r="FM16" i="76"/>
  <c r="FL16" i="76"/>
  <c r="FK16" i="76"/>
  <c r="FJ16" i="76"/>
  <c r="FI16" i="76"/>
  <c r="FH16" i="76"/>
  <c r="FG16" i="76"/>
  <c r="FF16" i="76"/>
  <c r="FE16" i="76"/>
  <c r="FD16" i="76"/>
  <c r="FC16" i="76"/>
  <c r="FB16" i="76"/>
  <c r="FA16" i="76"/>
  <c r="EZ16" i="76"/>
  <c r="EY16" i="76"/>
  <c r="EX16" i="76"/>
  <c r="EW16" i="76"/>
  <c r="EV16" i="76"/>
  <c r="EU16" i="76"/>
  <c r="ET16" i="76"/>
  <c r="ES16" i="76"/>
  <c r="ER16" i="76"/>
  <c r="EQ16" i="76"/>
  <c r="EP16" i="76"/>
  <c r="EO16" i="76"/>
  <c r="EN16" i="76"/>
  <c r="EM16" i="76"/>
  <c r="EL16" i="76"/>
  <c r="EK16" i="76"/>
  <c r="EJ16" i="76"/>
  <c r="EI16" i="76"/>
  <c r="EH16" i="76"/>
  <c r="EG16" i="76"/>
  <c r="EF16" i="76"/>
  <c r="EE16" i="76"/>
  <c r="ED16" i="76"/>
  <c r="EC16" i="76"/>
  <c r="EB16" i="76"/>
  <c r="EA16" i="76"/>
  <c r="DZ16" i="76"/>
  <c r="DY16" i="76"/>
  <c r="DX16" i="76"/>
  <c r="DW16" i="76"/>
  <c r="DV16" i="76"/>
  <c r="DU16" i="76"/>
  <c r="DT16" i="76"/>
  <c r="DS16" i="76"/>
  <c r="DR16" i="76"/>
  <c r="DQ16" i="76"/>
  <c r="DP16" i="76"/>
  <c r="DO16" i="76"/>
  <c r="DN16" i="76"/>
  <c r="DM16" i="76"/>
  <c r="DL16" i="76"/>
  <c r="DK16" i="76"/>
  <c r="DJ16" i="76"/>
  <c r="DI16" i="76"/>
  <c r="DH16" i="76"/>
  <c r="DG16" i="76"/>
  <c r="DF16" i="76"/>
  <c r="DE16" i="76"/>
  <c r="DD16" i="76"/>
  <c r="DC16" i="76"/>
  <c r="DB16" i="76"/>
  <c r="DA16" i="76"/>
  <c r="CZ16" i="76"/>
  <c r="CY16" i="76"/>
  <c r="CX16" i="76"/>
  <c r="CW16" i="76"/>
  <c r="CV16" i="76"/>
  <c r="CU16" i="76"/>
  <c r="CT16" i="76"/>
  <c r="CS16" i="76"/>
  <c r="CR16" i="76"/>
  <c r="CQ16" i="76"/>
  <c r="CP16" i="76"/>
  <c r="CO16" i="76"/>
  <c r="CN16" i="76"/>
  <c r="CM16" i="76"/>
  <c r="CL16" i="76"/>
  <c r="CK16" i="76"/>
  <c r="CJ16" i="76"/>
  <c r="CI16" i="76"/>
  <c r="CH16" i="76"/>
  <c r="CG16" i="76"/>
  <c r="CF16" i="76"/>
  <c r="CE16" i="76"/>
  <c r="CD16" i="76"/>
  <c r="CC16" i="76"/>
  <c r="CB16" i="76"/>
  <c r="CA16" i="76"/>
  <c r="BZ16" i="76"/>
  <c r="BY16" i="76"/>
  <c r="BX16" i="76"/>
  <c r="BW16" i="76"/>
  <c r="BV16" i="76"/>
  <c r="BU16" i="76"/>
  <c r="BT16" i="76"/>
  <c r="BS16" i="76"/>
  <c r="BR16" i="76"/>
  <c r="BQ16" i="76"/>
  <c r="BP16" i="76"/>
  <c r="BO16" i="76"/>
  <c r="BN16" i="76"/>
  <c r="BM16" i="76"/>
  <c r="BL16" i="76"/>
  <c r="BK16" i="76"/>
  <c r="BJ16" i="76"/>
  <c r="BI16" i="76"/>
  <c r="BH16" i="76"/>
  <c r="BG16" i="76"/>
  <c r="BF16" i="76"/>
  <c r="BE16" i="76"/>
  <c r="BD16" i="76"/>
  <c r="BC16" i="76"/>
  <c r="BB16" i="76"/>
  <c r="BA16" i="76"/>
  <c r="AZ16" i="76"/>
  <c r="AY16" i="76"/>
  <c r="AX16" i="76"/>
  <c r="AW16" i="76"/>
  <c r="AV16" i="76"/>
  <c r="AU16" i="76"/>
  <c r="AT16" i="76"/>
  <c r="AS16" i="76"/>
  <c r="AR16" i="76"/>
  <c r="AQ16" i="76"/>
  <c r="AP16" i="76"/>
  <c r="AO16" i="76"/>
  <c r="AN16" i="76"/>
  <c r="AM16" i="76"/>
  <c r="AL16" i="76"/>
  <c r="AK16" i="76"/>
  <c r="AJ16" i="76"/>
  <c r="AI16" i="76"/>
  <c r="AH16" i="76"/>
  <c r="AG16" i="76"/>
  <c r="AF16" i="76"/>
  <c r="AE16" i="76"/>
  <c r="AD16" i="76"/>
  <c r="AC16" i="76"/>
  <c r="AB16" i="76"/>
  <c r="AA16" i="76"/>
  <c r="Z16" i="76"/>
  <c r="Y16" i="76"/>
  <c r="X16" i="76"/>
  <c r="W16" i="76"/>
  <c r="Q16" i="76"/>
  <c r="K16" i="76"/>
  <c r="A16" i="76"/>
  <c r="MS15" i="76"/>
  <c r="MR15" i="76"/>
  <c r="MQ15" i="76"/>
  <c r="MP15" i="76"/>
  <c r="MO15" i="76"/>
  <c r="MN15" i="76"/>
  <c r="MM15" i="76"/>
  <c r="ML15" i="76"/>
  <c r="MK15" i="76"/>
  <c r="MJ15" i="76"/>
  <c r="MI15" i="76"/>
  <c r="MH15" i="76"/>
  <c r="MG15" i="76"/>
  <c r="MF15" i="76"/>
  <c r="ME15" i="76"/>
  <c r="MD15" i="76"/>
  <c r="MC15" i="76"/>
  <c r="MB15" i="76"/>
  <c r="MA15" i="76"/>
  <c r="LZ15" i="76"/>
  <c r="LY15" i="76"/>
  <c r="LX15" i="76"/>
  <c r="LW15" i="76"/>
  <c r="LV15" i="76"/>
  <c r="LU15" i="76"/>
  <c r="LT15" i="76"/>
  <c r="LS15" i="76"/>
  <c r="LR15" i="76"/>
  <c r="LQ15" i="76"/>
  <c r="LP15" i="76"/>
  <c r="LO15" i="76"/>
  <c r="LN15" i="76"/>
  <c r="LM15" i="76"/>
  <c r="LL15" i="76"/>
  <c r="LK15" i="76"/>
  <c r="LJ15" i="76"/>
  <c r="LI15" i="76"/>
  <c r="LH15" i="76"/>
  <c r="LG15" i="76"/>
  <c r="LF15" i="76"/>
  <c r="LE15" i="76"/>
  <c r="LD15" i="76"/>
  <c r="LC15" i="76"/>
  <c r="LB15" i="76"/>
  <c r="LA15" i="76"/>
  <c r="KZ15" i="76"/>
  <c r="KY15" i="76"/>
  <c r="KX15" i="76"/>
  <c r="KW15" i="76"/>
  <c r="KV15" i="76"/>
  <c r="KU15" i="76"/>
  <c r="KT15" i="76"/>
  <c r="KS15" i="76"/>
  <c r="KR15" i="76"/>
  <c r="KQ15" i="76"/>
  <c r="KP15" i="76"/>
  <c r="KO15" i="76"/>
  <c r="KN15" i="76"/>
  <c r="KM15" i="76"/>
  <c r="KL15" i="76"/>
  <c r="KK15" i="76"/>
  <c r="KJ15" i="76"/>
  <c r="KI15" i="76"/>
  <c r="KH15" i="76"/>
  <c r="KG15" i="76"/>
  <c r="KF15" i="76"/>
  <c r="KE15" i="76"/>
  <c r="KD15" i="76"/>
  <c r="KC15" i="76"/>
  <c r="KB15" i="76"/>
  <c r="KA15" i="76"/>
  <c r="JZ15" i="76"/>
  <c r="JY15" i="76"/>
  <c r="JX15" i="76"/>
  <c r="JW15" i="76"/>
  <c r="JV15" i="76"/>
  <c r="JU15" i="76"/>
  <c r="JT15" i="76"/>
  <c r="JS15" i="76"/>
  <c r="JR15" i="76"/>
  <c r="JQ15" i="76"/>
  <c r="JP15" i="76"/>
  <c r="JO15" i="76"/>
  <c r="JN15" i="76"/>
  <c r="JM15" i="76"/>
  <c r="JL15" i="76"/>
  <c r="JK15" i="76"/>
  <c r="JJ15" i="76"/>
  <c r="JI15" i="76"/>
  <c r="JH15" i="76"/>
  <c r="JG15" i="76"/>
  <c r="JF15" i="76"/>
  <c r="JE15" i="76"/>
  <c r="JD15" i="76"/>
  <c r="JC15" i="76"/>
  <c r="JB15" i="76"/>
  <c r="JA15" i="76"/>
  <c r="IZ15" i="76"/>
  <c r="IY15" i="76"/>
  <c r="IX15" i="76"/>
  <c r="IW15" i="76"/>
  <c r="IV15" i="76"/>
  <c r="IU15" i="76"/>
  <c r="IT15" i="76"/>
  <c r="IS15" i="76"/>
  <c r="IR15" i="76"/>
  <c r="IQ15" i="76"/>
  <c r="IP15" i="76"/>
  <c r="IO15" i="76"/>
  <c r="IN15" i="76"/>
  <c r="IM15" i="76"/>
  <c r="IL15" i="76"/>
  <c r="IK15" i="76"/>
  <c r="IJ15" i="76"/>
  <c r="II15" i="76"/>
  <c r="IH15" i="76"/>
  <c r="IG15" i="76"/>
  <c r="IF15" i="76"/>
  <c r="IE15" i="76"/>
  <c r="ID15" i="76"/>
  <c r="IC15" i="76"/>
  <c r="IB15" i="76"/>
  <c r="IA15" i="76"/>
  <c r="HZ15" i="76"/>
  <c r="HY15" i="76"/>
  <c r="HX15" i="76"/>
  <c r="HW15" i="76"/>
  <c r="HV15" i="76"/>
  <c r="HU15" i="76"/>
  <c r="HT15" i="76"/>
  <c r="HS15" i="76"/>
  <c r="HR15" i="76"/>
  <c r="HQ15" i="76"/>
  <c r="HP15" i="76"/>
  <c r="HO15" i="76"/>
  <c r="HN15" i="76"/>
  <c r="HM15" i="76"/>
  <c r="HL15" i="76"/>
  <c r="HK15" i="76"/>
  <c r="HJ15" i="76"/>
  <c r="HI15" i="76"/>
  <c r="HH15" i="76"/>
  <c r="HG15" i="76"/>
  <c r="HF15" i="76"/>
  <c r="HE15" i="76"/>
  <c r="HD15" i="76"/>
  <c r="HC15" i="76"/>
  <c r="HB15" i="76"/>
  <c r="HA15" i="76"/>
  <c r="GZ15" i="76"/>
  <c r="GY15" i="76"/>
  <c r="GX15" i="76"/>
  <c r="GW15" i="76"/>
  <c r="GV15" i="76"/>
  <c r="GU15" i="76"/>
  <c r="GT15" i="76"/>
  <c r="GS15" i="76"/>
  <c r="GR15" i="76"/>
  <c r="GQ15" i="76"/>
  <c r="GP15" i="76"/>
  <c r="GO15" i="76"/>
  <c r="GN15" i="76"/>
  <c r="GM15" i="76"/>
  <c r="GL15" i="76"/>
  <c r="GK15" i="76"/>
  <c r="GJ15" i="76"/>
  <c r="GI15" i="76"/>
  <c r="GH15" i="76"/>
  <c r="GG15" i="76"/>
  <c r="GF15" i="76"/>
  <c r="GE15" i="76"/>
  <c r="GD15" i="76"/>
  <c r="GC15" i="76"/>
  <c r="GB15" i="76"/>
  <c r="GA15" i="76"/>
  <c r="FZ15" i="76"/>
  <c r="FY15" i="76"/>
  <c r="FX15" i="76"/>
  <c r="FW15" i="76"/>
  <c r="FV15" i="76"/>
  <c r="FU15" i="76"/>
  <c r="FT15" i="76"/>
  <c r="FS15" i="76"/>
  <c r="FR15" i="76"/>
  <c r="FQ15" i="76"/>
  <c r="FP15" i="76"/>
  <c r="FO15" i="76"/>
  <c r="FN15" i="76"/>
  <c r="FM15" i="76"/>
  <c r="FL15" i="76"/>
  <c r="FK15" i="76"/>
  <c r="FJ15" i="76"/>
  <c r="FI15" i="76"/>
  <c r="FH15" i="76"/>
  <c r="FG15" i="76"/>
  <c r="FF15" i="76"/>
  <c r="FE15" i="76"/>
  <c r="FD15" i="76"/>
  <c r="FC15" i="76"/>
  <c r="FB15" i="76"/>
  <c r="FA15" i="76"/>
  <c r="EZ15" i="76"/>
  <c r="EY15" i="76"/>
  <c r="EX15" i="76"/>
  <c r="EW15" i="76"/>
  <c r="EV15" i="76"/>
  <c r="EU15" i="76"/>
  <c r="ET15" i="76"/>
  <c r="ES15" i="76"/>
  <c r="ER15" i="76"/>
  <c r="EQ15" i="76"/>
  <c r="EP15" i="76"/>
  <c r="EO15" i="76"/>
  <c r="EN15" i="76"/>
  <c r="EM15" i="76"/>
  <c r="EL15" i="76"/>
  <c r="EK15" i="76"/>
  <c r="EJ15" i="76"/>
  <c r="EI15" i="76"/>
  <c r="EH15" i="76"/>
  <c r="EG15" i="76"/>
  <c r="EF15" i="76"/>
  <c r="EE15" i="76"/>
  <c r="ED15" i="76"/>
  <c r="EC15" i="76"/>
  <c r="EB15" i="76"/>
  <c r="EA15" i="76"/>
  <c r="DZ15" i="76"/>
  <c r="DY15" i="76"/>
  <c r="DX15" i="76"/>
  <c r="DW15" i="76"/>
  <c r="DV15" i="76"/>
  <c r="DU15" i="76"/>
  <c r="DT15" i="76"/>
  <c r="DS15" i="76"/>
  <c r="DR15" i="76"/>
  <c r="DQ15" i="76"/>
  <c r="DP15" i="76"/>
  <c r="DO15" i="76"/>
  <c r="DN15" i="76"/>
  <c r="DM15" i="76"/>
  <c r="DL15" i="76"/>
  <c r="DK15" i="76"/>
  <c r="DJ15" i="76"/>
  <c r="DI15" i="76"/>
  <c r="DH15" i="76"/>
  <c r="DG15" i="76"/>
  <c r="DF15" i="76"/>
  <c r="DE15" i="76"/>
  <c r="DD15" i="76"/>
  <c r="DC15" i="76"/>
  <c r="DB15" i="76"/>
  <c r="DA15" i="76"/>
  <c r="CZ15" i="76"/>
  <c r="CY15" i="76"/>
  <c r="CX15" i="76"/>
  <c r="CW15" i="76"/>
  <c r="CV15" i="76"/>
  <c r="CU15" i="76"/>
  <c r="CT15" i="76"/>
  <c r="CS15" i="76"/>
  <c r="CR15" i="76"/>
  <c r="CQ15" i="76"/>
  <c r="CP15" i="76"/>
  <c r="CO15" i="76"/>
  <c r="CN15" i="76"/>
  <c r="CM15" i="76"/>
  <c r="CL15" i="76"/>
  <c r="CK15" i="76"/>
  <c r="CJ15" i="76"/>
  <c r="CI15" i="76"/>
  <c r="CH15" i="76"/>
  <c r="CG15" i="76"/>
  <c r="CF15" i="76"/>
  <c r="CE15" i="76"/>
  <c r="CD15" i="76"/>
  <c r="CC15" i="76"/>
  <c r="CB15" i="76"/>
  <c r="CA15" i="76"/>
  <c r="BZ15" i="76"/>
  <c r="BY15" i="76"/>
  <c r="BX15" i="76"/>
  <c r="BW15" i="76"/>
  <c r="BV15" i="76"/>
  <c r="BU15" i="76"/>
  <c r="BT15" i="76"/>
  <c r="BS15" i="76"/>
  <c r="BR15" i="76"/>
  <c r="BQ15" i="76"/>
  <c r="BP15" i="76"/>
  <c r="BO15" i="76"/>
  <c r="BN15" i="76"/>
  <c r="BM15" i="76"/>
  <c r="BL15" i="76"/>
  <c r="BK15" i="76"/>
  <c r="BJ15" i="76"/>
  <c r="BI15" i="76"/>
  <c r="BH15" i="76"/>
  <c r="BG15" i="76"/>
  <c r="BF15" i="76"/>
  <c r="BE15" i="76"/>
  <c r="BD15" i="76"/>
  <c r="BC15" i="76"/>
  <c r="BB15" i="76"/>
  <c r="BA15" i="76"/>
  <c r="AZ15" i="76"/>
  <c r="AY15" i="76"/>
  <c r="AX15" i="76"/>
  <c r="AW15" i="76"/>
  <c r="AV15" i="76"/>
  <c r="AU15" i="76"/>
  <c r="AT15" i="76"/>
  <c r="AS15" i="76"/>
  <c r="AR15" i="76"/>
  <c r="AQ15" i="76"/>
  <c r="AP15" i="76"/>
  <c r="AO15" i="76"/>
  <c r="AN15" i="76"/>
  <c r="AM15" i="76"/>
  <c r="AL15" i="76"/>
  <c r="AK15" i="76"/>
  <c r="AJ15" i="76"/>
  <c r="AI15" i="76"/>
  <c r="AH15" i="76"/>
  <c r="AG15" i="76"/>
  <c r="AF15" i="76"/>
  <c r="AE15" i="76"/>
  <c r="AD15" i="76"/>
  <c r="AC15" i="76"/>
  <c r="AB15" i="76"/>
  <c r="AA15" i="76"/>
  <c r="Z15" i="76"/>
  <c r="Y15" i="76"/>
  <c r="X15" i="76"/>
  <c r="W15" i="76"/>
  <c r="Q15" i="76"/>
  <c r="K15" i="76"/>
  <c r="A15" i="76"/>
  <c r="MS14" i="76"/>
  <c r="MR14" i="76"/>
  <c r="MQ14" i="76"/>
  <c r="MP14" i="76"/>
  <c r="MO14" i="76"/>
  <c r="MN14" i="76"/>
  <c r="MM14" i="76"/>
  <c r="ML14" i="76"/>
  <c r="MK14" i="76"/>
  <c r="MJ14" i="76"/>
  <c r="MI14" i="76"/>
  <c r="MH14" i="76"/>
  <c r="MG14" i="76"/>
  <c r="MF14" i="76"/>
  <c r="ME14" i="76"/>
  <c r="MD14" i="76"/>
  <c r="MC14" i="76"/>
  <c r="MB14" i="76"/>
  <c r="MA14" i="76"/>
  <c r="LZ14" i="76"/>
  <c r="LY14" i="76"/>
  <c r="LX14" i="76"/>
  <c r="LW14" i="76"/>
  <c r="LV14" i="76"/>
  <c r="LU14" i="76"/>
  <c r="LT14" i="76"/>
  <c r="LS14" i="76"/>
  <c r="LR14" i="76"/>
  <c r="LQ14" i="76"/>
  <c r="LP14" i="76"/>
  <c r="LO14" i="76"/>
  <c r="LN14" i="76"/>
  <c r="LM14" i="76"/>
  <c r="LL14" i="76"/>
  <c r="LK14" i="76"/>
  <c r="LJ14" i="76"/>
  <c r="LI14" i="76"/>
  <c r="LH14" i="76"/>
  <c r="LG14" i="76"/>
  <c r="LF14" i="76"/>
  <c r="LE14" i="76"/>
  <c r="LD14" i="76"/>
  <c r="LC14" i="76"/>
  <c r="LB14" i="76"/>
  <c r="LA14" i="76"/>
  <c r="KZ14" i="76"/>
  <c r="KY14" i="76"/>
  <c r="KX14" i="76"/>
  <c r="KW14" i="76"/>
  <c r="KV14" i="76"/>
  <c r="KU14" i="76"/>
  <c r="KT14" i="76"/>
  <c r="KS14" i="76"/>
  <c r="KR14" i="76"/>
  <c r="KQ14" i="76"/>
  <c r="KP14" i="76"/>
  <c r="KO14" i="76"/>
  <c r="KN14" i="76"/>
  <c r="KM14" i="76"/>
  <c r="KL14" i="76"/>
  <c r="KK14" i="76"/>
  <c r="KJ14" i="76"/>
  <c r="KI14" i="76"/>
  <c r="KH14" i="76"/>
  <c r="KG14" i="76"/>
  <c r="KF14" i="76"/>
  <c r="KE14" i="76"/>
  <c r="KD14" i="76"/>
  <c r="KC14" i="76"/>
  <c r="KB14" i="76"/>
  <c r="KA14" i="76"/>
  <c r="JZ14" i="76"/>
  <c r="JY14" i="76"/>
  <c r="JX14" i="76"/>
  <c r="JW14" i="76"/>
  <c r="JV14" i="76"/>
  <c r="JU14" i="76"/>
  <c r="JT14" i="76"/>
  <c r="JS14" i="76"/>
  <c r="JR14" i="76"/>
  <c r="JQ14" i="76"/>
  <c r="JP14" i="76"/>
  <c r="JO14" i="76"/>
  <c r="JN14" i="76"/>
  <c r="JM14" i="76"/>
  <c r="JL14" i="76"/>
  <c r="JK14" i="76"/>
  <c r="JJ14" i="76"/>
  <c r="JI14" i="76"/>
  <c r="JH14" i="76"/>
  <c r="JG14" i="76"/>
  <c r="JF14" i="76"/>
  <c r="JE14" i="76"/>
  <c r="JD14" i="76"/>
  <c r="JC14" i="76"/>
  <c r="JB14" i="76"/>
  <c r="JA14" i="76"/>
  <c r="IZ14" i="76"/>
  <c r="IY14" i="76"/>
  <c r="IX14" i="76"/>
  <c r="IW14" i="76"/>
  <c r="IV14" i="76"/>
  <c r="IU14" i="76"/>
  <c r="IT14" i="76"/>
  <c r="IS14" i="76"/>
  <c r="IR14" i="76"/>
  <c r="IQ14" i="76"/>
  <c r="IP14" i="76"/>
  <c r="IO14" i="76"/>
  <c r="IN14" i="76"/>
  <c r="IM14" i="76"/>
  <c r="IL14" i="76"/>
  <c r="IK14" i="76"/>
  <c r="IJ14" i="76"/>
  <c r="II14" i="76"/>
  <c r="IH14" i="76"/>
  <c r="IG14" i="76"/>
  <c r="IF14" i="76"/>
  <c r="IE14" i="76"/>
  <c r="ID14" i="76"/>
  <c r="IC14" i="76"/>
  <c r="IB14" i="76"/>
  <c r="IA14" i="76"/>
  <c r="HZ14" i="76"/>
  <c r="HY14" i="76"/>
  <c r="HX14" i="76"/>
  <c r="HW14" i="76"/>
  <c r="HV14" i="76"/>
  <c r="HU14" i="76"/>
  <c r="HT14" i="76"/>
  <c r="HS14" i="76"/>
  <c r="HR14" i="76"/>
  <c r="HQ14" i="76"/>
  <c r="HP14" i="76"/>
  <c r="HO14" i="76"/>
  <c r="HN14" i="76"/>
  <c r="HM14" i="76"/>
  <c r="HL14" i="76"/>
  <c r="HK14" i="76"/>
  <c r="HJ14" i="76"/>
  <c r="HI14" i="76"/>
  <c r="HH14" i="76"/>
  <c r="HG14" i="76"/>
  <c r="HF14" i="76"/>
  <c r="HE14" i="76"/>
  <c r="HD14" i="76"/>
  <c r="HC14" i="76"/>
  <c r="HB14" i="76"/>
  <c r="HA14" i="76"/>
  <c r="GZ14" i="76"/>
  <c r="GY14" i="76"/>
  <c r="GX14" i="76"/>
  <c r="GW14" i="76"/>
  <c r="GV14" i="76"/>
  <c r="GU14" i="76"/>
  <c r="GT14" i="76"/>
  <c r="GS14" i="76"/>
  <c r="GR14" i="76"/>
  <c r="GQ14" i="76"/>
  <c r="GP14" i="76"/>
  <c r="GO14" i="76"/>
  <c r="GN14" i="76"/>
  <c r="GM14" i="76"/>
  <c r="GL14" i="76"/>
  <c r="GK14" i="76"/>
  <c r="GJ14" i="76"/>
  <c r="GI14" i="76"/>
  <c r="GH14" i="76"/>
  <c r="GG14" i="76"/>
  <c r="GF14" i="76"/>
  <c r="GE14" i="76"/>
  <c r="GD14" i="76"/>
  <c r="GC14" i="76"/>
  <c r="GB14" i="76"/>
  <c r="GA14" i="76"/>
  <c r="FZ14" i="76"/>
  <c r="FY14" i="76"/>
  <c r="FX14" i="76"/>
  <c r="FW14" i="76"/>
  <c r="FV14" i="76"/>
  <c r="FU14" i="76"/>
  <c r="FT14" i="76"/>
  <c r="FS14" i="76"/>
  <c r="FR14" i="76"/>
  <c r="FQ14" i="76"/>
  <c r="FP14" i="76"/>
  <c r="FO14" i="76"/>
  <c r="FN14" i="76"/>
  <c r="FM14" i="76"/>
  <c r="FL14" i="76"/>
  <c r="FK14" i="76"/>
  <c r="FJ14" i="76"/>
  <c r="FI14" i="76"/>
  <c r="FH14" i="76"/>
  <c r="FG14" i="76"/>
  <c r="FF14" i="76"/>
  <c r="FE14" i="76"/>
  <c r="FD14" i="76"/>
  <c r="FC14" i="76"/>
  <c r="FB14" i="76"/>
  <c r="FA14" i="76"/>
  <c r="EZ14" i="76"/>
  <c r="EY14" i="76"/>
  <c r="EX14" i="76"/>
  <c r="EW14" i="76"/>
  <c r="EV14" i="76"/>
  <c r="EU14" i="76"/>
  <c r="ET14" i="76"/>
  <c r="ES14" i="76"/>
  <c r="ER14" i="76"/>
  <c r="EQ14" i="76"/>
  <c r="EP14" i="76"/>
  <c r="EO14" i="76"/>
  <c r="EN14" i="76"/>
  <c r="EM14" i="76"/>
  <c r="EL14" i="76"/>
  <c r="EK14" i="76"/>
  <c r="EJ14" i="76"/>
  <c r="EI14" i="76"/>
  <c r="EH14" i="76"/>
  <c r="EG14" i="76"/>
  <c r="EF14" i="76"/>
  <c r="EE14" i="76"/>
  <c r="ED14" i="76"/>
  <c r="EC14" i="76"/>
  <c r="EB14" i="76"/>
  <c r="EA14" i="76"/>
  <c r="DZ14" i="76"/>
  <c r="DY14" i="76"/>
  <c r="DX14" i="76"/>
  <c r="DW14" i="76"/>
  <c r="DV14" i="76"/>
  <c r="DU14" i="76"/>
  <c r="DT14" i="76"/>
  <c r="DS14" i="76"/>
  <c r="DR14" i="76"/>
  <c r="DQ14" i="76"/>
  <c r="DP14" i="76"/>
  <c r="DO14" i="76"/>
  <c r="DN14" i="76"/>
  <c r="DM14" i="76"/>
  <c r="DL14" i="76"/>
  <c r="DK14" i="76"/>
  <c r="DJ14" i="76"/>
  <c r="DI14" i="76"/>
  <c r="DH14" i="76"/>
  <c r="DG14" i="76"/>
  <c r="DF14" i="76"/>
  <c r="DE14" i="76"/>
  <c r="DD14" i="76"/>
  <c r="DC14" i="76"/>
  <c r="DB14" i="76"/>
  <c r="DA14" i="76"/>
  <c r="CZ14" i="76"/>
  <c r="CY14" i="76"/>
  <c r="CX14" i="76"/>
  <c r="CW14" i="76"/>
  <c r="CV14" i="76"/>
  <c r="CU14" i="76"/>
  <c r="CT14" i="76"/>
  <c r="CS14" i="76"/>
  <c r="CR14" i="76"/>
  <c r="CQ14" i="76"/>
  <c r="CP14" i="76"/>
  <c r="CO14" i="76"/>
  <c r="CN14" i="76"/>
  <c r="CM14" i="76"/>
  <c r="CL14" i="76"/>
  <c r="CK14" i="76"/>
  <c r="CJ14" i="76"/>
  <c r="CI14" i="76"/>
  <c r="CH14" i="76"/>
  <c r="CG14" i="76"/>
  <c r="CF14" i="76"/>
  <c r="CE14" i="76"/>
  <c r="CD14" i="76"/>
  <c r="CC14" i="76"/>
  <c r="CB14" i="76"/>
  <c r="CA14" i="76"/>
  <c r="BZ14" i="76"/>
  <c r="BY14" i="76"/>
  <c r="BX14" i="76"/>
  <c r="BW14" i="76"/>
  <c r="BV14" i="76"/>
  <c r="BU14" i="76"/>
  <c r="BT14" i="76"/>
  <c r="BS14" i="76"/>
  <c r="BR14" i="76"/>
  <c r="BQ14" i="76"/>
  <c r="BP14" i="76"/>
  <c r="BO14" i="76"/>
  <c r="BN14" i="76"/>
  <c r="BM14" i="76"/>
  <c r="BL14" i="76"/>
  <c r="BK14" i="76"/>
  <c r="BJ14" i="76"/>
  <c r="BI14" i="76"/>
  <c r="BH14" i="76"/>
  <c r="BG14" i="76"/>
  <c r="BF14" i="76"/>
  <c r="BE14" i="76"/>
  <c r="BD14" i="76"/>
  <c r="BC14" i="76"/>
  <c r="BB14" i="76"/>
  <c r="BA14" i="76"/>
  <c r="AZ14" i="76"/>
  <c r="AY14" i="76"/>
  <c r="AX14" i="76"/>
  <c r="AW14" i="76"/>
  <c r="AV14" i="76"/>
  <c r="AU14" i="76"/>
  <c r="AT14" i="76"/>
  <c r="AS14" i="76"/>
  <c r="AR14" i="76"/>
  <c r="AQ14" i="76"/>
  <c r="AP14" i="76"/>
  <c r="AO14" i="76"/>
  <c r="AN14" i="76"/>
  <c r="AM14" i="76"/>
  <c r="AL14" i="76"/>
  <c r="AK14" i="76"/>
  <c r="AJ14" i="76"/>
  <c r="AI14" i="76"/>
  <c r="AH14" i="76"/>
  <c r="AG14" i="76"/>
  <c r="AF14" i="76"/>
  <c r="AE14" i="76"/>
  <c r="AD14" i="76"/>
  <c r="AC14" i="76"/>
  <c r="AB14" i="76"/>
  <c r="AA14" i="76"/>
  <c r="Z14" i="76"/>
  <c r="Y14" i="76"/>
  <c r="X14" i="76"/>
  <c r="W14" i="76"/>
  <c r="Q14" i="76"/>
  <c r="K14" i="76"/>
  <c r="A14" i="76"/>
  <c r="MS13" i="76"/>
  <c r="MR13" i="76"/>
  <c r="MQ13" i="76"/>
  <c r="MP13" i="76"/>
  <c r="MO13" i="76"/>
  <c r="MN13" i="76"/>
  <c r="MM13" i="76"/>
  <c r="ML13" i="76"/>
  <c r="MK13" i="76"/>
  <c r="MJ13" i="76"/>
  <c r="MI13" i="76"/>
  <c r="MH13" i="76"/>
  <c r="MG13" i="76"/>
  <c r="MF13" i="76"/>
  <c r="ME13" i="76"/>
  <c r="MD13" i="76"/>
  <c r="MC13" i="76"/>
  <c r="MB13" i="76"/>
  <c r="MA13" i="76"/>
  <c r="LZ13" i="76"/>
  <c r="LY13" i="76"/>
  <c r="LX13" i="76"/>
  <c r="LW13" i="76"/>
  <c r="LV13" i="76"/>
  <c r="LU13" i="76"/>
  <c r="LT13" i="76"/>
  <c r="LS13" i="76"/>
  <c r="LR13" i="76"/>
  <c r="LQ13" i="76"/>
  <c r="LP13" i="76"/>
  <c r="LO13" i="76"/>
  <c r="LN13" i="76"/>
  <c r="LM13" i="76"/>
  <c r="LL13" i="76"/>
  <c r="LK13" i="76"/>
  <c r="LJ13" i="76"/>
  <c r="LI13" i="76"/>
  <c r="LH13" i="76"/>
  <c r="LG13" i="76"/>
  <c r="LF13" i="76"/>
  <c r="LE13" i="76"/>
  <c r="LD13" i="76"/>
  <c r="LC13" i="76"/>
  <c r="LB13" i="76"/>
  <c r="LA13" i="76"/>
  <c r="KZ13" i="76"/>
  <c r="KY13" i="76"/>
  <c r="KX13" i="76"/>
  <c r="KW13" i="76"/>
  <c r="KV13" i="76"/>
  <c r="KU13" i="76"/>
  <c r="KT13" i="76"/>
  <c r="KS13" i="76"/>
  <c r="KR13" i="76"/>
  <c r="KQ13" i="76"/>
  <c r="KP13" i="76"/>
  <c r="KO13" i="76"/>
  <c r="KN13" i="76"/>
  <c r="KM13" i="76"/>
  <c r="KL13" i="76"/>
  <c r="KK13" i="76"/>
  <c r="KJ13" i="76"/>
  <c r="KI13" i="76"/>
  <c r="KH13" i="76"/>
  <c r="KG13" i="76"/>
  <c r="KF13" i="76"/>
  <c r="KE13" i="76"/>
  <c r="KD13" i="76"/>
  <c r="KC13" i="76"/>
  <c r="KB13" i="76"/>
  <c r="KA13" i="76"/>
  <c r="JZ13" i="76"/>
  <c r="JY13" i="76"/>
  <c r="JX13" i="76"/>
  <c r="JW13" i="76"/>
  <c r="JV13" i="76"/>
  <c r="JU13" i="76"/>
  <c r="JT13" i="76"/>
  <c r="JS13" i="76"/>
  <c r="JR13" i="76"/>
  <c r="JQ13" i="76"/>
  <c r="JP13" i="76"/>
  <c r="JO13" i="76"/>
  <c r="JN13" i="76"/>
  <c r="JM13" i="76"/>
  <c r="JL13" i="76"/>
  <c r="JK13" i="76"/>
  <c r="JJ13" i="76"/>
  <c r="JI13" i="76"/>
  <c r="JH13" i="76"/>
  <c r="JG13" i="76"/>
  <c r="JF13" i="76"/>
  <c r="JE13" i="76"/>
  <c r="JD13" i="76"/>
  <c r="JC13" i="76"/>
  <c r="JB13" i="76"/>
  <c r="JA13" i="76"/>
  <c r="IZ13" i="76"/>
  <c r="IY13" i="76"/>
  <c r="IX13" i="76"/>
  <c r="IW13" i="76"/>
  <c r="IV13" i="76"/>
  <c r="IU13" i="76"/>
  <c r="IT13" i="76"/>
  <c r="IS13" i="76"/>
  <c r="IR13" i="76"/>
  <c r="IQ13" i="76"/>
  <c r="IP13" i="76"/>
  <c r="IO13" i="76"/>
  <c r="IN13" i="76"/>
  <c r="IM13" i="76"/>
  <c r="IL13" i="76"/>
  <c r="IK13" i="76"/>
  <c r="IJ13" i="76"/>
  <c r="II13" i="76"/>
  <c r="IH13" i="76"/>
  <c r="IG13" i="76"/>
  <c r="IF13" i="76"/>
  <c r="IE13" i="76"/>
  <c r="ID13" i="76"/>
  <c r="IC13" i="76"/>
  <c r="IB13" i="76"/>
  <c r="IA13" i="76"/>
  <c r="HZ13" i="76"/>
  <c r="HY13" i="76"/>
  <c r="HX13" i="76"/>
  <c r="HW13" i="76"/>
  <c r="HV13" i="76"/>
  <c r="HU13" i="76"/>
  <c r="HT13" i="76"/>
  <c r="HS13" i="76"/>
  <c r="HR13" i="76"/>
  <c r="HQ13" i="76"/>
  <c r="HP13" i="76"/>
  <c r="HO13" i="76"/>
  <c r="HN13" i="76"/>
  <c r="HM13" i="76"/>
  <c r="HL13" i="76"/>
  <c r="HK13" i="76"/>
  <c r="HJ13" i="76"/>
  <c r="HI13" i="76"/>
  <c r="HH13" i="76"/>
  <c r="HG13" i="76"/>
  <c r="HF13" i="76"/>
  <c r="HE13" i="76"/>
  <c r="HD13" i="76"/>
  <c r="HC13" i="76"/>
  <c r="HB13" i="76"/>
  <c r="HA13" i="76"/>
  <c r="GZ13" i="76"/>
  <c r="GY13" i="76"/>
  <c r="GX13" i="76"/>
  <c r="GW13" i="76"/>
  <c r="GV13" i="76"/>
  <c r="GU13" i="76"/>
  <c r="GT13" i="76"/>
  <c r="GS13" i="76"/>
  <c r="GR13" i="76"/>
  <c r="GQ13" i="76"/>
  <c r="GP13" i="76"/>
  <c r="GO13" i="76"/>
  <c r="GN13" i="76"/>
  <c r="GM13" i="76"/>
  <c r="GL13" i="76"/>
  <c r="GK13" i="76"/>
  <c r="GJ13" i="76"/>
  <c r="GI13" i="76"/>
  <c r="GH13" i="76"/>
  <c r="GG13" i="76"/>
  <c r="GF13" i="76"/>
  <c r="GE13" i="76"/>
  <c r="GD13" i="76"/>
  <c r="GC13" i="76"/>
  <c r="GB13" i="76"/>
  <c r="GA13" i="76"/>
  <c r="FZ13" i="76"/>
  <c r="FY13" i="76"/>
  <c r="FX13" i="76"/>
  <c r="FW13" i="76"/>
  <c r="FV13" i="76"/>
  <c r="FU13" i="76"/>
  <c r="FT13" i="76"/>
  <c r="FS13" i="76"/>
  <c r="FR13" i="76"/>
  <c r="FQ13" i="76"/>
  <c r="FP13" i="76"/>
  <c r="FO13" i="76"/>
  <c r="FN13" i="76"/>
  <c r="FM13" i="76"/>
  <c r="FL13" i="76"/>
  <c r="FK13" i="76"/>
  <c r="FJ13" i="76"/>
  <c r="FI13" i="76"/>
  <c r="FH13" i="76"/>
  <c r="FG13" i="76"/>
  <c r="FF13" i="76"/>
  <c r="FE13" i="76"/>
  <c r="FD13" i="76"/>
  <c r="FC13" i="76"/>
  <c r="FB13" i="76"/>
  <c r="FA13" i="76"/>
  <c r="EZ13" i="76"/>
  <c r="EY13" i="76"/>
  <c r="EX13" i="76"/>
  <c r="EW13" i="76"/>
  <c r="EV13" i="76"/>
  <c r="EU13" i="76"/>
  <c r="ET13" i="76"/>
  <c r="ES13" i="76"/>
  <c r="ER13" i="76"/>
  <c r="EQ13" i="76"/>
  <c r="EP13" i="76"/>
  <c r="EO13" i="76"/>
  <c r="EN13" i="76"/>
  <c r="EM13" i="76"/>
  <c r="EL13" i="76"/>
  <c r="EK13" i="76"/>
  <c r="EJ13" i="76"/>
  <c r="EI13" i="76"/>
  <c r="EH13" i="76"/>
  <c r="EG13" i="76"/>
  <c r="EF13" i="76"/>
  <c r="EE13" i="76"/>
  <c r="ED13" i="76"/>
  <c r="EC13" i="76"/>
  <c r="EB13" i="76"/>
  <c r="EA13" i="76"/>
  <c r="DZ13" i="76"/>
  <c r="DY13" i="76"/>
  <c r="DX13" i="76"/>
  <c r="DW13" i="76"/>
  <c r="DV13" i="76"/>
  <c r="DU13" i="76"/>
  <c r="DT13" i="76"/>
  <c r="DS13" i="76"/>
  <c r="DR13" i="76"/>
  <c r="DQ13" i="76"/>
  <c r="DP13" i="76"/>
  <c r="DO13" i="76"/>
  <c r="DN13" i="76"/>
  <c r="DM13" i="76"/>
  <c r="DL13" i="76"/>
  <c r="DK13" i="76"/>
  <c r="DJ13" i="76"/>
  <c r="DI13" i="76"/>
  <c r="DH13" i="76"/>
  <c r="DG13" i="76"/>
  <c r="DF13" i="76"/>
  <c r="DE13" i="76"/>
  <c r="DD13" i="76"/>
  <c r="DC13" i="76"/>
  <c r="DB13" i="76"/>
  <c r="DA13" i="76"/>
  <c r="CZ13" i="76"/>
  <c r="CY13" i="76"/>
  <c r="CX13" i="76"/>
  <c r="CW13" i="76"/>
  <c r="CV13" i="76"/>
  <c r="CU13" i="76"/>
  <c r="CT13" i="76"/>
  <c r="CS13" i="76"/>
  <c r="CR13" i="76"/>
  <c r="CQ13" i="76"/>
  <c r="CP13" i="76"/>
  <c r="CO13" i="76"/>
  <c r="CN13" i="76"/>
  <c r="CM13" i="76"/>
  <c r="CL13" i="76"/>
  <c r="CK13" i="76"/>
  <c r="CJ13" i="76"/>
  <c r="CI13" i="76"/>
  <c r="CH13" i="76"/>
  <c r="CG13" i="76"/>
  <c r="CF13" i="76"/>
  <c r="CE13" i="76"/>
  <c r="CD13" i="76"/>
  <c r="CC13" i="76"/>
  <c r="CB13" i="76"/>
  <c r="CA13" i="76"/>
  <c r="BZ13" i="76"/>
  <c r="BY13" i="76"/>
  <c r="BX13" i="76"/>
  <c r="BW13" i="76"/>
  <c r="BV13" i="76"/>
  <c r="BU13" i="76"/>
  <c r="BT13" i="76"/>
  <c r="BS13" i="76"/>
  <c r="BR13" i="76"/>
  <c r="BQ13" i="76"/>
  <c r="BP13" i="76"/>
  <c r="BO13" i="76"/>
  <c r="BN13" i="76"/>
  <c r="BM13" i="76"/>
  <c r="BL13" i="76"/>
  <c r="BK13" i="76"/>
  <c r="BJ13" i="76"/>
  <c r="BI13" i="76"/>
  <c r="BH13" i="76"/>
  <c r="BG13" i="76"/>
  <c r="BF13" i="76"/>
  <c r="BE13" i="76"/>
  <c r="BD13" i="76"/>
  <c r="BC13" i="76"/>
  <c r="BB13" i="76"/>
  <c r="BA13" i="76"/>
  <c r="AZ13" i="76"/>
  <c r="AY13" i="76"/>
  <c r="AX13" i="76"/>
  <c r="AW13" i="76"/>
  <c r="AV13" i="76"/>
  <c r="AU13" i="76"/>
  <c r="AT13" i="76"/>
  <c r="AS13" i="76"/>
  <c r="AR13" i="76"/>
  <c r="AQ13" i="76"/>
  <c r="AP13" i="76"/>
  <c r="AO13" i="76"/>
  <c r="AN13" i="76"/>
  <c r="AM13" i="76"/>
  <c r="AL13" i="76"/>
  <c r="AK13" i="76"/>
  <c r="AJ13" i="76"/>
  <c r="AI13" i="76"/>
  <c r="AH13" i="76"/>
  <c r="AG13" i="76"/>
  <c r="AF13" i="76"/>
  <c r="AE13" i="76"/>
  <c r="AD13" i="76"/>
  <c r="AC13" i="76"/>
  <c r="AB13" i="76"/>
  <c r="AA13" i="76"/>
  <c r="Z13" i="76"/>
  <c r="Y13" i="76"/>
  <c r="X13" i="76"/>
  <c r="W13" i="76"/>
  <c r="Q13" i="76"/>
  <c r="K13" i="76"/>
  <c r="A13" i="76"/>
  <c r="MS12" i="76"/>
  <c r="MR12" i="76"/>
  <c r="MQ12" i="76"/>
  <c r="MP12" i="76"/>
  <c r="MO12" i="76"/>
  <c r="MN12" i="76"/>
  <c r="MM12" i="76"/>
  <c r="ML12" i="76"/>
  <c r="MK12" i="76"/>
  <c r="MJ12" i="76"/>
  <c r="MI12" i="76"/>
  <c r="MH12" i="76"/>
  <c r="MG12" i="76"/>
  <c r="MF12" i="76"/>
  <c r="ME12" i="76"/>
  <c r="MD12" i="76"/>
  <c r="MC12" i="76"/>
  <c r="MB12" i="76"/>
  <c r="MA12" i="76"/>
  <c r="LZ12" i="76"/>
  <c r="LY12" i="76"/>
  <c r="LX12" i="76"/>
  <c r="LW12" i="76"/>
  <c r="LV12" i="76"/>
  <c r="LU12" i="76"/>
  <c r="LT12" i="76"/>
  <c r="LS12" i="76"/>
  <c r="LR12" i="76"/>
  <c r="LQ12" i="76"/>
  <c r="LP12" i="76"/>
  <c r="LO12" i="76"/>
  <c r="LN12" i="76"/>
  <c r="LM12" i="76"/>
  <c r="LL12" i="76"/>
  <c r="LK12" i="76"/>
  <c r="LJ12" i="76"/>
  <c r="LI12" i="76"/>
  <c r="LH12" i="76"/>
  <c r="LG12" i="76"/>
  <c r="LF12" i="76"/>
  <c r="LE12" i="76"/>
  <c r="LD12" i="76"/>
  <c r="LC12" i="76"/>
  <c r="LB12" i="76"/>
  <c r="LA12" i="76"/>
  <c r="KZ12" i="76"/>
  <c r="KY12" i="76"/>
  <c r="KX12" i="76"/>
  <c r="KW12" i="76"/>
  <c r="KV12" i="76"/>
  <c r="KU12" i="76"/>
  <c r="KT12" i="76"/>
  <c r="KS12" i="76"/>
  <c r="KR12" i="76"/>
  <c r="KQ12" i="76"/>
  <c r="KP12" i="76"/>
  <c r="KO12" i="76"/>
  <c r="KN12" i="76"/>
  <c r="KM12" i="76"/>
  <c r="KL12" i="76"/>
  <c r="KK12" i="76"/>
  <c r="KJ12" i="76"/>
  <c r="KI12" i="76"/>
  <c r="KH12" i="76"/>
  <c r="KG12" i="76"/>
  <c r="KF12" i="76"/>
  <c r="KE12" i="76"/>
  <c r="KD12" i="76"/>
  <c r="KC12" i="76"/>
  <c r="KB12" i="76"/>
  <c r="KA12" i="76"/>
  <c r="JZ12" i="76"/>
  <c r="JY12" i="76"/>
  <c r="JX12" i="76"/>
  <c r="JW12" i="76"/>
  <c r="JV12" i="76"/>
  <c r="JU12" i="76"/>
  <c r="JT12" i="76"/>
  <c r="JS12" i="76"/>
  <c r="JR12" i="76"/>
  <c r="JQ12" i="76"/>
  <c r="JP12" i="76"/>
  <c r="JO12" i="76"/>
  <c r="JN12" i="76"/>
  <c r="JM12" i="76"/>
  <c r="JL12" i="76"/>
  <c r="JK12" i="76"/>
  <c r="JJ12" i="76"/>
  <c r="JI12" i="76"/>
  <c r="JH12" i="76"/>
  <c r="JG12" i="76"/>
  <c r="JF12" i="76"/>
  <c r="JE12" i="76"/>
  <c r="JD12" i="76"/>
  <c r="JC12" i="76"/>
  <c r="JB12" i="76"/>
  <c r="JA12" i="76"/>
  <c r="IZ12" i="76"/>
  <c r="IY12" i="76"/>
  <c r="IX12" i="76"/>
  <c r="IW12" i="76"/>
  <c r="IV12" i="76"/>
  <c r="IU12" i="76"/>
  <c r="IT12" i="76"/>
  <c r="IS12" i="76"/>
  <c r="IR12" i="76"/>
  <c r="IQ12" i="76"/>
  <c r="IP12" i="76"/>
  <c r="IO12" i="76"/>
  <c r="IN12" i="76"/>
  <c r="IM12" i="76"/>
  <c r="IL12" i="76"/>
  <c r="IK12" i="76"/>
  <c r="IJ12" i="76"/>
  <c r="II12" i="76"/>
  <c r="IH12" i="76"/>
  <c r="IG12" i="76"/>
  <c r="IF12" i="76"/>
  <c r="IE12" i="76"/>
  <c r="ID12" i="76"/>
  <c r="IC12" i="76"/>
  <c r="IB12" i="76"/>
  <c r="IA12" i="76"/>
  <c r="HZ12" i="76"/>
  <c r="HY12" i="76"/>
  <c r="HX12" i="76"/>
  <c r="HW12" i="76"/>
  <c r="HV12" i="76"/>
  <c r="HU12" i="76"/>
  <c r="HT12" i="76"/>
  <c r="HS12" i="76"/>
  <c r="HR12" i="76"/>
  <c r="HQ12" i="76"/>
  <c r="HP12" i="76"/>
  <c r="HO12" i="76"/>
  <c r="HN12" i="76"/>
  <c r="HM12" i="76"/>
  <c r="HL12" i="76"/>
  <c r="HK12" i="76"/>
  <c r="HJ12" i="76"/>
  <c r="HI12" i="76"/>
  <c r="HH12" i="76"/>
  <c r="HG12" i="76"/>
  <c r="HF12" i="76"/>
  <c r="HE12" i="76"/>
  <c r="HD12" i="76"/>
  <c r="HC12" i="76"/>
  <c r="HB12" i="76"/>
  <c r="HA12" i="76"/>
  <c r="GZ12" i="76"/>
  <c r="GY12" i="76"/>
  <c r="GX12" i="76"/>
  <c r="GW12" i="76"/>
  <c r="GV12" i="76"/>
  <c r="GU12" i="76"/>
  <c r="GT12" i="76"/>
  <c r="GS12" i="76"/>
  <c r="GR12" i="76"/>
  <c r="GQ12" i="76"/>
  <c r="GP12" i="76"/>
  <c r="GO12" i="76"/>
  <c r="GN12" i="76"/>
  <c r="GM12" i="76"/>
  <c r="GL12" i="76"/>
  <c r="GK12" i="76"/>
  <c r="GJ12" i="76"/>
  <c r="GI12" i="76"/>
  <c r="GH12" i="76"/>
  <c r="GG12" i="76"/>
  <c r="GF12" i="76"/>
  <c r="GE12" i="76"/>
  <c r="GD12" i="76"/>
  <c r="GC12" i="76"/>
  <c r="GB12" i="76"/>
  <c r="GA12" i="76"/>
  <c r="FZ12" i="76"/>
  <c r="FY12" i="76"/>
  <c r="FX12" i="76"/>
  <c r="FW12" i="76"/>
  <c r="FV12" i="76"/>
  <c r="FU12" i="76"/>
  <c r="FT12" i="76"/>
  <c r="FS12" i="76"/>
  <c r="FR12" i="76"/>
  <c r="FQ12" i="76"/>
  <c r="FP12" i="76"/>
  <c r="FO12" i="76"/>
  <c r="FN12" i="76"/>
  <c r="FM12" i="76"/>
  <c r="FL12" i="76"/>
  <c r="FK12" i="76"/>
  <c r="FJ12" i="76"/>
  <c r="FI12" i="76"/>
  <c r="FH12" i="76"/>
  <c r="FG12" i="76"/>
  <c r="FF12" i="76"/>
  <c r="FE12" i="76"/>
  <c r="FD12" i="76"/>
  <c r="FC12" i="76"/>
  <c r="FB12" i="76"/>
  <c r="FA12" i="76"/>
  <c r="EZ12" i="76"/>
  <c r="EY12" i="76"/>
  <c r="EX12" i="76"/>
  <c r="EW12" i="76"/>
  <c r="EV12" i="76"/>
  <c r="EU12" i="76"/>
  <c r="ET12" i="76"/>
  <c r="ES12" i="76"/>
  <c r="ER12" i="76"/>
  <c r="EQ12" i="76"/>
  <c r="EP12" i="76"/>
  <c r="EO12" i="76"/>
  <c r="EN12" i="76"/>
  <c r="EM12" i="76"/>
  <c r="EL12" i="76"/>
  <c r="EK12" i="76"/>
  <c r="EJ12" i="76"/>
  <c r="EI12" i="76"/>
  <c r="EH12" i="76"/>
  <c r="EG12" i="76"/>
  <c r="EF12" i="76"/>
  <c r="EE12" i="76"/>
  <c r="ED12" i="76"/>
  <c r="EC12" i="76"/>
  <c r="EB12" i="76"/>
  <c r="EA12" i="76"/>
  <c r="DZ12" i="76"/>
  <c r="DY12" i="76"/>
  <c r="DX12" i="76"/>
  <c r="DW12" i="76"/>
  <c r="DV12" i="76"/>
  <c r="DU12" i="76"/>
  <c r="DT12" i="76"/>
  <c r="DS12" i="76"/>
  <c r="DR12" i="76"/>
  <c r="DQ12" i="76"/>
  <c r="DP12" i="76"/>
  <c r="DO12" i="76"/>
  <c r="DN12" i="76"/>
  <c r="DM12" i="76"/>
  <c r="DL12" i="76"/>
  <c r="DK12" i="76"/>
  <c r="DJ12" i="76"/>
  <c r="DI12" i="76"/>
  <c r="DH12" i="76"/>
  <c r="DG12" i="76"/>
  <c r="DF12" i="76"/>
  <c r="DE12" i="76"/>
  <c r="DD12" i="76"/>
  <c r="DC12" i="76"/>
  <c r="DB12" i="76"/>
  <c r="DA12" i="76"/>
  <c r="CZ12" i="76"/>
  <c r="CY12" i="76"/>
  <c r="CX12" i="76"/>
  <c r="CW12" i="76"/>
  <c r="CV12" i="76"/>
  <c r="CU12" i="76"/>
  <c r="CT12" i="76"/>
  <c r="CS12" i="76"/>
  <c r="CR12" i="76"/>
  <c r="CQ12" i="76"/>
  <c r="CP12" i="76"/>
  <c r="CO12" i="76"/>
  <c r="CN12" i="76"/>
  <c r="CM12" i="76"/>
  <c r="CL12" i="76"/>
  <c r="CK12" i="76"/>
  <c r="CJ12" i="76"/>
  <c r="CI12" i="76"/>
  <c r="CH12" i="76"/>
  <c r="CG12" i="76"/>
  <c r="CF12" i="76"/>
  <c r="CE12" i="76"/>
  <c r="CD12" i="76"/>
  <c r="CC12" i="76"/>
  <c r="CB12" i="76"/>
  <c r="CA12" i="76"/>
  <c r="BZ12" i="76"/>
  <c r="BY12" i="76"/>
  <c r="BX12" i="76"/>
  <c r="BW12" i="76"/>
  <c r="BV12" i="76"/>
  <c r="BU12" i="76"/>
  <c r="BT12" i="76"/>
  <c r="BS12" i="76"/>
  <c r="BR12" i="76"/>
  <c r="BQ12" i="76"/>
  <c r="BP12" i="76"/>
  <c r="BO12" i="76"/>
  <c r="BN12" i="76"/>
  <c r="BM12" i="76"/>
  <c r="BL12" i="76"/>
  <c r="BK12" i="76"/>
  <c r="BJ12" i="76"/>
  <c r="BI12" i="76"/>
  <c r="BH12" i="76"/>
  <c r="BG12" i="76"/>
  <c r="BF12" i="76"/>
  <c r="BE12" i="76"/>
  <c r="BD12" i="76"/>
  <c r="BC12" i="76"/>
  <c r="BB12" i="76"/>
  <c r="BA12" i="76"/>
  <c r="AZ12" i="76"/>
  <c r="AY12" i="76"/>
  <c r="AX12" i="76"/>
  <c r="AW12" i="76"/>
  <c r="AV12" i="76"/>
  <c r="AU12" i="76"/>
  <c r="AT12" i="76"/>
  <c r="AS12" i="76"/>
  <c r="AR12" i="76"/>
  <c r="AQ12" i="76"/>
  <c r="AP12" i="76"/>
  <c r="AO12" i="76"/>
  <c r="AN12" i="76"/>
  <c r="AM12" i="76"/>
  <c r="AL12" i="76"/>
  <c r="AK12" i="76"/>
  <c r="AJ12" i="76"/>
  <c r="AI12" i="76"/>
  <c r="AH12" i="76"/>
  <c r="AG12" i="76"/>
  <c r="AF12" i="76"/>
  <c r="AE12" i="76"/>
  <c r="AD12" i="76"/>
  <c r="AC12" i="76"/>
  <c r="AB12" i="76"/>
  <c r="AA12" i="76"/>
  <c r="Z12" i="76"/>
  <c r="Y12" i="76"/>
  <c r="X12" i="76"/>
  <c r="W12" i="76"/>
  <c r="Q12" i="76"/>
  <c r="K12" i="76"/>
  <c r="A12" i="76"/>
  <c r="MS11" i="76"/>
  <c r="MR11" i="76"/>
  <c r="MQ11" i="76"/>
  <c r="MP11" i="76"/>
  <c r="MO11" i="76"/>
  <c r="MN11" i="76"/>
  <c r="MM11" i="76"/>
  <c r="ML11" i="76"/>
  <c r="MK11" i="76"/>
  <c r="MJ11" i="76"/>
  <c r="MI11" i="76"/>
  <c r="MH11" i="76"/>
  <c r="MG11" i="76"/>
  <c r="MF11" i="76"/>
  <c r="ME11" i="76"/>
  <c r="MD11" i="76"/>
  <c r="MC11" i="76"/>
  <c r="MB11" i="76"/>
  <c r="MA11" i="76"/>
  <c r="LZ11" i="76"/>
  <c r="LY11" i="76"/>
  <c r="LX11" i="76"/>
  <c r="LW11" i="76"/>
  <c r="LV11" i="76"/>
  <c r="LU11" i="76"/>
  <c r="LT11" i="76"/>
  <c r="LS11" i="76"/>
  <c r="LR11" i="76"/>
  <c r="LQ11" i="76"/>
  <c r="LP11" i="76"/>
  <c r="LO11" i="76"/>
  <c r="LN11" i="76"/>
  <c r="LM11" i="76"/>
  <c r="LL11" i="76"/>
  <c r="LK11" i="76"/>
  <c r="LJ11" i="76"/>
  <c r="LI11" i="76"/>
  <c r="LH11" i="76"/>
  <c r="LG11" i="76"/>
  <c r="LF11" i="76"/>
  <c r="LE11" i="76"/>
  <c r="LD11" i="76"/>
  <c r="LC11" i="76"/>
  <c r="LB11" i="76"/>
  <c r="LA11" i="76"/>
  <c r="KZ11" i="76"/>
  <c r="KY11" i="76"/>
  <c r="KX11" i="76"/>
  <c r="KW11" i="76"/>
  <c r="KV11" i="76"/>
  <c r="KU11" i="76"/>
  <c r="KT11" i="76"/>
  <c r="KS11" i="76"/>
  <c r="KR11" i="76"/>
  <c r="KQ11" i="76"/>
  <c r="KP11" i="76"/>
  <c r="KO11" i="76"/>
  <c r="KN11" i="76"/>
  <c r="KM11" i="76"/>
  <c r="KL11" i="76"/>
  <c r="KK11" i="76"/>
  <c r="KJ11" i="76"/>
  <c r="KI11" i="76"/>
  <c r="KH11" i="76"/>
  <c r="KG11" i="76"/>
  <c r="KF11" i="76"/>
  <c r="KE11" i="76"/>
  <c r="KD11" i="76"/>
  <c r="KC11" i="76"/>
  <c r="KB11" i="76"/>
  <c r="KA11" i="76"/>
  <c r="JZ11" i="76"/>
  <c r="JY11" i="76"/>
  <c r="JX11" i="76"/>
  <c r="JW11" i="76"/>
  <c r="JV11" i="76"/>
  <c r="JU11" i="76"/>
  <c r="JT11" i="76"/>
  <c r="JS11" i="76"/>
  <c r="JR11" i="76"/>
  <c r="JQ11" i="76"/>
  <c r="JP11" i="76"/>
  <c r="JO11" i="76"/>
  <c r="JN11" i="76"/>
  <c r="JM11" i="76"/>
  <c r="JL11" i="76"/>
  <c r="JK11" i="76"/>
  <c r="JJ11" i="76"/>
  <c r="JI11" i="76"/>
  <c r="JH11" i="76"/>
  <c r="JG11" i="76"/>
  <c r="JF11" i="76"/>
  <c r="JE11" i="76"/>
  <c r="JD11" i="76"/>
  <c r="JC11" i="76"/>
  <c r="JB11" i="76"/>
  <c r="JA11" i="76"/>
  <c r="IZ11" i="76"/>
  <c r="IY11" i="76"/>
  <c r="IX11" i="76"/>
  <c r="IW11" i="76"/>
  <c r="IV11" i="76"/>
  <c r="IU11" i="76"/>
  <c r="IT11" i="76"/>
  <c r="IS11" i="76"/>
  <c r="IR11" i="76"/>
  <c r="IQ11" i="76"/>
  <c r="IP11" i="76"/>
  <c r="IO11" i="76"/>
  <c r="IN11" i="76"/>
  <c r="IM11" i="76"/>
  <c r="IL11" i="76"/>
  <c r="IK11" i="76"/>
  <c r="IJ11" i="76"/>
  <c r="II11" i="76"/>
  <c r="IH11" i="76"/>
  <c r="IG11" i="76"/>
  <c r="IF11" i="76"/>
  <c r="IE11" i="76"/>
  <c r="ID11" i="76"/>
  <c r="IC11" i="76"/>
  <c r="IB11" i="76"/>
  <c r="IA11" i="76"/>
  <c r="HZ11" i="76"/>
  <c r="HY11" i="76"/>
  <c r="HX11" i="76"/>
  <c r="HW11" i="76"/>
  <c r="HV11" i="76"/>
  <c r="HU11" i="76"/>
  <c r="HT11" i="76"/>
  <c r="HS11" i="76"/>
  <c r="HR11" i="76"/>
  <c r="HQ11" i="76"/>
  <c r="HP11" i="76"/>
  <c r="HO11" i="76"/>
  <c r="HN11" i="76"/>
  <c r="HM11" i="76"/>
  <c r="HL11" i="76"/>
  <c r="HK11" i="76"/>
  <c r="HJ11" i="76"/>
  <c r="HI11" i="76"/>
  <c r="HH11" i="76"/>
  <c r="HG11" i="76"/>
  <c r="HF11" i="76"/>
  <c r="HE11" i="76"/>
  <c r="HD11" i="76"/>
  <c r="HC11" i="76"/>
  <c r="HB11" i="76"/>
  <c r="HA11" i="76"/>
  <c r="GZ11" i="76"/>
  <c r="GY11" i="76"/>
  <c r="GX11" i="76"/>
  <c r="GW11" i="76"/>
  <c r="GV11" i="76"/>
  <c r="GU11" i="76"/>
  <c r="GT11" i="76"/>
  <c r="GS11" i="76"/>
  <c r="GR11" i="76"/>
  <c r="GQ11" i="76"/>
  <c r="GP11" i="76"/>
  <c r="GO11" i="76"/>
  <c r="GN11" i="76"/>
  <c r="GM11" i="76"/>
  <c r="GL11" i="76"/>
  <c r="GK11" i="76"/>
  <c r="GJ11" i="76"/>
  <c r="GI11" i="76"/>
  <c r="GH11" i="76"/>
  <c r="GG11" i="76"/>
  <c r="GF11" i="76"/>
  <c r="GE11" i="76"/>
  <c r="GD11" i="76"/>
  <c r="GC11" i="76"/>
  <c r="GB11" i="76"/>
  <c r="GA11" i="76"/>
  <c r="FZ11" i="76"/>
  <c r="FY11" i="76"/>
  <c r="FX11" i="76"/>
  <c r="FW11" i="76"/>
  <c r="FV11" i="76"/>
  <c r="FU11" i="76"/>
  <c r="FT11" i="76"/>
  <c r="FS11" i="76"/>
  <c r="FR11" i="76"/>
  <c r="FQ11" i="76"/>
  <c r="FP11" i="76"/>
  <c r="FO11" i="76"/>
  <c r="FN11" i="76"/>
  <c r="FM11" i="76"/>
  <c r="FL11" i="76"/>
  <c r="FK11" i="76"/>
  <c r="FJ11" i="76"/>
  <c r="FI11" i="76"/>
  <c r="FH11" i="76"/>
  <c r="FG11" i="76"/>
  <c r="FF11" i="76"/>
  <c r="FE11" i="76"/>
  <c r="FD11" i="76"/>
  <c r="FC11" i="76"/>
  <c r="FB11" i="76"/>
  <c r="FA11" i="76"/>
  <c r="EZ11" i="76"/>
  <c r="EY11" i="76"/>
  <c r="EX11" i="76"/>
  <c r="EW11" i="76"/>
  <c r="EV11" i="76"/>
  <c r="EU11" i="76"/>
  <c r="ET11" i="76"/>
  <c r="ES11" i="76"/>
  <c r="ER11" i="76"/>
  <c r="EQ11" i="76"/>
  <c r="EP11" i="76"/>
  <c r="EO11" i="76"/>
  <c r="EN11" i="76"/>
  <c r="EM11" i="76"/>
  <c r="EL11" i="76"/>
  <c r="EK11" i="76"/>
  <c r="EJ11" i="76"/>
  <c r="EI11" i="76"/>
  <c r="EH11" i="76"/>
  <c r="EG11" i="76"/>
  <c r="EF11" i="76"/>
  <c r="EE11" i="76"/>
  <c r="ED11" i="76"/>
  <c r="EC11" i="76"/>
  <c r="EB11" i="76"/>
  <c r="EA11" i="76"/>
  <c r="DZ11" i="76"/>
  <c r="DY11" i="76"/>
  <c r="DX11" i="76"/>
  <c r="DW11" i="76"/>
  <c r="DV11" i="76"/>
  <c r="DU11" i="76"/>
  <c r="DT11" i="76"/>
  <c r="DS11" i="76"/>
  <c r="DR11" i="76"/>
  <c r="DQ11" i="76"/>
  <c r="DP11" i="76"/>
  <c r="DO11" i="76"/>
  <c r="DN11" i="76"/>
  <c r="DM11" i="76"/>
  <c r="DL11" i="76"/>
  <c r="DK11" i="76"/>
  <c r="DJ11" i="76"/>
  <c r="DI11" i="76"/>
  <c r="DH11" i="76"/>
  <c r="DG11" i="76"/>
  <c r="DF11" i="76"/>
  <c r="DE11" i="76"/>
  <c r="DD11" i="76"/>
  <c r="DC11" i="76"/>
  <c r="DB11" i="76"/>
  <c r="DA11" i="76"/>
  <c r="CZ11" i="76"/>
  <c r="CY11" i="76"/>
  <c r="CX11" i="76"/>
  <c r="CW11" i="76"/>
  <c r="CV11" i="76"/>
  <c r="CU11" i="76"/>
  <c r="CT11" i="76"/>
  <c r="CS11" i="76"/>
  <c r="CR11" i="76"/>
  <c r="CQ11" i="76"/>
  <c r="CP11" i="76"/>
  <c r="CO11" i="76"/>
  <c r="CN11" i="76"/>
  <c r="CM11" i="76"/>
  <c r="CL11" i="76"/>
  <c r="CK11" i="76"/>
  <c r="CJ11" i="76"/>
  <c r="CI11" i="76"/>
  <c r="CH11" i="76"/>
  <c r="CG11" i="76"/>
  <c r="CF11" i="76"/>
  <c r="CE11" i="76"/>
  <c r="CD11" i="76"/>
  <c r="CC11" i="76"/>
  <c r="CB11" i="76"/>
  <c r="CA11" i="76"/>
  <c r="BZ11" i="76"/>
  <c r="BY11" i="76"/>
  <c r="BX11" i="76"/>
  <c r="BW11" i="76"/>
  <c r="BV11" i="76"/>
  <c r="BU11" i="76"/>
  <c r="BT11" i="76"/>
  <c r="BS11" i="76"/>
  <c r="BR11" i="76"/>
  <c r="BQ11" i="76"/>
  <c r="BP11" i="76"/>
  <c r="BO11" i="76"/>
  <c r="BN11" i="76"/>
  <c r="BM11" i="76"/>
  <c r="BL11" i="76"/>
  <c r="BK11" i="76"/>
  <c r="BJ11" i="76"/>
  <c r="BI11" i="76"/>
  <c r="BH11" i="76"/>
  <c r="BG11" i="76"/>
  <c r="BF11" i="76"/>
  <c r="BE11" i="76"/>
  <c r="BD11" i="76"/>
  <c r="BC11" i="76"/>
  <c r="BB11" i="76"/>
  <c r="BA11" i="76"/>
  <c r="AZ11" i="76"/>
  <c r="AY11" i="76"/>
  <c r="AX11" i="76"/>
  <c r="AW11" i="76"/>
  <c r="AV11" i="76"/>
  <c r="AU11" i="76"/>
  <c r="AT11" i="76"/>
  <c r="AS11" i="76"/>
  <c r="AR11" i="76"/>
  <c r="AQ11" i="76"/>
  <c r="AP11" i="76"/>
  <c r="AO11" i="76"/>
  <c r="AN11" i="76"/>
  <c r="AM11" i="76"/>
  <c r="AL11" i="76"/>
  <c r="AK11" i="76"/>
  <c r="AJ11" i="76"/>
  <c r="AI11" i="76"/>
  <c r="AH11" i="76"/>
  <c r="AG11" i="76"/>
  <c r="AF11" i="76"/>
  <c r="AE11" i="76"/>
  <c r="AD11" i="76"/>
  <c r="AC11" i="76"/>
  <c r="AB11" i="76"/>
  <c r="AA11" i="76"/>
  <c r="Z11" i="76"/>
  <c r="Y11" i="76"/>
  <c r="X11" i="76"/>
  <c r="W11" i="76"/>
  <c r="Q11" i="76"/>
  <c r="K11" i="76"/>
  <c r="A11" i="76"/>
  <c r="MS10" i="76"/>
  <c r="MR10" i="76"/>
  <c r="MQ10" i="76"/>
  <c r="MP10" i="76"/>
  <c r="MO10" i="76"/>
  <c r="MN10" i="76"/>
  <c r="MM10" i="76"/>
  <c r="ML10" i="76"/>
  <c r="MK10" i="76"/>
  <c r="MJ10" i="76"/>
  <c r="MI10" i="76"/>
  <c r="MH10" i="76"/>
  <c r="MG10" i="76"/>
  <c r="MF10" i="76"/>
  <c r="ME10" i="76"/>
  <c r="MD10" i="76"/>
  <c r="MC10" i="76"/>
  <c r="MB10" i="76"/>
  <c r="MA10" i="76"/>
  <c r="LZ10" i="76"/>
  <c r="LY10" i="76"/>
  <c r="LX10" i="76"/>
  <c r="LW10" i="76"/>
  <c r="LV10" i="76"/>
  <c r="LU10" i="76"/>
  <c r="LT10" i="76"/>
  <c r="LS10" i="76"/>
  <c r="LR10" i="76"/>
  <c r="LQ10" i="76"/>
  <c r="LP10" i="76"/>
  <c r="LO10" i="76"/>
  <c r="LN10" i="76"/>
  <c r="LM10" i="76"/>
  <c r="LL10" i="76"/>
  <c r="LK10" i="76"/>
  <c r="LJ10" i="76"/>
  <c r="LI10" i="76"/>
  <c r="LH10" i="76"/>
  <c r="LG10" i="76"/>
  <c r="LF10" i="76"/>
  <c r="LE10" i="76"/>
  <c r="LD10" i="76"/>
  <c r="LC10" i="76"/>
  <c r="LB10" i="76"/>
  <c r="LA10" i="76"/>
  <c r="KZ10" i="76"/>
  <c r="KY10" i="76"/>
  <c r="KX10" i="76"/>
  <c r="KW10" i="76"/>
  <c r="KV10" i="76"/>
  <c r="KU10" i="76"/>
  <c r="KT10" i="76"/>
  <c r="KS10" i="76"/>
  <c r="KR10" i="76"/>
  <c r="KQ10" i="76"/>
  <c r="KP10" i="76"/>
  <c r="KO10" i="76"/>
  <c r="KN10" i="76"/>
  <c r="KM10" i="76"/>
  <c r="KL10" i="76"/>
  <c r="KK10" i="76"/>
  <c r="KJ10" i="76"/>
  <c r="KI10" i="76"/>
  <c r="KH10" i="76"/>
  <c r="KG10" i="76"/>
  <c r="KF10" i="76"/>
  <c r="KE10" i="76"/>
  <c r="KD10" i="76"/>
  <c r="KC10" i="76"/>
  <c r="KB10" i="76"/>
  <c r="KA10" i="76"/>
  <c r="JZ10" i="76"/>
  <c r="JY10" i="76"/>
  <c r="JX10" i="76"/>
  <c r="JW10" i="76"/>
  <c r="JV10" i="76"/>
  <c r="JU10" i="76"/>
  <c r="JT10" i="76"/>
  <c r="JS10" i="76"/>
  <c r="JR10" i="76"/>
  <c r="JQ10" i="76"/>
  <c r="JP10" i="76"/>
  <c r="JO10" i="76"/>
  <c r="JN10" i="76"/>
  <c r="JM10" i="76"/>
  <c r="JL10" i="76"/>
  <c r="JK10" i="76"/>
  <c r="JJ10" i="76"/>
  <c r="JI10" i="76"/>
  <c r="JH10" i="76"/>
  <c r="JG10" i="76"/>
  <c r="JF10" i="76"/>
  <c r="JE10" i="76"/>
  <c r="JD10" i="76"/>
  <c r="JC10" i="76"/>
  <c r="JB10" i="76"/>
  <c r="JA10" i="76"/>
  <c r="IZ10" i="76"/>
  <c r="IY10" i="76"/>
  <c r="IX10" i="76"/>
  <c r="IW10" i="76"/>
  <c r="IV10" i="76"/>
  <c r="IU10" i="76"/>
  <c r="IT10" i="76"/>
  <c r="IS10" i="76"/>
  <c r="IR10" i="76"/>
  <c r="IQ10" i="76"/>
  <c r="IP10" i="76"/>
  <c r="IO10" i="76"/>
  <c r="IN10" i="76"/>
  <c r="IM10" i="76"/>
  <c r="IL10" i="76"/>
  <c r="IK10" i="76"/>
  <c r="IJ10" i="76"/>
  <c r="II10" i="76"/>
  <c r="IH10" i="76"/>
  <c r="IG10" i="76"/>
  <c r="IF10" i="76"/>
  <c r="IE10" i="76"/>
  <c r="ID10" i="76"/>
  <c r="IC10" i="76"/>
  <c r="IB10" i="76"/>
  <c r="IA10" i="76"/>
  <c r="HZ10" i="76"/>
  <c r="HY10" i="76"/>
  <c r="HX10" i="76"/>
  <c r="HW10" i="76"/>
  <c r="HV10" i="76"/>
  <c r="HU10" i="76"/>
  <c r="HT10" i="76"/>
  <c r="HS10" i="76"/>
  <c r="HR10" i="76"/>
  <c r="HQ10" i="76"/>
  <c r="HP10" i="76"/>
  <c r="HO10" i="76"/>
  <c r="HN10" i="76"/>
  <c r="HM10" i="76"/>
  <c r="HL10" i="76"/>
  <c r="HK10" i="76"/>
  <c r="HJ10" i="76"/>
  <c r="HI10" i="76"/>
  <c r="HH10" i="76"/>
  <c r="HG10" i="76"/>
  <c r="HF10" i="76"/>
  <c r="HE10" i="76"/>
  <c r="HD10" i="76"/>
  <c r="HC10" i="76"/>
  <c r="HB10" i="76"/>
  <c r="HA10" i="76"/>
  <c r="GZ10" i="76"/>
  <c r="GY10" i="76"/>
  <c r="GX10" i="76"/>
  <c r="GW10" i="76"/>
  <c r="GV10" i="76"/>
  <c r="GU10" i="76"/>
  <c r="GT10" i="76"/>
  <c r="GS10" i="76"/>
  <c r="GR10" i="76"/>
  <c r="GQ10" i="76"/>
  <c r="GP10" i="76"/>
  <c r="GO10" i="76"/>
  <c r="GN10" i="76"/>
  <c r="GM10" i="76"/>
  <c r="GL10" i="76"/>
  <c r="GK10" i="76"/>
  <c r="GJ10" i="76"/>
  <c r="GI10" i="76"/>
  <c r="GH10" i="76"/>
  <c r="GG10" i="76"/>
  <c r="GF10" i="76"/>
  <c r="GE10" i="76"/>
  <c r="GD10" i="76"/>
  <c r="GC10" i="76"/>
  <c r="GB10" i="76"/>
  <c r="GA10" i="76"/>
  <c r="FZ10" i="76"/>
  <c r="FY10" i="76"/>
  <c r="FX10" i="76"/>
  <c r="FW10" i="76"/>
  <c r="FV10" i="76"/>
  <c r="FU10" i="76"/>
  <c r="FT10" i="76"/>
  <c r="FS10" i="76"/>
  <c r="FR10" i="76"/>
  <c r="FQ10" i="76"/>
  <c r="FP10" i="76"/>
  <c r="FO10" i="76"/>
  <c r="FN10" i="76"/>
  <c r="FM10" i="76"/>
  <c r="FL10" i="76"/>
  <c r="FK10" i="76"/>
  <c r="FJ10" i="76"/>
  <c r="FI10" i="76"/>
  <c r="FH10" i="76"/>
  <c r="FG10" i="76"/>
  <c r="FF10" i="76"/>
  <c r="FE10" i="76"/>
  <c r="FD10" i="76"/>
  <c r="FC10" i="76"/>
  <c r="FB10" i="76"/>
  <c r="FA10" i="76"/>
  <c r="EZ10" i="76"/>
  <c r="EY10" i="76"/>
  <c r="EX10" i="76"/>
  <c r="EW10" i="76"/>
  <c r="EV10" i="76"/>
  <c r="EU10" i="76"/>
  <c r="ET10" i="76"/>
  <c r="ES10" i="76"/>
  <c r="ER10" i="76"/>
  <c r="EQ10" i="76"/>
  <c r="EP10" i="76"/>
  <c r="EO10" i="76"/>
  <c r="EN10" i="76"/>
  <c r="EM10" i="76"/>
  <c r="EL10" i="76"/>
  <c r="EK10" i="76"/>
  <c r="EJ10" i="76"/>
  <c r="EI10" i="76"/>
  <c r="EH10" i="76"/>
  <c r="EG10" i="76"/>
  <c r="EF10" i="76"/>
  <c r="EE10" i="76"/>
  <c r="ED10" i="76"/>
  <c r="EC10" i="76"/>
  <c r="EB10" i="76"/>
  <c r="EA10" i="76"/>
  <c r="DZ10" i="76"/>
  <c r="DY10" i="76"/>
  <c r="DX10" i="76"/>
  <c r="DW10" i="76"/>
  <c r="DV10" i="76"/>
  <c r="DU10" i="76"/>
  <c r="DT10" i="76"/>
  <c r="DS10" i="76"/>
  <c r="DR10" i="76"/>
  <c r="DQ10" i="76"/>
  <c r="DP10" i="76"/>
  <c r="DO10" i="76"/>
  <c r="DN10" i="76"/>
  <c r="DM10" i="76"/>
  <c r="DL10" i="76"/>
  <c r="DK10" i="76"/>
  <c r="DJ10" i="76"/>
  <c r="DI10" i="76"/>
  <c r="DH10" i="76"/>
  <c r="DG10" i="76"/>
  <c r="DF10" i="76"/>
  <c r="DE10" i="76"/>
  <c r="DD10" i="76"/>
  <c r="DC10" i="76"/>
  <c r="DB10" i="76"/>
  <c r="DA10" i="76"/>
  <c r="CZ10" i="76"/>
  <c r="CY10" i="76"/>
  <c r="CX10" i="76"/>
  <c r="CW10" i="76"/>
  <c r="CV10" i="76"/>
  <c r="CU10" i="76"/>
  <c r="CT10" i="76"/>
  <c r="CS10" i="76"/>
  <c r="CR10" i="76"/>
  <c r="CQ10" i="76"/>
  <c r="CP10" i="76"/>
  <c r="CO10" i="76"/>
  <c r="CN10" i="76"/>
  <c r="CM10" i="76"/>
  <c r="CL10" i="76"/>
  <c r="CK10" i="76"/>
  <c r="CJ10" i="76"/>
  <c r="CI10" i="76"/>
  <c r="CH10" i="76"/>
  <c r="CG10" i="76"/>
  <c r="CF10" i="76"/>
  <c r="CE10" i="76"/>
  <c r="CD10" i="76"/>
  <c r="CC10" i="76"/>
  <c r="CB10" i="76"/>
  <c r="CA10" i="76"/>
  <c r="BZ10" i="76"/>
  <c r="BY10" i="76"/>
  <c r="BX10" i="76"/>
  <c r="BW10" i="76"/>
  <c r="BV10" i="76"/>
  <c r="BU10" i="76"/>
  <c r="BT10" i="76"/>
  <c r="BS10" i="76"/>
  <c r="BR10" i="76"/>
  <c r="BQ10" i="76"/>
  <c r="BP10" i="76"/>
  <c r="BO10" i="76"/>
  <c r="BN10" i="76"/>
  <c r="BM10" i="76"/>
  <c r="BL10" i="76"/>
  <c r="BK10" i="76"/>
  <c r="BJ10" i="76"/>
  <c r="BI10" i="76"/>
  <c r="BH10" i="76"/>
  <c r="BG10" i="76"/>
  <c r="BF10" i="76"/>
  <c r="BE10" i="76"/>
  <c r="BD10" i="76"/>
  <c r="BC10" i="76"/>
  <c r="BB10" i="76"/>
  <c r="BA10" i="76"/>
  <c r="AZ10" i="76"/>
  <c r="AY10" i="76"/>
  <c r="AX10" i="76"/>
  <c r="AW10" i="76"/>
  <c r="AV10" i="76"/>
  <c r="AU10" i="76"/>
  <c r="AT10" i="76"/>
  <c r="AS10" i="76"/>
  <c r="AR10" i="76"/>
  <c r="AQ10" i="76"/>
  <c r="AP10" i="76"/>
  <c r="AO10" i="76"/>
  <c r="AN10" i="76"/>
  <c r="AM10" i="76"/>
  <c r="AL10" i="76"/>
  <c r="AK10" i="76"/>
  <c r="AJ10" i="76"/>
  <c r="AI10" i="76"/>
  <c r="AH10" i="76"/>
  <c r="AG10" i="76"/>
  <c r="AF10" i="76"/>
  <c r="AE10" i="76"/>
  <c r="AD10" i="76"/>
  <c r="AC10" i="76"/>
  <c r="AB10" i="76"/>
  <c r="AA10" i="76"/>
  <c r="Z10" i="76"/>
  <c r="Y10" i="76"/>
  <c r="X10" i="76"/>
  <c r="W10" i="76"/>
  <c r="Q10" i="76"/>
  <c r="K10" i="76"/>
  <c r="A10" i="76"/>
  <c r="U3" i="76"/>
  <c r="U1" i="76"/>
  <c r="M39" i="75"/>
  <c r="L39" i="75"/>
  <c r="K39" i="75"/>
  <c r="J39" i="75"/>
  <c r="I39" i="75"/>
  <c r="M22" i="75"/>
  <c r="L22" i="75"/>
  <c r="K22" i="75"/>
  <c r="J22" i="75"/>
  <c r="I22" i="75"/>
  <c r="AN48" i="76" l="1"/>
  <c r="L59" i="76" s="1"/>
  <c r="BT48" i="76"/>
  <c r="N97" i="76" s="1"/>
  <c r="CZ48" i="76"/>
  <c r="K108" i="76" s="1"/>
  <c r="EN48" i="76"/>
  <c r="K157" i="76" s="1"/>
  <c r="FT48" i="76"/>
  <c r="M164" i="76" s="1"/>
  <c r="GR48" i="76"/>
  <c r="HX48" i="76"/>
  <c r="JD48" i="76"/>
  <c r="K140" i="76" s="1"/>
  <c r="KJ48" i="76"/>
  <c r="M130" i="76" s="1"/>
  <c r="LP48" i="76"/>
  <c r="L13" i="76"/>
  <c r="L584" i="79" s="1"/>
  <c r="K584" i="79"/>
  <c r="L17" i="76"/>
  <c r="L588" i="79" s="1"/>
  <c r="K588" i="79"/>
  <c r="L21" i="76"/>
  <c r="L592" i="79" s="1"/>
  <c r="K592" i="79"/>
  <c r="L25" i="76"/>
  <c r="L596" i="79" s="1"/>
  <c r="K596" i="79"/>
  <c r="L29" i="76"/>
  <c r="L600" i="79" s="1"/>
  <c r="K600" i="79"/>
  <c r="L33" i="76"/>
  <c r="L604" i="79" s="1"/>
  <c r="K604" i="79"/>
  <c r="L37" i="76"/>
  <c r="L608" i="79" s="1"/>
  <c r="K608" i="79"/>
  <c r="L41" i="76"/>
  <c r="L612" i="79" s="1"/>
  <c r="K612" i="79"/>
  <c r="L45" i="76"/>
  <c r="L616" i="79" s="1"/>
  <c r="K616" i="79"/>
  <c r="L10" i="76"/>
  <c r="L581" i="79" s="1"/>
  <c r="K581" i="79"/>
  <c r="L14" i="76"/>
  <c r="L585" i="79" s="1"/>
  <c r="K585" i="79"/>
  <c r="L18" i="76"/>
  <c r="L589" i="79" s="1"/>
  <c r="K589" i="79"/>
  <c r="L22" i="76"/>
  <c r="L593" i="79" s="1"/>
  <c r="K593" i="79"/>
  <c r="L26" i="76"/>
  <c r="L597" i="79" s="1"/>
  <c r="K597" i="79"/>
  <c r="L30" i="76"/>
  <c r="L601" i="79" s="1"/>
  <c r="K601" i="79"/>
  <c r="L34" i="76"/>
  <c r="L605" i="79" s="1"/>
  <c r="K605" i="79"/>
  <c r="L38" i="76"/>
  <c r="L609" i="79" s="1"/>
  <c r="K609" i="79"/>
  <c r="L42" i="76"/>
  <c r="L613" i="79" s="1"/>
  <c r="K613" i="79"/>
  <c r="L46" i="76"/>
  <c r="L617" i="79" s="1"/>
  <c r="K617" i="79"/>
  <c r="L11" i="76"/>
  <c r="L582" i="79" s="1"/>
  <c r="K582" i="79"/>
  <c r="L15" i="76"/>
  <c r="L586" i="79" s="1"/>
  <c r="K586" i="79"/>
  <c r="L19" i="76"/>
  <c r="L590" i="79" s="1"/>
  <c r="K590" i="79"/>
  <c r="L23" i="76"/>
  <c r="L594" i="79" s="1"/>
  <c r="K594" i="79"/>
  <c r="L27" i="76"/>
  <c r="L598" i="79" s="1"/>
  <c r="K598" i="79"/>
  <c r="L31" i="76"/>
  <c r="L602" i="79" s="1"/>
  <c r="K602" i="79"/>
  <c r="L35" i="76"/>
  <c r="L606" i="79" s="1"/>
  <c r="K606" i="79"/>
  <c r="L39" i="76"/>
  <c r="L610" i="79" s="1"/>
  <c r="K610" i="79"/>
  <c r="L43" i="76"/>
  <c r="L614" i="79" s="1"/>
  <c r="K614" i="79"/>
  <c r="L47" i="76"/>
  <c r="L618" i="79" s="1"/>
  <c r="K618" i="79"/>
  <c r="BL48" i="76"/>
  <c r="K98" i="76" s="1"/>
  <c r="CR48" i="76"/>
  <c r="M92" i="76" s="1"/>
  <c r="DX48" i="76"/>
  <c r="J103" i="76" s="1"/>
  <c r="FD48" i="76"/>
  <c r="L160" i="76" s="1"/>
  <c r="GZ48" i="76"/>
  <c r="J116" i="76" s="1"/>
  <c r="IF48" i="76"/>
  <c r="L135" i="76" s="1"/>
  <c r="JL48" i="76"/>
  <c r="N137" i="76" s="1"/>
  <c r="LH48" i="76"/>
  <c r="MN48" i="76"/>
  <c r="AF48" i="76"/>
  <c r="N57" i="76" s="1"/>
  <c r="AV48" i="76"/>
  <c r="J61" i="76" s="1"/>
  <c r="CB48" i="76"/>
  <c r="L95" i="76" s="1"/>
  <c r="DP48" i="76"/>
  <c r="L105" i="76" s="1"/>
  <c r="EV48" i="76"/>
  <c r="N158" i="76" s="1"/>
  <c r="GJ48" i="76"/>
  <c r="N112" i="76" s="1"/>
  <c r="HH48" i="76"/>
  <c r="IN48" i="76"/>
  <c r="J141" i="76" s="1"/>
  <c r="JT48" i="76"/>
  <c r="L127" i="76" s="1"/>
  <c r="KZ48" i="76"/>
  <c r="N133" i="76" s="1"/>
  <c r="MF48" i="76"/>
  <c r="L12" i="76"/>
  <c r="L583" i="79" s="1"/>
  <c r="K583" i="79"/>
  <c r="L16" i="76"/>
  <c r="L587" i="79" s="1"/>
  <c r="K587" i="79"/>
  <c r="L20" i="76"/>
  <c r="L591" i="79" s="1"/>
  <c r="K591" i="79"/>
  <c r="L24" i="76"/>
  <c r="L595" i="79" s="1"/>
  <c r="K595" i="79"/>
  <c r="L28" i="76"/>
  <c r="L599" i="79" s="1"/>
  <c r="K599" i="79"/>
  <c r="L32" i="76"/>
  <c r="L603" i="79" s="1"/>
  <c r="K603" i="79"/>
  <c r="L36" i="76"/>
  <c r="L607" i="79" s="1"/>
  <c r="K607" i="79"/>
  <c r="L40" i="76"/>
  <c r="L611" i="79" s="1"/>
  <c r="K611" i="79"/>
  <c r="L44" i="76"/>
  <c r="L615" i="79" s="1"/>
  <c r="K615" i="79"/>
  <c r="X48" i="76"/>
  <c r="K56" i="76" s="1"/>
  <c r="BD48" i="76"/>
  <c r="M62" i="76" s="1"/>
  <c r="CJ48" i="76"/>
  <c r="J93" i="76" s="1"/>
  <c r="DH48" i="76"/>
  <c r="N107" i="76" s="1"/>
  <c r="EF48" i="76"/>
  <c r="M66" i="76" s="1"/>
  <c r="FL48" i="76"/>
  <c r="J162" i="76" s="1"/>
  <c r="GB48" i="76"/>
  <c r="K166" i="76" s="1"/>
  <c r="HP48" i="76"/>
  <c r="K119" i="76" s="1"/>
  <c r="IV48" i="76"/>
  <c r="M142" i="76" s="1"/>
  <c r="KB48" i="76"/>
  <c r="J129" i="76" s="1"/>
  <c r="KR48" i="76"/>
  <c r="K132" i="76" s="1"/>
  <c r="K151" i="76" s="1"/>
  <c r="L26" i="6" s="1"/>
  <c r="LX48" i="76"/>
  <c r="P227" i="76"/>
  <c r="B20" i="77" s="1"/>
  <c r="B830" i="79" s="1"/>
  <c r="Y48" i="76"/>
  <c r="L56" i="76" s="1"/>
  <c r="AO48" i="76"/>
  <c r="M59" i="76" s="1"/>
  <c r="BE48" i="76"/>
  <c r="N62" i="76" s="1"/>
  <c r="BU48" i="76"/>
  <c r="J96" i="76" s="1"/>
  <c r="CK48" i="76"/>
  <c r="K93" i="76" s="1"/>
  <c r="DA48" i="76"/>
  <c r="L108" i="76" s="1"/>
  <c r="DQ48" i="76"/>
  <c r="M105" i="76" s="1"/>
  <c r="EG48" i="76"/>
  <c r="N66" i="76" s="1"/>
  <c r="EW48" i="76"/>
  <c r="J159" i="76" s="1"/>
  <c r="FM48" i="76"/>
  <c r="K162" i="76" s="1"/>
  <c r="GC48" i="76"/>
  <c r="L166" i="76" s="1"/>
  <c r="GS48" i="76"/>
  <c r="HI48" i="76"/>
  <c r="HY48" i="76"/>
  <c r="IO48" i="76"/>
  <c r="K141" i="76" s="1"/>
  <c r="JE48" i="76"/>
  <c r="L140" i="76" s="1"/>
  <c r="JU48" i="76"/>
  <c r="M127" i="76" s="1"/>
  <c r="KK48" i="76"/>
  <c r="N130" i="76" s="1"/>
  <c r="LI48" i="76"/>
  <c r="LY48" i="76"/>
  <c r="MO48" i="76"/>
  <c r="AG48" i="76"/>
  <c r="J58" i="76" s="1"/>
  <c r="AW48" i="76"/>
  <c r="K61" i="76" s="1"/>
  <c r="BM48" i="76"/>
  <c r="L98" i="76" s="1"/>
  <c r="CC48" i="76"/>
  <c r="M95" i="76" s="1"/>
  <c r="CS48" i="76"/>
  <c r="N92" i="76" s="1"/>
  <c r="DI48" i="76"/>
  <c r="J106" i="76" s="1"/>
  <c r="DY48" i="76"/>
  <c r="K103" i="76" s="1"/>
  <c r="EO48" i="76"/>
  <c r="L157" i="76" s="1"/>
  <c r="FE48" i="76"/>
  <c r="M160" i="76" s="1"/>
  <c r="FU48" i="76"/>
  <c r="N164" i="76" s="1"/>
  <c r="GK48" i="76"/>
  <c r="J113" i="76" s="1"/>
  <c r="HA48" i="76"/>
  <c r="K116" i="76" s="1"/>
  <c r="HQ48" i="76"/>
  <c r="L119" i="76" s="1"/>
  <c r="IG48" i="76"/>
  <c r="M135" i="76" s="1"/>
  <c r="IW48" i="76"/>
  <c r="N142" i="76" s="1"/>
  <c r="JM48" i="76"/>
  <c r="J138" i="76" s="1"/>
  <c r="KC48" i="76"/>
  <c r="K129" i="76" s="1"/>
  <c r="KS48" i="76"/>
  <c r="L132" i="76" s="1"/>
  <c r="L151" i="76" s="1"/>
  <c r="L27" i="6" s="1"/>
  <c r="LA48" i="76"/>
  <c r="J134" i="76" s="1"/>
  <c r="LQ48" i="76"/>
  <c r="MG48" i="76"/>
  <c r="AH48" i="76"/>
  <c r="K58" i="76" s="1"/>
  <c r="CL48" i="76"/>
  <c r="L93" i="76" s="1"/>
  <c r="EH48" i="76"/>
  <c r="J156" i="76" s="1"/>
  <c r="AI48" i="76"/>
  <c r="L58" i="76" s="1"/>
  <c r="AY48" i="76"/>
  <c r="M61" i="76" s="1"/>
  <c r="BG48" i="76"/>
  <c r="K64" i="76" s="1"/>
  <c r="CU48" i="76"/>
  <c r="K109" i="76" s="1"/>
  <c r="EI48" i="76"/>
  <c r="K156" i="76" s="1"/>
  <c r="FW48" i="76"/>
  <c r="HC48" i="76"/>
  <c r="M116" i="76" s="1"/>
  <c r="II48" i="76"/>
  <c r="J136" i="76" s="1"/>
  <c r="A48" i="76"/>
  <c r="A5" i="76" s="1"/>
  <c r="AB48" i="76"/>
  <c r="J57" i="76" s="1"/>
  <c r="AJ48" i="76"/>
  <c r="M58" i="76" s="1"/>
  <c r="AR48" i="76"/>
  <c r="K60" i="76" s="1"/>
  <c r="AZ48" i="76"/>
  <c r="N61" i="76" s="1"/>
  <c r="BH48" i="76"/>
  <c r="L64" i="76" s="1"/>
  <c r="BP48" i="76"/>
  <c r="J97" i="76" s="1"/>
  <c r="BX48" i="76"/>
  <c r="M96" i="76" s="1"/>
  <c r="CF48" i="76"/>
  <c r="K94" i="76" s="1"/>
  <c r="CN48" i="76"/>
  <c r="N93" i="76" s="1"/>
  <c r="CV48" i="76"/>
  <c r="L109" i="76" s="1"/>
  <c r="DD48" i="76"/>
  <c r="J107" i="76" s="1"/>
  <c r="DL48" i="76"/>
  <c r="M106" i="76" s="1"/>
  <c r="DT48" i="76"/>
  <c r="K104" i="76" s="1"/>
  <c r="EB48" i="76"/>
  <c r="N103" i="76" s="1"/>
  <c r="EJ48" i="76"/>
  <c r="L156" i="76" s="1"/>
  <c r="ER48" i="76"/>
  <c r="J158" i="76" s="1"/>
  <c r="EZ48" i="76"/>
  <c r="M159" i="76" s="1"/>
  <c r="FH48" i="76"/>
  <c r="K161" i="76" s="1"/>
  <c r="FP48" i="76"/>
  <c r="N162" i="76" s="1"/>
  <c r="FX48" i="76"/>
  <c r="GF48" i="76"/>
  <c r="J112" i="76" s="1"/>
  <c r="GN48" i="76"/>
  <c r="M113" i="76" s="1"/>
  <c r="GV48" i="76"/>
  <c r="K115" i="76" s="1"/>
  <c r="HD48" i="76"/>
  <c r="N116" i="76" s="1"/>
  <c r="HL48" i="76"/>
  <c r="L118" i="76" s="1"/>
  <c r="HT48" i="76"/>
  <c r="BN48" i="76"/>
  <c r="M98" i="76" s="1"/>
  <c r="DZ48" i="76"/>
  <c r="L103" i="76" s="1"/>
  <c r="BW48" i="76"/>
  <c r="L96" i="76" s="1"/>
  <c r="DS48" i="76"/>
  <c r="J104" i="76" s="1"/>
  <c r="FG48" i="76"/>
  <c r="J161" i="76" s="1"/>
  <c r="GM48" i="76"/>
  <c r="L113" i="76" s="1"/>
  <c r="IA48" i="76"/>
  <c r="AS48" i="76"/>
  <c r="L60" i="76" s="1"/>
  <c r="BI48" i="76"/>
  <c r="M64" i="76" s="1"/>
  <c r="CG48" i="76"/>
  <c r="L94" i="76" s="1"/>
  <c r="DE48" i="76"/>
  <c r="K107" i="76" s="1"/>
  <c r="EK48" i="76"/>
  <c r="M156" i="76" s="1"/>
  <c r="FI48" i="76"/>
  <c r="L161" i="76" s="1"/>
  <c r="GG48" i="76"/>
  <c r="K112" i="76" s="1"/>
  <c r="HM48" i="76"/>
  <c r="M118" i="76" s="1"/>
  <c r="IK48" i="76"/>
  <c r="L136" i="76" s="1"/>
  <c r="JI48" i="76"/>
  <c r="K137" i="76" s="1"/>
  <c r="KG48" i="76"/>
  <c r="J130" i="76" s="1"/>
  <c r="LE48" i="76"/>
  <c r="N134" i="76" s="1"/>
  <c r="MC48" i="76"/>
  <c r="Z48" i="76"/>
  <c r="M56" i="76" s="1"/>
  <c r="AX48" i="76"/>
  <c r="L61" i="76" s="1"/>
  <c r="CT48" i="76"/>
  <c r="J109" i="76" s="1"/>
  <c r="EP48" i="76"/>
  <c r="M157" i="76" s="1"/>
  <c r="CE48" i="76"/>
  <c r="J94" i="76" s="1"/>
  <c r="DK48" i="76"/>
  <c r="L106" i="76" s="1"/>
  <c r="EY48" i="76"/>
  <c r="L159" i="76" s="1"/>
  <c r="GE48" i="76"/>
  <c r="N166" i="76" s="1"/>
  <c r="HS48" i="76"/>
  <c r="N119" i="76" s="1"/>
  <c r="AK48" i="76"/>
  <c r="N58" i="76" s="1"/>
  <c r="BA48" i="76"/>
  <c r="J62" i="76" s="1"/>
  <c r="BY48" i="76"/>
  <c r="N96" i="76" s="1"/>
  <c r="CW48" i="76"/>
  <c r="M109" i="76" s="1"/>
  <c r="DU48" i="76"/>
  <c r="L104" i="76" s="1"/>
  <c r="ES48" i="76"/>
  <c r="K158" i="76" s="1"/>
  <c r="FQ48" i="76"/>
  <c r="J164" i="76" s="1"/>
  <c r="GO48" i="76"/>
  <c r="N113" i="76" s="1"/>
  <c r="HE48" i="76"/>
  <c r="HU48" i="76"/>
  <c r="IS48" i="76"/>
  <c r="J142" i="76" s="1"/>
  <c r="JY48" i="76"/>
  <c r="L128" i="76" s="1"/>
  <c r="KW48" i="76"/>
  <c r="K133" i="76" s="1"/>
  <c r="LU48" i="76"/>
  <c r="MS48" i="76"/>
  <c r="AD48" i="76"/>
  <c r="L57" i="76" s="1"/>
  <c r="AT48" i="76"/>
  <c r="M60" i="76" s="1"/>
  <c r="BJ48" i="76"/>
  <c r="N64" i="76" s="1"/>
  <c r="BZ48" i="76"/>
  <c r="J95" i="76" s="1"/>
  <c r="CP48" i="76"/>
  <c r="K92" i="76" s="1"/>
  <c r="DF48" i="76"/>
  <c r="L107" i="76" s="1"/>
  <c r="DV48" i="76"/>
  <c r="M104" i="76" s="1"/>
  <c r="EL48" i="76"/>
  <c r="N156" i="76" s="1"/>
  <c r="FB48" i="76"/>
  <c r="J160" i="76" s="1"/>
  <c r="FR48" i="76"/>
  <c r="K164" i="76" s="1"/>
  <c r="GH48" i="76"/>
  <c r="L112" i="76" s="1"/>
  <c r="GX48" i="76"/>
  <c r="M115" i="76" s="1"/>
  <c r="HF48" i="76"/>
  <c r="HV48" i="76"/>
  <c r="BV48" i="76"/>
  <c r="K96" i="76" s="1"/>
  <c r="DJ48" i="76"/>
  <c r="K106" i="76" s="1"/>
  <c r="AA48" i="76"/>
  <c r="N56" i="76" s="1"/>
  <c r="BO48" i="76"/>
  <c r="N98" i="76" s="1"/>
  <c r="DC48" i="76"/>
  <c r="N108" i="76" s="1"/>
  <c r="EQ48" i="76"/>
  <c r="N157" i="76" s="1"/>
  <c r="GU48" i="76"/>
  <c r="J115" i="76" s="1"/>
  <c r="IQ48" i="76"/>
  <c r="M141" i="76" s="1"/>
  <c r="AC48" i="76"/>
  <c r="K57" i="76" s="1"/>
  <c r="BQ48" i="76"/>
  <c r="K97" i="76" s="1"/>
  <c r="CO48" i="76"/>
  <c r="J92" i="76" s="1"/>
  <c r="DM48" i="76"/>
  <c r="N106" i="76" s="1"/>
  <c r="EC48" i="76"/>
  <c r="J66" i="76" s="1"/>
  <c r="FA48" i="76"/>
  <c r="N159" i="76" s="1"/>
  <c r="FY48" i="76"/>
  <c r="GW48" i="76"/>
  <c r="L115" i="76" s="1"/>
  <c r="IC48" i="76"/>
  <c r="JA48" i="76"/>
  <c r="M139" i="76" s="1"/>
  <c r="JQ48" i="76"/>
  <c r="N138" i="76" s="1"/>
  <c r="KO48" i="76"/>
  <c r="M131" i="76" s="1"/>
  <c r="M150" i="76" s="1"/>
  <c r="F28" i="6" s="1"/>
  <c r="LM48" i="76"/>
  <c r="MK48" i="76"/>
  <c r="AL48" i="76"/>
  <c r="J59" i="76" s="1"/>
  <c r="BB48" i="76"/>
  <c r="K62" i="76" s="1"/>
  <c r="BR48" i="76"/>
  <c r="L97" i="76" s="1"/>
  <c r="CH48" i="76"/>
  <c r="M94" i="76" s="1"/>
  <c r="CX48" i="76"/>
  <c r="N109" i="76" s="1"/>
  <c r="DN48" i="76"/>
  <c r="J105" i="76" s="1"/>
  <c r="ED48" i="76"/>
  <c r="K66" i="76" s="1"/>
  <c r="ET48" i="76"/>
  <c r="L158" i="76" s="1"/>
  <c r="FJ48" i="76"/>
  <c r="M161" i="76" s="1"/>
  <c r="FZ48" i="76"/>
  <c r="GP48" i="76"/>
  <c r="HN48" i="76"/>
  <c r="N118" i="76" s="1"/>
  <c r="ID48" i="76"/>
  <c r="J135" i="76" s="1"/>
  <c r="W48" i="76"/>
  <c r="J56" i="76" s="1"/>
  <c r="AE48" i="76"/>
  <c r="M57" i="76" s="1"/>
  <c r="AM48" i="76"/>
  <c r="K59" i="76" s="1"/>
  <c r="AU48" i="76"/>
  <c r="N60" i="76" s="1"/>
  <c r="BC48" i="76"/>
  <c r="L62" i="76" s="1"/>
  <c r="BK48" i="76"/>
  <c r="J98" i="76" s="1"/>
  <c r="BS48" i="76"/>
  <c r="M97" i="76" s="1"/>
  <c r="CA48" i="76"/>
  <c r="K95" i="76" s="1"/>
  <c r="CI48" i="76"/>
  <c r="N94" i="76" s="1"/>
  <c r="CQ48" i="76"/>
  <c r="L92" i="76" s="1"/>
  <c r="CY48" i="76"/>
  <c r="J108" i="76" s="1"/>
  <c r="DG48" i="76"/>
  <c r="M107" i="76" s="1"/>
  <c r="DO48" i="76"/>
  <c r="K105" i="76" s="1"/>
  <c r="DW48" i="76"/>
  <c r="N104" i="76" s="1"/>
  <c r="EE48" i="76"/>
  <c r="L66" i="76" s="1"/>
  <c r="EM48" i="76"/>
  <c r="J157" i="76" s="1"/>
  <c r="EU48" i="76"/>
  <c r="M158" i="76" s="1"/>
  <c r="FC48" i="76"/>
  <c r="K160" i="76" s="1"/>
  <c r="FK48" i="76"/>
  <c r="N161" i="76" s="1"/>
  <c r="FS48" i="76"/>
  <c r="L164" i="76" s="1"/>
  <c r="GA48" i="76"/>
  <c r="J166" i="76" s="1"/>
  <c r="GI48" i="76"/>
  <c r="M112" i="76" s="1"/>
  <c r="GQ48" i="76"/>
  <c r="GY48" i="76"/>
  <c r="N115" i="76" s="1"/>
  <c r="HG48" i="76"/>
  <c r="HO48" i="76"/>
  <c r="J119" i="76" s="1"/>
  <c r="HW48" i="76"/>
  <c r="IE48" i="76"/>
  <c r="K135" i="76" s="1"/>
  <c r="IM48" i="76"/>
  <c r="N136" i="76" s="1"/>
  <c r="IU48" i="76"/>
  <c r="L142" i="76" s="1"/>
  <c r="JC48" i="76"/>
  <c r="J140" i="76" s="1"/>
  <c r="JK48" i="76"/>
  <c r="M137" i="76" s="1"/>
  <c r="JS48" i="76"/>
  <c r="K127" i="76" s="1"/>
  <c r="KA48" i="76"/>
  <c r="N128" i="76" s="1"/>
  <c r="KI48" i="76"/>
  <c r="L130" i="76" s="1"/>
  <c r="KQ48" i="76"/>
  <c r="J132" i="76" s="1"/>
  <c r="J151" i="76" s="1"/>
  <c r="L25" i="6" s="1"/>
  <c r="KY48" i="76"/>
  <c r="M133" i="76" s="1"/>
  <c r="LG48" i="76"/>
  <c r="LO48" i="76"/>
  <c r="LW48" i="76"/>
  <c r="ME48" i="76"/>
  <c r="MM48" i="76"/>
  <c r="K152" i="76"/>
  <c r="F33" i="6" s="1"/>
  <c r="AP48" i="76"/>
  <c r="N59" i="76" s="1"/>
  <c r="BF48" i="76"/>
  <c r="J64" i="76" s="1"/>
  <c r="DB48" i="76"/>
  <c r="M108" i="76" s="1"/>
  <c r="EX48" i="76"/>
  <c r="K159" i="76" s="1"/>
  <c r="FF48" i="76"/>
  <c r="N160" i="76" s="1"/>
  <c r="FN48" i="76"/>
  <c r="L162" i="76" s="1"/>
  <c r="FV48" i="76"/>
  <c r="GD48" i="76"/>
  <c r="M166" i="76" s="1"/>
  <c r="GL48" i="76"/>
  <c r="K113" i="76" s="1"/>
  <c r="GT48" i="76"/>
  <c r="HB48" i="76"/>
  <c r="L116" i="76" s="1"/>
  <c r="HJ48" i="76"/>
  <c r="J118" i="76" s="1"/>
  <c r="HR48" i="76"/>
  <c r="M119" i="76" s="1"/>
  <c r="O119" i="76" s="1"/>
  <c r="HZ48" i="76"/>
  <c r="CD48" i="76"/>
  <c r="N95" i="76" s="1"/>
  <c r="DR48" i="76"/>
  <c r="N105" i="76" s="1"/>
  <c r="AQ48" i="76"/>
  <c r="J60" i="76" s="1"/>
  <c r="CM48" i="76"/>
  <c r="M93" i="76" s="1"/>
  <c r="EA48" i="76"/>
  <c r="M103" i="76" s="1"/>
  <c r="FO48" i="76"/>
  <c r="M162" i="76" s="1"/>
  <c r="HK48" i="76"/>
  <c r="K118" i="76" s="1"/>
  <c r="K120" i="76" s="1"/>
  <c r="K144" i="76"/>
  <c r="IH48" i="76"/>
  <c r="N135" i="76" s="1"/>
  <c r="IP48" i="76"/>
  <c r="L141" i="76" s="1"/>
  <c r="IX48" i="76"/>
  <c r="J139" i="76" s="1"/>
  <c r="JF48" i="76"/>
  <c r="M140" i="76" s="1"/>
  <c r="JN48" i="76"/>
  <c r="K138" i="76" s="1"/>
  <c r="JV48" i="76"/>
  <c r="N127" i="76" s="1"/>
  <c r="KD48" i="76"/>
  <c r="L129" i="76" s="1"/>
  <c r="KL48" i="76"/>
  <c r="J131" i="76" s="1"/>
  <c r="KT48" i="76"/>
  <c r="M132" i="76" s="1"/>
  <c r="M151" i="76" s="1"/>
  <c r="L28" i="6" s="1"/>
  <c r="LB48" i="76"/>
  <c r="K134" i="76" s="1"/>
  <c r="LJ48" i="76"/>
  <c r="LR48" i="76"/>
  <c r="LZ48" i="76"/>
  <c r="MH48" i="76"/>
  <c r="MP48" i="76"/>
  <c r="IY48" i="76"/>
  <c r="K139" i="76" s="1"/>
  <c r="JG48" i="76"/>
  <c r="N140" i="76" s="1"/>
  <c r="JO48" i="76"/>
  <c r="L138" i="76" s="1"/>
  <c r="JW48" i="76"/>
  <c r="J128" i="76" s="1"/>
  <c r="KE48" i="76"/>
  <c r="M129" i="76" s="1"/>
  <c r="KM48" i="76"/>
  <c r="K131" i="76" s="1"/>
  <c r="K150" i="76" s="1"/>
  <c r="F26" i="6" s="1"/>
  <c r="KU48" i="76"/>
  <c r="N132" i="76" s="1"/>
  <c r="N151" i="76" s="1"/>
  <c r="L29" i="6" s="1"/>
  <c r="LC48" i="76"/>
  <c r="L134" i="76" s="1"/>
  <c r="LK48" i="76"/>
  <c r="LS48" i="76"/>
  <c r="MA48" i="76"/>
  <c r="MI48" i="76"/>
  <c r="MQ48" i="76"/>
  <c r="IB48" i="76"/>
  <c r="IJ48" i="76"/>
  <c r="K136" i="76" s="1"/>
  <c r="IR48" i="76"/>
  <c r="N141" i="76" s="1"/>
  <c r="IZ48" i="76"/>
  <c r="L139" i="76" s="1"/>
  <c r="JH48" i="76"/>
  <c r="J137" i="76" s="1"/>
  <c r="JP48" i="76"/>
  <c r="M138" i="76" s="1"/>
  <c r="JX48" i="76"/>
  <c r="K128" i="76" s="1"/>
  <c r="KF48" i="76"/>
  <c r="N129" i="76" s="1"/>
  <c r="KN48" i="76"/>
  <c r="L131" i="76" s="1"/>
  <c r="L150" i="76" s="1"/>
  <c r="F27" i="6" s="1"/>
  <c r="KV48" i="76"/>
  <c r="J133" i="76" s="1"/>
  <c r="J152" i="76" s="1"/>
  <c r="F32" i="6" s="1"/>
  <c r="LD48" i="76"/>
  <c r="M134" i="76" s="1"/>
  <c r="M153" i="76" s="1"/>
  <c r="L35" i="6" s="1"/>
  <c r="LL48" i="76"/>
  <c r="LT48" i="76"/>
  <c r="MB48" i="76"/>
  <c r="MJ48" i="76"/>
  <c r="MR48" i="76"/>
  <c r="IL48" i="76"/>
  <c r="M136" i="76" s="1"/>
  <c r="IT48" i="76"/>
  <c r="K142" i="76" s="1"/>
  <c r="JB48" i="76"/>
  <c r="N139" i="76" s="1"/>
  <c r="JJ48" i="76"/>
  <c r="L137" i="76" s="1"/>
  <c r="L148" i="76" s="1"/>
  <c r="F20" i="6" s="1"/>
  <c r="JR48" i="76"/>
  <c r="J127" i="76" s="1"/>
  <c r="JZ48" i="76"/>
  <c r="M128" i="76" s="1"/>
  <c r="KH48" i="76"/>
  <c r="K130" i="76" s="1"/>
  <c r="KP48" i="76"/>
  <c r="N131" i="76" s="1"/>
  <c r="N150" i="76" s="1"/>
  <c r="F29" i="6" s="1"/>
  <c r="KX48" i="76"/>
  <c r="L133" i="76" s="1"/>
  <c r="LF48" i="76"/>
  <c r="LN48" i="76"/>
  <c r="LV48" i="76"/>
  <c r="MD48" i="76"/>
  <c r="ML48" i="76"/>
  <c r="N63" i="76" l="1"/>
  <c r="N114" i="76"/>
  <c r="J117" i="76"/>
  <c r="K117" i="76"/>
  <c r="O98" i="76"/>
  <c r="I57" i="7" s="1"/>
  <c r="I87" i="79" s="1"/>
  <c r="M148" i="76"/>
  <c r="F21" i="6" s="1"/>
  <c r="O156" i="76"/>
  <c r="P51" i="7" s="1"/>
  <c r="K110" i="76"/>
  <c r="N120" i="76"/>
  <c r="O134" i="76"/>
  <c r="N147" i="76"/>
  <c r="L15" i="6" s="1"/>
  <c r="M114" i="76"/>
  <c r="N153" i="76"/>
  <c r="L36" i="6" s="1"/>
  <c r="M146" i="76"/>
  <c r="F14" i="6" s="1"/>
  <c r="O113" i="76"/>
  <c r="O59" i="76"/>
  <c r="L48" i="76"/>
  <c r="L49" i="76" s="1"/>
  <c r="B14" i="77" s="1"/>
  <c r="F14" i="77" s="1"/>
  <c r="F824" i="79" s="1"/>
  <c r="L99" i="76"/>
  <c r="O142" i="76"/>
  <c r="O103" i="76"/>
  <c r="O97" i="76"/>
  <c r="I56" i="7" s="1"/>
  <c r="I86" i="79" s="1"/>
  <c r="O57" i="76"/>
  <c r="N152" i="76"/>
  <c r="F36" i="6" s="1"/>
  <c r="L63" i="76"/>
  <c r="J153" i="76"/>
  <c r="L32" i="6" s="1"/>
  <c r="M152" i="76"/>
  <c r="F35" i="6" s="1"/>
  <c r="O60" i="76"/>
  <c r="K99" i="76"/>
  <c r="K153" i="76"/>
  <c r="L33" i="6" s="1"/>
  <c r="P237" i="76"/>
  <c r="P797" i="79" s="1"/>
  <c r="O237" i="76"/>
  <c r="O797" i="79" s="1"/>
  <c r="O162" i="76"/>
  <c r="P57" i="7" s="1"/>
  <c r="P87" i="79" s="1"/>
  <c r="O108" i="76"/>
  <c r="N163" i="76"/>
  <c r="N165" i="76" s="1"/>
  <c r="N167" i="76" s="1"/>
  <c r="O115" i="76"/>
  <c r="J147" i="76"/>
  <c r="L11" i="6" s="1"/>
  <c r="O157" i="76"/>
  <c r="P52" i="7" s="1"/>
  <c r="P82" i="79" s="1"/>
  <c r="L147" i="76"/>
  <c r="L13" i="6" s="1"/>
  <c r="J120" i="76"/>
  <c r="O160" i="76"/>
  <c r="P55" i="7" s="1"/>
  <c r="P85" i="79" s="1"/>
  <c r="M63" i="76"/>
  <c r="O66" i="76"/>
  <c r="O112" i="76"/>
  <c r="O62" i="76"/>
  <c r="L120" i="76"/>
  <c r="O93" i="76"/>
  <c r="I52" i="7" s="1"/>
  <c r="I82" i="79" s="1"/>
  <c r="P236" i="76"/>
  <c r="P796" i="79" s="1"/>
  <c r="O236" i="76"/>
  <c r="O796" i="79" s="1"/>
  <c r="L619" i="79"/>
  <c r="L620" i="79" s="1"/>
  <c r="L146" i="76"/>
  <c r="F13" i="6" s="1"/>
  <c r="O116" i="76"/>
  <c r="N117" i="76"/>
  <c r="J163" i="76"/>
  <c r="J165" i="76" s="1"/>
  <c r="P238" i="76"/>
  <c r="P798" i="79" s="1"/>
  <c r="O238" i="76"/>
  <c r="O798" i="79" s="1"/>
  <c r="P81" i="79"/>
  <c r="O118" i="76"/>
  <c r="O159" i="76"/>
  <c r="P54" i="7" s="1"/>
  <c r="P84" i="79" s="1"/>
  <c r="O164" i="76"/>
  <c r="P58" i="7" s="1"/>
  <c r="P88" i="79" s="1"/>
  <c r="O61" i="76"/>
  <c r="O158" i="76"/>
  <c r="P53" i="7" s="1"/>
  <c r="P83" i="79" s="1"/>
  <c r="O95" i="76"/>
  <c r="I54" i="7" s="1"/>
  <c r="I84" i="79" s="1"/>
  <c r="N149" i="76"/>
  <c r="L22" i="6" s="1"/>
  <c r="O92" i="76"/>
  <c r="I51" i="7" s="1"/>
  <c r="I81" i="79" s="1"/>
  <c r="O56" i="76"/>
  <c r="M110" i="76"/>
  <c r="M117" i="76"/>
  <c r="L163" i="76"/>
  <c r="L165" i="76" s="1"/>
  <c r="L167" i="76" s="1"/>
  <c r="O137" i="76"/>
  <c r="L114" i="76"/>
  <c r="N110" i="76"/>
  <c r="O96" i="76"/>
  <c r="I55" i="7" s="1"/>
  <c r="I85" i="79" s="1"/>
  <c r="J114" i="76"/>
  <c r="O104" i="76"/>
  <c r="O58" i="76"/>
  <c r="K146" i="76"/>
  <c r="F12" i="6" s="1"/>
  <c r="N99" i="76"/>
  <c r="N124" i="76"/>
  <c r="O166" i="76"/>
  <c r="P60" i="7" s="1"/>
  <c r="P90" i="79" s="1"/>
  <c r="O105" i="76"/>
  <c r="O106" i="76"/>
  <c r="L110" i="76"/>
  <c r="K163" i="76"/>
  <c r="K165" i="76" s="1"/>
  <c r="K167" i="76" s="1"/>
  <c r="O141" i="76"/>
  <c r="L124" i="76"/>
  <c r="O161" i="76"/>
  <c r="P56" i="7" s="1"/>
  <c r="P86" i="79" s="1"/>
  <c r="J63" i="76"/>
  <c r="L149" i="76"/>
  <c r="L20" i="6" s="1"/>
  <c r="O94" i="76"/>
  <c r="I53" i="7" s="1"/>
  <c r="I83" i="79" s="1"/>
  <c r="K148" i="76"/>
  <c r="F19" i="6" s="1"/>
  <c r="M99" i="76"/>
  <c r="J110" i="76"/>
  <c r="O109" i="76"/>
  <c r="L65" i="76"/>
  <c r="L67" i="76" s="1"/>
  <c r="L170" i="76" s="1"/>
  <c r="O129" i="76"/>
  <c r="M120" i="76"/>
  <c r="O138" i="76"/>
  <c r="L126" i="76"/>
  <c r="M163" i="76"/>
  <c r="M165" i="76" s="1"/>
  <c r="M167" i="76" s="1"/>
  <c r="L117" i="76"/>
  <c r="O140" i="76"/>
  <c r="K126" i="76"/>
  <c r="J146" i="76"/>
  <c r="F11" i="6" s="1"/>
  <c r="O107" i="76"/>
  <c r="J99" i="76"/>
  <c r="K114" i="76"/>
  <c r="K63" i="76"/>
  <c r="O151" i="76"/>
  <c r="O64" i="76"/>
  <c r="N146" i="76"/>
  <c r="L153" i="76"/>
  <c r="O133" i="76"/>
  <c r="K147" i="76"/>
  <c r="L12" i="6" s="1"/>
  <c r="N148" i="76"/>
  <c r="F22" i="6" s="1"/>
  <c r="N126" i="76"/>
  <c r="O130" i="76"/>
  <c r="J150" i="76"/>
  <c r="O131" i="76"/>
  <c r="M147" i="76"/>
  <c r="L14" i="6" s="1"/>
  <c r="L152" i="76"/>
  <c r="O136" i="76"/>
  <c r="N65" i="76"/>
  <c r="N67" i="76" s="1"/>
  <c r="N170" i="76" s="1"/>
  <c r="M149" i="76"/>
  <c r="L21" i="6" s="1"/>
  <c r="M124" i="76"/>
  <c r="J126" i="76"/>
  <c r="J148" i="76"/>
  <c r="F18" i="6" s="1"/>
  <c r="O127" i="76"/>
  <c r="K124" i="76"/>
  <c r="K149" i="76"/>
  <c r="L19" i="6" s="1"/>
  <c r="O128" i="76"/>
  <c r="J124" i="76"/>
  <c r="J149" i="76"/>
  <c r="O139" i="76"/>
  <c r="M126" i="76"/>
  <c r="O132" i="76"/>
  <c r="O135" i="76"/>
  <c r="L80" i="76" l="1"/>
  <c r="L81" i="76" s="1"/>
  <c r="N85" i="76"/>
  <c r="N76" i="76"/>
  <c r="L89" i="76"/>
  <c r="L90" i="76" s="1"/>
  <c r="N89" i="76"/>
  <c r="N90" i="76" s="1"/>
  <c r="N79" i="76"/>
  <c r="L83" i="76"/>
  <c r="L84" i="76" s="1"/>
  <c r="N86" i="76"/>
  <c r="N87" i="76" s="1"/>
  <c r="N80" i="76"/>
  <c r="N81" i="76" s="1"/>
  <c r="L82" i="76"/>
  <c r="L79" i="76"/>
  <c r="N77" i="76"/>
  <c r="N78" i="76" s="1"/>
  <c r="L88" i="76"/>
  <c r="N73" i="76"/>
  <c r="L77" i="76"/>
  <c r="L78" i="76" s="1"/>
  <c r="L86" i="76"/>
  <c r="L87" i="76" s="1"/>
  <c r="N74" i="76"/>
  <c r="N75" i="76" s="1"/>
  <c r="N70" i="76"/>
  <c r="N82" i="76"/>
  <c r="L71" i="76"/>
  <c r="L72" i="76" s="1"/>
  <c r="L74" i="76"/>
  <c r="L75" i="76" s="1"/>
  <c r="L76" i="76"/>
  <c r="L85" i="76"/>
  <c r="N88" i="76"/>
  <c r="N71" i="76"/>
  <c r="N72" i="76" s="1"/>
  <c r="N83" i="76"/>
  <c r="N84" i="76" s="1"/>
  <c r="L70" i="76"/>
  <c r="L73" i="76"/>
  <c r="P157" i="76"/>
  <c r="P159" i="76"/>
  <c r="E108" i="77"/>
  <c r="E918" i="79" s="1"/>
  <c r="G78" i="77"/>
  <c r="G888" i="79" s="1"/>
  <c r="I46" i="77"/>
  <c r="I856" i="79" s="1"/>
  <c r="B78" i="77"/>
  <c r="B888" i="79" s="1"/>
  <c r="D14" i="77"/>
  <c r="D824" i="79" s="1"/>
  <c r="H174" i="76"/>
  <c r="H734" i="79" s="1"/>
  <c r="O734" i="79" s="1"/>
  <c r="I78" i="77"/>
  <c r="I888" i="79" s="1"/>
  <c r="K46" i="77"/>
  <c r="K856" i="79" s="1"/>
  <c r="C46" i="77"/>
  <c r="C856" i="79" s="1"/>
  <c r="C14" i="77"/>
  <c r="C824" i="79" s="1"/>
  <c r="J78" i="77"/>
  <c r="J888" i="79" s="1"/>
  <c r="D46" i="77"/>
  <c r="D856" i="79" s="1"/>
  <c r="O117" i="76"/>
  <c r="H45" i="7" s="1"/>
  <c r="H75" i="79" s="1"/>
  <c r="F108" i="77"/>
  <c r="F918" i="79" s="1"/>
  <c r="H78" i="77"/>
  <c r="H888" i="79" s="1"/>
  <c r="J46" i="77"/>
  <c r="J856" i="79" s="1"/>
  <c r="B46" i="77"/>
  <c r="B856" i="79" s="1"/>
  <c r="B824" i="79"/>
  <c r="C108" i="77"/>
  <c r="C918" i="79" s="1"/>
  <c r="E78" i="77"/>
  <c r="E888" i="79" s="1"/>
  <c r="G46" i="77"/>
  <c r="G856" i="79" s="1"/>
  <c r="I14" i="77"/>
  <c r="I824" i="79" s="1"/>
  <c r="K14" i="77"/>
  <c r="K824" i="79" s="1"/>
  <c r="D108" i="77"/>
  <c r="D918" i="79" s="1"/>
  <c r="H46" i="77"/>
  <c r="H856" i="79" s="1"/>
  <c r="J14" i="77"/>
  <c r="J824" i="79" s="1"/>
  <c r="O120" i="76"/>
  <c r="H44" i="7" s="1"/>
  <c r="H74" i="79" s="1"/>
  <c r="B108" i="77"/>
  <c r="B918" i="79" s="1"/>
  <c r="D78" i="77"/>
  <c r="D888" i="79" s="1"/>
  <c r="F46" i="77"/>
  <c r="F856" i="79" s="1"/>
  <c r="G14" i="77"/>
  <c r="G824" i="79" s="1"/>
  <c r="F78" i="77"/>
  <c r="F888" i="79" s="1"/>
  <c r="K78" i="77"/>
  <c r="K888" i="79" s="1"/>
  <c r="C78" i="77"/>
  <c r="C888" i="79" s="1"/>
  <c r="E46" i="77"/>
  <c r="E856" i="79" s="1"/>
  <c r="E14" i="77"/>
  <c r="E824" i="79" s="1"/>
  <c r="O114" i="76"/>
  <c r="H43" i="7" s="1"/>
  <c r="H73" i="79" s="1"/>
  <c r="H52" i="7"/>
  <c r="H82" i="79" s="1"/>
  <c r="H14" i="77"/>
  <c r="H824" i="79" s="1"/>
  <c r="H54" i="7"/>
  <c r="H84" i="79" s="1"/>
  <c r="M65" i="76"/>
  <c r="M67" i="76" s="1"/>
  <c r="O99" i="76"/>
  <c r="P160" i="76"/>
  <c r="H55" i="7"/>
  <c r="H85" i="79" s="1"/>
  <c r="O150" i="76"/>
  <c r="F25" i="6"/>
  <c r="P156" i="76"/>
  <c r="H51" i="7"/>
  <c r="P166" i="76"/>
  <c r="H60" i="7"/>
  <c r="H90" i="79" s="1"/>
  <c r="O149" i="76"/>
  <c r="L18" i="6"/>
  <c r="P50" i="7"/>
  <c r="P80" i="79" s="1"/>
  <c r="O63" i="76"/>
  <c r="O153" i="76"/>
  <c r="L34" i="6"/>
  <c r="P164" i="76"/>
  <c r="H58" i="7"/>
  <c r="H88" i="79" s="1"/>
  <c r="O163" i="76"/>
  <c r="H21" i="68" s="1"/>
  <c r="H1514" i="79" s="1"/>
  <c r="O110" i="76"/>
  <c r="P161" i="76"/>
  <c r="H56" i="7"/>
  <c r="H86" i="79" s="1"/>
  <c r="O146" i="76"/>
  <c r="F15" i="6"/>
  <c r="O152" i="76"/>
  <c r="F34" i="6"/>
  <c r="P158" i="76"/>
  <c r="H53" i="7"/>
  <c r="H83" i="79" s="1"/>
  <c r="P162" i="76"/>
  <c r="H57" i="7"/>
  <c r="H87" i="79" s="1"/>
  <c r="O174" i="76"/>
  <c r="B15" i="77"/>
  <c r="B825" i="79" s="1"/>
  <c r="K65" i="76"/>
  <c r="K67" i="76" s="1"/>
  <c r="J65" i="76"/>
  <c r="O147" i="76"/>
  <c r="O126" i="76"/>
  <c r="O148" i="76"/>
  <c r="J167" i="76"/>
  <c r="O167" i="76" s="1"/>
  <c r="O165" i="76"/>
  <c r="F21" i="68" s="1"/>
  <c r="F1514" i="79" s="1"/>
  <c r="O124" i="76"/>
  <c r="M76" i="76" l="1"/>
  <c r="M83" i="76"/>
  <c r="M84" i="76" s="1"/>
  <c r="M80" i="76"/>
  <c r="M81" i="76" s="1"/>
  <c r="M77" i="76"/>
  <c r="M78" i="76" s="1"/>
  <c r="M73" i="76"/>
  <c r="M86" i="76"/>
  <c r="M87" i="76" s="1"/>
  <c r="M82" i="76"/>
  <c r="M79" i="76"/>
  <c r="M89" i="76"/>
  <c r="M90" i="76" s="1"/>
  <c r="M70" i="76"/>
  <c r="M85" i="76"/>
  <c r="M74" i="76"/>
  <c r="M75" i="76" s="1"/>
  <c r="M88" i="76"/>
  <c r="M71" i="76"/>
  <c r="M72" i="76" s="1"/>
  <c r="K79" i="76"/>
  <c r="K73" i="76"/>
  <c r="K76" i="76"/>
  <c r="K80" i="76"/>
  <c r="K81" i="76" s="1"/>
  <c r="K85" i="76"/>
  <c r="K82" i="76"/>
  <c r="K71" i="76"/>
  <c r="K72" i="76" s="1"/>
  <c r="K86" i="76"/>
  <c r="K87" i="76" s="1"/>
  <c r="K88" i="76"/>
  <c r="K83" i="76"/>
  <c r="K84" i="76" s="1"/>
  <c r="K70" i="76"/>
  <c r="K74" i="76"/>
  <c r="K75" i="76" s="1"/>
  <c r="K77" i="76"/>
  <c r="K78" i="76" s="1"/>
  <c r="K89" i="76"/>
  <c r="K90" i="76" s="1"/>
  <c r="K170" i="76"/>
  <c r="M170" i="76"/>
  <c r="O65" i="76"/>
  <c r="E21" i="68" s="1"/>
  <c r="E1514" i="79" s="1"/>
  <c r="H81" i="79"/>
  <c r="H50" i="7"/>
  <c r="H80" i="79" s="1"/>
  <c r="G21" i="68"/>
  <c r="G1514" i="79" s="1"/>
  <c r="O239" i="76"/>
  <c r="O799" i="79" s="1"/>
  <c r="P44" i="7"/>
  <c r="P74" i="79" s="1"/>
  <c r="P239" i="76"/>
  <c r="P799" i="79" s="1"/>
  <c r="P800" i="79" s="1"/>
  <c r="P791" i="79" s="1"/>
  <c r="B16" i="77"/>
  <c r="K5" i="77" s="1"/>
  <c r="D15" i="77"/>
  <c r="D825" i="79" s="1"/>
  <c r="C15" i="77"/>
  <c r="C825" i="79" s="1"/>
  <c r="E15" i="77"/>
  <c r="F15" i="77"/>
  <c r="G15" i="77"/>
  <c r="H15" i="77"/>
  <c r="I15" i="77"/>
  <c r="J15" i="77"/>
  <c r="K15" i="77"/>
  <c r="B47" i="77"/>
  <c r="C47" i="77"/>
  <c r="D47" i="77"/>
  <c r="E47" i="77"/>
  <c r="F47" i="77"/>
  <c r="F857" i="79" s="1"/>
  <c r="G47" i="77"/>
  <c r="H47" i="77"/>
  <c r="I47" i="77"/>
  <c r="I857" i="79" s="1"/>
  <c r="J47" i="77"/>
  <c r="J857" i="79" s="1"/>
  <c r="K47" i="77"/>
  <c r="B79" i="77"/>
  <c r="B889" i="79" s="1"/>
  <c r="C79" i="77"/>
  <c r="D79" i="77"/>
  <c r="E79" i="77"/>
  <c r="F79" i="77"/>
  <c r="G79" i="77"/>
  <c r="H79" i="77"/>
  <c r="H889" i="79" s="1"/>
  <c r="I79" i="77"/>
  <c r="J79" i="77"/>
  <c r="J889" i="79" s="1"/>
  <c r="K79" i="77"/>
  <c r="B109" i="77"/>
  <c r="C109" i="77"/>
  <c r="D109" i="77"/>
  <c r="D919" i="79" s="1"/>
  <c r="E109" i="77"/>
  <c r="E919" i="79" s="1"/>
  <c r="F109" i="77"/>
  <c r="F919" i="79" s="1"/>
  <c r="J67" i="76"/>
  <c r="O240" i="76"/>
  <c r="P240" i="76"/>
  <c r="P231" i="76" s="1"/>
  <c r="B22" i="77" s="1"/>
  <c r="O67" i="76" l="1"/>
  <c r="J86" i="76"/>
  <c r="J87" i="76" s="1"/>
  <c r="J73" i="76"/>
  <c r="J82" i="76"/>
  <c r="J71" i="76"/>
  <c r="J72" i="76" s="1"/>
  <c r="J80" i="76"/>
  <c r="J81" i="76" s="1"/>
  <c r="J85" i="76"/>
  <c r="J89" i="76"/>
  <c r="J90" i="76" s="1"/>
  <c r="J70" i="76"/>
  <c r="J77" i="76"/>
  <c r="J78" i="76" s="1"/>
  <c r="J88" i="76"/>
  <c r="J79" i="76"/>
  <c r="J74" i="76"/>
  <c r="J75" i="76" s="1"/>
  <c r="J83" i="76"/>
  <c r="J84" i="76" s="1"/>
  <c r="J76" i="76"/>
  <c r="J170" i="76"/>
  <c r="P149" i="15"/>
  <c r="P499" i="79" s="1"/>
  <c r="P500" i="79" s="1"/>
  <c r="P502" i="79" s="1"/>
  <c r="J149" i="15"/>
  <c r="J499" i="79" s="1"/>
  <c r="J500" i="79" s="1"/>
  <c r="J502" i="79" s="1"/>
  <c r="I49" i="76"/>
  <c r="I48" i="76"/>
  <c r="M149" i="15"/>
  <c r="M499" i="79" s="1"/>
  <c r="M500" i="79" s="1"/>
  <c r="M502" i="79" s="1"/>
  <c r="I80" i="77"/>
  <c r="I889" i="79"/>
  <c r="K48" i="77"/>
  <c r="K857" i="79"/>
  <c r="C48" i="77"/>
  <c r="C857" i="79"/>
  <c r="D48" i="77"/>
  <c r="D857" i="79"/>
  <c r="F16" i="77"/>
  <c r="F825" i="79"/>
  <c r="F469" i="79"/>
  <c r="N79" i="7"/>
  <c r="N109" i="79" s="1"/>
  <c r="N76" i="7"/>
  <c r="N106" i="79" s="1"/>
  <c r="F119" i="15"/>
  <c r="B48" i="77"/>
  <c r="B857" i="79"/>
  <c r="E16" i="77"/>
  <c r="E825" i="79"/>
  <c r="H48" i="77"/>
  <c r="H857" i="79"/>
  <c r="J16" i="77"/>
  <c r="J825" i="79"/>
  <c r="B832" i="79"/>
  <c r="C22" i="77"/>
  <c r="C832" i="79" s="1"/>
  <c r="D22" i="77"/>
  <c r="D832" i="79" s="1"/>
  <c r="E22" i="77"/>
  <c r="E832" i="79" s="1"/>
  <c r="F22" i="77"/>
  <c r="F832" i="79" s="1"/>
  <c r="G22" i="77"/>
  <c r="G832" i="79" s="1"/>
  <c r="H22" i="77"/>
  <c r="H832" i="79" s="1"/>
  <c r="I22" i="77"/>
  <c r="I832" i="79" s="1"/>
  <c r="J22" i="77"/>
  <c r="J832" i="79" s="1"/>
  <c r="K22" i="77"/>
  <c r="K832" i="79" s="1"/>
  <c r="B54" i="77"/>
  <c r="B864" i="79" s="1"/>
  <c r="C54" i="77"/>
  <c r="C864" i="79" s="1"/>
  <c r="D54" i="77"/>
  <c r="D864" i="79" s="1"/>
  <c r="E54" i="77"/>
  <c r="E864" i="79" s="1"/>
  <c r="F54" i="77"/>
  <c r="F864" i="79" s="1"/>
  <c r="G54" i="77"/>
  <c r="G864" i="79" s="1"/>
  <c r="H54" i="77"/>
  <c r="H864" i="79" s="1"/>
  <c r="I54" i="77"/>
  <c r="I864" i="79" s="1"/>
  <c r="J54" i="77"/>
  <c r="J864" i="79" s="1"/>
  <c r="K54" i="77"/>
  <c r="K864" i="79" s="1"/>
  <c r="B86" i="77"/>
  <c r="B896" i="79" s="1"/>
  <c r="C86" i="77"/>
  <c r="C896" i="79" s="1"/>
  <c r="D86" i="77"/>
  <c r="D896" i="79" s="1"/>
  <c r="E86" i="77"/>
  <c r="E896" i="79" s="1"/>
  <c r="F86" i="77"/>
  <c r="F896" i="79" s="1"/>
  <c r="G86" i="77"/>
  <c r="G896" i="79" s="1"/>
  <c r="H86" i="77"/>
  <c r="H896" i="79" s="1"/>
  <c r="I86" i="77"/>
  <c r="I896" i="79" s="1"/>
  <c r="J86" i="77"/>
  <c r="J896" i="79" s="1"/>
  <c r="K86" i="77"/>
  <c r="K896" i="79" s="1"/>
  <c r="B116" i="77"/>
  <c r="B926" i="79" s="1"/>
  <c r="C116" i="77"/>
  <c r="C926" i="79" s="1"/>
  <c r="D116" i="77"/>
  <c r="D926" i="79" s="1"/>
  <c r="E116" i="77"/>
  <c r="E926" i="79" s="1"/>
  <c r="F116" i="77"/>
  <c r="F926" i="79" s="1"/>
  <c r="C110" i="77"/>
  <c r="C919" i="79"/>
  <c r="E80" i="77"/>
  <c r="E889" i="79"/>
  <c r="G48" i="77"/>
  <c r="G857" i="79"/>
  <c r="I16" i="77"/>
  <c r="I825" i="79"/>
  <c r="B19" i="77"/>
  <c r="B826" i="79"/>
  <c r="B829" i="79" s="1"/>
  <c r="G80" i="77"/>
  <c r="G889" i="79"/>
  <c r="F80" i="77"/>
  <c r="F889" i="79"/>
  <c r="B110" i="77"/>
  <c r="B919" i="79"/>
  <c r="D80" i="77"/>
  <c r="D889" i="79"/>
  <c r="H16" i="77"/>
  <c r="H825" i="79"/>
  <c r="P792" i="79"/>
  <c r="M792" i="79"/>
  <c r="P802" i="79"/>
  <c r="K16" i="77"/>
  <c r="K825" i="79"/>
  <c r="K80" i="77"/>
  <c r="K889" i="79"/>
  <c r="C80" i="77"/>
  <c r="C889" i="79"/>
  <c r="E48" i="77"/>
  <c r="E857" i="79"/>
  <c r="G16" i="77"/>
  <c r="G825" i="79"/>
  <c r="J80" i="77"/>
  <c r="J890" i="79" s="1"/>
  <c r="J893" i="79" s="1"/>
  <c r="B80" i="77"/>
  <c r="F110" i="77"/>
  <c r="F920" i="79" s="1"/>
  <c r="F923" i="79" s="1"/>
  <c r="J48" i="77"/>
  <c r="H80" i="77"/>
  <c r="E110" i="77"/>
  <c r="I48" i="77"/>
  <c r="I858" i="79" s="1"/>
  <c r="I861" i="79" s="1"/>
  <c r="K7" i="77"/>
  <c r="C16" i="77"/>
  <c r="C826" i="79" s="1"/>
  <c r="C829" i="79" s="1"/>
  <c r="D16" i="77"/>
  <c r="D110" i="77"/>
  <c r="F48" i="77"/>
  <c r="J232" i="76"/>
  <c r="J234" i="76"/>
  <c r="J233" i="76"/>
  <c r="N223" i="76"/>
  <c r="N224" i="76"/>
  <c r="O228" i="76"/>
  <c r="P232" i="76"/>
  <c r="M232" i="76"/>
  <c r="P242" i="76"/>
  <c r="O77" i="76" l="1"/>
  <c r="O78" i="76" s="1"/>
  <c r="O74" i="76"/>
  <c r="O75" i="76" s="1"/>
  <c r="O71" i="76"/>
  <c r="O72" i="76" s="1"/>
  <c r="O89" i="76"/>
  <c r="O90" i="76" s="1"/>
  <c r="O86" i="76"/>
  <c r="O87" i="76" s="1"/>
  <c r="O83" i="76"/>
  <c r="O84" i="76" s="1"/>
  <c r="O80" i="76"/>
  <c r="O81" i="76" s="1"/>
  <c r="O73" i="76"/>
  <c r="O70" i="76"/>
  <c r="O85" i="76"/>
  <c r="O88" i="76"/>
  <c r="O79" i="76"/>
  <c r="O76" i="76"/>
  <c r="O82" i="76"/>
  <c r="B834" i="79"/>
  <c r="J503" i="79"/>
  <c r="J515" i="79" s="1"/>
  <c r="J519" i="79" s="1"/>
  <c r="I51" i="77"/>
  <c r="J83" i="77"/>
  <c r="K83" i="77"/>
  <c r="K890" i="79"/>
  <c r="K893" i="79" s="1"/>
  <c r="F51" i="77"/>
  <c r="F858" i="79"/>
  <c r="F861" i="79" s="1"/>
  <c r="E113" i="77"/>
  <c r="E920" i="79"/>
  <c r="E923" i="79" s="1"/>
  <c r="E19" i="77"/>
  <c r="E826" i="79"/>
  <c r="E829" i="79" s="1"/>
  <c r="H19" i="77"/>
  <c r="H826" i="79"/>
  <c r="H829" i="79" s="1"/>
  <c r="G19" i="77"/>
  <c r="G826" i="79"/>
  <c r="G829" i="79" s="1"/>
  <c r="C51" i="77"/>
  <c r="C858" i="79"/>
  <c r="C861" i="79" s="1"/>
  <c r="H83" i="77"/>
  <c r="H890" i="79"/>
  <c r="H893" i="79" s="1"/>
  <c r="G51" i="77"/>
  <c r="G858" i="79"/>
  <c r="G861" i="79" s="1"/>
  <c r="D19" i="77"/>
  <c r="D826" i="79"/>
  <c r="D829" i="79" s="1"/>
  <c r="D83" i="77"/>
  <c r="D890" i="79"/>
  <c r="D893" i="79" s="1"/>
  <c r="G83" i="77"/>
  <c r="G890" i="79"/>
  <c r="G893" i="79" s="1"/>
  <c r="J19" i="77"/>
  <c r="J826" i="79"/>
  <c r="J829" i="79" s="1"/>
  <c r="B51" i="77"/>
  <c r="B858" i="79"/>
  <c r="B861" i="79" s="1"/>
  <c r="F83" i="77"/>
  <c r="F890" i="79"/>
  <c r="F893" i="79" s="1"/>
  <c r="I19" i="77"/>
  <c r="I826" i="79"/>
  <c r="I829" i="79" s="1"/>
  <c r="D113" i="77"/>
  <c r="D920" i="79"/>
  <c r="D923" i="79" s="1"/>
  <c r="K19" i="77"/>
  <c r="K826" i="79"/>
  <c r="K829" i="79" s="1"/>
  <c r="J51" i="77"/>
  <c r="J858" i="79"/>
  <c r="J861" i="79" s="1"/>
  <c r="C19" i="77"/>
  <c r="F113" i="77"/>
  <c r="E51" i="77"/>
  <c r="E858" i="79"/>
  <c r="E861" i="79" s="1"/>
  <c r="E83" i="77"/>
  <c r="E890" i="79"/>
  <c r="E893" i="79" s="1"/>
  <c r="F19" i="77"/>
  <c r="F826" i="79"/>
  <c r="F829" i="79" s="1"/>
  <c r="K51" i="77"/>
  <c r="K858" i="79"/>
  <c r="K861" i="79" s="1"/>
  <c r="B113" i="77"/>
  <c r="B920" i="79"/>
  <c r="B923" i="79" s="1"/>
  <c r="H51" i="77"/>
  <c r="H858" i="79"/>
  <c r="H861" i="79" s="1"/>
  <c r="B83" i="77"/>
  <c r="B890" i="79"/>
  <c r="B893" i="79" s="1"/>
  <c r="C83" i="77"/>
  <c r="C890" i="79"/>
  <c r="C893" i="79" s="1"/>
  <c r="C113" i="77"/>
  <c r="C920" i="79"/>
  <c r="C923" i="79" s="1"/>
  <c r="D51" i="77"/>
  <c r="D858" i="79"/>
  <c r="D861" i="79" s="1"/>
  <c r="I83" i="77"/>
  <c r="I890" i="79"/>
  <c r="I893" i="79" s="1"/>
  <c r="C20" i="77"/>
  <c r="D20" i="77"/>
  <c r="B24" i="77"/>
  <c r="E20" i="77"/>
  <c r="F20" i="77"/>
  <c r="G20" i="77"/>
  <c r="H20" i="77"/>
  <c r="I20" i="77"/>
  <c r="J20" i="77"/>
  <c r="K20" i="77"/>
  <c r="B52" i="77"/>
  <c r="C52" i="77"/>
  <c r="D52" i="77"/>
  <c r="E52" i="77"/>
  <c r="F52" i="77"/>
  <c r="G52" i="77"/>
  <c r="H52" i="77"/>
  <c r="I52" i="77"/>
  <c r="J52" i="77"/>
  <c r="K52" i="77"/>
  <c r="B84" i="77"/>
  <c r="C84" i="77"/>
  <c r="D84" i="77"/>
  <c r="E84" i="77"/>
  <c r="F84" i="77"/>
  <c r="G84" i="77"/>
  <c r="H84" i="77"/>
  <c r="I84" i="77"/>
  <c r="J84" i="77"/>
  <c r="K84" i="77"/>
  <c r="B114" i="77"/>
  <c r="C114" i="77"/>
  <c r="D114" i="77"/>
  <c r="E114" i="77"/>
  <c r="F114" i="77"/>
  <c r="D56" i="77" l="1"/>
  <c r="D862" i="79"/>
  <c r="D866" i="79" s="1"/>
  <c r="K56" i="77"/>
  <c r="K862" i="79"/>
  <c r="K866" i="79" s="1"/>
  <c r="C56" i="77"/>
  <c r="C862" i="79"/>
  <c r="C866" i="79" s="1"/>
  <c r="E24" i="77"/>
  <c r="E830" i="79"/>
  <c r="E834" i="79" s="1"/>
  <c r="B88" i="77"/>
  <c r="B894" i="79"/>
  <c r="B898" i="79" s="1"/>
  <c r="I88" i="77"/>
  <c r="I894" i="79"/>
  <c r="I898" i="79" s="1"/>
  <c r="F118" i="77"/>
  <c r="F924" i="79"/>
  <c r="F928" i="79" s="1"/>
  <c r="H88" i="77"/>
  <c r="H894" i="79"/>
  <c r="H898" i="79" s="1"/>
  <c r="J56" i="77"/>
  <c r="J862" i="79"/>
  <c r="J866" i="79" s="1"/>
  <c r="B56" i="77"/>
  <c r="B862" i="79"/>
  <c r="B866" i="79" s="1"/>
  <c r="G88" i="77"/>
  <c r="G894" i="79"/>
  <c r="G898" i="79" s="1"/>
  <c r="I56" i="77"/>
  <c r="I862" i="79"/>
  <c r="I866" i="79" s="1"/>
  <c r="K24" i="77"/>
  <c r="K830" i="79"/>
  <c r="K834" i="79" s="1"/>
  <c r="D24" i="77"/>
  <c r="D830" i="79"/>
  <c r="D834" i="79" s="1"/>
  <c r="J24" i="77"/>
  <c r="J830" i="79"/>
  <c r="J834" i="79" s="1"/>
  <c r="E118" i="77"/>
  <c r="E924" i="79"/>
  <c r="E928" i="79" s="1"/>
  <c r="D118" i="77"/>
  <c r="D924" i="79"/>
  <c r="D928" i="79" s="1"/>
  <c r="H56" i="77"/>
  <c r="H862" i="79"/>
  <c r="H866" i="79" s="1"/>
  <c r="E88" i="77"/>
  <c r="E894" i="79"/>
  <c r="E898" i="79" s="1"/>
  <c r="G56" i="77"/>
  <c r="G862" i="79"/>
  <c r="G866" i="79" s="1"/>
  <c r="I24" i="77"/>
  <c r="I830" i="79"/>
  <c r="I834" i="79" s="1"/>
  <c r="J88" i="77"/>
  <c r="J894" i="79"/>
  <c r="J898" i="79" s="1"/>
  <c r="F88" i="77"/>
  <c r="F894" i="79"/>
  <c r="F898" i="79" s="1"/>
  <c r="C24" i="77"/>
  <c r="C830" i="79"/>
  <c r="C834" i="79" s="1"/>
  <c r="C118" i="77"/>
  <c r="C924" i="79"/>
  <c r="C928" i="79" s="1"/>
  <c r="B118" i="77"/>
  <c r="B924" i="79"/>
  <c r="B928" i="79" s="1"/>
  <c r="D88" i="77"/>
  <c r="D894" i="79"/>
  <c r="D898" i="79" s="1"/>
  <c r="F56" i="77"/>
  <c r="F862" i="79"/>
  <c r="F866" i="79" s="1"/>
  <c r="H24" i="77"/>
  <c r="H830" i="79"/>
  <c r="H834" i="79" s="1"/>
  <c r="K88" i="77"/>
  <c r="K894" i="79"/>
  <c r="K898" i="79" s="1"/>
  <c r="C88" i="77"/>
  <c r="C894" i="79"/>
  <c r="C898" i="79" s="1"/>
  <c r="E56" i="77"/>
  <c r="E862" i="79"/>
  <c r="E866" i="79" s="1"/>
  <c r="G24" i="77"/>
  <c r="G830" i="79"/>
  <c r="G834" i="79" s="1"/>
  <c r="F24" i="77"/>
  <c r="F830" i="79"/>
  <c r="F834" i="79" s="1"/>
  <c r="B3" i="71"/>
  <c r="B1567" i="79" s="1"/>
  <c r="L3" i="71"/>
  <c r="L1567" i="79" s="1"/>
  <c r="A1" i="6" l="1"/>
  <c r="Q3" i="68" l="1"/>
  <c r="Q1496" i="79" s="1"/>
  <c r="I3" i="68"/>
  <c r="I1496" i="79" s="1"/>
  <c r="E3" i="68"/>
  <c r="E1496" i="79" s="1"/>
  <c r="L3" i="69"/>
  <c r="L1525" i="79" s="1"/>
  <c r="B3" i="69"/>
  <c r="B1525" i="79" s="1"/>
  <c r="A17" i="68"/>
  <c r="A15" i="68"/>
  <c r="A13" i="68"/>
  <c r="K171" i="67"/>
  <c r="I171" i="67"/>
  <c r="H171" i="67"/>
  <c r="G171" i="67"/>
  <c r="F171" i="67"/>
  <c r="E171" i="67"/>
  <c r="M170" i="67"/>
  <c r="Q170" i="67" s="1"/>
  <c r="L170" i="67"/>
  <c r="M169" i="67"/>
  <c r="L169" i="67"/>
  <c r="M168" i="67"/>
  <c r="Q168" i="67" s="1"/>
  <c r="L168" i="67"/>
  <c r="M167" i="67"/>
  <c r="P167" i="67" s="1"/>
  <c r="R167" i="67" s="1"/>
  <c r="L167" i="67"/>
  <c r="M166" i="67"/>
  <c r="Q166" i="67" s="1"/>
  <c r="L166" i="67"/>
  <c r="M165" i="67"/>
  <c r="L165" i="67"/>
  <c r="M164" i="67"/>
  <c r="Q164" i="67" s="1"/>
  <c r="L164" i="67"/>
  <c r="M163" i="67"/>
  <c r="Q163" i="67" s="1"/>
  <c r="L163" i="67"/>
  <c r="M162" i="67"/>
  <c r="Q162" i="67" s="1"/>
  <c r="L162" i="67"/>
  <c r="M161" i="67"/>
  <c r="L161" i="67"/>
  <c r="M160" i="67"/>
  <c r="Q160" i="67" s="1"/>
  <c r="L160" i="67"/>
  <c r="M159" i="67"/>
  <c r="Q159" i="67" s="1"/>
  <c r="L159" i="67"/>
  <c r="M158" i="67"/>
  <c r="Q158" i="67" s="1"/>
  <c r="L158" i="67"/>
  <c r="M157" i="67"/>
  <c r="L157" i="67"/>
  <c r="M156" i="67"/>
  <c r="Q156" i="67" s="1"/>
  <c r="L156" i="67"/>
  <c r="M155" i="67"/>
  <c r="Q155" i="67" s="1"/>
  <c r="L155" i="67"/>
  <c r="M154" i="67"/>
  <c r="P154" i="67" s="1"/>
  <c r="R154" i="67" s="1"/>
  <c r="L154" i="67"/>
  <c r="M153" i="67"/>
  <c r="L153" i="67"/>
  <c r="M152" i="67"/>
  <c r="Q152" i="67" s="1"/>
  <c r="L152" i="67"/>
  <c r="M151" i="67"/>
  <c r="P151" i="67" s="1"/>
  <c r="R151" i="67" s="1"/>
  <c r="L151" i="67"/>
  <c r="M150" i="67"/>
  <c r="Q150" i="67" s="1"/>
  <c r="L150" i="67"/>
  <c r="M149" i="67"/>
  <c r="L149" i="67"/>
  <c r="M148" i="67"/>
  <c r="Q148" i="67" s="1"/>
  <c r="L148" i="67"/>
  <c r="M147" i="67"/>
  <c r="P147" i="67" s="1"/>
  <c r="R147" i="67" s="1"/>
  <c r="L147" i="67"/>
  <c r="M146" i="67"/>
  <c r="Q146" i="67" s="1"/>
  <c r="L146" i="67"/>
  <c r="M145" i="67"/>
  <c r="L145" i="67"/>
  <c r="M144" i="67"/>
  <c r="Q144" i="67" s="1"/>
  <c r="L144" i="67"/>
  <c r="M143" i="67"/>
  <c r="Q143" i="67" s="1"/>
  <c r="L143" i="67"/>
  <c r="M142" i="67"/>
  <c r="Q142" i="67" s="1"/>
  <c r="L142" i="67"/>
  <c r="M141" i="67"/>
  <c r="L141" i="67"/>
  <c r="M140" i="67"/>
  <c r="Q140" i="67" s="1"/>
  <c r="L140" i="67"/>
  <c r="Q139" i="67"/>
  <c r="M139" i="67"/>
  <c r="P139" i="67" s="1"/>
  <c r="R139" i="67" s="1"/>
  <c r="L139" i="67"/>
  <c r="M138" i="67"/>
  <c r="P138" i="67" s="1"/>
  <c r="R138" i="67" s="1"/>
  <c r="L138" i="67"/>
  <c r="K131" i="67"/>
  <c r="I131" i="67"/>
  <c r="H131" i="67"/>
  <c r="G131" i="67"/>
  <c r="F131" i="67"/>
  <c r="E131" i="67"/>
  <c r="M130" i="67"/>
  <c r="Q130" i="67" s="1"/>
  <c r="L130" i="67"/>
  <c r="M129" i="67"/>
  <c r="L129" i="67"/>
  <c r="M128" i="67"/>
  <c r="Q128" i="67" s="1"/>
  <c r="L128" i="67"/>
  <c r="M127" i="67"/>
  <c r="Q127" i="67" s="1"/>
  <c r="L127" i="67"/>
  <c r="M126" i="67"/>
  <c r="Q126" i="67" s="1"/>
  <c r="L126" i="67"/>
  <c r="M125" i="67"/>
  <c r="L125" i="67"/>
  <c r="M124" i="67"/>
  <c r="Q124" i="67" s="1"/>
  <c r="L124" i="67"/>
  <c r="M123" i="67"/>
  <c r="Q123" i="67" s="1"/>
  <c r="L123" i="67"/>
  <c r="M122" i="67"/>
  <c r="Q122" i="67" s="1"/>
  <c r="L122" i="67"/>
  <c r="M121" i="67"/>
  <c r="L121" i="67"/>
  <c r="M120" i="67"/>
  <c r="Q120" i="67" s="1"/>
  <c r="L120" i="67"/>
  <c r="M119" i="67"/>
  <c r="P119" i="67" s="1"/>
  <c r="R119" i="67" s="1"/>
  <c r="L119" i="67"/>
  <c r="M118" i="67"/>
  <c r="Q118" i="67" s="1"/>
  <c r="L118" i="67"/>
  <c r="M117" i="67"/>
  <c r="L117" i="67"/>
  <c r="M116" i="67"/>
  <c r="Q116" i="67" s="1"/>
  <c r="L116" i="67"/>
  <c r="M115" i="67"/>
  <c r="Q115" i="67" s="1"/>
  <c r="L115" i="67"/>
  <c r="M114" i="67"/>
  <c r="Q114" i="67" s="1"/>
  <c r="L114" i="67"/>
  <c r="M113" i="67"/>
  <c r="P113" i="67" s="1"/>
  <c r="R113" i="67" s="1"/>
  <c r="L113" i="67"/>
  <c r="M112" i="67"/>
  <c r="Q112" i="67" s="1"/>
  <c r="L112" i="67"/>
  <c r="M111" i="67"/>
  <c r="Q111" i="67" s="1"/>
  <c r="L111" i="67"/>
  <c r="M110" i="67"/>
  <c r="Q110" i="67" s="1"/>
  <c r="L110" i="67"/>
  <c r="M109" i="67"/>
  <c r="P109" i="67" s="1"/>
  <c r="R109" i="67" s="1"/>
  <c r="L109" i="67"/>
  <c r="M108" i="67"/>
  <c r="Q108" i="67" s="1"/>
  <c r="L108" i="67"/>
  <c r="M107" i="67"/>
  <c r="Q107" i="67" s="1"/>
  <c r="L107" i="67"/>
  <c r="M106" i="67"/>
  <c r="P106" i="67" s="1"/>
  <c r="R106" i="67" s="1"/>
  <c r="L106" i="67"/>
  <c r="M105" i="67"/>
  <c r="P105" i="67" s="1"/>
  <c r="R105" i="67" s="1"/>
  <c r="L105" i="67"/>
  <c r="M104" i="67"/>
  <c r="Q104" i="67" s="1"/>
  <c r="L104" i="67"/>
  <c r="M103" i="67"/>
  <c r="Q103" i="67" s="1"/>
  <c r="L103" i="67"/>
  <c r="M102" i="67"/>
  <c r="Q102" i="67" s="1"/>
  <c r="L102" i="67"/>
  <c r="M101" i="67"/>
  <c r="P101" i="67" s="1"/>
  <c r="R101" i="67" s="1"/>
  <c r="L101" i="67"/>
  <c r="M100" i="67"/>
  <c r="Q100" i="67" s="1"/>
  <c r="L100" i="67"/>
  <c r="M99" i="67"/>
  <c r="Q99" i="67" s="1"/>
  <c r="L99" i="67"/>
  <c r="P98" i="67"/>
  <c r="R98" i="67" s="1"/>
  <c r="M98" i="67"/>
  <c r="Q98" i="67" s="1"/>
  <c r="L98" i="67"/>
  <c r="M97" i="67"/>
  <c r="P97" i="67" s="1"/>
  <c r="R97" i="67" s="1"/>
  <c r="L97" i="67"/>
  <c r="M96" i="67"/>
  <c r="Q96" i="67" s="1"/>
  <c r="L96" i="67"/>
  <c r="K89" i="67"/>
  <c r="I89" i="67"/>
  <c r="H89" i="67"/>
  <c r="G89" i="67"/>
  <c r="F89" i="67"/>
  <c r="E89" i="67"/>
  <c r="M88" i="67"/>
  <c r="Q88" i="67" s="1"/>
  <c r="L88" i="67"/>
  <c r="M87" i="67"/>
  <c r="Q87" i="67" s="1"/>
  <c r="L87" i="67"/>
  <c r="M86" i="67"/>
  <c r="Q86" i="67" s="1"/>
  <c r="L86" i="67"/>
  <c r="M85" i="67"/>
  <c r="P85" i="67" s="1"/>
  <c r="R85" i="67" s="1"/>
  <c r="L85" i="67"/>
  <c r="M84" i="67"/>
  <c r="Q84" i="67" s="1"/>
  <c r="L84" i="67"/>
  <c r="M83" i="67"/>
  <c r="Q83" i="67" s="1"/>
  <c r="L83" i="67"/>
  <c r="M82" i="67"/>
  <c r="Q82" i="67" s="1"/>
  <c r="L82" i="67"/>
  <c r="M81" i="67"/>
  <c r="P81" i="67" s="1"/>
  <c r="R81" i="67" s="1"/>
  <c r="L81" i="67"/>
  <c r="M80" i="67"/>
  <c r="Q80" i="67" s="1"/>
  <c r="L80" i="67"/>
  <c r="M79" i="67"/>
  <c r="Q79" i="67" s="1"/>
  <c r="L79" i="67"/>
  <c r="M78" i="67"/>
  <c r="Q78" i="67" s="1"/>
  <c r="L78" i="67"/>
  <c r="M77" i="67"/>
  <c r="P77" i="67" s="1"/>
  <c r="R77" i="67" s="1"/>
  <c r="L77" i="67"/>
  <c r="M76" i="67"/>
  <c r="Q76" i="67" s="1"/>
  <c r="L76" i="67"/>
  <c r="M75" i="67"/>
  <c r="P75" i="67" s="1"/>
  <c r="R75" i="67" s="1"/>
  <c r="L75" i="67"/>
  <c r="M74" i="67"/>
  <c r="Q74" i="67" s="1"/>
  <c r="L74" i="67"/>
  <c r="M73" i="67"/>
  <c r="P73" i="67" s="1"/>
  <c r="R73" i="67" s="1"/>
  <c r="L73" i="67"/>
  <c r="M72" i="67"/>
  <c r="Q72" i="67" s="1"/>
  <c r="L72" i="67"/>
  <c r="M71" i="67"/>
  <c r="Q71" i="67" s="1"/>
  <c r="L71" i="67"/>
  <c r="M70" i="67"/>
  <c r="Q70" i="67" s="1"/>
  <c r="L70" i="67"/>
  <c r="M69" i="67"/>
  <c r="P69" i="67" s="1"/>
  <c r="R69" i="67" s="1"/>
  <c r="L69" i="67"/>
  <c r="M68" i="67"/>
  <c r="Q68" i="67" s="1"/>
  <c r="L68" i="67"/>
  <c r="M67" i="67"/>
  <c r="P67" i="67" s="1"/>
  <c r="R67" i="67" s="1"/>
  <c r="L67" i="67"/>
  <c r="M66" i="67"/>
  <c r="Q66" i="67" s="1"/>
  <c r="L66" i="67"/>
  <c r="M65" i="67"/>
  <c r="P65" i="67" s="1"/>
  <c r="R65" i="67" s="1"/>
  <c r="L65" i="67"/>
  <c r="M64" i="67"/>
  <c r="Q64" i="67" s="1"/>
  <c r="L64" i="67"/>
  <c r="M63" i="67"/>
  <c r="Q63" i="67" s="1"/>
  <c r="L63" i="67"/>
  <c r="M62" i="67"/>
  <c r="Q62" i="67" s="1"/>
  <c r="L62" i="67"/>
  <c r="M61" i="67"/>
  <c r="P61" i="67" s="1"/>
  <c r="R61" i="67" s="1"/>
  <c r="L61" i="67"/>
  <c r="M60" i="67"/>
  <c r="Q60" i="67" s="1"/>
  <c r="L60" i="67"/>
  <c r="M59" i="67"/>
  <c r="Q59" i="67" s="1"/>
  <c r="L59" i="67"/>
  <c r="M58" i="67"/>
  <c r="Q58" i="67" s="1"/>
  <c r="L58" i="67"/>
  <c r="M57" i="67"/>
  <c r="P57" i="67" s="1"/>
  <c r="R57" i="67" s="1"/>
  <c r="L57" i="67"/>
  <c r="M56" i="67"/>
  <c r="Q56" i="67" s="1"/>
  <c r="L56" i="67"/>
  <c r="M55" i="67"/>
  <c r="Q55" i="67" s="1"/>
  <c r="L55" i="67"/>
  <c r="M54" i="67"/>
  <c r="P54" i="67" s="1"/>
  <c r="R54" i="67" s="1"/>
  <c r="L54" i="67"/>
  <c r="K45" i="67"/>
  <c r="I45" i="67"/>
  <c r="H45" i="67"/>
  <c r="G45" i="67"/>
  <c r="F45" i="67"/>
  <c r="E45" i="67"/>
  <c r="M44" i="67"/>
  <c r="P44" i="67" s="1"/>
  <c r="R44" i="67" s="1"/>
  <c r="L44" i="67"/>
  <c r="M43" i="67"/>
  <c r="P43" i="67" s="1"/>
  <c r="R43" i="67" s="1"/>
  <c r="L43" i="67"/>
  <c r="M42" i="67"/>
  <c r="Q42" i="67" s="1"/>
  <c r="L42" i="67"/>
  <c r="M41" i="67"/>
  <c r="Q41" i="67" s="1"/>
  <c r="L41" i="67"/>
  <c r="M40" i="67"/>
  <c r="Q40" i="67" s="1"/>
  <c r="L40" i="67"/>
  <c r="M39" i="67"/>
  <c r="P39" i="67" s="1"/>
  <c r="R39" i="67" s="1"/>
  <c r="L39" i="67"/>
  <c r="M38" i="67"/>
  <c r="Q38" i="67" s="1"/>
  <c r="L38" i="67"/>
  <c r="M37" i="67"/>
  <c r="P37" i="67" s="1"/>
  <c r="R37" i="67" s="1"/>
  <c r="L37" i="67"/>
  <c r="M36" i="67"/>
  <c r="P36" i="67" s="1"/>
  <c r="R36" i="67" s="1"/>
  <c r="L36" i="67"/>
  <c r="M35" i="67"/>
  <c r="Q35" i="67" s="1"/>
  <c r="L35" i="67"/>
  <c r="M34" i="67"/>
  <c r="Q34" i="67" s="1"/>
  <c r="L34" i="67"/>
  <c r="M33" i="67"/>
  <c r="Q33" i="67" s="1"/>
  <c r="L33" i="67"/>
  <c r="M32" i="67"/>
  <c r="Q32" i="67" s="1"/>
  <c r="L32" i="67"/>
  <c r="P31" i="67"/>
  <c r="R31" i="67" s="1"/>
  <c r="M31" i="67"/>
  <c r="Q31" i="67" s="1"/>
  <c r="L31" i="67"/>
  <c r="M30" i="67"/>
  <c r="Q30" i="67" s="1"/>
  <c r="L30" i="67"/>
  <c r="M29" i="67"/>
  <c r="P29" i="67" s="1"/>
  <c r="R29" i="67" s="1"/>
  <c r="L29" i="67"/>
  <c r="M28" i="67"/>
  <c r="Q28" i="67" s="1"/>
  <c r="L28" i="67"/>
  <c r="M27" i="67"/>
  <c r="Q27" i="67" s="1"/>
  <c r="L27" i="67"/>
  <c r="M26" i="67"/>
  <c r="Q26" i="67" s="1"/>
  <c r="L26" i="67"/>
  <c r="M25" i="67"/>
  <c r="P25" i="67" s="1"/>
  <c r="R25" i="67" s="1"/>
  <c r="L25" i="67"/>
  <c r="M24" i="67"/>
  <c r="Q24" i="67" s="1"/>
  <c r="L24" i="67"/>
  <c r="M23" i="67"/>
  <c r="Q23" i="67" s="1"/>
  <c r="L23" i="67"/>
  <c r="M22" i="67"/>
  <c r="Q22" i="67" s="1"/>
  <c r="L22" i="67"/>
  <c r="M21" i="67"/>
  <c r="Q21" i="67" s="1"/>
  <c r="L21" i="67"/>
  <c r="M20" i="67"/>
  <c r="Q20" i="67" s="1"/>
  <c r="L20" i="67"/>
  <c r="Q19" i="67"/>
  <c r="M19" i="67"/>
  <c r="P19" i="67" s="1"/>
  <c r="R19" i="67" s="1"/>
  <c r="L19" i="67"/>
  <c r="M18" i="67"/>
  <c r="Q18" i="67" s="1"/>
  <c r="L18" i="67"/>
  <c r="M17" i="67"/>
  <c r="P17" i="67" s="1"/>
  <c r="R17" i="67" s="1"/>
  <c r="L17" i="67"/>
  <c r="M16" i="67"/>
  <c r="P16" i="67" s="1"/>
  <c r="R16" i="67" s="1"/>
  <c r="L16" i="67"/>
  <c r="M15" i="67"/>
  <c r="Q15" i="67" s="1"/>
  <c r="L15" i="67"/>
  <c r="M14" i="67"/>
  <c r="Q14" i="67" s="1"/>
  <c r="L14" i="67"/>
  <c r="M13" i="67"/>
  <c r="Q13" i="67" s="1"/>
  <c r="L13" i="67"/>
  <c r="M12" i="67"/>
  <c r="Q12" i="67" s="1"/>
  <c r="L12" i="67"/>
  <c r="M11" i="67"/>
  <c r="P11" i="67" s="1"/>
  <c r="R11" i="67" s="1"/>
  <c r="L11" i="67"/>
  <c r="M10" i="67"/>
  <c r="L10" i="67"/>
  <c r="F4" i="67"/>
  <c r="M1315" i="79"/>
  <c r="K171" i="66"/>
  <c r="I171" i="66"/>
  <c r="H171" i="66"/>
  <c r="G171" i="66"/>
  <c r="F171" i="66"/>
  <c r="E171" i="66"/>
  <c r="M170" i="66"/>
  <c r="P170" i="66" s="1"/>
  <c r="R170" i="66" s="1"/>
  <c r="L170" i="66"/>
  <c r="M169" i="66"/>
  <c r="L169" i="66"/>
  <c r="M168" i="66"/>
  <c r="Q168" i="66" s="1"/>
  <c r="L168" i="66"/>
  <c r="M167" i="66"/>
  <c r="Q167" i="66" s="1"/>
  <c r="L167" i="66"/>
  <c r="M166" i="66"/>
  <c r="P166" i="66" s="1"/>
  <c r="R166" i="66" s="1"/>
  <c r="L166" i="66"/>
  <c r="M165" i="66"/>
  <c r="L165" i="66"/>
  <c r="M164" i="66"/>
  <c r="Q164" i="66" s="1"/>
  <c r="L164" i="66"/>
  <c r="M163" i="66"/>
  <c r="Q163" i="66" s="1"/>
  <c r="L163" i="66"/>
  <c r="R162" i="66"/>
  <c r="M162" i="66"/>
  <c r="P162" i="66" s="1"/>
  <c r="L162" i="66"/>
  <c r="M161" i="66"/>
  <c r="L161" i="66"/>
  <c r="M160" i="66"/>
  <c r="Q160" i="66" s="1"/>
  <c r="L160" i="66"/>
  <c r="M159" i="66"/>
  <c r="P159" i="66" s="1"/>
  <c r="R159" i="66" s="1"/>
  <c r="L159" i="66"/>
  <c r="M158" i="66"/>
  <c r="P158" i="66" s="1"/>
  <c r="R158" i="66" s="1"/>
  <c r="L158" i="66"/>
  <c r="M157" i="66"/>
  <c r="L157" i="66"/>
  <c r="M156" i="66"/>
  <c r="Q156" i="66" s="1"/>
  <c r="L156" i="66"/>
  <c r="M155" i="66"/>
  <c r="Q155" i="66" s="1"/>
  <c r="L155" i="66"/>
  <c r="M154" i="66"/>
  <c r="P154" i="66" s="1"/>
  <c r="R154" i="66" s="1"/>
  <c r="L154" i="66"/>
  <c r="M153" i="66"/>
  <c r="L153" i="66"/>
  <c r="M152" i="66"/>
  <c r="Q152" i="66" s="1"/>
  <c r="L152" i="66"/>
  <c r="M151" i="66"/>
  <c r="P151" i="66" s="1"/>
  <c r="R151" i="66" s="1"/>
  <c r="L151" i="66"/>
  <c r="M150" i="66"/>
  <c r="P150" i="66" s="1"/>
  <c r="R150" i="66" s="1"/>
  <c r="L150" i="66"/>
  <c r="M149" i="66"/>
  <c r="L149" i="66"/>
  <c r="M148" i="66"/>
  <c r="Q148" i="66" s="1"/>
  <c r="L148" i="66"/>
  <c r="M147" i="66"/>
  <c r="Q147" i="66" s="1"/>
  <c r="L147" i="66"/>
  <c r="M146" i="66"/>
  <c r="P146" i="66" s="1"/>
  <c r="R146" i="66" s="1"/>
  <c r="L146" i="66"/>
  <c r="M145" i="66"/>
  <c r="L145" i="66"/>
  <c r="M144" i="66"/>
  <c r="Q144" i="66" s="1"/>
  <c r="L144" i="66"/>
  <c r="M143" i="66"/>
  <c r="Q143" i="66" s="1"/>
  <c r="L143" i="66"/>
  <c r="M142" i="66"/>
  <c r="P142" i="66" s="1"/>
  <c r="R142" i="66" s="1"/>
  <c r="L142" i="66"/>
  <c r="M141" i="66"/>
  <c r="L141" i="66"/>
  <c r="M140" i="66"/>
  <c r="Q140" i="66" s="1"/>
  <c r="L140" i="66"/>
  <c r="M139" i="66"/>
  <c r="Q139" i="66" s="1"/>
  <c r="L139" i="66"/>
  <c r="M138" i="66"/>
  <c r="P138" i="66" s="1"/>
  <c r="R138" i="66" s="1"/>
  <c r="L138" i="66"/>
  <c r="K131" i="66"/>
  <c r="I131" i="66"/>
  <c r="H131" i="66"/>
  <c r="G131" i="66"/>
  <c r="F131" i="66"/>
  <c r="E131" i="66"/>
  <c r="M130" i="66"/>
  <c r="P130" i="66" s="1"/>
  <c r="R130" i="66" s="1"/>
  <c r="L130" i="66"/>
  <c r="M129" i="66"/>
  <c r="L129" i="66"/>
  <c r="M128" i="66"/>
  <c r="Q128" i="66" s="1"/>
  <c r="L128" i="66"/>
  <c r="M127" i="66"/>
  <c r="P127" i="66" s="1"/>
  <c r="R127" i="66" s="1"/>
  <c r="L127" i="66"/>
  <c r="M126" i="66"/>
  <c r="P126" i="66" s="1"/>
  <c r="R126" i="66" s="1"/>
  <c r="L126" i="66"/>
  <c r="M125" i="66"/>
  <c r="L125" i="66"/>
  <c r="M124" i="66"/>
  <c r="Q124" i="66" s="1"/>
  <c r="L124" i="66"/>
  <c r="M123" i="66"/>
  <c r="P123" i="66" s="1"/>
  <c r="R123" i="66" s="1"/>
  <c r="L123" i="66"/>
  <c r="M122" i="66"/>
  <c r="P122" i="66" s="1"/>
  <c r="R122" i="66" s="1"/>
  <c r="L122" i="66"/>
  <c r="M121" i="66"/>
  <c r="L121" i="66"/>
  <c r="M120" i="66"/>
  <c r="Q120" i="66" s="1"/>
  <c r="L120" i="66"/>
  <c r="M119" i="66"/>
  <c r="P119" i="66" s="1"/>
  <c r="R119" i="66" s="1"/>
  <c r="L119" i="66"/>
  <c r="R118" i="66"/>
  <c r="M118" i="66"/>
  <c r="P118" i="66" s="1"/>
  <c r="L118" i="66"/>
  <c r="M117" i="66"/>
  <c r="L117" i="66"/>
  <c r="M116" i="66"/>
  <c r="Q116" i="66" s="1"/>
  <c r="L116" i="66"/>
  <c r="M115" i="66"/>
  <c r="P115" i="66" s="1"/>
  <c r="R115" i="66" s="1"/>
  <c r="L115" i="66"/>
  <c r="M114" i="66"/>
  <c r="P114" i="66" s="1"/>
  <c r="R114" i="66" s="1"/>
  <c r="L114" i="66"/>
  <c r="M113" i="66"/>
  <c r="L113" i="66"/>
  <c r="M112" i="66"/>
  <c r="Q112" i="66" s="1"/>
  <c r="L112" i="66"/>
  <c r="M111" i="66"/>
  <c r="P111" i="66" s="1"/>
  <c r="R111" i="66" s="1"/>
  <c r="L111" i="66"/>
  <c r="M110" i="66"/>
  <c r="P110" i="66" s="1"/>
  <c r="R110" i="66" s="1"/>
  <c r="L110" i="66"/>
  <c r="M109" i="66"/>
  <c r="L109" i="66"/>
  <c r="M108" i="66"/>
  <c r="Q108" i="66" s="1"/>
  <c r="L108" i="66"/>
  <c r="P107" i="66"/>
  <c r="R107" i="66" s="1"/>
  <c r="M107" i="66"/>
  <c r="Q107" i="66" s="1"/>
  <c r="L107" i="66"/>
  <c r="M106" i="66"/>
  <c r="P106" i="66" s="1"/>
  <c r="R106" i="66" s="1"/>
  <c r="L106" i="66"/>
  <c r="M105" i="66"/>
  <c r="L105" i="66"/>
  <c r="M104" i="66"/>
  <c r="Q104" i="66" s="1"/>
  <c r="L104" i="66"/>
  <c r="M103" i="66"/>
  <c r="P103" i="66" s="1"/>
  <c r="R103" i="66" s="1"/>
  <c r="L103" i="66"/>
  <c r="M102" i="66"/>
  <c r="P102" i="66" s="1"/>
  <c r="R102" i="66" s="1"/>
  <c r="L102" i="66"/>
  <c r="M101" i="66"/>
  <c r="L101" i="66"/>
  <c r="M100" i="66"/>
  <c r="Q100" i="66" s="1"/>
  <c r="L100" i="66"/>
  <c r="M99" i="66"/>
  <c r="Q99" i="66" s="1"/>
  <c r="L99" i="66"/>
  <c r="M98" i="66"/>
  <c r="P98" i="66" s="1"/>
  <c r="R98" i="66" s="1"/>
  <c r="L98" i="66"/>
  <c r="M97" i="66"/>
  <c r="L97" i="66"/>
  <c r="P96" i="66"/>
  <c r="R96" i="66" s="1"/>
  <c r="M96" i="66"/>
  <c r="Q96" i="66" s="1"/>
  <c r="L96" i="66"/>
  <c r="K89" i="66"/>
  <c r="I89" i="66"/>
  <c r="H89" i="66"/>
  <c r="G89" i="66"/>
  <c r="F89" i="66"/>
  <c r="E89" i="66"/>
  <c r="M88" i="66"/>
  <c r="Q88" i="66" s="1"/>
  <c r="L88" i="66"/>
  <c r="M87" i="66"/>
  <c r="Q87" i="66" s="1"/>
  <c r="L87" i="66"/>
  <c r="M86" i="66"/>
  <c r="P86" i="66" s="1"/>
  <c r="R86" i="66" s="1"/>
  <c r="L86" i="66"/>
  <c r="M85" i="66"/>
  <c r="L85" i="66"/>
  <c r="M84" i="66"/>
  <c r="Q84" i="66" s="1"/>
  <c r="L84" i="66"/>
  <c r="M83" i="66"/>
  <c r="Q83" i="66" s="1"/>
  <c r="L83" i="66"/>
  <c r="M82" i="66"/>
  <c r="P82" i="66" s="1"/>
  <c r="R82" i="66" s="1"/>
  <c r="L82" i="66"/>
  <c r="M81" i="66"/>
  <c r="L81" i="66"/>
  <c r="M80" i="66"/>
  <c r="Q80" i="66" s="1"/>
  <c r="L80" i="66"/>
  <c r="M79" i="66"/>
  <c r="Q79" i="66" s="1"/>
  <c r="L79" i="66"/>
  <c r="M78" i="66"/>
  <c r="P78" i="66" s="1"/>
  <c r="R78" i="66" s="1"/>
  <c r="L78" i="66"/>
  <c r="M77" i="66"/>
  <c r="L77" i="66"/>
  <c r="M76" i="66"/>
  <c r="Q76" i="66" s="1"/>
  <c r="L76" i="66"/>
  <c r="M75" i="66"/>
  <c r="Q75" i="66" s="1"/>
  <c r="L75" i="66"/>
  <c r="M74" i="66"/>
  <c r="P74" i="66" s="1"/>
  <c r="R74" i="66" s="1"/>
  <c r="L74" i="66"/>
  <c r="M73" i="66"/>
  <c r="L73" i="66"/>
  <c r="M72" i="66"/>
  <c r="Q72" i="66" s="1"/>
  <c r="L72" i="66"/>
  <c r="M71" i="66"/>
  <c r="P71" i="66" s="1"/>
  <c r="R71" i="66" s="1"/>
  <c r="L71" i="66"/>
  <c r="M70" i="66"/>
  <c r="P70" i="66" s="1"/>
  <c r="R70" i="66" s="1"/>
  <c r="L70" i="66"/>
  <c r="M69" i="66"/>
  <c r="L69" i="66"/>
  <c r="M68" i="66"/>
  <c r="Q68" i="66" s="1"/>
  <c r="L68" i="66"/>
  <c r="M67" i="66"/>
  <c r="Q67" i="66" s="1"/>
  <c r="L67" i="66"/>
  <c r="M66" i="66"/>
  <c r="P66" i="66" s="1"/>
  <c r="R66" i="66" s="1"/>
  <c r="L66" i="66"/>
  <c r="M65" i="66"/>
  <c r="L65" i="66"/>
  <c r="M64" i="66"/>
  <c r="Q64" i="66" s="1"/>
  <c r="L64" i="66"/>
  <c r="M63" i="66"/>
  <c r="P63" i="66" s="1"/>
  <c r="R63" i="66" s="1"/>
  <c r="L63" i="66"/>
  <c r="M62" i="66"/>
  <c r="P62" i="66" s="1"/>
  <c r="R62" i="66" s="1"/>
  <c r="L62" i="66"/>
  <c r="M61" i="66"/>
  <c r="L61" i="66"/>
  <c r="M60" i="66"/>
  <c r="Q60" i="66" s="1"/>
  <c r="L60" i="66"/>
  <c r="M59" i="66"/>
  <c r="Q59" i="66" s="1"/>
  <c r="L59" i="66"/>
  <c r="M58" i="66"/>
  <c r="P58" i="66" s="1"/>
  <c r="R58" i="66" s="1"/>
  <c r="L58" i="66"/>
  <c r="M57" i="66"/>
  <c r="L57" i="66"/>
  <c r="M56" i="66"/>
  <c r="Q56" i="66" s="1"/>
  <c r="L56" i="66"/>
  <c r="M55" i="66"/>
  <c r="Q55" i="66" s="1"/>
  <c r="L55" i="66"/>
  <c r="M54" i="66"/>
  <c r="P54" i="66" s="1"/>
  <c r="R54" i="66" s="1"/>
  <c r="L54" i="66"/>
  <c r="K45" i="66"/>
  <c r="I45" i="66"/>
  <c r="H45" i="66"/>
  <c r="G45" i="66"/>
  <c r="F45" i="66"/>
  <c r="E45" i="66"/>
  <c r="M44" i="66"/>
  <c r="P44" i="66" s="1"/>
  <c r="R44" i="66" s="1"/>
  <c r="L44" i="66"/>
  <c r="M43" i="66"/>
  <c r="Q43" i="66" s="1"/>
  <c r="L43" i="66"/>
  <c r="M42" i="66"/>
  <c r="Q42" i="66" s="1"/>
  <c r="L42" i="66"/>
  <c r="M41" i="66"/>
  <c r="Q41" i="66" s="1"/>
  <c r="L41" i="66"/>
  <c r="M40" i="66"/>
  <c r="P40" i="66" s="1"/>
  <c r="R40" i="66" s="1"/>
  <c r="L40" i="66"/>
  <c r="M39" i="66"/>
  <c r="Q39" i="66" s="1"/>
  <c r="L39" i="66"/>
  <c r="M38" i="66"/>
  <c r="Q38" i="66" s="1"/>
  <c r="L38" i="66"/>
  <c r="P37" i="66"/>
  <c r="R37" i="66" s="1"/>
  <c r="M37" i="66"/>
  <c r="Q37" i="66" s="1"/>
  <c r="L37" i="66"/>
  <c r="M36" i="66"/>
  <c r="P36" i="66" s="1"/>
  <c r="R36" i="66" s="1"/>
  <c r="L36" i="66"/>
  <c r="M35" i="66"/>
  <c r="Q35" i="66" s="1"/>
  <c r="L35" i="66"/>
  <c r="M34" i="66"/>
  <c r="P34" i="66" s="1"/>
  <c r="R34" i="66" s="1"/>
  <c r="L34" i="66"/>
  <c r="M33" i="66"/>
  <c r="Q33" i="66" s="1"/>
  <c r="L33" i="66"/>
  <c r="M32" i="66"/>
  <c r="P32" i="66" s="1"/>
  <c r="R32" i="66" s="1"/>
  <c r="L32" i="66"/>
  <c r="M31" i="66"/>
  <c r="Q31" i="66" s="1"/>
  <c r="L31" i="66"/>
  <c r="M30" i="66"/>
  <c r="Q30" i="66" s="1"/>
  <c r="L30" i="66"/>
  <c r="M29" i="66"/>
  <c r="Q29" i="66" s="1"/>
  <c r="L29" i="66"/>
  <c r="M28" i="66"/>
  <c r="P28" i="66" s="1"/>
  <c r="R28" i="66" s="1"/>
  <c r="L28" i="66"/>
  <c r="M27" i="66"/>
  <c r="Q27" i="66" s="1"/>
  <c r="L27" i="66"/>
  <c r="M26" i="66"/>
  <c r="Q26" i="66" s="1"/>
  <c r="L26" i="66"/>
  <c r="M25" i="66"/>
  <c r="P25" i="66" s="1"/>
  <c r="R25" i="66" s="1"/>
  <c r="L25" i="66"/>
  <c r="M24" i="66"/>
  <c r="P24" i="66" s="1"/>
  <c r="R24" i="66" s="1"/>
  <c r="L24" i="66"/>
  <c r="M23" i="66"/>
  <c r="Q23" i="66" s="1"/>
  <c r="L23" i="66"/>
  <c r="M22" i="66"/>
  <c r="Q22" i="66" s="1"/>
  <c r="L22" i="66"/>
  <c r="Q21" i="66"/>
  <c r="M21" i="66"/>
  <c r="P21" i="66" s="1"/>
  <c r="R21" i="66" s="1"/>
  <c r="L21" i="66"/>
  <c r="M20" i="66"/>
  <c r="P20" i="66" s="1"/>
  <c r="R20" i="66" s="1"/>
  <c r="L20" i="66"/>
  <c r="M19" i="66"/>
  <c r="Q19" i="66" s="1"/>
  <c r="L19" i="66"/>
  <c r="M18" i="66"/>
  <c r="Q18" i="66" s="1"/>
  <c r="L18" i="66"/>
  <c r="M17" i="66"/>
  <c r="Q17" i="66" s="1"/>
  <c r="L17" i="66"/>
  <c r="M16" i="66"/>
  <c r="P16" i="66" s="1"/>
  <c r="R16" i="66" s="1"/>
  <c r="L16" i="66"/>
  <c r="M15" i="66"/>
  <c r="Q15" i="66" s="1"/>
  <c r="L15" i="66"/>
  <c r="M14" i="66"/>
  <c r="Q14" i="66" s="1"/>
  <c r="L14" i="66"/>
  <c r="M13" i="66"/>
  <c r="Q13" i="66" s="1"/>
  <c r="L13" i="66"/>
  <c r="M12" i="66"/>
  <c r="P12" i="66" s="1"/>
  <c r="R12" i="66" s="1"/>
  <c r="L12" i="66"/>
  <c r="M11" i="66"/>
  <c r="Q11" i="66" s="1"/>
  <c r="L11" i="66"/>
  <c r="M10" i="66"/>
  <c r="L10" i="66"/>
  <c r="F4" i="66"/>
  <c r="M1134" i="79"/>
  <c r="M953" i="79"/>
  <c r="Q71" i="66" l="1"/>
  <c r="Q16" i="67"/>
  <c r="Q44" i="67"/>
  <c r="Q110" i="66"/>
  <c r="Q11" i="67"/>
  <c r="Q39" i="67"/>
  <c r="P60" i="67"/>
  <c r="R60" i="67" s="1"/>
  <c r="P120" i="67"/>
  <c r="R120" i="67" s="1"/>
  <c r="P159" i="67"/>
  <c r="R159" i="67" s="1"/>
  <c r="P147" i="66"/>
  <c r="R147" i="66" s="1"/>
  <c r="Q150" i="66"/>
  <c r="P33" i="66"/>
  <c r="R33" i="66" s="1"/>
  <c r="Q40" i="66"/>
  <c r="P104" i="66"/>
  <c r="R104" i="66" s="1"/>
  <c r="P79" i="67"/>
  <c r="R79" i="67" s="1"/>
  <c r="P82" i="67"/>
  <c r="R82" i="67" s="1"/>
  <c r="Q115" i="66"/>
  <c r="Q36" i="67"/>
  <c r="Q63" i="66"/>
  <c r="P112" i="66"/>
  <c r="R112" i="66" s="1"/>
  <c r="Q138" i="67"/>
  <c r="P86" i="67"/>
  <c r="R86" i="67" s="1"/>
  <c r="Q147" i="67"/>
  <c r="P32" i="67"/>
  <c r="R32" i="67" s="1"/>
  <c r="P58" i="67"/>
  <c r="R58" i="67" s="1"/>
  <c r="P74" i="67"/>
  <c r="R74" i="67" s="1"/>
  <c r="P108" i="67"/>
  <c r="R108" i="67" s="1"/>
  <c r="P123" i="67"/>
  <c r="R123" i="67" s="1"/>
  <c r="Q151" i="67"/>
  <c r="Q154" i="67"/>
  <c r="Q167" i="67"/>
  <c r="P158" i="67"/>
  <c r="R158" i="67" s="1"/>
  <c r="P70" i="67"/>
  <c r="R70" i="67" s="1"/>
  <c r="P62" i="67"/>
  <c r="R62" i="67" s="1"/>
  <c r="Q65" i="67"/>
  <c r="Q106" i="67"/>
  <c r="P142" i="67"/>
  <c r="R142" i="67" s="1"/>
  <c r="P155" i="67"/>
  <c r="R155" i="67" s="1"/>
  <c r="P162" i="67"/>
  <c r="R162" i="67" s="1"/>
  <c r="P99" i="66"/>
  <c r="R99" i="66" s="1"/>
  <c r="Q102" i="66"/>
  <c r="Q123" i="66"/>
  <c r="P163" i="66"/>
  <c r="R163" i="66" s="1"/>
  <c r="Q166" i="66"/>
  <c r="Q25" i="66"/>
  <c r="Q36" i="66"/>
  <c r="I173" i="66"/>
  <c r="Q103" i="66"/>
  <c r="Q106" i="66"/>
  <c r="Q118" i="66"/>
  <c r="P128" i="66"/>
  <c r="R128" i="66" s="1"/>
  <c r="P79" i="66"/>
  <c r="R79" i="66" s="1"/>
  <c r="P110" i="67"/>
  <c r="R110" i="67" s="1"/>
  <c r="P115" i="67"/>
  <c r="R115" i="67" s="1"/>
  <c r="P118" i="67"/>
  <c r="R118" i="67" s="1"/>
  <c r="P130" i="67"/>
  <c r="R130" i="67" s="1"/>
  <c r="P166" i="67"/>
  <c r="R166" i="67" s="1"/>
  <c r="P40" i="67"/>
  <c r="R40" i="67" s="1"/>
  <c r="Q61" i="67"/>
  <c r="P63" i="67"/>
  <c r="R63" i="67" s="1"/>
  <c r="Q75" i="67"/>
  <c r="P127" i="67"/>
  <c r="R127" i="67" s="1"/>
  <c r="P140" i="67"/>
  <c r="R140" i="67" s="1"/>
  <c r="P163" i="67"/>
  <c r="R163" i="67" s="1"/>
  <c r="P29" i="66"/>
  <c r="R29" i="66" s="1"/>
  <c r="Q119" i="66"/>
  <c r="H173" i="66"/>
  <c r="P55" i="66"/>
  <c r="R55" i="66" s="1"/>
  <c r="P87" i="66"/>
  <c r="R87" i="66" s="1"/>
  <c r="Q111" i="66"/>
  <c r="Q114" i="66"/>
  <c r="P12" i="67"/>
  <c r="R12" i="67" s="1"/>
  <c r="P15" i="67"/>
  <c r="R15" i="67" s="1"/>
  <c r="P35" i="67"/>
  <c r="R35" i="67" s="1"/>
  <c r="P59" i="67"/>
  <c r="R59" i="67" s="1"/>
  <c r="P66" i="67"/>
  <c r="R66" i="67" s="1"/>
  <c r="P78" i="67"/>
  <c r="R78" i="67" s="1"/>
  <c r="P143" i="67"/>
  <c r="R143" i="67" s="1"/>
  <c r="P146" i="67"/>
  <c r="R146" i="67" s="1"/>
  <c r="P152" i="67"/>
  <c r="R152" i="67" s="1"/>
  <c r="P170" i="67"/>
  <c r="R170" i="67" s="1"/>
  <c r="Q32" i="66"/>
  <c r="Q122" i="66"/>
  <c r="M45" i="67"/>
  <c r="Q127" i="66"/>
  <c r="Q151" i="66"/>
  <c r="K173" i="66"/>
  <c r="Q98" i="66"/>
  <c r="P120" i="66"/>
  <c r="R120" i="66" s="1"/>
  <c r="Q126" i="66"/>
  <c r="Q159" i="66"/>
  <c r="P76" i="67"/>
  <c r="R76" i="67" s="1"/>
  <c r="P102" i="67"/>
  <c r="R102" i="67" s="1"/>
  <c r="P111" i="67"/>
  <c r="R111" i="67" s="1"/>
  <c r="P114" i="67"/>
  <c r="R114" i="67" s="1"/>
  <c r="Q119" i="67"/>
  <c r="P122" i="67"/>
  <c r="R122" i="67" s="1"/>
  <c r="Q130" i="66"/>
  <c r="P28" i="67"/>
  <c r="R28" i="67" s="1"/>
  <c r="E173" i="67"/>
  <c r="Q154" i="66"/>
  <c r="M45" i="66"/>
  <c r="P13" i="66"/>
  <c r="R13" i="66" s="1"/>
  <c r="Q16" i="66"/>
  <c r="F173" i="66"/>
  <c r="Q54" i="66"/>
  <c r="P56" i="66"/>
  <c r="R56" i="66" s="1"/>
  <c r="P59" i="66"/>
  <c r="R59" i="66" s="1"/>
  <c r="Q62" i="66"/>
  <c r="P64" i="66"/>
  <c r="R64" i="66" s="1"/>
  <c r="P67" i="66"/>
  <c r="R67" i="66" s="1"/>
  <c r="Q70" i="66"/>
  <c r="P72" i="66"/>
  <c r="R72" i="66" s="1"/>
  <c r="P75" i="66"/>
  <c r="R75" i="66" s="1"/>
  <c r="Q78" i="66"/>
  <c r="P80" i="66"/>
  <c r="R80" i="66" s="1"/>
  <c r="P83" i="66"/>
  <c r="R83" i="66" s="1"/>
  <c r="Q86" i="66"/>
  <c r="P88" i="66"/>
  <c r="R88" i="66" s="1"/>
  <c r="P143" i="66"/>
  <c r="R143" i="66" s="1"/>
  <c r="Q146" i="66"/>
  <c r="Q28" i="66"/>
  <c r="E173" i="66"/>
  <c r="Q138" i="66"/>
  <c r="P64" i="67"/>
  <c r="R64" i="67" s="1"/>
  <c r="Q77" i="67"/>
  <c r="Q81" i="67"/>
  <c r="I173" i="67"/>
  <c r="Q97" i="67"/>
  <c r="P17" i="66"/>
  <c r="R17" i="66" s="1"/>
  <c r="Q20" i="66"/>
  <c r="P155" i="66"/>
  <c r="R155" i="66" s="1"/>
  <c r="Q158" i="66"/>
  <c r="P24" i="67"/>
  <c r="R24" i="67" s="1"/>
  <c r="P27" i="67"/>
  <c r="R27" i="67" s="1"/>
  <c r="P112" i="67"/>
  <c r="R112" i="67" s="1"/>
  <c r="P126" i="67"/>
  <c r="R126" i="67" s="1"/>
  <c r="P156" i="67"/>
  <c r="R156" i="67" s="1"/>
  <c r="P168" i="67"/>
  <c r="R168" i="67" s="1"/>
  <c r="M89" i="67"/>
  <c r="P150" i="67"/>
  <c r="R150" i="67" s="1"/>
  <c r="Q12" i="66"/>
  <c r="P41" i="66"/>
  <c r="R41" i="66" s="1"/>
  <c r="Q44" i="66"/>
  <c r="Q58" i="66"/>
  <c r="Q66" i="66"/>
  <c r="Q74" i="66"/>
  <c r="Q82" i="66"/>
  <c r="P139" i="66"/>
  <c r="R139" i="66" s="1"/>
  <c r="Q142" i="66"/>
  <c r="P167" i="66"/>
  <c r="R167" i="66" s="1"/>
  <c r="Q170" i="66"/>
  <c r="Q24" i="66"/>
  <c r="Q162" i="66"/>
  <c r="P20" i="67"/>
  <c r="R20" i="67" s="1"/>
  <c r="P23" i="67"/>
  <c r="R23" i="67" s="1"/>
  <c r="Q54" i="67"/>
  <c r="P80" i="67"/>
  <c r="R80" i="67" s="1"/>
  <c r="P96" i="67"/>
  <c r="R96" i="67" s="1"/>
  <c r="P107" i="67"/>
  <c r="R107" i="67" s="1"/>
  <c r="Q109" i="67"/>
  <c r="Q113" i="67"/>
  <c r="P124" i="67"/>
  <c r="R124" i="67" s="1"/>
  <c r="H173" i="67"/>
  <c r="Q129" i="67"/>
  <c r="P129" i="67"/>
  <c r="R129" i="67" s="1"/>
  <c r="P13" i="67"/>
  <c r="R13" i="67" s="1"/>
  <c r="P21" i="67"/>
  <c r="R21" i="67" s="1"/>
  <c r="P33" i="67"/>
  <c r="R33" i="67" s="1"/>
  <c r="P41" i="67"/>
  <c r="R41" i="67" s="1"/>
  <c r="P83" i="67"/>
  <c r="R83" i="67" s="1"/>
  <c r="P84" i="67"/>
  <c r="R84" i="67" s="1"/>
  <c r="Q85" i="67"/>
  <c r="P99" i="67"/>
  <c r="R99" i="67" s="1"/>
  <c r="P100" i="67"/>
  <c r="R100" i="67" s="1"/>
  <c r="Q101" i="67"/>
  <c r="P116" i="67"/>
  <c r="R116" i="67" s="1"/>
  <c r="Q125" i="67"/>
  <c r="P125" i="67"/>
  <c r="R125" i="67" s="1"/>
  <c r="M131" i="67"/>
  <c r="Q141" i="67"/>
  <c r="P141" i="67"/>
  <c r="P148" i="67"/>
  <c r="R148" i="67" s="1"/>
  <c r="Q157" i="67"/>
  <c r="P157" i="67"/>
  <c r="R157" i="67" s="1"/>
  <c r="P164" i="67"/>
  <c r="R164" i="67" s="1"/>
  <c r="P10" i="67"/>
  <c r="P14" i="67"/>
  <c r="R14" i="67" s="1"/>
  <c r="Q17" i="67"/>
  <c r="P18" i="67"/>
  <c r="R18" i="67" s="1"/>
  <c r="P22" i="67"/>
  <c r="R22" i="67" s="1"/>
  <c r="Q25" i="67"/>
  <c r="P26" i="67"/>
  <c r="R26" i="67" s="1"/>
  <c r="Q29" i="67"/>
  <c r="P30" i="67"/>
  <c r="R30" i="67" s="1"/>
  <c r="P34" i="67"/>
  <c r="R34" i="67" s="1"/>
  <c r="Q37" i="67"/>
  <c r="P38" i="67"/>
  <c r="R38" i="67" s="1"/>
  <c r="P42" i="67"/>
  <c r="R42" i="67" s="1"/>
  <c r="Q43" i="67"/>
  <c r="F173" i="67"/>
  <c r="K173" i="67"/>
  <c r="P55" i="67"/>
  <c r="R55" i="67" s="1"/>
  <c r="P56" i="67"/>
  <c r="R56" i="67" s="1"/>
  <c r="Q57" i="67"/>
  <c r="Q67" i="67"/>
  <c r="P71" i="67"/>
  <c r="R71" i="67" s="1"/>
  <c r="P72" i="67"/>
  <c r="R72" i="67" s="1"/>
  <c r="Q73" i="67"/>
  <c r="P87" i="67"/>
  <c r="R87" i="67" s="1"/>
  <c r="P88" i="67"/>
  <c r="R88" i="67" s="1"/>
  <c r="P103" i="67"/>
  <c r="R103" i="67" s="1"/>
  <c r="P104" i="67"/>
  <c r="R104" i="67" s="1"/>
  <c r="Q105" i="67"/>
  <c r="Q121" i="67"/>
  <c r="P121" i="67"/>
  <c r="R121" i="67" s="1"/>
  <c r="P128" i="67"/>
  <c r="R128" i="67" s="1"/>
  <c r="P144" i="67"/>
  <c r="R144" i="67" s="1"/>
  <c r="Q153" i="67"/>
  <c r="P153" i="67"/>
  <c r="R153" i="67" s="1"/>
  <c r="P160" i="67"/>
  <c r="R160" i="67" s="1"/>
  <c r="Q169" i="67"/>
  <c r="P169" i="67"/>
  <c r="R169" i="67" s="1"/>
  <c r="Q145" i="67"/>
  <c r="P145" i="67"/>
  <c r="R145" i="67" s="1"/>
  <c r="Q161" i="67"/>
  <c r="P161" i="67"/>
  <c r="R161" i="67" s="1"/>
  <c r="P68" i="67"/>
  <c r="R68" i="67" s="1"/>
  <c r="Q69" i="67"/>
  <c r="Q10" i="67"/>
  <c r="G173" i="67"/>
  <c r="Q117" i="67"/>
  <c r="P117" i="67"/>
  <c r="R117" i="67" s="1"/>
  <c r="Q149" i="67"/>
  <c r="P149" i="67"/>
  <c r="R149" i="67" s="1"/>
  <c r="Q165" i="67"/>
  <c r="P165" i="67"/>
  <c r="R165" i="67" s="1"/>
  <c r="M171" i="67"/>
  <c r="Q61" i="66"/>
  <c r="P61" i="66"/>
  <c r="R61" i="66" s="1"/>
  <c r="Q77" i="66"/>
  <c r="P77" i="66"/>
  <c r="R77" i="66" s="1"/>
  <c r="Q101" i="66"/>
  <c r="P101" i="66"/>
  <c r="R101" i="66" s="1"/>
  <c r="Q125" i="66"/>
  <c r="P125" i="66"/>
  <c r="R125" i="66" s="1"/>
  <c r="P22" i="66"/>
  <c r="R22" i="66" s="1"/>
  <c r="P30" i="66"/>
  <c r="R30" i="66" s="1"/>
  <c r="P42" i="66"/>
  <c r="R42" i="66" s="1"/>
  <c r="P144" i="66"/>
  <c r="R144" i="66" s="1"/>
  <c r="Q149" i="66"/>
  <c r="P149" i="66"/>
  <c r="R149" i="66" s="1"/>
  <c r="P160" i="66"/>
  <c r="R160" i="66" s="1"/>
  <c r="P168" i="66"/>
  <c r="R168" i="66" s="1"/>
  <c r="P15" i="66"/>
  <c r="R15" i="66" s="1"/>
  <c r="P23" i="66"/>
  <c r="R23" i="66" s="1"/>
  <c r="P27" i="66"/>
  <c r="R27" i="66" s="1"/>
  <c r="P31" i="66"/>
  <c r="R31" i="66" s="1"/>
  <c r="Q34" i="66"/>
  <c r="P35" i="66"/>
  <c r="R35" i="66" s="1"/>
  <c r="P43" i="66"/>
  <c r="R43" i="66" s="1"/>
  <c r="Q69" i="66"/>
  <c r="P69" i="66"/>
  <c r="R69" i="66" s="1"/>
  <c r="Q85" i="66"/>
  <c r="P85" i="66"/>
  <c r="R85" i="66" s="1"/>
  <c r="Q109" i="66"/>
  <c r="P109" i="66"/>
  <c r="R109" i="66" s="1"/>
  <c r="Q117" i="66"/>
  <c r="P117" i="66"/>
  <c r="R117" i="66" s="1"/>
  <c r="P10" i="66"/>
  <c r="P14" i="66"/>
  <c r="R14" i="66" s="1"/>
  <c r="P18" i="66"/>
  <c r="R18" i="66" s="1"/>
  <c r="P26" i="66"/>
  <c r="R26" i="66" s="1"/>
  <c r="P38" i="66"/>
  <c r="R38" i="66" s="1"/>
  <c r="Q141" i="66"/>
  <c r="P141" i="66"/>
  <c r="R141" i="66" s="1"/>
  <c r="P152" i="66"/>
  <c r="R152" i="66" s="1"/>
  <c r="Q157" i="66"/>
  <c r="P157" i="66"/>
  <c r="R157" i="66" s="1"/>
  <c r="Q165" i="66"/>
  <c r="P165" i="66"/>
  <c r="R165" i="66" s="1"/>
  <c r="Q10" i="66"/>
  <c r="P11" i="66"/>
  <c r="R11" i="66" s="1"/>
  <c r="P19" i="66"/>
  <c r="R19" i="66" s="1"/>
  <c r="P39" i="66"/>
  <c r="R39" i="66" s="1"/>
  <c r="Q57" i="66"/>
  <c r="P57" i="66"/>
  <c r="R57" i="66" s="1"/>
  <c r="P60" i="66"/>
  <c r="R60" i="66" s="1"/>
  <c r="Q65" i="66"/>
  <c r="P65" i="66"/>
  <c r="R65" i="66" s="1"/>
  <c r="P68" i="66"/>
  <c r="R68" i="66" s="1"/>
  <c r="Q73" i="66"/>
  <c r="P73" i="66"/>
  <c r="R73" i="66" s="1"/>
  <c r="P76" i="66"/>
  <c r="R76" i="66" s="1"/>
  <c r="Q81" i="66"/>
  <c r="P81" i="66"/>
  <c r="R81" i="66" s="1"/>
  <c r="P84" i="66"/>
  <c r="R84" i="66" s="1"/>
  <c r="Q97" i="66"/>
  <c r="P97" i="66"/>
  <c r="R97" i="66" s="1"/>
  <c r="P100" i="66"/>
  <c r="R100" i="66" s="1"/>
  <c r="Q105" i="66"/>
  <c r="P105" i="66"/>
  <c r="R105" i="66" s="1"/>
  <c r="P108" i="66"/>
  <c r="R108" i="66" s="1"/>
  <c r="Q113" i="66"/>
  <c r="P113" i="66"/>
  <c r="R113" i="66" s="1"/>
  <c r="P116" i="66"/>
  <c r="R116" i="66" s="1"/>
  <c r="Q121" i="66"/>
  <c r="P121" i="66"/>
  <c r="R121" i="66" s="1"/>
  <c r="P124" i="66"/>
  <c r="R124" i="66" s="1"/>
  <c r="Q129" i="66"/>
  <c r="P129" i="66"/>
  <c r="R129" i="66" s="1"/>
  <c r="M131" i="66"/>
  <c r="G173" i="66"/>
  <c r="P140" i="66"/>
  <c r="Q145" i="66"/>
  <c r="P145" i="66"/>
  <c r="R145" i="66" s="1"/>
  <c r="P148" i="66"/>
  <c r="R148" i="66" s="1"/>
  <c r="Q153" i="66"/>
  <c r="P153" i="66"/>
  <c r="R153" i="66" s="1"/>
  <c r="P156" i="66"/>
  <c r="R156" i="66" s="1"/>
  <c r="Q161" i="66"/>
  <c r="P161" i="66"/>
  <c r="R161" i="66" s="1"/>
  <c r="P164" i="66"/>
  <c r="R164" i="66" s="1"/>
  <c r="Q169" i="66"/>
  <c r="P169" i="66"/>
  <c r="R169" i="66" s="1"/>
  <c r="M171" i="66"/>
  <c r="M89" i="66"/>
  <c r="K171" i="63"/>
  <c r="I171" i="63"/>
  <c r="H171" i="63"/>
  <c r="G171" i="63"/>
  <c r="F171" i="63"/>
  <c r="E171" i="63"/>
  <c r="M170" i="63"/>
  <c r="Q170" i="63" s="1"/>
  <c r="L170" i="63"/>
  <c r="M169" i="63"/>
  <c r="L169" i="63"/>
  <c r="M168" i="63"/>
  <c r="Q168" i="63" s="1"/>
  <c r="L168" i="63"/>
  <c r="M167" i="63"/>
  <c r="Q167" i="63" s="1"/>
  <c r="L167" i="63"/>
  <c r="M166" i="63"/>
  <c r="P166" i="63" s="1"/>
  <c r="R166" i="63" s="1"/>
  <c r="L166" i="63"/>
  <c r="M165" i="63"/>
  <c r="L165" i="63"/>
  <c r="M164" i="63"/>
  <c r="Q164" i="63" s="1"/>
  <c r="L164" i="63"/>
  <c r="M163" i="63"/>
  <c r="P163" i="63" s="1"/>
  <c r="R163" i="63" s="1"/>
  <c r="L163" i="63"/>
  <c r="M162" i="63"/>
  <c r="Q162" i="63" s="1"/>
  <c r="L162" i="63"/>
  <c r="M161" i="63"/>
  <c r="L161" i="63"/>
  <c r="M160" i="63"/>
  <c r="Q160" i="63" s="1"/>
  <c r="L160" i="63"/>
  <c r="M159" i="63"/>
  <c r="Q159" i="63" s="1"/>
  <c r="L159" i="63"/>
  <c r="M158" i="63"/>
  <c r="Q158" i="63" s="1"/>
  <c r="L158" i="63"/>
  <c r="M157" i="63"/>
  <c r="L157" i="63"/>
  <c r="M156" i="63"/>
  <c r="Q156" i="63" s="1"/>
  <c r="L156" i="63"/>
  <c r="M155" i="63"/>
  <c r="Q155" i="63" s="1"/>
  <c r="L155" i="63"/>
  <c r="M154" i="63"/>
  <c r="P154" i="63" s="1"/>
  <c r="R154" i="63" s="1"/>
  <c r="L154" i="63"/>
  <c r="M153" i="63"/>
  <c r="L153" i="63"/>
  <c r="M152" i="63"/>
  <c r="Q152" i="63" s="1"/>
  <c r="L152" i="63"/>
  <c r="M151" i="63"/>
  <c r="Q151" i="63" s="1"/>
  <c r="L151" i="63"/>
  <c r="M150" i="63"/>
  <c r="P150" i="63" s="1"/>
  <c r="R150" i="63" s="1"/>
  <c r="L150" i="63"/>
  <c r="M149" i="63"/>
  <c r="L149" i="63"/>
  <c r="M148" i="63"/>
  <c r="Q148" i="63" s="1"/>
  <c r="L148" i="63"/>
  <c r="Q147" i="63"/>
  <c r="M147" i="63"/>
  <c r="P147" i="63" s="1"/>
  <c r="R147" i="63" s="1"/>
  <c r="L147" i="63"/>
  <c r="M146" i="63"/>
  <c r="Q146" i="63" s="1"/>
  <c r="L146" i="63"/>
  <c r="M145" i="63"/>
  <c r="L145" i="63"/>
  <c r="M144" i="63"/>
  <c r="Q144" i="63" s="1"/>
  <c r="L144" i="63"/>
  <c r="M143" i="63"/>
  <c r="Q143" i="63" s="1"/>
  <c r="L143" i="63"/>
  <c r="M142" i="63"/>
  <c r="P142" i="63" s="1"/>
  <c r="R142" i="63" s="1"/>
  <c r="L142" i="63"/>
  <c r="M141" i="63"/>
  <c r="L141" i="63"/>
  <c r="M140" i="63"/>
  <c r="Q140" i="63" s="1"/>
  <c r="L140" i="63"/>
  <c r="M139" i="63"/>
  <c r="Q139" i="63" s="1"/>
  <c r="L139" i="63"/>
  <c r="M138" i="63"/>
  <c r="P138" i="63" s="1"/>
  <c r="R138" i="63" s="1"/>
  <c r="L138" i="63"/>
  <c r="K131" i="63"/>
  <c r="I131" i="63"/>
  <c r="H131" i="63"/>
  <c r="G131" i="63"/>
  <c r="F131" i="63"/>
  <c r="E131" i="63"/>
  <c r="M130" i="63"/>
  <c r="Q130" i="63" s="1"/>
  <c r="L130" i="63"/>
  <c r="M129" i="63"/>
  <c r="L129" i="63"/>
  <c r="M128" i="63"/>
  <c r="Q128" i="63" s="1"/>
  <c r="L128" i="63"/>
  <c r="M127" i="63"/>
  <c r="Q127" i="63" s="1"/>
  <c r="L127" i="63"/>
  <c r="M126" i="63"/>
  <c r="Q126" i="63" s="1"/>
  <c r="L126" i="63"/>
  <c r="M125" i="63"/>
  <c r="L125" i="63"/>
  <c r="M124" i="63"/>
  <c r="Q124" i="63" s="1"/>
  <c r="L124" i="63"/>
  <c r="M123" i="63"/>
  <c r="P123" i="63" s="1"/>
  <c r="R123" i="63" s="1"/>
  <c r="L123" i="63"/>
  <c r="M122" i="63"/>
  <c r="P122" i="63" s="1"/>
  <c r="R122" i="63" s="1"/>
  <c r="L122" i="63"/>
  <c r="M121" i="63"/>
  <c r="L121" i="63"/>
  <c r="M120" i="63"/>
  <c r="Q120" i="63" s="1"/>
  <c r="L120" i="63"/>
  <c r="M119" i="63"/>
  <c r="P119" i="63" s="1"/>
  <c r="R119" i="63" s="1"/>
  <c r="L119" i="63"/>
  <c r="M118" i="63"/>
  <c r="Q118" i="63" s="1"/>
  <c r="L118" i="63"/>
  <c r="M117" i="63"/>
  <c r="L117" i="63"/>
  <c r="M116" i="63"/>
  <c r="Q116" i="63" s="1"/>
  <c r="L116" i="63"/>
  <c r="M115" i="63"/>
  <c r="Q115" i="63" s="1"/>
  <c r="L115" i="63"/>
  <c r="M114" i="63"/>
  <c r="P114" i="63" s="1"/>
  <c r="R114" i="63" s="1"/>
  <c r="L114" i="63"/>
  <c r="M113" i="63"/>
  <c r="L113" i="63"/>
  <c r="M112" i="63"/>
  <c r="Q112" i="63" s="1"/>
  <c r="L112" i="63"/>
  <c r="M111" i="63"/>
  <c r="Q111" i="63" s="1"/>
  <c r="L111" i="63"/>
  <c r="M110" i="63"/>
  <c r="Q110" i="63" s="1"/>
  <c r="L110" i="63"/>
  <c r="M109" i="63"/>
  <c r="L109" i="63"/>
  <c r="M108" i="63"/>
  <c r="Q108" i="63" s="1"/>
  <c r="L108" i="63"/>
  <c r="M107" i="63"/>
  <c r="Q107" i="63" s="1"/>
  <c r="L107" i="63"/>
  <c r="M106" i="63"/>
  <c r="Q106" i="63" s="1"/>
  <c r="L106" i="63"/>
  <c r="M105" i="63"/>
  <c r="P105" i="63" s="1"/>
  <c r="R105" i="63" s="1"/>
  <c r="L105" i="63"/>
  <c r="M104" i="63"/>
  <c r="Q104" i="63" s="1"/>
  <c r="L104" i="63"/>
  <c r="M103" i="63"/>
  <c r="Q103" i="63" s="1"/>
  <c r="L103" i="63"/>
  <c r="M102" i="63"/>
  <c r="Q102" i="63" s="1"/>
  <c r="L102" i="63"/>
  <c r="M101" i="63"/>
  <c r="P101" i="63" s="1"/>
  <c r="R101" i="63" s="1"/>
  <c r="L101" i="63"/>
  <c r="M100" i="63"/>
  <c r="Q100" i="63" s="1"/>
  <c r="L100" i="63"/>
  <c r="M99" i="63"/>
  <c r="Q99" i="63" s="1"/>
  <c r="L99" i="63"/>
  <c r="M98" i="63"/>
  <c r="Q98" i="63" s="1"/>
  <c r="L98" i="63"/>
  <c r="M97" i="63"/>
  <c r="P97" i="63" s="1"/>
  <c r="R97" i="63" s="1"/>
  <c r="L97" i="63"/>
  <c r="M96" i="63"/>
  <c r="Q96" i="63" s="1"/>
  <c r="L96" i="63"/>
  <c r="K89" i="63"/>
  <c r="I89" i="63"/>
  <c r="H89" i="63"/>
  <c r="G89" i="63"/>
  <c r="F89" i="63"/>
  <c r="E89" i="63"/>
  <c r="M88" i="63"/>
  <c r="Q88" i="63" s="1"/>
  <c r="L88" i="63"/>
  <c r="M87" i="63"/>
  <c r="Q87" i="63" s="1"/>
  <c r="L87" i="63"/>
  <c r="M86" i="63"/>
  <c r="Q86" i="63" s="1"/>
  <c r="L86" i="63"/>
  <c r="M85" i="63"/>
  <c r="P85" i="63" s="1"/>
  <c r="R85" i="63" s="1"/>
  <c r="L85" i="63"/>
  <c r="M84" i="63"/>
  <c r="Q84" i="63" s="1"/>
  <c r="L84" i="63"/>
  <c r="M83" i="63"/>
  <c r="Q83" i="63" s="1"/>
  <c r="L83" i="63"/>
  <c r="M82" i="63"/>
  <c r="Q82" i="63" s="1"/>
  <c r="L82" i="63"/>
  <c r="M81" i="63"/>
  <c r="P81" i="63" s="1"/>
  <c r="R81" i="63" s="1"/>
  <c r="L81" i="63"/>
  <c r="M80" i="63"/>
  <c r="Q80" i="63" s="1"/>
  <c r="L80" i="63"/>
  <c r="M79" i="63"/>
  <c r="Q79" i="63" s="1"/>
  <c r="L79" i="63"/>
  <c r="M78" i="63"/>
  <c r="Q78" i="63" s="1"/>
  <c r="L78" i="63"/>
  <c r="M77" i="63"/>
  <c r="P77" i="63" s="1"/>
  <c r="R77" i="63" s="1"/>
  <c r="L77" i="63"/>
  <c r="M76" i="63"/>
  <c r="Q76" i="63" s="1"/>
  <c r="L76" i="63"/>
  <c r="M75" i="63"/>
  <c r="Q75" i="63" s="1"/>
  <c r="L75" i="63"/>
  <c r="M74" i="63"/>
  <c r="P74" i="63" s="1"/>
  <c r="R74" i="63" s="1"/>
  <c r="L74" i="63"/>
  <c r="M73" i="63"/>
  <c r="P73" i="63" s="1"/>
  <c r="R73" i="63" s="1"/>
  <c r="L73" i="63"/>
  <c r="M72" i="63"/>
  <c r="Q72" i="63" s="1"/>
  <c r="L72" i="63"/>
  <c r="M71" i="63"/>
  <c r="Q71" i="63" s="1"/>
  <c r="L71" i="63"/>
  <c r="P70" i="63"/>
  <c r="R70" i="63" s="1"/>
  <c r="M70" i="63"/>
  <c r="Q70" i="63" s="1"/>
  <c r="L70" i="63"/>
  <c r="M69" i="63"/>
  <c r="P69" i="63" s="1"/>
  <c r="R69" i="63" s="1"/>
  <c r="L69" i="63"/>
  <c r="M68" i="63"/>
  <c r="Q68" i="63" s="1"/>
  <c r="L68" i="63"/>
  <c r="M67" i="63"/>
  <c r="Q67" i="63" s="1"/>
  <c r="L67" i="63"/>
  <c r="M66" i="63"/>
  <c r="Q66" i="63" s="1"/>
  <c r="L66" i="63"/>
  <c r="M65" i="63"/>
  <c r="P65" i="63" s="1"/>
  <c r="R65" i="63" s="1"/>
  <c r="L65" i="63"/>
  <c r="M64" i="63"/>
  <c r="Q64" i="63" s="1"/>
  <c r="L64" i="63"/>
  <c r="M63" i="63"/>
  <c r="Q63" i="63" s="1"/>
  <c r="L63" i="63"/>
  <c r="M62" i="63"/>
  <c r="Q62" i="63" s="1"/>
  <c r="L62" i="63"/>
  <c r="M61" i="63"/>
  <c r="P61" i="63" s="1"/>
  <c r="R61" i="63" s="1"/>
  <c r="L61" i="63"/>
  <c r="M60" i="63"/>
  <c r="Q60" i="63" s="1"/>
  <c r="L60" i="63"/>
  <c r="M59" i="63"/>
  <c r="P59" i="63" s="1"/>
  <c r="R59" i="63" s="1"/>
  <c r="L59" i="63"/>
  <c r="M58" i="63"/>
  <c r="Q58" i="63" s="1"/>
  <c r="L58" i="63"/>
  <c r="M57" i="63"/>
  <c r="P57" i="63" s="1"/>
  <c r="R57" i="63" s="1"/>
  <c r="L57" i="63"/>
  <c r="M56" i="63"/>
  <c r="Q56" i="63" s="1"/>
  <c r="L56" i="63"/>
  <c r="M55" i="63"/>
  <c r="Q55" i="63" s="1"/>
  <c r="L55" i="63"/>
  <c r="M54" i="63"/>
  <c r="Q54" i="63" s="1"/>
  <c r="L54" i="63"/>
  <c r="K45" i="63"/>
  <c r="I45" i="63"/>
  <c r="H45" i="63"/>
  <c r="G45" i="63"/>
  <c r="F45" i="63"/>
  <c r="E45" i="63"/>
  <c r="M44" i="63"/>
  <c r="Q44" i="63" s="1"/>
  <c r="L44" i="63"/>
  <c r="M43" i="63"/>
  <c r="P43" i="63" s="1"/>
  <c r="R43" i="63" s="1"/>
  <c r="L43" i="63"/>
  <c r="M42" i="63"/>
  <c r="Q42" i="63" s="1"/>
  <c r="L42" i="63"/>
  <c r="M41" i="63"/>
  <c r="Q41" i="63" s="1"/>
  <c r="L41" i="63"/>
  <c r="M40" i="63"/>
  <c r="Q40" i="63" s="1"/>
  <c r="L40" i="63"/>
  <c r="M39" i="63"/>
  <c r="P39" i="63" s="1"/>
  <c r="R39" i="63" s="1"/>
  <c r="L39" i="63"/>
  <c r="M38" i="63"/>
  <c r="Q38" i="63" s="1"/>
  <c r="L38" i="63"/>
  <c r="M37" i="63"/>
  <c r="Q37" i="63" s="1"/>
  <c r="L37" i="63"/>
  <c r="M36" i="63"/>
  <c r="P36" i="63" s="1"/>
  <c r="R36" i="63" s="1"/>
  <c r="L36" i="63"/>
  <c r="M35" i="63"/>
  <c r="Q35" i="63" s="1"/>
  <c r="L35" i="63"/>
  <c r="M34" i="63"/>
  <c r="Q34" i="63" s="1"/>
  <c r="L34" i="63"/>
  <c r="M33" i="63"/>
  <c r="P33" i="63" s="1"/>
  <c r="R33" i="63" s="1"/>
  <c r="L33" i="63"/>
  <c r="M32" i="63"/>
  <c r="Q32" i="63" s="1"/>
  <c r="L32" i="63"/>
  <c r="M31" i="63"/>
  <c r="Q31" i="63" s="1"/>
  <c r="L31" i="63"/>
  <c r="M30" i="63"/>
  <c r="Q30" i="63" s="1"/>
  <c r="L30" i="63"/>
  <c r="M29" i="63"/>
  <c r="Q29" i="63" s="1"/>
  <c r="L29" i="63"/>
  <c r="M28" i="63"/>
  <c r="Q28" i="63" s="1"/>
  <c r="L28" i="63"/>
  <c r="M27" i="63"/>
  <c r="P27" i="63" s="1"/>
  <c r="R27" i="63" s="1"/>
  <c r="L27" i="63"/>
  <c r="M26" i="63"/>
  <c r="Q26" i="63" s="1"/>
  <c r="L26" i="63"/>
  <c r="M25" i="63"/>
  <c r="P25" i="63" s="1"/>
  <c r="R25" i="63" s="1"/>
  <c r="L25" i="63"/>
  <c r="M24" i="63"/>
  <c r="Q24" i="63" s="1"/>
  <c r="L24" i="63"/>
  <c r="M23" i="63"/>
  <c r="P23" i="63" s="1"/>
  <c r="R23" i="63" s="1"/>
  <c r="L23" i="63"/>
  <c r="M22" i="63"/>
  <c r="Q22" i="63" s="1"/>
  <c r="L22" i="63"/>
  <c r="M21" i="63"/>
  <c r="Q21" i="63" s="1"/>
  <c r="L21" i="63"/>
  <c r="M20" i="63"/>
  <c r="P20" i="63" s="1"/>
  <c r="R20" i="63" s="1"/>
  <c r="L20" i="63"/>
  <c r="M19" i="63"/>
  <c r="P19" i="63" s="1"/>
  <c r="R19" i="63" s="1"/>
  <c r="L19" i="63"/>
  <c r="M18" i="63"/>
  <c r="Q18" i="63" s="1"/>
  <c r="L18" i="63"/>
  <c r="M17" i="63"/>
  <c r="P17" i="63" s="1"/>
  <c r="R17" i="63" s="1"/>
  <c r="L17" i="63"/>
  <c r="M16" i="63"/>
  <c r="P16" i="63" s="1"/>
  <c r="R16" i="63" s="1"/>
  <c r="L16" i="63"/>
  <c r="M15" i="63"/>
  <c r="P15" i="63" s="1"/>
  <c r="R15" i="63" s="1"/>
  <c r="L15" i="63"/>
  <c r="M14" i="63"/>
  <c r="Q14" i="63" s="1"/>
  <c r="L14" i="63"/>
  <c r="M13" i="63"/>
  <c r="Q13" i="63" s="1"/>
  <c r="L13" i="63"/>
  <c r="M12" i="63"/>
  <c r="Q12" i="63" s="1"/>
  <c r="L12" i="63"/>
  <c r="M11" i="63"/>
  <c r="Q11" i="63" s="1"/>
  <c r="L11" i="63"/>
  <c r="M10" i="63"/>
  <c r="L10" i="63"/>
  <c r="F4" i="63"/>
  <c r="P58" i="63" l="1"/>
  <c r="R58" i="63" s="1"/>
  <c r="P40" i="63"/>
  <c r="R40" i="63" s="1"/>
  <c r="Q39" i="63"/>
  <c r="I17" i="68"/>
  <c r="I1510" i="79"/>
  <c r="G15" i="68"/>
  <c r="G1508" i="79"/>
  <c r="G17" i="68"/>
  <c r="G1510" i="79"/>
  <c r="K15" i="68"/>
  <c r="K1508" i="79"/>
  <c r="I15" i="68"/>
  <c r="I1508" i="79"/>
  <c r="F17" i="68"/>
  <c r="F1510" i="79"/>
  <c r="P64" i="63"/>
  <c r="R64" i="63" s="1"/>
  <c r="P75" i="63"/>
  <c r="R75" i="63" s="1"/>
  <c r="P11" i="63"/>
  <c r="R11" i="63" s="1"/>
  <c r="H17" i="68"/>
  <c r="H1510" i="79"/>
  <c r="E17" i="68"/>
  <c r="E1510" i="79"/>
  <c r="E15" i="68"/>
  <c r="E1508" i="79"/>
  <c r="H15" i="68"/>
  <c r="H1508" i="79"/>
  <c r="F15" i="68"/>
  <c r="F1508" i="79"/>
  <c r="Q36" i="63"/>
  <c r="Q23" i="63"/>
  <c r="K17" i="68"/>
  <c r="K1510" i="79"/>
  <c r="Q122" i="63"/>
  <c r="Q16" i="63"/>
  <c r="Q19" i="63"/>
  <c r="P79" i="63"/>
  <c r="R79" i="63" s="1"/>
  <c r="P108" i="63"/>
  <c r="R108" i="63" s="1"/>
  <c r="P102" i="63"/>
  <c r="R102" i="63" s="1"/>
  <c r="H173" i="63"/>
  <c r="Q20" i="63"/>
  <c r="P44" i="63"/>
  <c r="R44" i="63" s="1"/>
  <c r="P106" i="63"/>
  <c r="R106" i="63" s="1"/>
  <c r="P115" i="63"/>
  <c r="R115" i="63" s="1"/>
  <c r="P118" i="63"/>
  <c r="R118" i="63" s="1"/>
  <c r="P120" i="63"/>
  <c r="R120" i="63" s="1"/>
  <c r="P143" i="63"/>
  <c r="R143" i="63" s="1"/>
  <c r="P146" i="63"/>
  <c r="R146" i="63" s="1"/>
  <c r="P155" i="63"/>
  <c r="R155" i="63" s="1"/>
  <c r="P158" i="63"/>
  <c r="R158" i="63" s="1"/>
  <c r="P167" i="63"/>
  <c r="R167" i="63" s="1"/>
  <c r="P170" i="63"/>
  <c r="R170" i="63" s="1"/>
  <c r="Q77" i="63"/>
  <c r="P86" i="63"/>
  <c r="R86" i="63" s="1"/>
  <c r="P127" i="63"/>
  <c r="R127" i="63" s="1"/>
  <c r="P130" i="63"/>
  <c r="R130" i="63" s="1"/>
  <c r="P140" i="63"/>
  <c r="R140" i="63" s="1"/>
  <c r="P152" i="63"/>
  <c r="R152" i="63" s="1"/>
  <c r="Q97" i="63"/>
  <c r="I173" i="63"/>
  <c r="P110" i="63"/>
  <c r="R110" i="63" s="1"/>
  <c r="Q138" i="63"/>
  <c r="Q150" i="63"/>
  <c r="P159" i="63"/>
  <c r="R159" i="63" s="1"/>
  <c r="P162" i="63"/>
  <c r="R162" i="63" s="1"/>
  <c r="Q81" i="63"/>
  <c r="Q119" i="63"/>
  <c r="P24" i="63"/>
  <c r="R24" i="63" s="1"/>
  <c r="R131" i="66"/>
  <c r="P12" i="63"/>
  <c r="R12" i="63" s="1"/>
  <c r="Q27" i="63"/>
  <c r="Q61" i="63"/>
  <c r="Q65" i="63"/>
  <c r="P111" i="63"/>
  <c r="R111" i="63" s="1"/>
  <c r="Q171" i="67"/>
  <c r="P32" i="63"/>
  <c r="R32" i="63" s="1"/>
  <c r="Q74" i="63"/>
  <c r="P76" i="63"/>
  <c r="R76" i="63" s="1"/>
  <c r="P78" i="63"/>
  <c r="R78" i="63" s="1"/>
  <c r="Q114" i="63"/>
  <c r="Q123" i="63"/>
  <c r="P126" i="63"/>
  <c r="R126" i="63" s="1"/>
  <c r="Q142" i="63"/>
  <c r="Q154" i="63"/>
  <c r="P156" i="63"/>
  <c r="R156" i="63" s="1"/>
  <c r="Q163" i="63"/>
  <c r="Q166" i="63"/>
  <c r="P168" i="63"/>
  <c r="R168" i="63" s="1"/>
  <c r="M173" i="66"/>
  <c r="Q89" i="66"/>
  <c r="P139" i="63"/>
  <c r="R139" i="63" s="1"/>
  <c r="Q15" i="63"/>
  <c r="P35" i="63"/>
  <c r="R35" i="63" s="1"/>
  <c r="P54" i="63"/>
  <c r="R54" i="63" s="1"/>
  <c r="Q59" i="63"/>
  <c r="P63" i="63"/>
  <c r="R63" i="63" s="1"/>
  <c r="P82" i="63"/>
  <c r="R82" i="63" s="1"/>
  <c r="E173" i="63"/>
  <c r="P98" i="63"/>
  <c r="R98" i="63" s="1"/>
  <c r="G173" i="63"/>
  <c r="P80" i="63"/>
  <c r="R80" i="63" s="1"/>
  <c r="P96" i="63"/>
  <c r="P107" i="63"/>
  <c r="R107" i="63" s="1"/>
  <c r="Q45" i="67"/>
  <c r="Q131" i="67"/>
  <c r="M89" i="63"/>
  <c r="Q131" i="66"/>
  <c r="Q89" i="67"/>
  <c r="P151" i="63"/>
  <c r="R151" i="63" s="1"/>
  <c r="Q171" i="66"/>
  <c r="M45" i="63"/>
  <c r="P28" i="63"/>
  <c r="R28" i="63" s="1"/>
  <c r="P31" i="63"/>
  <c r="R31" i="63" s="1"/>
  <c r="P60" i="63"/>
  <c r="R60" i="63" s="1"/>
  <c r="P62" i="63"/>
  <c r="R62" i="63" s="1"/>
  <c r="P66" i="63"/>
  <c r="R66" i="63" s="1"/>
  <c r="P124" i="63"/>
  <c r="R124" i="63" s="1"/>
  <c r="M173" i="67"/>
  <c r="R89" i="66"/>
  <c r="R89" i="67"/>
  <c r="P131" i="67"/>
  <c r="R141" i="67"/>
  <c r="R171" i="67" s="1"/>
  <c r="P171" i="67"/>
  <c r="R131" i="67"/>
  <c r="P45" i="67"/>
  <c r="R10" i="67"/>
  <c r="R45" i="67" s="1"/>
  <c r="P89" i="67"/>
  <c r="P131" i="66"/>
  <c r="R140" i="66"/>
  <c r="R171" i="66" s="1"/>
  <c r="P171" i="66"/>
  <c r="P89" i="66"/>
  <c r="Q45" i="66"/>
  <c r="R10" i="66"/>
  <c r="R45" i="66" s="1"/>
  <c r="P45" i="66"/>
  <c r="Q113" i="63"/>
  <c r="P113" i="63"/>
  <c r="R113" i="63" s="1"/>
  <c r="Q145" i="63"/>
  <c r="P145" i="63"/>
  <c r="R145" i="63" s="1"/>
  <c r="Q161" i="63"/>
  <c r="P161" i="63"/>
  <c r="R161" i="63" s="1"/>
  <c r="P13" i="63"/>
  <c r="R13" i="63" s="1"/>
  <c r="P21" i="63"/>
  <c r="R21" i="63" s="1"/>
  <c r="P29" i="63"/>
  <c r="R29" i="63" s="1"/>
  <c r="P37" i="63"/>
  <c r="R37" i="63" s="1"/>
  <c r="P41" i="63"/>
  <c r="R41" i="63" s="1"/>
  <c r="P67" i="63"/>
  <c r="R67" i="63" s="1"/>
  <c r="P68" i="63"/>
  <c r="R68" i="63" s="1"/>
  <c r="Q69" i="63"/>
  <c r="P83" i="63"/>
  <c r="R83" i="63" s="1"/>
  <c r="P84" i="63"/>
  <c r="R84" i="63" s="1"/>
  <c r="Q85" i="63"/>
  <c r="R96" i="63"/>
  <c r="P99" i="63"/>
  <c r="R99" i="63" s="1"/>
  <c r="P100" i="63"/>
  <c r="R100" i="63" s="1"/>
  <c r="Q101" i="63"/>
  <c r="Q109" i="63"/>
  <c r="P109" i="63"/>
  <c r="R109" i="63" s="1"/>
  <c r="P116" i="63"/>
  <c r="R116" i="63" s="1"/>
  <c r="Q125" i="63"/>
  <c r="P125" i="63"/>
  <c r="R125" i="63" s="1"/>
  <c r="M131" i="63"/>
  <c r="Q141" i="63"/>
  <c r="P141" i="63"/>
  <c r="P148" i="63"/>
  <c r="R148" i="63" s="1"/>
  <c r="Q157" i="63"/>
  <c r="P157" i="63"/>
  <c r="R157" i="63" s="1"/>
  <c r="P164" i="63"/>
  <c r="R164" i="63" s="1"/>
  <c r="P10" i="63"/>
  <c r="P14" i="63"/>
  <c r="R14" i="63" s="1"/>
  <c r="Q17" i="63"/>
  <c r="P18" i="63"/>
  <c r="R18" i="63" s="1"/>
  <c r="P22" i="63"/>
  <c r="R22" i="63" s="1"/>
  <c r="Q25" i="63"/>
  <c r="P26" i="63"/>
  <c r="R26" i="63" s="1"/>
  <c r="P30" i="63"/>
  <c r="R30" i="63" s="1"/>
  <c r="Q33" i="63"/>
  <c r="P34" i="63"/>
  <c r="R34" i="63" s="1"/>
  <c r="P38" i="63"/>
  <c r="R38" i="63" s="1"/>
  <c r="P42" i="63"/>
  <c r="R42" i="63" s="1"/>
  <c r="Q43" i="63"/>
  <c r="F173" i="63"/>
  <c r="K173" i="63"/>
  <c r="P55" i="63"/>
  <c r="R55" i="63" s="1"/>
  <c r="P56" i="63"/>
  <c r="R56" i="63" s="1"/>
  <c r="Q57" i="63"/>
  <c r="P71" i="63"/>
  <c r="R71" i="63" s="1"/>
  <c r="P72" i="63"/>
  <c r="R72" i="63" s="1"/>
  <c r="Q73" i="63"/>
  <c r="P87" i="63"/>
  <c r="R87" i="63" s="1"/>
  <c r="P88" i="63"/>
  <c r="R88" i="63" s="1"/>
  <c r="P103" i="63"/>
  <c r="R103" i="63" s="1"/>
  <c r="P104" i="63"/>
  <c r="R104" i="63" s="1"/>
  <c r="Q105" i="63"/>
  <c r="P112" i="63"/>
  <c r="R112" i="63" s="1"/>
  <c r="Q121" i="63"/>
  <c r="P121" i="63"/>
  <c r="R121" i="63" s="1"/>
  <c r="P128" i="63"/>
  <c r="R128" i="63" s="1"/>
  <c r="P144" i="63"/>
  <c r="R144" i="63" s="1"/>
  <c r="Q153" i="63"/>
  <c r="P153" i="63"/>
  <c r="R153" i="63" s="1"/>
  <c r="P160" i="63"/>
  <c r="R160" i="63" s="1"/>
  <c r="Q169" i="63"/>
  <c r="P169" i="63"/>
  <c r="R169" i="63" s="1"/>
  <c r="Q129" i="63"/>
  <c r="P129" i="63"/>
  <c r="R129" i="63" s="1"/>
  <c r="Q10" i="63"/>
  <c r="Q117" i="63"/>
  <c r="P117" i="63"/>
  <c r="R117" i="63" s="1"/>
  <c r="Q149" i="63"/>
  <c r="P149" i="63"/>
  <c r="R149" i="63" s="1"/>
  <c r="Q165" i="63"/>
  <c r="P165" i="63"/>
  <c r="R165" i="63" s="1"/>
  <c r="M171" i="63"/>
  <c r="E13" i="68" l="1"/>
  <c r="E1506" i="79"/>
  <c r="E1512" i="79" s="1"/>
  <c r="M15" i="68"/>
  <c r="M1508" i="79"/>
  <c r="H13" i="68"/>
  <c r="H1506" i="79"/>
  <c r="H1512" i="79" s="1"/>
  <c r="M17" i="68"/>
  <c r="M1510" i="79"/>
  <c r="K13" i="68"/>
  <c r="K19" i="68" s="1"/>
  <c r="K1506" i="79"/>
  <c r="K1512" i="79" s="1"/>
  <c r="F13" i="68"/>
  <c r="F1506" i="79"/>
  <c r="F1512" i="79" s="1"/>
  <c r="G13" i="68"/>
  <c r="G1506" i="79"/>
  <c r="G1512" i="79" s="1"/>
  <c r="I13" i="68"/>
  <c r="I19" i="68" s="1"/>
  <c r="I1506" i="79"/>
  <c r="I1512" i="79" s="1"/>
  <c r="Q173" i="66"/>
  <c r="Q173" i="67"/>
  <c r="Q89" i="63"/>
  <c r="M173" i="63"/>
  <c r="Q171" i="63"/>
  <c r="Q131" i="63"/>
  <c r="R89" i="63"/>
  <c r="R173" i="66"/>
  <c r="R173" i="67"/>
  <c r="P173" i="67"/>
  <c r="P173" i="66"/>
  <c r="R131" i="63"/>
  <c r="Q45" i="63"/>
  <c r="P89" i="63"/>
  <c r="R141" i="63"/>
  <c r="R171" i="63" s="1"/>
  <c r="P171" i="63"/>
  <c r="P131" i="63"/>
  <c r="R10" i="63"/>
  <c r="R45" i="63" s="1"/>
  <c r="P45" i="63"/>
  <c r="M13" i="68" l="1"/>
  <c r="M19" i="68" s="1"/>
  <c r="M1506" i="79"/>
  <c r="M1512" i="79" s="1"/>
  <c r="P15" i="68"/>
  <c r="P1508" i="79"/>
  <c r="P17" i="68"/>
  <c r="P1510" i="79"/>
  <c r="Q17" i="68"/>
  <c r="Q1510" i="79"/>
  <c r="R15" i="68"/>
  <c r="R1508" i="79"/>
  <c r="R17" i="68"/>
  <c r="R1510" i="79"/>
  <c r="Q15" i="68"/>
  <c r="Q1508" i="79"/>
  <c r="Q173" i="63"/>
  <c r="P173" i="63"/>
  <c r="R173" i="63"/>
  <c r="Q13" i="68" l="1"/>
  <c r="Q19" i="68" s="1"/>
  <c r="Q1506" i="79"/>
  <c r="Q1512" i="79" s="1"/>
  <c r="P13" i="68"/>
  <c r="P19" i="68" s="1"/>
  <c r="P1506" i="79"/>
  <c r="P1512" i="79" s="1"/>
  <c r="R13" i="68"/>
  <c r="R19" i="68" s="1"/>
  <c r="R1506" i="79"/>
  <c r="R1512" i="79" s="1"/>
  <c r="V153" i="15"/>
  <c r="V141" i="15"/>
  <c r="V125" i="15"/>
  <c r="V121" i="15"/>
  <c r="V113" i="15"/>
  <c r="V107" i="15"/>
  <c r="V101" i="15"/>
  <c r="V87" i="15"/>
  <c r="V79" i="15"/>
  <c r="V73" i="15"/>
  <c r="V60" i="15"/>
  <c r="V38" i="15"/>
  <c r="V33" i="15"/>
  <c r="V27" i="15"/>
  <c r="V23" i="15"/>
  <c r="V17" i="15"/>
  <c r="V127" i="15" l="1"/>
  <c r="H4" i="51" l="1"/>
  <c r="E5" i="51"/>
  <c r="E4" i="51"/>
  <c r="D56" i="51" l="1"/>
  <c r="E56" i="51"/>
  <c r="F56" i="51"/>
  <c r="G56" i="51"/>
  <c r="H56" i="51"/>
  <c r="C56" i="51"/>
  <c r="D36" i="51"/>
  <c r="E36" i="51"/>
  <c r="F36" i="51"/>
  <c r="G36" i="51"/>
  <c r="H36" i="51"/>
  <c r="I36" i="51"/>
  <c r="C36" i="51"/>
  <c r="D16" i="51"/>
  <c r="E16" i="51"/>
  <c r="F16" i="51"/>
  <c r="G16" i="51"/>
  <c r="H16" i="51"/>
  <c r="I16" i="51"/>
  <c r="C16" i="51"/>
  <c r="C11" i="53" l="1"/>
  <c r="C10" i="53"/>
  <c r="C9" i="53"/>
  <c r="C8" i="53"/>
  <c r="C7" i="53"/>
  <c r="G11" i="53"/>
  <c r="G10" i="53"/>
  <c r="G9" i="53"/>
  <c r="G8" i="53"/>
  <c r="G7" i="53"/>
  <c r="C144" i="55" l="1"/>
  <c r="F82" i="57" l="1"/>
  <c r="F64" i="57"/>
  <c r="A208" i="55"/>
  <c r="A206" i="49"/>
  <c r="A202" i="55"/>
  <c r="E173" i="55"/>
  <c r="E165" i="55"/>
  <c r="E186" i="55"/>
  <c r="E83" i="55"/>
  <c r="G103" i="55"/>
  <c r="D103" i="55"/>
  <c r="E98" i="55"/>
  <c r="E94" i="55"/>
  <c r="C41" i="55"/>
  <c r="C16" i="55"/>
  <c r="C15" i="55"/>
  <c r="F30" i="54"/>
  <c r="D64" i="55" s="1"/>
  <c r="F63" i="57" s="1"/>
  <c r="C35" i="57" l="1"/>
  <c r="E28" i="54"/>
  <c r="E16" i="50" l="1"/>
  <c r="F19" i="49" s="1"/>
  <c r="D14" i="50"/>
  <c r="C87" i="55" l="1"/>
  <c r="S60" i="15" l="1"/>
  <c r="P60" i="15"/>
  <c r="M60" i="15"/>
  <c r="J60" i="15"/>
  <c r="G60" i="15"/>
  <c r="O28" i="6" l="1"/>
  <c r="O35" i="6"/>
  <c r="O25" i="6"/>
  <c r="L30" i="6"/>
  <c r="O33" i="6"/>
  <c r="O26" i="6"/>
  <c r="O36" i="6"/>
  <c r="O32" i="6"/>
  <c r="L37" i="6"/>
  <c r="O34" i="6"/>
  <c r="O29" i="6"/>
  <c r="O27" i="6"/>
  <c r="H32" i="57"/>
  <c r="C32" i="57"/>
  <c r="I7" i="57"/>
  <c r="H5" i="57"/>
  <c r="L23" i="6" l="1"/>
  <c r="O18" i="6"/>
  <c r="O19" i="6"/>
  <c r="O15" i="6"/>
  <c r="O13" i="6"/>
  <c r="O11" i="6"/>
  <c r="L16" i="6"/>
  <c r="O20" i="6"/>
  <c r="O14" i="6"/>
  <c r="O21" i="6"/>
  <c r="O12" i="6"/>
  <c r="O22" i="6"/>
  <c r="G11" i="56"/>
  <c r="L39"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C47" i="55" l="1"/>
  <c r="F17" i="49"/>
  <c r="A2" i="53"/>
  <c r="A2" i="55"/>
  <c r="F13" i="49"/>
  <c r="F15" i="49"/>
  <c r="K36" i="53"/>
  <c r="D39" i="53" s="1"/>
  <c r="C141" i="55"/>
  <c r="B3" i="57"/>
  <c r="E15" i="54"/>
  <c r="H3" i="57" s="1"/>
  <c r="C28" i="55"/>
  <c r="A2" i="50"/>
  <c r="F12" i="49"/>
  <c r="A1" i="54"/>
  <c r="C34" i="50"/>
  <c r="D15" i="48"/>
  <c r="E65" i="54"/>
  <c r="E5" i="54"/>
  <c r="F84" i="57"/>
  <c r="A2" i="48"/>
  <c r="B2" i="53"/>
  <c r="A1" i="52"/>
  <c r="C29" i="50"/>
  <c r="A47" i="50"/>
  <c r="K29" i="50" l="1"/>
  <c r="K26" i="50"/>
  <c r="C36" i="50"/>
  <c r="K35" i="50" l="1"/>
  <c r="K37" i="50"/>
  <c r="R14" i="6" l="1"/>
  <c r="C45" i="55" l="1"/>
  <c r="C33" i="57"/>
  <c r="E17" i="54"/>
  <c r="C31" i="55" s="1"/>
  <c r="H8" i="50"/>
  <c r="F14" i="49" s="1"/>
  <c r="A3" i="48" s="1"/>
  <c r="K29" i="7" l="1"/>
  <c r="K59" i="79" s="1"/>
  <c r="H15" i="50" l="1"/>
  <c r="F18" i="49" s="1"/>
  <c r="N23" i="3" l="1"/>
  <c r="N21" i="3"/>
  <c r="N20" i="3"/>
  <c r="N19" i="3"/>
  <c r="N18" i="3"/>
  <c r="U58" i="15"/>
  <c r="A58" i="15"/>
  <c r="W40" i="15"/>
  <c r="O40" i="15"/>
  <c r="S38" i="15"/>
  <c r="P38" i="15"/>
  <c r="M38" i="15"/>
  <c r="J38" i="15"/>
  <c r="G38" i="15"/>
  <c r="S33" i="15"/>
  <c r="P33" i="15"/>
  <c r="M33" i="15"/>
  <c r="J33" i="15"/>
  <c r="G33" i="15"/>
  <c r="N324" i="79" l="1"/>
  <c r="C120" i="77"/>
  <c r="E90" i="77"/>
  <c r="G58" i="77"/>
  <c r="I26" i="77"/>
  <c r="K26" i="77"/>
  <c r="B120" i="77"/>
  <c r="D90" i="77"/>
  <c r="F58" i="77"/>
  <c r="H26" i="77"/>
  <c r="G90" i="77"/>
  <c r="K90" i="77"/>
  <c r="C90" i="77"/>
  <c r="E58" i="77"/>
  <c r="G26" i="77"/>
  <c r="J90" i="77"/>
  <c r="B90" i="77"/>
  <c r="D58" i="77"/>
  <c r="F26" i="77"/>
  <c r="I90" i="77"/>
  <c r="K58" i="77"/>
  <c r="C58" i="77"/>
  <c r="E26" i="77"/>
  <c r="I58" i="77"/>
  <c r="F120" i="77"/>
  <c r="H90" i="77"/>
  <c r="J58" i="77"/>
  <c r="B58" i="77"/>
  <c r="D26" i="77"/>
  <c r="E120" i="77"/>
  <c r="D120" i="77"/>
  <c r="F90" i="77"/>
  <c r="H58" i="77"/>
  <c r="J26" i="77"/>
  <c r="B26" i="77"/>
  <c r="C26" i="77"/>
  <c r="N323" i="79"/>
  <c r="F119" i="77"/>
  <c r="H89" i="77"/>
  <c r="J57" i="77"/>
  <c r="B57" i="77"/>
  <c r="D25" i="77"/>
  <c r="E119" i="77"/>
  <c r="G89" i="77"/>
  <c r="I57" i="77"/>
  <c r="K25" i="77"/>
  <c r="C25" i="77"/>
  <c r="F25" i="77"/>
  <c r="D119" i="77"/>
  <c r="F89" i="77"/>
  <c r="H57" i="77"/>
  <c r="J25" i="77"/>
  <c r="B25" i="77"/>
  <c r="B89" i="77"/>
  <c r="C119" i="77"/>
  <c r="E89" i="77"/>
  <c r="G57" i="77"/>
  <c r="I25" i="77"/>
  <c r="J89" i="77"/>
  <c r="B119" i="77"/>
  <c r="D89" i="77"/>
  <c r="F57" i="77"/>
  <c r="H25" i="77"/>
  <c r="K89" i="77"/>
  <c r="C89" i="77"/>
  <c r="E57" i="77"/>
  <c r="G25" i="77"/>
  <c r="D57" i="77"/>
  <c r="I89" i="77"/>
  <c r="K57" i="77"/>
  <c r="C57" i="77"/>
  <c r="E25" i="77"/>
  <c r="N325" i="79"/>
  <c r="J91" i="77"/>
  <c r="B91" i="77"/>
  <c r="D59" i="77"/>
  <c r="F27" i="77"/>
  <c r="D91" i="77"/>
  <c r="I91" i="77"/>
  <c r="K59" i="77"/>
  <c r="C59" i="77"/>
  <c r="E27" i="77"/>
  <c r="F121" i="77"/>
  <c r="H91" i="77"/>
  <c r="J59" i="77"/>
  <c r="B59" i="77"/>
  <c r="D27" i="77"/>
  <c r="H27" i="77"/>
  <c r="E121" i="77"/>
  <c r="G91" i="77"/>
  <c r="I59" i="77"/>
  <c r="K27" i="77"/>
  <c r="C27" i="77"/>
  <c r="F59" i="77"/>
  <c r="D121" i="77"/>
  <c r="F91" i="77"/>
  <c r="H59" i="77"/>
  <c r="J27" i="77"/>
  <c r="B27" i="77"/>
  <c r="B121" i="77"/>
  <c r="C121" i="77"/>
  <c r="E91" i="77"/>
  <c r="G59" i="77"/>
  <c r="I27" i="77"/>
  <c r="K91" i="77"/>
  <c r="C91" i="77"/>
  <c r="E59" i="77"/>
  <c r="G27" i="77"/>
  <c r="N326" i="79"/>
  <c r="E122" i="77"/>
  <c r="G28" i="77"/>
  <c r="I92" i="77"/>
  <c r="K60" i="77"/>
  <c r="C60" i="77"/>
  <c r="D122" i="77"/>
  <c r="F28" i="77"/>
  <c r="H92" i="77"/>
  <c r="J60" i="77"/>
  <c r="B60" i="77"/>
  <c r="C92" i="77"/>
  <c r="C122" i="77"/>
  <c r="E28" i="77"/>
  <c r="G92" i="77"/>
  <c r="I60" i="77"/>
  <c r="I28" i="77"/>
  <c r="B122" i="77"/>
  <c r="D28" i="77"/>
  <c r="F92" i="77"/>
  <c r="H60" i="77"/>
  <c r="K92" i="77"/>
  <c r="K28" i="77"/>
  <c r="C28" i="77"/>
  <c r="E92" i="77"/>
  <c r="G60" i="77"/>
  <c r="J28" i="77"/>
  <c r="B28" i="77"/>
  <c r="D92" i="77"/>
  <c r="F60" i="77"/>
  <c r="F122" i="77"/>
  <c r="H28" i="77"/>
  <c r="J92" i="77"/>
  <c r="B92" i="77"/>
  <c r="D60" i="77"/>
  <c r="E60" i="77"/>
  <c r="N328" i="79"/>
  <c r="F63" i="77"/>
  <c r="F873" i="79" s="1"/>
  <c r="H31" i="77"/>
  <c r="H841" i="79" s="1"/>
  <c r="B31" i="77"/>
  <c r="E63" i="77"/>
  <c r="E873" i="79" s="1"/>
  <c r="G31" i="77"/>
  <c r="G841" i="79" s="1"/>
  <c r="D63" i="77"/>
  <c r="D873" i="79" s="1"/>
  <c r="F31" i="77"/>
  <c r="F841" i="79" s="1"/>
  <c r="C63" i="77"/>
  <c r="C873" i="79" s="1"/>
  <c r="E31" i="77"/>
  <c r="E841" i="79" s="1"/>
  <c r="J31" i="77"/>
  <c r="J841" i="79" s="1"/>
  <c r="B63" i="77"/>
  <c r="D31" i="77"/>
  <c r="D841" i="79" s="1"/>
  <c r="K31" i="77"/>
  <c r="K841" i="79" s="1"/>
  <c r="C31" i="77"/>
  <c r="C841" i="79" s="1"/>
  <c r="I31" i="77"/>
  <c r="I841" i="79" s="1"/>
  <c r="E8" i="52"/>
  <c r="C75" i="50"/>
  <c r="I902" i="79" l="1"/>
  <c r="I910" i="79" s="1"/>
  <c r="I99" i="77"/>
  <c r="K899" i="79"/>
  <c r="K96" i="77"/>
  <c r="K100" i="77"/>
  <c r="K95" i="77"/>
  <c r="K905" i="79" s="1"/>
  <c r="I868" i="79"/>
  <c r="I876" i="79" s="1"/>
  <c r="I66" i="77"/>
  <c r="J838" i="79"/>
  <c r="J846" i="79" s="1"/>
  <c r="J36" i="77"/>
  <c r="E870" i="79"/>
  <c r="E878" i="79" s="1"/>
  <c r="E68" i="77"/>
  <c r="K869" i="79"/>
  <c r="K877" i="79" s="1"/>
  <c r="K67" i="77"/>
  <c r="J900" i="79"/>
  <c r="J908" i="79" s="1"/>
  <c r="J97" i="77"/>
  <c r="G838" i="79"/>
  <c r="G846" i="79" s="1"/>
  <c r="G36" i="77"/>
  <c r="H835" i="79"/>
  <c r="H33" i="77"/>
  <c r="H37" i="77"/>
  <c r="H32" i="77"/>
  <c r="E836" i="79"/>
  <c r="E844" i="79" s="1"/>
  <c r="E34" i="77"/>
  <c r="B902" i="79"/>
  <c r="B910" i="79" s="1"/>
  <c r="R87" i="77"/>
  <c r="S87" i="77" s="1"/>
  <c r="B99" i="77"/>
  <c r="E901" i="79"/>
  <c r="E909" i="79" s="1"/>
  <c r="E98" i="77"/>
  <c r="F867" i="79"/>
  <c r="F65" i="77"/>
  <c r="F69" i="77"/>
  <c r="F64" i="77"/>
  <c r="E930" i="79"/>
  <c r="E938" i="79" s="1"/>
  <c r="E127" i="77"/>
  <c r="E902" i="79"/>
  <c r="E910" i="79" s="1"/>
  <c r="E99" i="77"/>
  <c r="C837" i="79"/>
  <c r="C845" i="79" s="1"/>
  <c r="C35" i="77"/>
  <c r="J869" i="79"/>
  <c r="J877" i="79" s="1"/>
  <c r="J67" i="77"/>
  <c r="F837" i="79"/>
  <c r="F845" i="79" s="1"/>
  <c r="F35" i="77"/>
  <c r="I899" i="79"/>
  <c r="I100" i="77"/>
  <c r="I96" i="77"/>
  <c r="I95" i="77"/>
  <c r="I905" i="79" s="1"/>
  <c r="D899" i="79"/>
  <c r="D96" i="77"/>
  <c r="D100" i="77"/>
  <c r="D95" i="77"/>
  <c r="D905" i="79" s="1"/>
  <c r="B835" i="79"/>
  <c r="B33" i="77"/>
  <c r="B37" i="77"/>
  <c r="B32" i="77"/>
  <c r="I867" i="79"/>
  <c r="I65" i="77"/>
  <c r="I69" i="77"/>
  <c r="I64" i="77"/>
  <c r="D836" i="79"/>
  <c r="D844" i="79" s="1"/>
  <c r="D34" i="77"/>
  <c r="K868" i="79"/>
  <c r="K876" i="79" s="1"/>
  <c r="K66" i="77"/>
  <c r="C900" i="79"/>
  <c r="C908" i="79" s="1"/>
  <c r="C97" i="77"/>
  <c r="I836" i="79"/>
  <c r="I844" i="79" s="1"/>
  <c r="I34" i="77"/>
  <c r="F902" i="79"/>
  <c r="F910" i="79" s="1"/>
  <c r="F99" i="77"/>
  <c r="F901" i="79"/>
  <c r="F909" i="79" s="1"/>
  <c r="F98" i="77"/>
  <c r="J867" i="79"/>
  <c r="J69" i="77"/>
  <c r="J65" i="77"/>
  <c r="J64" i="77"/>
  <c r="G869" i="79"/>
  <c r="G877" i="79" s="1"/>
  <c r="G67" i="77"/>
  <c r="C867" i="79"/>
  <c r="C65" i="77"/>
  <c r="C69" i="77"/>
  <c r="C64" i="77"/>
  <c r="H899" i="79"/>
  <c r="H100" i="77"/>
  <c r="H96" i="77"/>
  <c r="H95" i="77"/>
  <c r="H905" i="79" s="1"/>
  <c r="B930" i="79"/>
  <c r="B938" i="79" s="1"/>
  <c r="B127" i="77"/>
  <c r="B932" i="79"/>
  <c r="B940" i="79" s="1"/>
  <c r="R117" i="77"/>
  <c r="S117" i="77" s="1"/>
  <c r="B129" i="77"/>
  <c r="B869" i="79"/>
  <c r="B877" i="79" s="1"/>
  <c r="B67" i="77"/>
  <c r="K835" i="79"/>
  <c r="K33" i="77"/>
  <c r="K37" i="77"/>
  <c r="K32" i="77"/>
  <c r="K836" i="79"/>
  <c r="K844" i="79" s="1"/>
  <c r="K34" i="77"/>
  <c r="I838" i="79"/>
  <c r="I846" i="79" s="1"/>
  <c r="I36" i="77"/>
  <c r="C931" i="79"/>
  <c r="C939" i="79" s="1"/>
  <c r="C128" i="77"/>
  <c r="B841" i="79"/>
  <c r="R39" i="77"/>
  <c r="R20" i="77"/>
  <c r="R36" i="77"/>
  <c r="R34" i="77"/>
  <c r="R31" i="77"/>
  <c r="R23" i="77"/>
  <c r="R26" i="77"/>
  <c r="R32" i="77"/>
  <c r="R37" i="77"/>
  <c r="R27" i="77"/>
  <c r="R24" i="77"/>
  <c r="R33" i="77"/>
  <c r="R22" i="77"/>
  <c r="R38" i="77"/>
  <c r="R35" i="77"/>
  <c r="R21" i="77"/>
  <c r="R25" i="77"/>
  <c r="R29" i="77"/>
  <c r="R28" i="77"/>
  <c r="H838" i="79"/>
  <c r="H846" i="79" s="1"/>
  <c r="H36" i="77"/>
  <c r="C838" i="79"/>
  <c r="C846" i="79" s="1"/>
  <c r="C36" i="77"/>
  <c r="I870" i="79"/>
  <c r="I878" i="79" s="1"/>
  <c r="I68" i="77"/>
  <c r="F838" i="79"/>
  <c r="F846" i="79" s="1"/>
  <c r="F36" i="77"/>
  <c r="G837" i="79"/>
  <c r="G845" i="79" s="1"/>
  <c r="G35" i="77"/>
  <c r="B931" i="79"/>
  <c r="B939" i="79" s="1"/>
  <c r="B128" i="77"/>
  <c r="K837" i="79"/>
  <c r="K845" i="79" s="1"/>
  <c r="K35" i="77"/>
  <c r="H901" i="79"/>
  <c r="H909" i="79" s="1"/>
  <c r="H98" i="77"/>
  <c r="D869" i="79"/>
  <c r="D877" i="79" s="1"/>
  <c r="D67" i="77"/>
  <c r="D867" i="79"/>
  <c r="D69" i="77"/>
  <c r="D65" i="77"/>
  <c r="D64" i="77"/>
  <c r="B929" i="79"/>
  <c r="B126" i="77"/>
  <c r="B130" i="77"/>
  <c r="B125" i="77"/>
  <c r="B935" i="79" s="1"/>
  <c r="J835" i="79"/>
  <c r="J33" i="77"/>
  <c r="J37" i="77"/>
  <c r="J32" i="77"/>
  <c r="G899" i="79"/>
  <c r="G96" i="77"/>
  <c r="G100" i="77"/>
  <c r="G95" i="77"/>
  <c r="G905" i="79" s="1"/>
  <c r="C836" i="79"/>
  <c r="C844" i="79" s="1"/>
  <c r="C34" i="77"/>
  <c r="B868" i="79"/>
  <c r="B876" i="79" s="1"/>
  <c r="B66" i="77"/>
  <c r="I900" i="79"/>
  <c r="I908" i="79" s="1"/>
  <c r="I97" i="77"/>
  <c r="K900" i="79"/>
  <c r="K908" i="79" s="1"/>
  <c r="K97" i="77"/>
  <c r="G868" i="79"/>
  <c r="G876" i="79" s="1"/>
  <c r="G66" i="77"/>
  <c r="C902" i="79"/>
  <c r="C910" i="79" s="1"/>
  <c r="C99" i="77"/>
  <c r="E835" i="79"/>
  <c r="E37" i="77"/>
  <c r="E33" i="77"/>
  <c r="E32" i="77"/>
  <c r="D900" i="79"/>
  <c r="D908" i="79" s="1"/>
  <c r="D97" i="77"/>
  <c r="D838" i="79"/>
  <c r="D846" i="79" s="1"/>
  <c r="D36" i="77"/>
  <c r="D837" i="79"/>
  <c r="D845" i="79" s="1"/>
  <c r="D35" i="77"/>
  <c r="C929" i="79"/>
  <c r="C130" i="77"/>
  <c r="C126" i="77"/>
  <c r="C125" i="77"/>
  <c r="C935" i="79" s="1"/>
  <c r="G836" i="79"/>
  <c r="G844" i="79" s="1"/>
  <c r="G34" i="77"/>
  <c r="G870" i="79"/>
  <c r="G878" i="79" s="1"/>
  <c r="G68" i="77"/>
  <c r="E932" i="79"/>
  <c r="E940" i="79" s="1"/>
  <c r="E129" i="77"/>
  <c r="D901" i="79"/>
  <c r="D909" i="79" s="1"/>
  <c r="D98" i="77"/>
  <c r="K867" i="79"/>
  <c r="K65" i="77"/>
  <c r="K69" i="77"/>
  <c r="K64" i="77"/>
  <c r="C868" i="79"/>
  <c r="C876" i="79" s="1"/>
  <c r="C66" i="77"/>
  <c r="J902" i="79"/>
  <c r="J910" i="79" s="1"/>
  <c r="J99" i="77"/>
  <c r="H902" i="79"/>
  <c r="H910" i="79" s="1"/>
  <c r="H99" i="77"/>
  <c r="B873" i="79"/>
  <c r="R30" i="77"/>
  <c r="F932" i="79"/>
  <c r="F940" i="79" s="1"/>
  <c r="F129" i="77"/>
  <c r="K838" i="79"/>
  <c r="K846" i="79" s="1"/>
  <c r="K36" i="77"/>
  <c r="G902" i="79"/>
  <c r="G910" i="79" s="1"/>
  <c r="G99" i="77"/>
  <c r="D932" i="79"/>
  <c r="D940" i="79" s="1"/>
  <c r="D129" i="77"/>
  <c r="E869" i="79"/>
  <c r="E877" i="79" s="1"/>
  <c r="E67" i="77"/>
  <c r="B837" i="79"/>
  <c r="B845" i="79" s="1"/>
  <c r="B35" i="77"/>
  <c r="I869" i="79"/>
  <c r="I877" i="79" s="1"/>
  <c r="I67" i="77"/>
  <c r="F931" i="79"/>
  <c r="F939" i="79" s="1"/>
  <c r="F128" i="77"/>
  <c r="B901" i="79"/>
  <c r="B909" i="79" s="1"/>
  <c r="B98" i="77"/>
  <c r="G835" i="79"/>
  <c r="G33" i="77"/>
  <c r="G37" i="77"/>
  <c r="G32" i="77"/>
  <c r="J899" i="79"/>
  <c r="J96" i="77"/>
  <c r="J100" i="77"/>
  <c r="J95" i="77"/>
  <c r="J905" i="79" s="1"/>
  <c r="H867" i="79"/>
  <c r="H65" i="77"/>
  <c r="H69" i="77"/>
  <c r="H64" i="77"/>
  <c r="E929" i="79"/>
  <c r="E126" i="77"/>
  <c r="E130" i="77"/>
  <c r="E125" i="77"/>
  <c r="E935" i="79" s="1"/>
  <c r="B836" i="79"/>
  <c r="B844" i="79" s="1"/>
  <c r="B34" i="77"/>
  <c r="J868" i="79"/>
  <c r="J876" i="79" s="1"/>
  <c r="J66" i="77"/>
  <c r="F836" i="79"/>
  <c r="F844" i="79" s="1"/>
  <c r="F34" i="77"/>
  <c r="G900" i="79"/>
  <c r="G908" i="79" s="1"/>
  <c r="G97" i="77"/>
  <c r="E900" i="79"/>
  <c r="E908" i="79" s="1"/>
  <c r="E97" i="77"/>
  <c r="I837" i="79"/>
  <c r="I845" i="79" s="1"/>
  <c r="I35" i="77"/>
  <c r="E899" i="79"/>
  <c r="E96" i="77"/>
  <c r="E100" i="77"/>
  <c r="E95" i="77"/>
  <c r="E905" i="79" s="1"/>
  <c r="F900" i="79"/>
  <c r="F908" i="79" s="1"/>
  <c r="F97" i="77"/>
  <c r="D870" i="79"/>
  <c r="D878" i="79" s="1"/>
  <c r="D68" i="77"/>
  <c r="D931" i="79"/>
  <c r="D939" i="79" s="1"/>
  <c r="D128" i="77"/>
  <c r="C835" i="79"/>
  <c r="C37" i="77"/>
  <c r="C33" i="77"/>
  <c r="C32" i="77"/>
  <c r="F929" i="79"/>
  <c r="F126" i="77"/>
  <c r="F130" i="77"/>
  <c r="F125" i="77"/>
  <c r="F935" i="79" s="1"/>
  <c r="F870" i="79"/>
  <c r="F878" i="79" s="1"/>
  <c r="F68" i="77"/>
  <c r="K902" i="79"/>
  <c r="K910" i="79" s="1"/>
  <c r="K99" i="77"/>
  <c r="E838" i="79"/>
  <c r="E846" i="79" s="1"/>
  <c r="E36" i="77"/>
  <c r="C870" i="79"/>
  <c r="C878" i="79" s="1"/>
  <c r="C68" i="77"/>
  <c r="C901" i="79"/>
  <c r="C909" i="79" s="1"/>
  <c r="C98" i="77"/>
  <c r="J837" i="79"/>
  <c r="J845" i="79" s="1"/>
  <c r="J35" i="77"/>
  <c r="G901" i="79"/>
  <c r="G909" i="79" s="1"/>
  <c r="G98" i="77"/>
  <c r="E837" i="79"/>
  <c r="E845" i="79" s="1"/>
  <c r="E35" i="77"/>
  <c r="J901" i="79"/>
  <c r="J909" i="79" s="1"/>
  <c r="J98" i="77"/>
  <c r="E867" i="79"/>
  <c r="E69" i="77"/>
  <c r="E65" i="77"/>
  <c r="E64" i="77"/>
  <c r="I835" i="79"/>
  <c r="I37" i="77"/>
  <c r="I33" i="77"/>
  <c r="I32" i="77"/>
  <c r="F899" i="79"/>
  <c r="F96" i="77"/>
  <c r="F100" i="77"/>
  <c r="F95" i="77"/>
  <c r="F905" i="79" s="1"/>
  <c r="D835" i="79"/>
  <c r="D33" i="77"/>
  <c r="D37" i="77"/>
  <c r="D32" i="77"/>
  <c r="J836" i="79"/>
  <c r="J844" i="79" s="1"/>
  <c r="J34" i="77"/>
  <c r="H900" i="79"/>
  <c r="H908" i="79" s="1"/>
  <c r="H97" i="77"/>
  <c r="D868" i="79"/>
  <c r="D876" i="79" s="1"/>
  <c r="D66" i="77"/>
  <c r="H836" i="79"/>
  <c r="H844" i="79" s="1"/>
  <c r="H34" i="77"/>
  <c r="C930" i="79"/>
  <c r="C938" i="79" s="1"/>
  <c r="C127" i="77"/>
  <c r="B838" i="79"/>
  <c r="B846" i="79" s="1"/>
  <c r="B36" i="77"/>
  <c r="H837" i="79"/>
  <c r="H845" i="79" s="1"/>
  <c r="H35" i="77"/>
  <c r="F835" i="79"/>
  <c r="F33" i="77"/>
  <c r="F37" i="77"/>
  <c r="F32" i="77"/>
  <c r="B870" i="79"/>
  <c r="B68" i="77"/>
  <c r="R55" i="77"/>
  <c r="S55" i="77" s="1"/>
  <c r="I901" i="79"/>
  <c r="I909" i="79" s="1"/>
  <c r="I98" i="77"/>
  <c r="D930" i="79"/>
  <c r="D938" i="79" s="1"/>
  <c r="D127" i="77"/>
  <c r="J870" i="79"/>
  <c r="J878" i="79" s="1"/>
  <c r="J68" i="77"/>
  <c r="F869" i="79"/>
  <c r="F877" i="79" s="1"/>
  <c r="F67" i="77"/>
  <c r="B899" i="79"/>
  <c r="B100" i="77"/>
  <c r="B96" i="77"/>
  <c r="B95" i="77"/>
  <c r="B905" i="79" s="1"/>
  <c r="E868" i="79"/>
  <c r="E876" i="79" s="1"/>
  <c r="E66" i="77"/>
  <c r="D902" i="79"/>
  <c r="D910" i="79" s="1"/>
  <c r="D99" i="77"/>
  <c r="H870" i="79"/>
  <c r="H878" i="79" s="1"/>
  <c r="H68" i="77"/>
  <c r="C932" i="79"/>
  <c r="C940" i="79" s="1"/>
  <c r="C129" i="77"/>
  <c r="K870" i="79"/>
  <c r="K878" i="79" s="1"/>
  <c r="K68" i="77"/>
  <c r="K901" i="79"/>
  <c r="K909" i="79" s="1"/>
  <c r="K98" i="77"/>
  <c r="H869" i="79"/>
  <c r="H877" i="79" s="1"/>
  <c r="H67" i="77"/>
  <c r="E931" i="79"/>
  <c r="E128" i="77"/>
  <c r="C869" i="79"/>
  <c r="C877" i="79" s="1"/>
  <c r="C67" i="77"/>
  <c r="C899" i="79"/>
  <c r="C96" i="77"/>
  <c r="C100" i="77"/>
  <c r="C95" i="77"/>
  <c r="C905" i="79" s="1"/>
  <c r="G867" i="79"/>
  <c r="G65" i="77"/>
  <c r="G69" i="77"/>
  <c r="G64" i="77"/>
  <c r="D929" i="79"/>
  <c r="D126" i="77"/>
  <c r="D130" i="77"/>
  <c r="D125" i="77"/>
  <c r="D935" i="79" s="1"/>
  <c r="B867" i="79"/>
  <c r="B69" i="77"/>
  <c r="B65" i="77"/>
  <c r="B64" i="77"/>
  <c r="H868" i="79"/>
  <c r="H876" i="79" s="1"/>
  <c r="H66" i="77"/>
  <c r="F930" i="79"/>
  <c r="F938" i="79" s="1"/>
  <c r="F127" i="77"/>
  <c r="B900" i="79"/>
  <c r="B908" i="79" s="1"/>
  <c r="B97" i="77"/>
  <c r="F868" i="79"/>
  <c r="F876" i="79" s="1"/>
  <c r="F66" i="77"/>
  <c r="C77" i="50"/>
  <c r="C81" i="50" s="1"/>
  <c r="I75" i="50"/>
  <c r="I77" i="50" s="1"/>
  <c r="E75" i="50"/>
  <c r="E77" i="50" s="1"/>
  <c r="K75" i="50"/>
  <c r="K77" i="50" s="1"/>
  <c r="G75" i="50"/>
  <c r="G77" i="50" s="1"/>
  <c r="S20" i="77" l="1"/>
  <c r="K879" i="79"/>
  <c r="K875" i="79"/>
  <c r="K874" i="79"/>
  <c r="S30" i="77"/>
  <c r="B878" i="79"/>
  <c r="R865" i="79"/>
  <c r="S865" i="79" s="1"/>
  <c r="F937" i="79"/>
  <c r="F941" i="79"/>
  <c r="F936" i="79"/>
  <c r="S25" i="77"/>
  <c r="S37" i="77"/>
  <c r="S39" i="77"/>
  <c r="J879" i="79"/>
  <c r="J875" i="79"/>
  <c r="J874" i="79"/>
  <c r="I879" i="79"/>
  <c r="I875" i="79"/>
  <c r="I874" i="79"/>
  <c r="D911" i="79"/>
  <c r="D907" i="79"/>
  <c r="D906" i="79"/>
  <c r="F911" i="79"/>
  <c r="F907" i="79"/>
  <c r="F906" i="79"/>
  <c r="E879" i="79"/>
  <c r="E875" i="79"/>
  <c r="E874" i="79"/>
  <c r="H879" i="79"/>
  <c r="H875" i="79"/>
  <c r="H874" i="79"/>
  <c r="G843" i="79"/>
  <c r="G847" i="79"/>
  <c r="G842" i="79"/>
  <c r="S35" i="77"/>
  <c r="S26" i="77"/>
  <c r="C879" i="79"/>
  <c r="C875" i="79"/>
  <c r="C874" i="79"/>
  <c r="F879" i="79"/>
  <c r="F875" i="79"/>
  <c r="F874" i="79"/>
  <c r="B879" i="79"/>
  <c r="B875" i="79"/>
  <c r="B874" i="79"/>
  <c r="G879" i="79"/>
  <c r="G875" i="79"/>
  <c r="G874" i="79"/>
  <c r="E941" i="79"/>
  <c r="E939" i="79"/>
  <c r="J847" i="79"/>
  <c r="J843" i="79"/>
  <c r="J842" i="79"/>
  <c r="D879" i="79"/>
  <c r="D875" i="79"/>
  <c r="D874" i="79"/>
  <c r="S38" i="77"/>
  <c r="S23" i="77"/>
  <c r="K843" i="79"/>
  <c r="K847" i="79"/>
  <c r="K842" i="79"/>
  <c r="R836" i="79"/>
  <c r="R830" i="79"/>
  <c r="R842" i="79"/>
  <c r="R834" i="79"/>
  <c r="R849" i="79"/>
  <c r="R848" i="79"/>
  <c r="R846" i="79"/>
  <c r="R845" i="79"/>
  <c r="R835" i="79"/>
  <c r="R833" i="79"/>
  <c r="R837" i="79"/>
  <c r="R839" i="79"/>
  <c r="R844" i="79"/>
  <c r="R832" i="79"/>
  <c r="R838" i="79"/>
  <c r="R831" i="79"/>
  <c r="R843" i="79"/>
  <c r="R847" i="79"/>
  <c r="F843" i="79"/>
  <c r="F847" i="79"/>
  <c r="F842" i="79"/>
  <c r="C843" i="79"/>
  <c r="C847" i="79"/>
  <c r="C842" i="79"/>
  <c r="S22" i="77"/>
  <c r="S31" i="77"/>
  <c r="B847" i="79"/>
  <c r="B843" i="79"/>
  <c r="B842" i="79"/>
  <c r="I911" i="79"/>
  <c r="I907" i="79"/>
  <c r="I906" i="79"/>
  <c r="S21" i="77"/>
  <c r="B911" i="79"/>
  <c r="B907" i="79"/>
  <c r="B906" i="79"/>
  <c r="R841" i="79"/>
  <c r="C937" i="79"/>
  <c r="C941" i="79"/>
  <c r="C936" i="79"/>
  <c r="S33" i="77"/>
  <c r="S34" i="77"/>
  <c r="F25" i="3" s="1"/>
  <c r="H843" i="79"/>
  <c r="H847" i="79"/>
  <c r="H842" i="79"/>
  <c r="K911" i="79"/>
  <c r="K907" i="79"/>
  <c r="K906" i="79"/>
  <c r="S32" i="77"/>
  <c r="D843" i="79"/>
  <c r="D847" i="79"/>
  <c r="D842" i="79"/>
  <c r="I843" i="79"/>
  <c r="I847" i="79"/>
  <c r="I842" i="79"/>
  <c r="E911" i="79"/>
  <c r="E907" i="79"/>
  <c r="E906" i="79"/>
  <c r="E937" i="79"/>
  <c r="E936" i="79"/>
  <c r="J911" i="79"/>
  <c r="J907" i="79"/>
  <c r="J906" i="79"/>
  <c r="S28" i="77"/>
  <c r="S24" i="77"/>
  <c r="S36" i="77"/>
  <c r="H911" i="79"/>
  <c r="H907" i="79"/>
  <c r="H906" i="79"/>
  <c r="D937" i="79"/>
  <c r="D941" i="79"/>
  <c r="D936" i="79"/>
  <c r="C911" i="79"/>
  <c r="C907" i="79"/>
  <c r="C906" i="79"/>
  <c r="R840" i="79"/>
  <c r="E847" i="79"/>
  <c r="E843" i="79"/>
  <c r="E842" i="79"/>
  <c r="G911" i="79"/>
  <c r="G907" i="79"/>
  <c r="G906" i="79"/>
  <c r="B941" i="79"/>
  <c r="B937" i="79"/>
  <c r="B936" i="79"/>
  <c r="S29" i="77"/>
  <c r="S27" i="77"/>
  <c r="C80" i="50"/>
  <c r="W133" i="15"/>
  <c r="S830" i="79" l="1"/>
  <c r="S837" i="79"/>
  <c r="S842" i="79"/>
  <c r="L25" i="3"/>
  <c r="L330" i="79" s="1"/>
  <c r="F330" i="79"/>
  <c r="S847" i="79"/>
  <c r="S833" i="79"/>
  <c r="S834" i="79"/>
  <c r="S843" i="79"/>
  <c r="S835" i="79"/>
  <c r="S836" i="79"/>
  <c r="S831" i="79"/>
  <c r="S845" i="79"/>
  <c r="S839" i="79"/>
  <c r="S838" i="79"/>
  <c r="S840" i="79"/>
  <c r="S846" i="79"/>
  <c r="S832" i="79"/>
  <c r="S848" i="79"/>
  <c r="S841" i="79"/>
  <c r="S844" i="79"/>
  <c r="S849" i="79"/>
  <c r="H51" i="51"/>
  <c r="C31" i="51"/>
  <c r="F11" i="51"/>
  <c r="F51" i="51"/>
  <c r="I31" i="51"/>
  <c r="C10" i="51"/>
  <c r="D11" i="51"/>
  <c r="C11" i="51"/>
  <c r="E11" i="51"/>
  <c r="E31" i="51"/>
  <c r="H11" i="51"/>
  <c r="D51" i="51"/>
  <c r="G31" i="51"/>
  <c r="F31" i="51"/>
  <c r="I11" i="51"/>
  <c r="E51" i="51"/>
  <c r="H31" i="51"/>
  <c r="D31" i="51"/>
  <c r="G11" i="51"/>
  <c r="G51" i="51"/>
  <c r="C51" i="51"/>
  <c r="W143" i="15" l="1"/>
  <c r="W122" i="15"/>
  <c r="W114" i="15"/>
  <c r="W91" i="15"/>
  <c r="W108" i="15"/>
  <c r="W102" i="15"/>
  <c r="W80" i="15"/>
  <c r="W74" i="15"/>
  <c r="W61" i="15"/>
  <c r="W48" i="15"/>
  <c r="W34" i="15"/>
  <c r="W28" i="15"/>
  <c r="W24" i="15"/>
  <c r="W18" i="15"/>
  <c r="W7" i="15"/>
  <c r="W156" i="15"/>
  <c r="W132" i="15"/>
  <c r="W89" i="15"/>
  <c r="W46" i="15"/>
  <c r="W5" i="15"/>
  <c r="S16" i="3"/>
  <c r="S3" i="3"/>
  <c r="J169" i="15"/>
  <c r="J37" i="79" s="1"/>
  <c r="C21" i="51" l="1"/>
  <c r="C41" i="51" s="1"/>
  <c r="D41" i="51" s="1"/>
  <c r="E41" i="51" s="1"/>
  <c r="M61" i="49"/>
  <c r="P61" i="49" s="1"/>
  <c r="I38" i="3"/>
  <c r="M17" i="15"/>
  <c r="G113" i="15"/>
  <c r="F111" i="15" s="1"/>
  <c r="J121" i="15"/>
  <c r="J17" i="15"/>
  <c r="J27" i="15"/>
  <c r="J73" i="15"/>
  <c r="J79" i="15"/>
  <c r="J113" i="15"/>
  <c r="J125" i="15"/>
  <c r="J141" i="15"/>
  <c r="J145" i="15" s="1"/>
  <c r="M121" i="15"/>
  <c r="M23" i="15"/>
  <c r="M27" i="15"/>
  <c r="M73" i="15"/>
  <c r="M79" i="15"/>
  <c r="M113" i="15"/>
  <c r="M125" i="15"/>
  <c r="P121" i="15"/>
  <c r="P17" i="15"/>
  <c r="P27" i="15"/>
  <c r="P73" i="15"/>
  <c r="P79" i="15"/>
  <c r="P113" i="15"/>
  <c r="P125" i="15"/>
  <c r="P141" i="15"/>
  <c r="P145" i="15" s="1"/>
  <c r="G121" i="15"/>
  <c r="G17" i="15"/>
  <c r="G23" i="15"/>
  <c r="G27" i="15"/>
  <c r="G73" i="15"/>
  <c r="G79" i="15"/>
  <c r="G87" i="15"/>
  <c r="G101" i="15"/>
  <c r="G107" i="15"/>
  <c r="G125" i="15"/>
  <c r="J162" i="15"/>
  <c r="J163" i="15" s="1"/>
  <c r="F35" i="15"/>
  <c r="S17" i="15"/>
  <c r="S23" i="15"/>
  <c r="S27" i="15"/>
  <c r="S73" i="15"/>
  <c r="S79" i="15"/>
  <c r="S87" i="15"/>
  <c r="S101" i="15"/>
  <c r="S107" i="15"/>
  <c r="S113" i="15"/>
  <c r="S121" i="15"/>
  <c r="S125" i="15"/>
  <c r="L27" i="7"/>
  <c r="L57" i="79" s="1"/>
  <c r="N22" i="3"/>
  <c r="J8" i="7"/>
  <c r="A124" i="15"/>
  <c r="A120" i="15"/>
  <c r="A106" i="15"/>
  <c r="A100" i="15"/>
  <c r="A99" i="15"/>
  <c r="A86" i="15"/>
  <c r="A72" i="15"/>
  <c r="A59" i="15"/>
  <c r="A15" i="15"/>
  <c r="A16" i="15"/>
  <c r="A14" i="15"/>
  <c r="U14" i="15"/>
  <c r="U124" i="15"/>
  <c r="U120" i="15"/>
  <c r="U106" i="15"/>
  <c r="U100" i="15"/>
  <c r="U99" i="15"/>
  <c r="U86" i="15"/>
  <c r="U72" i="15"/>
  <c r="U59" i="15"/>
  <c r="U15" i="15"/>
  <c r="U16" i="15"/>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H65" i="7"/>
  <c r="H13" i="50" s="1"/>
  <c r="O7" i="15"/>
  <c r="O18" i="15"/>
  <c r="O24" i="15"/>
  <c r="O28" i="15"/>
  <c r="O34" i="15"/>
  <c r="O48" i="15"/>
  <c r="O61" i="15"/>
  <c r="O74" i="15"/>
  <c r="O80" i="15"/>
  <c r="O91" i="15"/>
  <c r="O102" i="15"/>
  <c r="O108" i="15"/>
  <c r="O114" i="15"/>
  <c r="O122" i="15"/>
  <c r="J160"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S127" i="15" l="1"/>
  <c r="M127" i="15"/>
  <c r="M144" i="15" s="1"/>
  <c r="M146" i="15" s="1"/>
  <c r="M148" i="15" s="1"/>
  <c r="J127" i="15"/>
  <c r="J144" i="15" s="1"/>
  <c r="G127" i="15"/>
  <c r="P127" i="15"/>
  <c r="P144" i="15" s="1"/>
  <c r="P146" i="15" s="1"/>
  <c r="P148" i="15" s="1"/>
  <c r="C14" i="51"/>
  <c r="D34" i="51"/>
  <c r="C34" i="51"/>
  <c r="F14" i="51"/>
  <c r="I14" i="51"/>
  <c r="E14" i="51"/>
  <c r="G14" i="51"/>
  <c r="E34" i="51"/>
  <c r="H14" i="51"/>
  <c r="D14" i="51"/>
  <c r="J158" i="15"/>
  <c r="J508" i="79" s="1"/>
  <c r="F109" i="15"/>
  <c r="F112" i="15"/>
  <c r="F110" i="15"/>
  <c r="C135" i="55"/>
  <c r="L59" i="49" s="1"/>
  <c r="F36" i="15"/>
  <c r="F37" i="15"/>
  <c r="D21" i="51"/>
  <c r="E21" i="51" s="1"/>
  <c r="C22" i="51"/>
  <c r="C42" i="51" s="1"/>
  <c r="D42" i="51" s="1"/>
  <c r="E42" i="51" s="1"/>
  <c r="C59" i="50"/>
  <c r="C58" i="50"/>
  <c r="C61" i="50"/>
  <c r="C60" i="50"/>
  <c r="C55" i="50"/>
  <c r="E34" i="15"/>
  <c r="A1" i="7"/>
  <c r="A1" i="18"/>
  <c r="A1" i="3"/>
  <c r="S1" i="3" s="1"/>
  <c r="B44" i="15"/>
  <c r="D23" i="3"/>
  <c r="D328" i="79" s="1"/>
  <c r="A58" i="26"/>
  <c r="G58" i="26"/>
  <c r="A1" i="25"/>
  <c r="A50" i="25"/>
  <c r="A1" i="26"/>
  <c r="J157" i="15" l="1"/>
  <c r="J507" i="79" s="1"/>
  <c r="J509" i="79" s="1"/>
  <c r="J511" i="79" s="1"/>
  <c r="I344" i="79"/>
  <c r="I345" i="79" s="1"/>
  <c r="F44" i="15"/>
  <c r="F394" i="79" s="1"/>
  <c r="J44" i="15"/>
  <c r="J394" i="79" s="1"/>
  <c r="J43" i="15"/>
  <c r="J393" i="79" s="1"/>
  <c r="F43" i="15"/>
  <c r="F393" i="79" s="1"/>
  <c r="D129" i="15"/>
  <c r="D479" i="79" s="1"/>
  <c r="G129" i="15"/>
  <c r="G479" i="79" s="1"/>
  <c r="I34" i="51"/>
  <c r="G34" i="51"/>
  <c r="H34" i="51"/>
  <c r="F34" i="51"/>
  <c r="J146" i="15"/>
  <c r="J148" i="15" s="1"/>
  <c r="E3" i="51"/>
  <c r="C55" i="51" s="1"/>
  <c r="W1" i="15"/>
  <c r="D22" i="51"/>
  <c r="K59" i="50"/>
  <c r="G59" i="50"/>
  <c r="E59" i="50"/>
  <c r="I59" i="50"/>
  <c r="K60" i="50"/>
  <c r="G60" i="50"/>
  <c r="I60" i="50"/>
  <c r="E60" i="50"/>
  <c r="E61" i="50"/>
  <c r="I61" i="50"/>
  <c r="K61" i="50"/>
  <c r="G61" i="50"/>
  <c r="H18" i="50"/>
  <c r="C40" i="50" s="1"/>
  <c r="I55" i="50"/>
  <c r="G55" i="50"/>
  <c r="E55" i="50"/>
  <c r="K55" i="50"/>
  <c r="I58" i="50"/>
  <c r="I62" i="50" s="1"/>
  <c r="E58" i="50"/>
  <c r="K58" i="50"/>
  <c r="G58" i="50"/>
  <c r="K9" i="53"/>
  <c r="K23" i="53" s="1"/>
  <c r="K28" i="53" s="1"/>
  <c r="F39" i="53" s="1"/>
  <c r="C18" i="50"/>
  <c r="K40" i="50" s="1"/>
  <c r="I26" i="6"/>
  <c r="I25" i="6"/>
  <c r="F30" i="6"/>
  <c r="I28" i="6"/>
  <c r="I27" i="6"/>
  <c r="I29" i="6"/>
  <c r="G62" i="50"/>
  <c r="C62" i="50"/>
  <c r="C68" i="50"/>
  <c r="F21" i="51"/>
  <c r="E22" i="51"/>
  <c r="R19" i="6"/>
  <c r="I39" i="3"/>
  <c r="P31" i="3" l="1"/>
  <c r="P336" i="79" s="1"/>
  <c r="E62" i="50"/>
  <c r="K62" i="50"/>
  <c r="P25" i="6"/>
  <c r="P29" i="6"/>
  <c r="P12" i="6"/>
  <c r="P33" i="6"/>
  <c r="P27" i="6"/>
  <c r="P36" i="6"/>
  <c r="P34" i="6"/>
  <c r="P19" i="6"/>
  <c r="P11" i="6"/>
  <c r="J29" i="6"/>
  <c r="P14" i="6"/>
  <c r="J28" i="6"/>
  <c r="J25" i="6"/>
  <c r="F55" i="51"/>
  <c r="F15" i="51"/>
  <c r="E55" i="51"/>
  <c r="C15" i="51"/>
  <c r="D15" i="51"/>
  <c r="E35" i="51"/>
  <c r="D55" i="51"/>
  <c r="G35" i="51"/>
  <c r="C35" i="51"/>
  <c r="I35" i="51"/>
  <c r="H55" i="51"/>
  <c r="E15" i="51"/>
  <c r="O16" i="51"/>
  <c r="O17" i="51"/>
  <c r="G55" i="51"/>
  <c r="F35" i="51"/>
  <c r="D35" i="51"/>
  <c r="H35" i="51"/>
  <c r="H15" i="51"/>
  <c r="G15" i="51"/>
  <c r="I15" i="51"/>
  <c r="P13" i="6"/>
  <c r="I33" i="6"/>
  <c r="P22" i="6"/>
  <c r="P26" i="6"/>
  <c r="P32" i="6"/>
  <c r="I35" i="6"/>
  <c r="J27" i="6"/>
  <c r="P21" i="6"/>
  <c r="P28" i="6"/>
  <c r="I34" i="6"/>
  <c r="J26" i="6"/>
  <c r="I19" i="6"/>
  <c r="I20" i="6"/>
  <c r="P15" i="6"/>
  <c r="P20" i="6"/>
  <c r="I22" i="6"/>
  <c r="H8" i="53"/>
  <c r="I8" i="53" s="1"/>
  <c r="J18" i="50"/>
  <c r="F56" i="54"/>
  <c r="D39" i="55"/>
  <c r="I50" i="7"/>
  <c r="I80" i="79" s="1"/>
  <c r="K68" i="50"/>
  <c r="G68" i="50"/>
  <c r="I68" i="50"/>
  <c r="E68" i="50"/>
  <c r="C52" i="50"/>
  <c r="D18" i="50"/>
  <c r="C38" i="50"/>
  <c r="J36" i="6"/>
  <c r="J21" i="6"/>
  <c r="J32" i="6"/>
  <c r="J34" i="6"/>
  <c r="I36" i="6"/>
  <c r="J33" i="6"/>
  <c r="I32" i="6"/>
  <c r="F37" i="6"/>
  <c r="J22" i="6"/>
  <c r="J19" i="6"/>
  <c r="I21" i="6"/>
  <c r="I14" i="6"/>
  <c r="I13" i="6"/>
  <c r="I15" i="6"/>
  <c r="J15" i="6"/>
  <c r="I12" i="6"/>
  <c r="I11" i="6"/>
  <c r="F16" i="6"/>
  <c r="D34" i="55"/>
  <c r="H9" i="53"/>
  <c r="I9" i="53" s="1"/>
  <c r="D9" i="53"/>
  <c r="E9" i="53" s="1"/>
  <c r="H7" i="53"/>
  <c r="D7" i="53"/>
  <c r="D10" i="53"/>
  <c r="E10" i="53" s="1"/>
  <c r="H10" i="53"/>
  <c r="I10" i="53" s="1"/>
  <c r="D11" i="53"/>
  <c r="E11" i="53" s="1"/>
  <c r="H11" i="53"/>
  <c r="I11" i="53" s="1"/>
  <c r="G21" i="51"/>
  <c r="F22" i="51"/>
  <c r="P30" i="3"/>
  <c r="I40" i="3"/>
  <c r="P32" i="3" l="1"/>
  <c r="P335" i="79"/>
  <c r="P337" i="79" s="1"/>
  <c r="P25" i="3"/>
  <c r="P330" i="79" s="1"/>
  <c r="J12" i="6"/>
  <c r="J13" i="6"/>
  <c r="J11" i="6"/>
  <c r="J14" i="6"/>
  <c r="J35" i="6"/>
  <c r="J20" i="6"/>
  <c r="P35" i="6"/>
  <c r="O19" i="51"/>
  <c r="O23" i="51" s="1"/>
  <c r="O25" i="51" s="1"/>
  <c r="O31" i="51" s="1"/>
  <c r="P16" i="6"/>
  <c r="I18" i="6"/>
  <c r="J30" i="6"/>
  <c r="P30" i="6"/>
  <c r="D8" i="53"/>
  <c r="E8" i="53" s="1"/>
  <c r="H12" i="53"/>
  <c r="K52" i="50"/>
  <c r="G52" i="50"/>
  <c r="I52" i="50"/>
  <c r="E52" i="50"/>
  <c r="F23" i="6"/>
  <c r="F39" i="6" s="1"/>
  <c r="I7" i="53"/>
  <c r="I13" i="53" s="1"/>
  <c r="E7" i="53"/>
  <c r="C53" i="50"/>
  <c r="H21" i="51"/>
  <c r="G22" i="51"/>
  <c r="D13" i="50"/>
  <c r="P59" i="7" l="1"/>
  <c r="H59" i="7"/>
  <c r="J37" i="6"/>
  <c r="J16" i="6"/>
  <c r="P37" i="6"/>
  <c r="J18" i="6"/>
  <c r="P18" i="6"/>
  <c r="D12" i="53"/>
  <c r="E174" i="55"/>
  <c r="E175" i="55" s="1"/>
  <c r="E13" i="53"/>
  <c r="C13" i="50"/>
  <c r="I43" i="57" s="1"/>
  <c r="F52" i="54"/>
  <c r="G54" i="51"/>
  <c r="E54" i="51"/>
  <c r="F54" i="51"/>
  <c r="D54" i="51"/>
  <c r="H54" i="51"/>
  <c r="C54" i="51"/>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H22" i="51"/>
  <c r="I21" i="51"/>
  <c r="I22" i="51" s="1"/>
  <c r="J150" i="15"/>
  <c r="J152" i="15" s="1"/>
  <c r="P150" i="15"/>
  <c r="P152" i="15" s="1"/>
  <c r="M150" i="15"/>
  <c r="M152" i="15" s="1"/>
  <c r="H61" i="7" l="1"/>
  <c r="H91" i="79" s="1"/>
  <c r="H89" i="79"/>
  <c r="P61" i="7"/>
  <c r="P89" i="79"/>
  <c r="F16" i="49"/>
  <c r="J23" i="6"/>
  <c r="J39" i="6" s="1"/>
  <c r="R28" i="6" s="1"/>
  <c r="P23" i="6"/>
  <c r="P39" i="6" s="1"/>
  <c r="C66" i="50"/>
  <c r="C70" i="50" s="1"/>
  <c r="C76" i="50" s="1"/>
  <c r="C73" i="50" s="1"/>
  <c r="C19" i="50"/>
  <c r="H19" i="50"/>
  <c r="K19" i="53"/>
  <c r="I39" i="53" s="1"/>
  <c r="K38" i="53" s="1"/>
  <c r="D16" i="48"/>
  <c r="F54" i="54"/>
  <c r="D33" i="55" s="1"/>
  <c r="D35" i="55" s="1"/>
  <c r="C34" i="57"/>
  <c r="I44" i="57" s="1"/>
  <c r="J153" i="15"/>
  <c r="J165" i="15" s="1"/>
  <c r="P64" i="7" l="1"/>
  <c r="P43" i="15" s="1"/>
  <c r="P393" i="79" s="1"/>
  <c r="P91" i="79"/>
  <c r="P94" i="79" s="1"/>
  <c r="K21" i="53"/>
  <c r="K30" i="53" s="1"/>
  <c r="K34" i="53" s="1"/>
  <c r="I66" i="50"/>
  <c r="I70" i="50" s="1"/>
  <c r="I72" i="50" s="1"/>
  <c r="K66" i="50"/>
  <c r="K70" i="50" s="1"/>
  <c r="K72" i="50" s="1"/>
  <c r="G66" i="50"/>
  <c r="G70" i="50" s="1"/>
  <c r="G72" i="50" s="1"/>
  <c r="E66" i="50"/>
  <c r="E70" i="50" s="1"/>
  <c r="E72" i="50" s="1"/>
  <c r="C72" i="50"/>
  <c r="M167" i="15"/>
  <c r="M517" i="79" s="1"/>
  <c r="L30" i="3"/>
  <c r="L335" i="79" s="1"/>
  <c r="L29" i="3"/>
  <c r="L334" i="79" s="1"/>
  <c r="J7" i="7"/>
  <c r="K13" i="53" l="1"/>
  <c r="R17" i="6"/>
  <c r="C13" i="51"/>
  <c r="G33" i="51"/>
  <c r="E76" i="50"/>
  <c r="E73" i="50" s="1"/>
  <c r="I76" i="50"/>
  <c r="I73" i="50" s="1"/>
  <c r="K76" i="50"/>
  <c r="K73" i="50" s="1"/>
  <c r="G76" i="50"/>
  <c r="G73" i="50" s="1"/>
  <c r="N30" i="3"/>
  <c r="N335" i="79" s="1"/>
  <c r="C33" i="51"/>
  <c r="H33" i="51"/>
  <c r="D53" i="51"/>
  <c r="F13" i="51"/>
  <c r="D13" i="51"/>
  <c r="H13" i="51"/>
  <c r="E13" i="51"/>
  <c r="F33" i="51"/>
  <c r="C53" i="51"/>
  <c r="F53" i="51"/>
  <c r="I33" i="51"/>
  <c r="H53" i="51"/>
  <c r="I13" i="51"/>
  <c r="G53" i="51"/>
  <c r="N29" i="3"/>
  <c r="N334" i="79" s="1"/>
  <c r="J159" i="15" l="1"/>
  <c r="J161" i="15" s="1"/>
  <c r="D33" i="51"/>
  <c r="E33" i="51"/>
  <c r="E53" i="51"/>
  <c r="G13" i="51"/>
  <c r="E10" i="52" l="1"/>
  <c r="E14" i="52"/>
  <c r="E9" i="51"/>
  <c r="C9" i="51"/>
  <c r="C17" i="51" s="1"/>
  <c r="C18" i="51" s="1"/>
  <c r="C20" i="51" s="1"/>
  <c r="C24" i="51" s="1"/>
  <c r="K6" i="51" s="1"/>
  <c r="G66" i="51" s="1"/>
  <c r="N85" i="49" s="1"/>
  <c r="H29" i="51"/>
  <c r="I29" i="51"/>
  <c r="E32" i="52"/>
  <c r="E28" i="52"/>
  <c r="E26" i="52"/>
  <c r="E22" i="52"/>
  <c r="E18" i="52"/>
  <c r="E16" i="52"/>
  <c r="E12" i="52"/>
  <c r="E31" i="52"/>
  <c r="E25" i="52"/>
  <c r="E21" i="52"/>
  <c r="E15" i="52"/>
  <c r="E11" i="52"/>
  <c r="E30" i="52"/>
  <c r="E24" i="52"/>
  <c r="E20" i="52"/>
  <c r="E29" i="52"/>
  <c r="E27" i="52"/>
  <c r="E23" i="52"/>
  <c r="E19" i="52"/>
  <c r="E17" i="52"/>
  <c r="E13" i="52"/>
  <c r="E9" i="52"/>
  <c r="F9" i="51" l="1"/>
  <c r="C49" i="51"/>
  <c r="G29" i="51"/>
  <c r="G49" i="51"/>
  <c r="C29" i="51"/>
  <c r="I9" i="51"/>
  <c r="F49" i="51"/>
  <c r="H9" i="51"/>
  <c r="E49" i="51"/>
  <c r="D49" i="51"/>
  <c r="H49" i="51"/>
  <c r="D9" i="51"/>
  <c r="G9" i="51"/>
  <c r="D29" i="51"/>
  <c r="E29" i="51"/>
  <c r="F29" i="51"/>
  <c r="D10" i="51"/>
  <c r="D17" i="51" l="1"/>
  <c r="D18" i="51" s="1"/>
  <c r="D20" i="51" s="1"/>
  <c r="D24" i="51" s="1"/>
  <c r="K7" i="51" s="1"/>
  <c r="E10" i="51"/>
  <c r="F10" i="51" l="1"/>
  <c r="F17" i="51" s="1"/>
  <c r="F18" i="51" s="1"/>
  <c r="F20" i="51" s="1"/>
  <c r="F24" i="51" s="1"/>
  <c r="K9" i="51" s="1"/>
  <c r="E17" i="51"/>
  <c r="E18" i="51" s="1"/>
  <c r="E20" i="51" s="1"/>
  <c r="E24" i="51" s="1"/>
  <c r="K8" i="51" s="1"/>
  <c r="G10" i="51" l="1"/>
  <c r="H10" i="51" l="1"/>
  <c r="H17" i="51" s="1"/>
  <c r="H18" i="51" s="1"/>
  <c r="H20" i="51" s="1"/>
  <c r="H24" i="51" s="1"/>
  <c r="K11" i="51" s="1"/>
  <c r="G17" i="51"/>
  <c r="G18" i="51" s="1"/>
  <c r="G20" i="51" s="1"/>
  <c r="G24" i="51" s="1"/>
  <c r="K10" i="51" s="1"/>
  <c r="I10" i="51" l="1"/>
  <c r="C30" i="51" l="1"/>
  <c r="C37" i="51" s="1"/>
  <c r="C38" i="51" s="1"/>
  <c r="C40" i="51" s="1"/>
  <c r="C44" i="51" s="1"/>
  <c r="K13" i="51" s="1"/>
  <c r="I17" i="51"/>
  <c r="I18" i="51" s="1"/>
  <c r="I20" i="51" s="1"/>
  <c r="I24" i="51" s="1"/>
  <c r="K12" i="51" s="1"/>
  <c r="D30" i="51" l="1"/>
  <c r="E30" i="51" l="1"/>
  <c r="E37" i="51" s="1"/>
  <c r="E38" i="51" s="1"/>
  <c r="E40" i="51" s="1"/>
  <c r="E44" i="51" s="1"/>
  <c r="K15" i="51" s="1"/>
  <c r="D37" i="51"/>
  <c r="D38" i="51" s="1"/>
  <c r="D40" i="51" s="1"/>
  <c r="D44" i="51" s="1"/>
  <c r="K14" i="51" s="1"/>
  <c r="F30" i="51" l="1"/>
  <c r="G30" i="51" l="1"/>
  <c r="G37" i="51" s="1"/>
  <c r="G38" i="51" s="1"/>
  <c r="G40" i="51" s="1"/>
  <c r="G44" i="51" s="1"/>
  <c r="K17" i="51" s="1"/>
  <c r="F37" i="51"/>
  <c r="F38" i="51" s="1"/>
  <c r="F40" i="51" s="1"/>
  <c r="F44" i="51" s="1"/>
  <c r="K16" i="51" s="1"/>
  <c r="H30" i="51" l="1"/>
  <c r="I30" i="51" l="1"/>
  <c r="I37" i="51" s="1"/>
  <c r="I38" i="51" s="1"/>
  <c r="I40" i="51" s="1"/>
  <c r="I44" i="51" s="1"/>
  <c r="K19" i="51" s="1"/>
  <c r="H37" i="51"/>
  <c r="H38" i="51" s="1"/>
  <c r="H40" i="51" s="1"/>
  <c r="H44" i="51" s="1"/>
  <c r="K18" i="51" s="1"/>
  <c r="C50" i="51" l="1"/>
  <c r="D50" i="51" l="1"/>
  <c r="D57" i="51" s="1"/>
  <c r="D58" i="51" s="1"/>
  <c r="D60" i="51" s="1"/>
  <c r="D64" i="51" s="1"/>
  <c r="K21" i="51" s="1"/>
  <c r="C57" i="51"/>
  <c r="C58" i="51" s="1"/>
  <c r="C60" i="51" s="1"/>
  <c r="C64" i="51" s="1"/>
  <c r="K20" i="51" s="1"/>
  <c r="E50" i="51" l="1"/>
  <c r="F50" i="51" l="1"/>
  <c r="F57" i="51" s="1"/>
  <c r="F58" i="51" s="1"/>
  <c r="F60" i="51" s="1"/>
  <c r="F64" i="51" s="1"/>
  <c r="K23" i="51" s="1"/>
  <c r="E57" i="51"/>
  <c r="E58" i="51" s="1"/>
  <c r="E60" i="51" s="1"/>
  <c r="E64" i="51" s="1"/>
  <c r="K22" i="51" s="1"/>
  <c r="G50" i="51" l="1"/>
  <c r="H50" i="51"/>
  <c r="H57" i="51" l="1"/>
  <c r="H58" i="51" s="1"/>
  <c r="H60" i="51" s="1"/>
  <c r="H64" i="51" s="1"/>
  <c r="K25" i="51" s="1"/>
  <c r="G57" i="51"/>
  <c r="G58" i="51" s="1"/>
  <c r="G60" i="51" s="1"/>
  <c r="G64" i="51" s="1"/>
  <c r="K24" i="51" s="1"/>
  <c r="F60" i="54"/>
  <c r="O8" i="51"/>
  <c r="L93" i="49"/>
  <c r="L63" i="49"/>
  <c r="O14" i="51" l="1"/>
  <c r="O33" i="51" s="1"/>
  <c r="H63" i="5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D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0F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0F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200-000001000000}">
      <text>
        <r>
          <rPr>
            <b/>
            <sz val="9"/>
            <color indexed="81"/>
            <rFont val="Tahoma"/>
            <family val="2"/>
          </rPr>
          <t>marie.palena:</t>
        </r>
        <r>
          <rPr>
            <sz val="9"/>
            <color indexed="81"/>
            <rFont val="Tahoma"/>
            <family val="2"/>
          </rPr>
          <t xml:space="preserve">
see Carryover or IPS confirmation
</t>
        </r>
      </text>
    </comment>
    <comment ref="F35" authorId="0" shapeId="0" xr:uid="{00000000-0006-0000-12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200-000003000000}">
      <text>
        <r>
          <rPr>
            <b/>
            <sz val="9"/>
            <color indexed="81"/>
            <rFont val="Tahoma"/>
            <family val="2"/>
          </rPr>
          <t>marie.palena:</t>
        </r>
        <r>
          <rPr>
            <sz val="9"/>
            <color indexed="81"/>
            <rFont val="Tahoma"/>
            <family val="2"/>
          </rPr>
          <t xml:space="preserve">
Only if IPS, otherwise NA</t>
        </r>
      </text>
    </comment>
    <comment ref="G63" authorId="0" shapeId="0" xr:uid="{00000000-0006-0000-1200-00000400000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D49" authorId="0" shapeId="0" xr:uid="{00000000-0006-0000-1300-000001000000}">
      <text>
        <r>
          <rPr>
            <b/>
            <sz val="9"/>
            <color indexed="81"/>
            <rFont val="Tahoma"/>
            <family val="2"/>
          </rPr>
          <t>marie.palena:</t>
        </r>
        <r>
          <rPr>
            <sz val="9"/>
            <color indexed="81"/>
            <rFont val="Tahoma"/>
            <family val="2"/>
          </rPr>
          <t xml:space="preserve">
see threshold</t>
        </r>
      </text>
    </comment>
    <comment ref="C51" authorId="0" shapeId="0" xr:uid="{00000000-0006-0000-1300-000002000000}">
      <text>
        <r>
          <rPr>
            <b/>
            <sz val="9"/>
            <color indexed="81"/>
            <rFont val="Tahoma"/>
            <family val="2"/>
          </rPr>
          <t>marie.palena:</t>
        </r>
        <r>
          <rPr>
            <sz val="9"/>
            <color indexed="81"/>
            <rFont val="Tahoma"/>
            <family val="2"/>
          </rPr>
          <t xml:space="preserve">
confirm with threshold
</t>
        </r>
      </text>
    </comment>
    <comment ref="D77" authorId="0" shapeId="0" xr:uid="{00000000-0006-0000-13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xr:uid="{00000000-0006-0000-1300-000004000000}">
      <text>
        <r>
          <rPr>
            <b/>
            <sz val="9"/>
            <color indexed="81"/>
            <rFont val="Tahoma"/>
            <family val="2"/>
          </rPr>
          <t>marie.palena:</t>
        </r>
        <r>
          <rPr>
            <sz val="9"/>
            <color indexed="81"/>
            <rFont val="Tahoma"/>
            <family val="2"/>
          </rPr>
          <t xml:space="preserve">
If IPS, use NA</t>
        </r>
      </text>
    </comment>
    <comment ref="D85" authorId="0" shapeId="0" xr:uid="{00000000-0006-0000-1300-000005000000}">
      <text>
        <r>
          <rPr>
            <b/>
            <sz val="9"/>
            <color indexed="81"/>
            <rFont val="Tahoma"/>
            <family val="2"/>
          </rPr>
          <t>marie.palena:</t>
        </r>
        <r>
          <rPr>
            <sz val="9"/>
            <color indexed="81"/>
            <rFont val="Tahoma"/>
            <family val="2"/>
          </rPr>
          <t xml:space="preserve">
for fully am, use NA</t>
        </r>
      </text>
    </comment>
    <comment ref="D87" authorId="0" shapeId="0" xr:uid="{00000000-0006-0000-1300-000006000000}">
      <text>
        <r>
          <rPr>
            <b/>
            <sz val="8"/>
            <color indexed="81"/>
            <rFont val="Tahoma"/>
            <family val="2"/>
          </rPr>
          <t>marie.palena:</t>
        </r>
        <r>
          <rPr>
            <sz val="8"/>
            <color indexed="81"/>
            <rFont val="Tahoma"/>
            <family val="2"/>
          </rPr>
          <t xml:space="preserve">
delete if fully amortizing</t>
        </r>
      </text>
    </comment>
    <comment ref="B89" authorId="0" shapeId="0" xr:uid="{00000000-0006-0000-1300-000007000000}">
      <text>
        <r>
          <rPr>
            <b/>
            <sz val="8"/>
            <color indexed="81"/>
            <rFont val="Tahoma"/>
            <family val="2"/>
          </rPr>
          <t>marie.palena:</t>
        </r>
        <r>
          <rPr>
            <sz val="8"/>
            <color indexed="81"/>
            <rFont val="Tahoma"/>
            <family val="2"/>
          </rPr>
          <t xml:space="preserve">
delete if fully amortizing</t>
        </r>
      </text>
    </comment>
    <comment ref="C89" authorId="1" shapeId="0" xr:uid="{00000000-0006-0000-1300-000008000000}">
      <text>
        <r>
          <rPr>
            <b/>
            <sz val="9"/>
            <color indexed="81"/>
            <rFont val="Tahoma"/>
            <family val="2"/>
          </rPr>
          <t>marie.palena:</t>
        </r>
        <r>
          <rPr>
            <sz val="9"/>
            <color indexed="81"/>
            <rFont val="Tahoma"/>
            <family val="2"/>
          </rPr>
          <t xml:space="preserve">
will only change if Permanent Supportive Housing HOME loan</t>
        </r>
      </text>
    </comment>
    <comment ref="D103" authorId="1" shapeId="0" xr:uid="{00000000-0006-0000-1300-000009000000}">
      <text>
        <r>
          <rPr>
            <b/>
            <sz val="9"/>
            <color indexed="81"/>
            <rFont val="Tahoma"/>
            <family val="2"/>
          </rPr>
          <t>Marie Palena:</t>
        </r>
        <r>
          <rPr>
            <sz val="9"/>
            <color indexed="81"/>
            <rFont val="Tahoma"/>
            <family val="2"/>
          </rPr>
          <t xml:space="preserve">
See Scoring</t>
        </r>
      </text>
    </comment>
    <comment ref="D105" authorId="0" shapeId="0" xr:uid="{00000000-0006-0000-13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3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300-00000C000000}">
      <text>
        <r>
          <rPr>
            <b/>
            <sz val="9"/>
            <color indexed="81"/>
            <rFont val="Tahoma"/>
            <family val="2"/>
          </rPr>
          <t>marie.palena:</t>
        </r>
        <r>
          <rPr>
            <sz val="9"/>
            <color indexed="81"/>
            <rFont val="Tahoma"/>
            <family val="2"/>
          </rPr>
          <t xml:space="preserve">
check Uses</t>
        </r>
      </text>
    </comment>
    <comment ref="E180" authorId="1" shapeId="0" xr:uid="{00000000-0006-0000-13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3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3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300-00001000000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400-000001000000}">
      <text>
        <r>
          <rPr>
            <b/>
            <sz val="9"/>
            <color indexed="81"/>
            <rFont val="Tahoma"/>
            <family val="2"/>
          </rPr>
          <t>marie.palena:</t>
        </r>
        <r>
          <rPr>
            <sz val="9"/>
            <color indexed="81"/>
            <rFont val="Tahoma"/>
            <family val="2"/>
          </rPr>
          <t xml:space="preserve">
generally rehabs only</t>
        </r>
      </text>
    </comment>
    <comment ref="G16" authorId="0" shapeId="0" xr:uid="{00000000-0006-0000-14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4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4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4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4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4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4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4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51" authorId="0" shapeId="0" xr:uid="{00000000-0006-0000-1500-000001000000}">
      <text>
        <r>
          <rPr>
            <b/>
            <sz val="9"/>
            <color indexed="81"/>
            <rFont val="Tahoma"/>
            <family val="2"/>
          </rPr>
          <t>marie.palena:</t>
        </r>
        <r>
          <rPr>
            <sz val="9"/>
            <color indexed="81"/>
            <rFont val="Tahoma"/>
            <family val="2"/>
          </rPr>
          <t xml:space="preserve">
only applicable to rehabs</t>
        </r>
      </text>
    </comment>
    <comment ref="I53" authorId="0" shapeId="0" xr:uid="{00000000-0006-0000-1500-000002000000}">
      <text>
        <r>
          <rPr>
            <b/>
            <sz val="9"/>
            <color indexed="81"/>
            <rFont val="Tahoma"/>
            <family val="2"/>
          </rPr>
          <t>marie.palena:</t>
        </r>
        <r>
          <rPr>
            <sz val="9"/>
            <color indexed="81"/>
            <rFont val="Tahoma"/>
            <family val="2"/>
          </rPr>
          <t xml:space="preserve">
rehab only</t>
        </r>
      </text>
    </comment>
    <comment ref="I54" authorId="0" shapeId="0" xr:uid="{00000000-0006-0000-1500-000003000000}">
      <text>
        <r>
          <rPr>
            <b/>
            <sz val="9"/>
            <color indexed="81"/>
            <rFont val="Tahoma"/>
            <family val="2"/>
          </rPr>
          <t>marie.palena:</t>
        </r>
        <r>
          <rPr>
            <sz val="9"/>
            <color indexed="81"/>
            <rFont val="Tahoma"/>
            <family val="2"/>
          </rPr>
          <t xml:space="preserve">
rehab only</t>
        </r>
      </text>
    </comment>
    <comment ref="I55" authorId="0" shapeId="0" xr:uid="{00000000-0006-0000-1500-000004000000}">
      <text>
        <r>
          <rPr>
            <b/>
            <sz val="9"/>
            <color indexed="81"/>
            <rFont val="Tahoma"/>
            <family val="2"/>
          </rPr>
          <t>marie.palena:</t>
        </r>
        <r>
          <rPr>
            <sz val="9"/>
            <color indexed="81"/>
            <rFont val="Tahoma"/>
            <family val="2"/>
          </rPr>
          <t xml:space="preserve">
rehab only</t>
        </r>
      </text>
    </comment>
    <comment ref="I56" authorId="0" shapeId="0" xr:uid="{00000000-0006-0000-1500-000005000000}">
      <text>
        <r>
          <rPr>
            <b/>
            <sz val="9"/>
            <color indexed="81"/>
            <rFont val="Tahoma"/>
            <family val="2"/>
          </rPr>
          <t>marie.palena:</t>
        </r>
        <r>
          <rPr>
            <sz val="9"/>
            <color indexed="81"/>
            <rFont val="Tahoma"/>
            <family val="2"/>
          </rPr>
          <t xml:space="preserve">
rehab- no lead based paint contamination- see DCA enviro staff</t>
        </r>
      </text>
    </comment>
    <comment ref="F71" authorId="0" shapeId="0" xr:uid="{00000000-0006-0000-1500-000006000000}">
      <text>
        <r>
          <rPr>
            <b/>
            <sz val="9"/>
            <color indexed="81"/>
            <rFont val="Tahoma"/>
            <family val="2"/>
          </rPr>
          <t>marie.palena:</t>
        </r>
        <r>
          <rPr>
            <sz val="9"/>
            <color indexed="81"/>
            <rFont val="Tahoma"/>
            <family val="2"/>
          </rPr>
          <t xml:space="preserve">
USDA 515, other HUD funds</t>
        </r>
      </text>
    </comment>
    <comment ref="F72" authorId="0" shapeId="0" xr:uid="{00000000-0006-0000-15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xr:uid="{00000000-0006-0000-1500-00000800000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xr:uid="{00000000-0006-0000-1500-000009000000}">
      <text>
        <r>
          <rPr>
            <b/>
            <sz val="9"/>
            <color indexed="81"/>
            <rFont val="Tahoma"/>
            <family val="2"/>
          </rPr>
          <t>marie.palena:</t>
        </r>
        <r>
          <rPr>
            <sz val="9"/>
            <color indexed="81"/>
            <rFont val="Tahoma"/>
            <family val="2"/>
          </rPr>
          <t xml:space="preserve">
not to be repaid, generally not more than $100</t>
        </r>
      </text>
    </comment>
    <comment ref="F79" authorId="0" shapeId="0" xr:uid="{00000000-0006-0000-15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<sst xmlns="http://schemas.openxmlformats.org/spreadsheetml/2006/main" count="10362" uniqueCount="3790">
  <si>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</si>
  <si>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</si>
  <si>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</si>
  <si>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</si>
  <si>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</si>
  <si>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</si>
  <si>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</si>
  <si>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</si>
  <si>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</si>
  <si>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</si>
  <si>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</si>
  <si>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</si>
  <si>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</si>
  <si>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</si>
  <si>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</si>
  <si>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</si>
  <si>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</si>
  <si>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</si>
  <si>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</si>
  <si>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</si>
  <si>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</si>
  <si>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</si>
  <si>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</si>
  <si>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</si>
  <si>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</si>
  <si>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</si>
  <si>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</si>
  <si>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</si>
  <si>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</si>
  <si>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</si>
  <si>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Annual Debt Service in Year One</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</si>
  <si>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</si>
  <si>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</si>
  <si>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</si>
  <si>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</si>
  <si>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</si>
  <si>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</si>
  <si>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</si>
  <si>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</si>
  <si>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</si>
  <si>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</si>
  <si>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</si>
  <si>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</si>
  <si>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</si>
  <si>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</si>
  <si>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</si>
  <si>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</si>
  <si>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</si>
  <si>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</si>
  <si>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</si>
  <si>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</si>
  <si>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</si>
  <si>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</si>
  <si>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</si>
  <si>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</si>
  <si>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</si>
  <si>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</si>
  <si>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</si>
  <si>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</si>
  <si>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</si>
  <si>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</si>
  <si>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</si>
  <si>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</si>
  <si>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</si>
  <si>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</si>
  <si>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</si>
  <si>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</si>
  <si>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</si>
  <si>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</si>
  <si>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</si>
  <si>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</si>
  <si>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</si>
  <si>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</si>
  <si>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</si>
  <si>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</si>
  <si>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</si>
  <si>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</si>
  <si>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</si>
  <si>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</si>
  <si>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</si>
  <si>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</si>
  <si>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</si>
  <si>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</si>
  <si>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</si>
  <si>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</si>
  <si>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</si>
  <si>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</si>
  <si>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</si>
  <si>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</si>
  <si>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</si>
  <si>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</si>
  <si>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</si>
  <si>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</si>
  <si>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</si>
  <si>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</si>
  <si>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</si>
  <si>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</si>
  <si>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</si>
  <si>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</si>
  <si>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</si>
  <si>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</si>
  <si>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</si>
  <si>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</si>
  <si>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</si>
  <si>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</si>
  <si>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</si>
  <si>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</si>
  <si>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</si>
  <si>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Efficiency 60% SF</t>
  </si>
  <si>
    <t>50% AMI</t>
  </si>
  <si>
    <t>Housing Authority of the City of Cleveland, Ga.</t>
  </si>
  <si>
    <t>Loganville</t>
  </si>
  <si>
    <t>Gwinnett</t>
  </si>
  <si>
    <t>Habersham</t>
  </si>
  <si>
    <t>Habersham Co.</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</si>
  <si>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</si>
  <si>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</si>
  <si>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</si>
  <si>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</si>
  <si>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</si>
  <si>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</si>
  <si>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</si>
  <si>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</si>
  <si>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</si>
  <si>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</si>
  <si>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</si>
  <si>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</si>
  <si>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</si>
  <si>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</si>
  <si>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</si>
  <si>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</si>
  <si>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</si>
  <si>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</si>
  <si>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</si>
  <si>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t>* To all applicants: please provide methodology for determining applicable construction hard costs.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</si>
  <si>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</si>
  <si>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</si>
  <si>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</si>
  <si>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</si>
  <si>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</si>
  <si>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</si>
  <si>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</si>
  <si>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</si>
  <si>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</si>
  <si>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</si>
  <si>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</si>
  <si>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</si>
  <si>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</si>
  <si>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</si>
  <si>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</si>
  <si>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</si>
  <si>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</si>
  <si>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</si>
  <si>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</si>
  <si>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</si>
  <si>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</si>
  <si>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</si>
  <si>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</si>
  <si>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</si>
  <si>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</si>
  <si>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</si>
  <si>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</si>
  <si>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</si>
  <si>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</si>
  <si>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</si>
  <si>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</si>
  <si>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</si>
  <si>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</si>
  <si>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</si>
  <si>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</si>
  <si>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</si>
  <si>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</si>
  <si>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</si>
  <si>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</si>
  <si>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</si>
  <si>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</si>
  <si>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</si>
  <si>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</si>
  <si>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</si>
  <si>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</si>
  <si>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</si>
  <si>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</si>
  <si>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</si>
  <si>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</si>
  <si>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</si>
  <si>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</si>
  <si>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</si>
  <si>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</si>
  <si>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</si>
  <si>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</si>
  <si>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</si>
  <si>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</si>
  <si>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</si>
  <si>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</si>
  <si>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</si>
  <si>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</si>
  <si>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</si>
  <si>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</si>
  <si>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</si>
  <si>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</si>
  <si>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</si>
  <si>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</si>
  <si>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</si>
  <si>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</si>
  <si>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</si>
  <si>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</si>
  <si>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</si>
  <si>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</si>
  <si>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</si>
  <si>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</si>
  <si>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</si>
  <si>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</si>
  <si>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</si>
  <si>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</si>
  <si>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</si>
  <si>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</si>
  <si>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</si>
  <si>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</si>
  <si>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</si>
  <si>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</si>
  <si>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</si>
  <si>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</si>
  <si>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</si>
  <si>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</si>
  <si>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</si>
  <si>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</si>
  <si>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</si>
  <si>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</si>
  <si>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</si>
  <si>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</si>
  <si>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</si>
  <si>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</si>
  <si>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</si>
  <si>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</si>
  <si>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</si>
  <si>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</si>
  <si>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</si>
  <si>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</si>
  <si>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</si>
  <si>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</si>
  <si>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</si>
  <si>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</si>
  <si>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</si>
  <si>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</si>
  <si>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</si>
  <si>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</si>
  <si>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</si>
  <si>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</si>
  <si>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</si>
  <si>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</si>
  <si>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</si>
  <si>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</si>
  <si>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</si>
  <si>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</si>
  <si>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</si>
  <si>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</si>
  <si>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</si>
  <si>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</si>
  <si>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</si>
  <si>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</si>
  <si>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</si>
  <si>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</si>
  <si>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</si>
  <si>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</si>
  <si>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</si>
  <si>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</si>
  <si>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</si>
  <si>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</si>
  <si>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</si>
  <si>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</si>
  <si>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</si>
  <si>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</si>
  <si>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</si>
  <si>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</si>
  <si>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</si>
  <si>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</si>
  <si>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</si>
  <si>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</si>
  <si>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</si>
  <si>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</si>
  <si>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</si>
  <si>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</si>
  <si>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</si>
  <si>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</si>
  <si>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</si>
  <si>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</si>
  <si>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</si>
  <si>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</si>
  <si>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</si>
  <si>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</si>
  <si>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</si>
  <si>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</si>
  <si>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</si>
  <si>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</si>
  <si>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</si>
  <si>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</si>
  <si>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</si>
  <si>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</si>
  <si>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</si>
  <si>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</si>
  <si>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</si>
  <si>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</si>
  <si>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</si>
  <si>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</si>
  <si>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</si>
  <si>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</si>
  <si>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</si>
  <si>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</si>
  <si>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</si>
  <si>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</si>
  <si>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</si>
  <si>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</si>
  <si>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</si>
  <si>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</si>
  <si>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</si>
  <si>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</si>
  <si>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</si>
  <si>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</si>
  <si>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</si>
  <si>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</si>
  <si>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</si>
  <si>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</si>
  <si>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</si>
  <si>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</si>
  <si>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</si>
  <si>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</si>
  <si>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</si>
  <si>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</si>
  <si>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</si>
  <si>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</si>
  <si>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</si>
  <si>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</si>
  <si>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</si>
  <si>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</si>
  <si>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</si>
  <si>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</si>
  <si>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</si>
  <si>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</si>
  <si>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</si>
  <si>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</si>
  <si>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</si>
  <si>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</si>
  <si>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</si>
  <si>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</si>
  <si>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</si>
  <si>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</si>
  <si>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</si>
  <si>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</si>
  <si>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</si>
  <si>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</si>
  <si>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</si>
  <si>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</si>
  <si>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</si>
  <si>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</si>
  <si>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</si>
  <si>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</si>
  <si>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</si>
  <si>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</si>
  <si>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</si>
  <si>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</si>
  <si>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</si>
  <si>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</si>
  <si>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</si>
  <si>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</si>
  <si>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</si>
  <si>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</si>
  <si>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</si>
  <si>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</si>
  <si>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</si>
  <si>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</si>
  <si>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</si>
  <si>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</si>
  <si>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</si>
  <si>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</si>
  <si>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</si>
  <si>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</si>
  <si>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</si>
  <si>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</si>
  <si>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</si>
  <si>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</si>
  <si>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</si>
  <si>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</si>
  <si>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</si>
  <si>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</si>
  <si>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</si>
  <si>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</si>
  <si>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</si>
  <si>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</si>
  <si>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</si>
  <si>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</si>
  <si>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</si>
  <si>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</si>
  <si>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</si>
  <si>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</si>
  <si>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</si>
  <si>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</si>
  <si>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</si>
  <si>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</si>
  <si>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</si>
  <si>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</si>
  <si>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</si>
  <si>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</si>
  <si>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</si>
  <si>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</si>
  <si>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</si>
  <si>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</si>
  <si>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</si>
  <si>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</si>
  <si>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</si>
  <si>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</si>
  <si>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</si>
  <si>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</si>
  <si>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</si>
  <si>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</si>
  <si>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</si>
  <si>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</si>
  <si>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</si>
  <si>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</si>
  <si>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</si>
  <si>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</si>
  <si>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</si>
  <si>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</si>
  <si>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</si>
  <si>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</si>
  <si>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</si>
  <si>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</si>
  <si>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</si>
  <si>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</si>
  <si>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</si>
  <si>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</si>
  <si>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</si>
  <si>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</si>
  <si>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</si>
  <si>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</si>
  <si>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Adairsville Development Authority</t>
  </si>
  <si>
    <t>Adel</t>
  </si>
  <si>
    <t>Housing Authority of the City of Macon, Georgia</t>
  </si>
  <si>
    <t>Housing Authority of the City of Madison, GA</t>
  </si>
  <si>
    <t>Montezuma</t>
  </si>
  <si>
    <t>Air Conditioning</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</si>
  <si>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</si>
  <si>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</si>
  <si>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</si>
  <si>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</si>
  <si>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</si>
  <si>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</si>
  <si>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</si>
  <si>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</si>
  <si>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</si>
  <si>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</si>
  <si>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</si>
  <si>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</si>
  <si>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</si>
  <si>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</si>
  <si>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</si>
  <si>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</si>
  <si>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</si>
  <si>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</si>
  <si>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</si>
  <si>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</si>
  <si>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</si>
  <si>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</si>
  <si>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</si>
  <si>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</si>
  <si>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</si>
  <si>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</si>
  <si>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</si>
  <si>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</si>
  <si>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</si>
  <si>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</si>
  <si>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</si>
  <si>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</si>
  <si>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</si>
  <si>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</si>
  <si>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</si>
  <si>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</si>
  <si>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LIHTC</t>
  </si>
  <si>
    <t>Nbr</t>
  </si>
  <si>
    <t>Gordon County - Floyd County Development Authority</t>
  </si>
  <si>
    <t>Ila</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</si>
  <si>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</si>
  <si>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</si>
  <si>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</si>
  <si>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</si>
  <si>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</si>
  <si>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</si>
  <si>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</si>
  <si>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</si>
  <si>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</si>
  <si>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</si>
  <si>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</si>
  <si>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</si>
  <si>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</si>
  <si>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</si>
  <si>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</si>
  <si>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</si>
  <si>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</si>
  <si>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</si>
  <si>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</si>
  <si>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</si>
  <si>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</si>
  <si>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</si>
  <si>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</si>
  <si>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</si>
  <si>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</si>
  <si>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</si>
  <si>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</si>
  <si>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</si>
  <si>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</si>
  <si>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</si>
  <si>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</si>
  <si>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</si>
  <si>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</si>
  <si>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</si>
  <si>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</si>
  <si>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</si>
  <si>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</si>
  <si>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</si>
  <si>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</si>
  <si>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</si>
  <si>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</si>
  <si>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</si>
  <si>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</si>
  <si>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</si>
  <si>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</si>
  <si>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</si>
  <si>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</si>
  <si>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</si>
  <si>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</si>
  <si>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</si>
  <si>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</si>
  <si>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</si>
  <si>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</si>
  <si>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</si>
  <si>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</si>
  <si>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</si>
  <si>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</si>
  <si>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</si>
  <si>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</si>
  <si>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</si>
  <si>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</si>
  <si>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</si>
  <si>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</si>
  <si>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</si>
  <si>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</si>
  <si>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</si>
  <si>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</si>
  <si>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</si>
  <si>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</si>
  <si>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</si>
  <si>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</si>
  <si>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</si>
  <si>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</si>
  <si>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</si>
  <si>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</si>
  <si>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</si>
  <si>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</si>
  <si>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</si>
  <si>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</si>
  <si>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</si>
  <si>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</si>
  <si>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</si>
  <si>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</si>
  <si>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</si>
  <si>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</si>
  <si>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</si>
  <si>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</si>
  <si>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</si>
  <si>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</si>
  <si>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</si>
  <si>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</si>
  <si>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</si>
  <si>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</si>
  <si>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</si>
  <si>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</si>
  <si>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</si>
  <si>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</si>
  <si>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</si>
  <si>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</si>
  <si>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</si>
  <si>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</si>
  <si>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</si>
  <si>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</si>
  <si>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</si>
  <si>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</si>
  <si>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</si>
  <si>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</si>
  <si>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</si>
  <si>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</si>
  <si>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</si>
  <si>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</si>
  <si>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Date of Utility Allowances</t>
  </si>
  <si>
    <t>Political Jurisdiction</t>
  </si>
  <si>
    <t>Name of Chief Elected Official</t>
  </si>
  <si>
    <t>Acquisition</t>
  </si>
  <si>
    <t>Participant</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</si>
  <si>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</si>
  <si>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</si>
  <si>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</si>
  <si>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</si>
  <si>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</si>
  <si>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</si>
  <si>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</si>
  <si>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</si>
  <si>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</si>
  <si>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</si>
  <si>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</si>
  <si>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</si>
  <si>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</si>
  <si>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</si>
  <si>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</si>
  <si>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</si>
  <si>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</si>
  <si>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</si>
  <si>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</si>
  <si>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</si>
  <si>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</si>
  <si>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</si>
  <si>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</si>
  <si>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</si>
  <si>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</si>
  <si>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</si>
  <si>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</si>
  <si>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</si>
  <si>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</si>
  <si>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</si>
  <si>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</si>
  <si>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</si>
  <si>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</si>
  <si>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</si>
  <si>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</si>
  <si>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</si>
  <si>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</si>
  <si>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</si>
  <si>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</si>
  <si>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</si>
  <si>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</si>
  <si>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</si>
  <si>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</si>
  <si>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</si>
  <si>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</si>
  <si>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</si>
  <si>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</si>
  <si>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</si>
  <si>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</si>
  <si>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</si>
  <si>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</si>
  <si>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</si>
  <si>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</si>
  <si>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</si>
  <si>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</si>
  <si>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</si>
  <si>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</si>
  <si>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Housing Authority of the City of Oakwood, Georgia</t>
  </si>
  <si>
    <t>Mount Zion</t>
  </si>
  <si>
    <t>Housing Authority of the City of Ocilla, Ga</t>
  </si>
  <si>
    <t>Mountain City</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</si>
  <si>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</si>
  <si>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</si>
  <si>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</si>
  <si>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</si>
  <si>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</si>
  <si>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</si>
  <si>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</si>
  <si>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</si>
  <si>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</si>
  <si>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</si>
  <si>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</si>
  <si>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SUMMARY OF DCA UNDERWRITING ASSUMPTIONS</t>
  </si>
  <si>
    <t>CONSTRUCTION PERIOD FINANCING</t>
  </si>
  <si>
    <t>Construction Period Real Estate Tax</t>
  </si>
  <si>
    <t>PERMANENT FINANCING FEES</t>
  </si>
  <si>
    <t>DCA-RELATED COSTS</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</si>
  <si>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</si>
  <si>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</si>
  <si>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</si>
  <si>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</si>
  <si>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</si>
  <si>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</si>
  <si>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</si>
  <si>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</si>
  <si>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</si>
  <si>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</si>
  <si>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</si>
  <si>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</si>
  <si>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</si>
  <si>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</si>
  <si>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</si>
  <si>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</si>
  <si>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</si>
  <si>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</si>
  <si>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</si>
  <si>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</si>
  <si>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</si>
  <si>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</si>
  <si>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</si>
  <si>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</si>
  <si>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</si>
  <si>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</si>
  <si>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</si>
  <si>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</si>
  <si>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</si>
  <si>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</si>
  <si>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</si>
  <si>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</si>
  <si>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</si>
  <si>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</si>
  <si>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</si>
  <si>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</si>
  <si>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</si>
  <si>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</si>
  <si>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</si>
  <si>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</si>
  <si>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</si>
  <si>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</si>
  <si>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</si>
  <si>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</si>
  <si>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</si>
  <si>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</si>
  <si>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</si>
  <si>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</si>
  <si>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</si>
  <si>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</si>
  <si>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</si>
  <si>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</si>
  <si>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</si>
  <si>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</si>
  <si>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</si>
  <si>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</si>
  <si>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</si>
  <si>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</si>
  <si>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</si>
  <si>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</si>
  <si>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</si>
  <si>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</si>
  <si>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</si>
  <si>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</si>
  <si>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</si>
  <si>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</si>
  <si>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</si>
  <si>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</si>
  <si>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</si>
  <si>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</si>
  <si>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</si>
  <si>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</si>
  <si>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</si>
  <si>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</si>
  <si>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</si>
  <si>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</si>
  <si>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</si>
  <si>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</si>
  <si>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</si>
  <si>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</si>
  <si>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</si>
  <si>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</si>
  <si>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</si>
  <si>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</si>
  <si>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</si>
  <si>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</si>
  <si>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</si>
  <si>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</si>
  <si>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</si>
  <si>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</si>
  <si>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</si>
  <si>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</si>
  <si>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</si>
  <si>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</si>
  <si>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</si>
  <si>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</si>
  <si>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</si>
  <si>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</si>
  <si>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</si>
  <si>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</si>
  <si>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</si>
  <si>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</si>
  <si>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</si>
  <si>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</si>
  <si>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</si>
  <si>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</si>
  <si>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</si>
  <si>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</si>
  <si>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</si>
  <si>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</si>
  <si>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</si>
  <si>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</si>
  <si>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</si>
  <si>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</si>
  <si>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</si>
  <si>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</si>
  <si>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</si>
  <si>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</si>
  <si>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</si>
  <si>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</si>
  <si>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</si>
  <si>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</si>
  <si>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</si>
  <si>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</si>
  <si>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</si>
  <si>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</si>
  <si>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</si>
  <si>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</si>
  <si>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</si>
  <si>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</si>
  <si>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</si>
  <si>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</si>
  <si>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</si>
  <si>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</si>
  <si>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</si>
  <si>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</si>
  <si>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</si>
  <si>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</si>
  <si>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</si>
  <si>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</si>
  <si>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</si>
  <si>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</si>
  <si>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</si>
  <si>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</si>
  <si>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</si>
  <si>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</si>
  <si>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</si>
  <si>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</si>
  <si>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</si>
  <si>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</si>
  <si>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</si>
  <si>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</si>
  <si>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</si>
  <si>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</si>
  <si>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</si>
  <si>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</si>
  <si>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</si>
  <si>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</si>
  <si>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</si>
  <si>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</si>
  <si>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</si>
  <si>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</si>
  <si>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</si>
  <si>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</si>
  <si>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</si>
  <si>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</si>
  <si>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</si>
  <si>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</si>
  <si>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</si>
  <si>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</si>
  <si>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</si>
  <si>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</si>
  <si>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</si>
  <si>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</si>
  <si>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</si>
  <si>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</si>
  <si>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</si>
  <si>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</si>
  <si>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</si>
  <si>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</si>
  <si>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</si>
  <si>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</si>
  <si>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</si>
  <si>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</si>
  <si>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</si>
  <si>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</si>
  <si>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</si>
  <si>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</si>
  <si>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Date</t>
  </si>
  <si>
    <t>Total OI in Mgt Fee</t>
  </si>
  <si>
    <t>Real Estate Taxes (Gross)*</t>
  </si>
  <si>
    <t>Annual Debt Service at Effective Rate</t>
  </si>
  <si>
    <t>2 BR PBRA 60% Units</t>
  </si>
  <si>
    <t>3 BR PBRA 60% Units</t>
  </si>
  <si>
    <t>4 BR PBRA 60% Units</t>
  </si>
  <si>
    <t>PBRA-Assisted</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</si>
  <si>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</si>
  <si>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</si>
  <si>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</si>
  <si>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</si>
  <si>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</si>
  <si>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</si>
  <si>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</si>
  <si>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</si>
  <si>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</si>
  <si>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</si>
  <si>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</si>
  <si>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</si>
  <si>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</si>
  <si>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</si>
  <si>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</si>
  <si>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</si>
  <si>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</si>
  <si>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</si>
  <si>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</si>
  <si>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</si>
  <si>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</si>
  <si>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</si>
  <si>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</si>
  <si>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</si>
  <si>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</si>
  <si>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</si>
  <si>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</si>
  <si>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</si>
  <si>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</si>
  <si>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</si>
  <si>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</si>
  <si>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</si>
  <si>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</si>
  <si>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</si>
  <si>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</si>
  <si>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</si>
  <si>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</si>
  <si>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</si>
  <si>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</si>
  <si>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</si>
  <si>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</si>
  <si>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</si>
  <si>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</si>
  <si>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</si>
  <si>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</si>
  <si>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</si>
  <si>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</si>
  <si>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</si>
  <si>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</si>
  <si>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</si>
  <si>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</si>
  <si>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</si>
  <si>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</si>
  <si>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</si>
  <si>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</si>
  <si>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</si>
  <si>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</si>
  <si>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</si>
  <si>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</si>
  <si>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</si>
  <si>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</si>
  <si>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</si>
  <si>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</si>
  <si>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</si>
  <si>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</si>
  <si>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</si>
  <si>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</si>
  <si>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</si>
  <si>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</si>
  <si>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</si>
  <si>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</si>
  <si>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</si>
  <si>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</si>
  <si>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</si>
  <si>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</si>
  <si>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</si>
  <si>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</si>
  <si>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</si>
  <si>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</si>
  <si>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</si>
  <si>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</si>
  <si>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</si>
  <si>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</si>
  <si>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</si>
  <si>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</si>
  <si>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</si>
  <si>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</si>
  <si>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</si>
  <si>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</si>
  <si>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</si>
  <si>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</si>
  <si>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</si>
  <si>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</si>
  <si>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</si>
  <si>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</si>
  <si>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</si>
  <si>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</si>
  <si>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</si>
  <si>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</si>
  <si>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</si>
  <si>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</si>
  <si>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</si>
  <si>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</si>
  <si>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</si>
  <si>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</si>
  <si>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</si>
  <si>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</si>
  <si>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</si>
  <si>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</si>
  <si>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</si>
  <si>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</si>
  <si>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</si>
  <si>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</si>
  <si>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</si>
  <si>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</si>
  <si>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</si>
  <si>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</si>
  <si>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</si>
  <si>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</si>
  <si>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</si>
  <si>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</si>
  <si>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</si>
  <si>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</si>
  <si>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</si>
  <si>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</si>
  <si>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</si>
  <si>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</si>
  <si>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</si>
  <si>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</si>
  <si>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</si>
  <si>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</si>
  <si>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</si>
  <si>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</si>
  <si>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</si>
  <si>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</si>
  <si>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</si>
  <si>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</si>
  <si>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</si>
  <si>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</si>
  <si>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</si>
  <si>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</si>
  <si>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</si>
  <si>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</si>
  <si>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</si>
  <si>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</si>
  <si>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</si>
  <si>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</si>
  <si>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</si>
  <si>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</si>
  <si>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</si>
  <si>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</si>
  <si>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</si>
  <si>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</si>
  <si>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</si>
  <si>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</si>
  <si>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</si>
  <si>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</si>
  <si>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</si>
  <si>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</si>
  <si>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</si>
  <si>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</si>
  <si>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</si>
  <si>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</si>
  <si>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</si>
  <si>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</si>
  <si>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</si>
  <si>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</si>
  <si>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</si>
  <si>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</si>
  <si>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</si>
  <si>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</si>
  <si>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</si>
  <si>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</si>
  <si>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</si>
  <si>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</si>
  <si>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</si>
  <si>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</si>
  <si>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Total Common Area Square Footage from Nonresidential areas</t>
  </si>
  <si>
    <t>Green Building Consultant Fee</t>
  </si>
  <si>
    <t>Green Building Program Certification Fee (LEED or Earthcraft)</t>
  </si>
  <si>
    <t>Accessibility Inspections and Plan Review</t>
  </si>
  <si>
    <t>Construction Materials Testing</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</si>
  <si>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</si>
  <si>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</si>
  <si>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</si>
  <si>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</si>
  <si>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</si>
  <si>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</si>
  <si>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</si>
  <si>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</si>
  <si>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</si>
  <si>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</si>
  <si>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</si>
  <si>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</si>
  <si>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</si>
  <si>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</si>
  <si>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</si>
  <si>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</si>
  <si>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</si>
  <si>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</si>
  <si>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</si>
  <si>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</si>
  <si>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</si>
  <si>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</si>
  <si>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</si>
  <si>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</si>
  <si>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</si>
  <si>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</si>
  <si>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</si>
  <si>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</si>
  <si>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</si>
  <si>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</si>
  <si>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</si>
  <si>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</si>
  <si>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</si>
  <si>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</si>
  <si>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</si>
  <si>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</si>
  <si>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</si>
  <si>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</si>
  <si>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</si>
  <si>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</si>
  <si>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</si>
  <si>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</si>
  <si>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</si>
  <si>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</si>
  <si>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</si>
  <si>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</si>
  <si>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</si>
  <si>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</si>
  <si>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</si>
  <si>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TAX EXEMPT BOND FINANCED PROJECT</t>
  </si>
  <si>
    <t>TENANCY CHARACTERISTICS</t>
  </si>
  <si>
    <t>Annual Operating Expenses</t>
  </si>
  <si>
    <t>Urban</t>
  </si>
  <si>
    <t>Replacement Reserve Pymt</t>
  </si>
  <si>
    <t>New</t>
  </si>
  <si>
    <t>Development Costs</t>
  </si>
  <si>
    <t>Tax Credit Application Fee</t>
  </si>
  <si>
    <t>Per Project - For Profit or Joint Venture</t>
  </si>
  <si>
    <t>Per Project - Nonprofit</t>
  </si>
  <si>
    <t>Reserves</t>
  </si>
  <si>
    <t>NOI</t>
  </si>
  <si>
    <t>DDF</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</si>
  <si>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</si>
  <si>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</si>
  <si>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</si>
  <si>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</si>
  <si>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</si>
  <si>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</si>
  <si>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</si>
  <si>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</si>
  <si>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</si>
  <si>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</si>
  <si>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</si>
  <si>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</si>
  <si>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</si>
  <si>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</si>
  <si>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</si>
  <si>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</si>
  <si>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</si>
  <si>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</si>
  <si>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</si>
  <si>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</si>
  <si>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</si>
  <si>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</si>
  <si>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</si>
  <si>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</si>
  <si>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</si>
  <si>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</si>
  <si>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</si>
  <si>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</si>
  <si>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</si>
  <si>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</si>
  <si>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</si>
  <si>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</si>
  <si>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</si>
  <si>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</si>
  <si>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</si>
  <si>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</si>
  <si>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</si>
  <si>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</si>
  <si>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</si>
  <si>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</si>
  <si>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</si>
  <si>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</si>
  <si>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</si>
  <si>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</si>
  <si>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</si>
  <si>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</si>
  <si>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</si>
  <si>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</si>
  <si>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</si>
  <si>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 xml:space="preserve">Per Owner Per Round </t>
  </si>
  <si>
    <t>Butts County, GA HUD Metro FMR Area</t>
  </si>
  <si>
    <t>Calhoun County, GA</t>
  </si>
  <si>
    <t>Camden County, GA</t>
  </si>
  <si>
    <t>Development Authority of Early County</t>
  </si>
  <si>
    <t>Housing Authority of the City of Marietta</t>
  </si>
  <si>
    <t>Monticello</t>
  </si>
  <si>
    <t>Temple Downtown Development Authority</t>
  </si>
  <si>
    <t>Siloam</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</si>
  <si>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</si>
  <si>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</si>
  <si>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</si>
  <si>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</si>
  <si>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</si>
  <si>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</si>
  <si>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</si>
  <si>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</si>
  <si>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</si>
  <si>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</si>
  <si>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</si>
  <si>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</si>
  <si>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</si>
  <si>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</si>
  <si>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</si>
  <si>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</si>
  <si>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DCA HOME (amount from Consent Form)</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</si>
  <si>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</si>
  <si>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</si>
  <si>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</si>
  <si>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</si>
  <si>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</si>
  <si>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</si>
  <si>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</si>
  <si>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</si>
  <si>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</si>
  <si>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</si>
  <si>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</si>
  <si>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</si>
  <si>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</si>
  <si>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</si>
  <si>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</si>
  <si>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</si>
  <si>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</si>
  <si>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</si>
  <si>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</si>
  <si>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</si>
  <si>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</si>
  <si>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</si>
  <si>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</si>
  <si>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</si>
  <si>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</si>
  <si>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</si>
  <si>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</si>
  <si>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</si>
  <si>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</si>
  <si>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</si>
  <si>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</si>
  <si>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</si>
  <si>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</si>
  <si>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</si>
  <si>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</si>
  <si>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</si>
  <si>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</si>
  <si>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</si>
  <si>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</si>
  <si>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</si>
  <si>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</si>
  <si>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</si>
  <si>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</si>
  <si>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</si>
  <si>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</si>
  <si>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</si>
  <si>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</si>
  <si>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</si>
  <si>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</si>
  <si>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</si>
  <si>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</si>
  <si>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</si>
  <si>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</si>
  <si>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</si>
  <si>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</si>
  <si>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</si>
  <si>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</si>
  <si>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</si>
  <si>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</si>
  <si>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</si>
  <si>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</si>
  <si>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</si>
  <si>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</si>
  <si>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</si>
  <si>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</si>
  <si>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</si>
  <si>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</si>
  <si>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</si>
  <si>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</si>
  <si>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</si>
  <si>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</si>
  <si>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</si>
  <si>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</si>
  <si>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</si>
  <si>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</si>
  <si>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</si>
  <si>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</si>
  <si>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</si>
  <si>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</si>
  <si>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</si>
  <si>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</si>
  <si>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</si>
  <si>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</si>
  <si>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</si>
  <si>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</si>
  <si>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</si>
  <si>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</si>
  <si>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</si>
  <si>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</si>
  <si>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</si>
  <si>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</si>
  <si>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</si>
  <si>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Annual P &amp; I</t>
  </si>
  <si>
    <t>Monthly P &amp; I</t>
  </si>
  <si>
    <t>Loan Term (yrs)</t>
  </si>
  <si>
    <t>Amortization Pd (yrs)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</si>
  <si>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</si>
  <si>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</si>
  <si>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</si>
  <si>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</si>
  <si>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</si>
  <si>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</si>
  <si>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</si>
  <si>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</si>
  <si>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</si>
  <si>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</si>
  <si>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</si>
  <si>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</si>
  <si>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</si>
  <si>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3.)</t>
  </si>
  <si>
    <t>Historic Credit Equity</t>
  </si>
  <si>
    <t>Mobility Impaired</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</si>
  <si>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</si>
  <si>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</si>
  <si>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</si>
  <si>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</si>
  <si>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</si>
  <si>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</si>
  <si>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</si>
  <si>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</si>
  <si>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</si>
  <si>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</si>
  <si>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</si>
  <si>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</si>
  <si>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</si>
  <si>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</si>
  <si>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</si>
  <si>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</si>
  <si>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</si>
  <si>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</si>
  <si>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</si>
  <si>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</si>
  <si>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</si>
  <si>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</si>
  <si>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</si>
  <si>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</si>
  <si>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</si>
  <si>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</si>
  <si>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</si>
  <si>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</si>
  <si>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</si>
  <si>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</si>
  <si>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</si>
  <si>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</si>
  <si>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</si>
  <si>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</si>
  <si>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</si>
  <si>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</si>
  <si>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</si>
  <si>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</si>
  <si>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</si>
  <si>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</si>
  <si>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</si>
  <si>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</si>
  <si>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</si>
  <si>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</si>
  <si>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</si>
  <si>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</si>
  <si>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</si>
  <si>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</si>
  <si>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</si>
  <si>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</si>
  <si>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</si>
  <si>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</si>
  <si>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</si>
  <si>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</si>
  <si>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</si>
  <si>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</si>
  <si>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</si>
  <si>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</si>
  <si>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</si>
  <si>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</si>
  <si>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</si>
  <si>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</si>
  <si>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</si>
  <si>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</si>
  <si>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</si>
  <si>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</si>
  <si>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</si>
  <si>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</si>
  <si>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</si>
  <si>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(Excluding MIP)</t>
  </si>
  <si>
    <t>Monthly Debt Service at Effective Rate</t>
  </si>
  <si>
    <t>Housing Authority of the City of Colquitt</t>
  </si>
  <si>
    <t>Lookout Mountain</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</si>
  <si>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</si>
  <si>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</si>
  <si>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</si>
  <si>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</si>
  <si>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</si>
  <si>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</si>
  <si>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</si>
  <si>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</si>
  <si>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</si>
  <si>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</si>
  <si>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</si>
  <si>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</si>
  <si>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</si>
  <si>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</si>
  <si>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</si>
  <si>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</si>
  <si>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</si>
  <si>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</si>
  <si>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</si>
  <si>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</si>
  <si>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</si>
  <si>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</si>
  <si>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</si>
  <si>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</si>
  <si>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</si>
  <si>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</si>
  <si>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</si>
  <si>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White Plains</t>
  </si>
  <si>
    <t>Whitesburg</t>
  </si>
  <si>
    <t>Willacoochee</t>
  </si>
  <si>
    <t>Williamson</t>
  </si>
  <si>
    <t>Winder</t>
  </si>
  <si>
    <t>Winterville</t>
  </si>
  <si>
    <t>Woodbine</t>
  </si>
  <si>
    <t>Woodbury</t>
  </si>
  <si>
    <t>Woodland</t>
  </si>
  <si>
    <t>Woodstock</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</si>
  <si>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</si>
  <si>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</si>
  <si>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</si>
  <si>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</si>
  <si>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</si>
  <si>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</si>
  <si>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</si>
  <si>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</si>
  <si>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</si>
  <si>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</si>
  <si>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</si>
  <si>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</si>
  <si>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</si>
  <si>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</si>
  <si>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</si>
  <si>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</si>
  <si>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</si>
  <si>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</si>
  <si>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</si>
  <si>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</si>
  <si>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</si>
  <si>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</si>
  <si>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</si>
  <si>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</si>
  <si>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</si>
  <si>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</si>
  <si>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</si>
  <si>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</si>
  <si>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</si>
  <si>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</si>
  <si>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</si>
  <si>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</si>
  <si>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</si>
  <si>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</si>
  <si>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</si>
  <si>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</si>
  <si>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</si>
  <si>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</si>
  <si>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</si>
  <si>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</si>
  <si>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</si>
  <si>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</si>
  <si>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</si>
  <si>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</si>
  <si>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</si>
  <si>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</si>
  <si>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</si>
  <si>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</si>
  <si>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</si>
  <si>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</si>
  <si>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</si>
  <si>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</si>
  <si>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</si>
  <si>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</si>
  <si>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</si>
  <si>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</si>
  <si>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</si>
  <si>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</si>
  <si>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</si>
  <si>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</si>
  <si>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</si>
  <si>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</si>
  <si>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</si>
  <si>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</si>
  <si>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</si>
  <si>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</si>
  <si>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</si>
  <si>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</si>
  <si>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</si>
  <si>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</si>
  <si>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</si>
  <si>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</si>
  <si>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</si>
  <si>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</si>
  <si>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</si>
  <si>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</si>
  <si>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</si>
  <si>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</si>
  <si>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</si>
  <si>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</si>
  <si>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</si>
  <si>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</si>
  <si>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</si>
  <si>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(Effective Interest Assistance Rate in USDA Handbook)</t>
  </si>
  <si>
    <t>(per annum)</t>
  </si>
  <si>
    <t>Terrell</t>
  </si>
  <si>
    <t>Thomas</t>
  </si>
  <si>
    <t>Thomas Co.</t>
  </si>
  <si>
    <t>Tift</t>
  </si>
  <si>
    <t>15.</t>
  </si>
  <si>
    <t>16.</t>
  </si>
  <si>
    <t>17.</t>
  </si>
  <si>
    <t>18.</t>
  </si>
  <si>
    <t>19.</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</si>
  <si>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</si>
  <si>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</si>
  <si>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</si>
  <si>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</si>
  <si>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</si>
  <si>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</si>
  <si>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</si>
  <si>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</si>
  <si>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</si>
  <si>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</si>
  <si>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</si>
  <si>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</si>
  <si>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</si>
  <si>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</si>
  <si>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</si>
  <si>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</si>
  <si>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</si>
  <si>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</si>
  <si>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</si>
  <si>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</si>
  <si>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</si>
  <si>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</si>
  <si>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</si>
  <si>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</si>
  <si>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</si>
  <si>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</si>
  <si>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</si>
  <si>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</si>
  <si>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</si>
  <si>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</si>
  <si>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</si>
  <si>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</si>
  <si>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</si>
  <si>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</si>
  <si>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</si>
  <si>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</si>
  <si>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</si>
  <si>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</si>
  <si>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</si>
  <si>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</si>
  <si>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</si>
  <si>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</si>
  <si>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</si>
  <si>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</si>
  <si>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</si>
  <si>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</si>
  <si>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</si>
  <si>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</si>
  <si>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</si>
  <si>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</si>
  <si>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</si>
  <si>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</si>
  <si>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</si>
  <si>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</si>
  <si>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</si>
  <si>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</si>
  <si>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</si>
  <si>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</si>
  <si>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</si>
  <si>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</si>
  <si>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</si>
  <si>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</si>
  <si>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</si>
  <si>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</si>
  <si>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</si>
  <si>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</si>
  <si>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</si>
  <si>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</si>
  <si>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</si>
  <si>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</si>
  <si>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</si>
  <si>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</si>
  <si>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</si>
  <si>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</si>
  <si>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</si>
  <si>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</si>
  <si>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</si>
  <si>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</si>
  <si>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</si>
  <si>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</si>
  <si>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</si>
  <si>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</si>
  <si>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</si>
  <si>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</si>
  <si>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</si>
  <si>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</si>
  <si>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</si>
  <si>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</si>
  <si>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</si>
  <si>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</si>
  <si>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</si>
  <si>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</si>
  <si>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</si>
  <si>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</si>
  <si>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</si>
  <si>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</si>
  <si>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</si>
  <si>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</si>
  <si>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</si>
  <si>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</si>
  <si>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</si>
  <si>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</si>
  <si>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</si>
  <si>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</si>
  <si>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</si>
  <si>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</si>
  <si>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</si>
  <si>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</si>
  <si>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</si>
  <si>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Total Basis</t>
  </si>
  <si>
    <t>IV.</t>
  </si>
  <si>
    <t>Total Units</t>
  </si>
  <si>
    <t>V.</t>
  </si>
  <si>
    <t>Local PHA</t>
  </si>
  <si>
    <t>Contact</t>
  </si>
  <si>
    <t>State</t>
  </si>
  <si>
    <t>Email</t>
  </si>
  <si>
    <t>Fax</t>
  </si>
  <si>
    <t>Direct line</t>
  </si>
  <si>
    <t>Taxable Bonds</t>
  </si>
  <si>
    <t>Vidalia Development Authority</t>
  </si>
  <si>
    <t>Are 100% of units HUD PBRA?</t>
  </si>
  <si>
    <t>Int Rate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</si>
  <si>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</si>
  <si>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</si>
  <si>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</si>
  <si>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</si>
  <si>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</si>
  <si>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</si>
  <si>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</si>
  <si>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</si>
  <si>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</si>
  <si>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</si>
  <si>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</si>
  <si>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</si>
  <si>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</si>
  <si>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</si>
  <si>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</si>
  <si>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</si>
  <si>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</si>
  <si>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</si>
  <si>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</si>
  <si>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</si>
  <si>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</si>
  <si>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</si>
  <si>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</si>
  <si>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</si>
  <si>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</si>
  <si>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</si>
  <si>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</si>
  <si>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</si>
  <si>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</si>
  <si>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</si>
  <si>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</si>
  <si>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</si>
  <si>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</si>
  <si>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Sight / Hearing Impaired</t>
  </si>
  <si>
    <t>DCA COMMENTS</t>
  </si>
  <si>
    <t>HOME projects - Fixed or Floating units:</t>
  </si>
  <si>
    <t>Americus</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</si>
  <si>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</si>
  <si>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</si>
  <si>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</si>
  <si>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</si>
  <si>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</si>
  <si>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</si>
  <si>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</si>
  <si>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</si>
  <si>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</si>
  <si>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</si>
  <si>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</si>
  <si>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</si>
  <si>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</si>
  <si>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</si>
  <si>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</si>
  <si>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</si>
  <si>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</si>
  <si>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</si>
  <si>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Invstmt Earnings: Taxable Bonds</t>
  </si>
  <si>
    <t>Income from Operations</t>
  </si>
  <si>
    <t>Financing Type</t>
  </si>
  <si>
    <t>Joint Development Authority of Burke County and City of Waynesboro</t>
  </si>
  <si>
    <t>Pineview</t>
  </si>
  <si>
    <t>McDuffie</t>
  </si>
  <si>
    <t>McIntosh</t>
  </si>
  <si>
    <t>Meriwether</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</si>
  <si>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</si>
  <si>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</si>
  <si>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</si>
  <si>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</si>
  <si>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</si>
  <si>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</si>
  <si>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</si>
  <si>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</si>
  <si>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</si>
  <si>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</si>
  <si>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</si>
  <si>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</si>
  <si>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</si>
  <si>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</si>
  <si>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</si>
  <si>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</si>
  <si>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</si>
  <si>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</si>
  <si>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</si>
  <si>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</si>
  <si>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</si>
  <si>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</si>
  <si>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</si>
  <si>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</si>
  <si>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</si>
  <si>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</si>
  <si>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</si>
  <si>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</si>
  <si>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</si>
  <si>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</si>
  <si>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</si>
  <si>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</si>
  <si>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</si>
  <si>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</si>
  <si>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</si>
  <si>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</si>
  <si>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</si>
  <si>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</si>
  <si>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</si>
  <si>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</si>
  <si>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</si>
  <si>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</si>
  <si>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</si>
  <si>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</si>
  <si>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</si>
  <si>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</si>
  <si>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</si>
  <si>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</si>
  <si>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</si>
  <si>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</si>
  <si>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</si>
  <si>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</si>
  <si>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</si>
  <si>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</si>
  <si>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</si>
  <si>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</si>
  <si>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</si>
  <si>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</si>
  <si>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</si>
  <si>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</si>
  <si>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</si>
  <si>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</si>
  <si>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Odum</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</si>
  <si>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</si>
  <si>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</si>
  <si>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</si>
  <si>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</si>
  <si>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</si>
  <si>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</si>
  <si>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</si>
  <si>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</si>
  <si>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</si>
  <si>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</si>
  <si>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</si>
  <si>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</si>
  <si>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</si>
  <si>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</si>
  <si>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</si>
  <si>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</si>
  <si>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</si>
  <si>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</si>
  <si>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</si>
  <si>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</si>
  <si>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</si>
  <si>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</si>
  <si>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</si>
  <si>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</si>
  <si>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</si>
  <si>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</si>
  <si>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</si>
  <si>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</si>
  <si>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</si>
  <si>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</si>
  <si>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</si>
  <si>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</si>
  <si>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</si>
  <si>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</si>
  <si>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</si>
  <si>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</si>
  <si>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</si>
  <si>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</si>
  <si>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</si>
  <si>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</si>
  <si>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</si>
  <si>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</si>
  <si>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</si>
  <si>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</si>
  <si>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</si>
  <si>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</si>
  <si>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</si>
  <si>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</si>
  <si>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</si>
  <si>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</si>
  <si>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</si>
  <si>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</si>
  <si>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</si>
  <si>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</si>
  <si>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</si>
  <si>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</si>
  <si>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</si>
  <si>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</si>
  <si>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</si>
  <si>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</si>
  <si>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Taliaferro County, GA</t>
  </si>
  <si>
    <t>Tattnall County, GA</t>
  </si>
  <si>
    <t>Taylor County, GA</t>
  </si>
  <si>
    <t>Telfair County, GA</t>
  </si>
  <si>
    <t>Thomas County, GA</t>
  </si>
  <si>
    <t>Middle Coastal Unified Development Authority</t>
  </si>
  <si>
    <t>Deferred DF % of Total DF</t>
  </si>
  <si>
    <t>Deferred DF Term (Years)</t>
  </si>
  <si>
    <t>Rent-Up Reserve</t>
  </si>
  <si>
    <t>Mths of projected operating expenses</t>
  </si>
  <si>
    <t>Builder Profit</t>
  </si>
  <si>
    <t xml:space="preserve">Builder's Overhead </t>
  </si>
  <si>
    <t>*Refer to General Requirements policy in QAP</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</si>
  <si>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</si>
  <si>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</si>
  <si>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</si>
  <si>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</si>
  <si>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</si>
  <si>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</si>
  <si>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</si>
  <si>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</si>
  <si>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</si>
  <si>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</si>
  <si>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</si>
  <si>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</si>
  <si>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</si>
  <si>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</si>
  <si>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</si>
  <si>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</si>
  <si>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</si>
  <si>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</si>
  <si>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</si>
  <si>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</si>
  <si>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</si>
  <si>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</si>
  <si>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</si>
  <si>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</si>
  <si>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</si>
  <si>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</si>
  <si>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</si>
  <si>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</si>
  <si>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</si>
  <si>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</si>
  <si>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</si>
  <si>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</si>
  <si>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</si>
  <si>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</si>
  <si>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</si>
  <si>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</si>
  <si>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</si>
  <si>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</si>
  <si>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</si>
  <si>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</si>
  <si>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</si>
  <si>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</si>
  <si>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</si>
  <si>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</si>
  <si>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</si>
  <si>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</si>
  <si>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</si>
  <si>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</si>
  <si>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</si>
  <si>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</si>
  <si>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</si>
  <si>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</si>
  <si>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</si>
  <si>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</si>
  <si>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</si>
  <si>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</si>
  <si>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</si>
  <si>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</si>
  <si>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</si>
  <si>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</si>
  <si>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</si>
  <si>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</si>
  <si>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</si>
  <si>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</si>
  <si>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</si>
  <si>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</si>
  <si>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</si>
  <si>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</si>
  <si>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</si>
  <si>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</si>
  <si>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</si>
  <si>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</si>
  <si>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</si>
  <si>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</si>
  <si>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</si>
  <si>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</si>
  <si>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</si>
  <si>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</si>
  <si>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</si>
  <si>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</si>
  <si>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</si>
  <si>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</si>
  <si>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</si>
  <si>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</si>
  <si>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</si>
  <si>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</si>
  <si>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</si>
  <si>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</si>
  <si>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</si>
  <si>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</si>
  <si>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</si>
  <si>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</si>
  <si>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</si>
  <si>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</si>
  <si>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</si>
  <si>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</si>
  <si>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</si>
  <si>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</si>
  <si>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</si>
  <si>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</si>
  <si>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</si>
  <si>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</si>
  <si>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</si>
  <si>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</si>
  <si>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</si>
  <si>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</si>
  <si>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</si>
  <si>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</si>
  <si>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</si>
  <si>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</si>
  <si>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</si>
  <si>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</si>
  <si>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</si>
  <si>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</si>
  <si>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</si>
  <si>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</si>
  <si>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</si>
  <si>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</si>
  <si>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</si>
  <si>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</si>
  <si>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</si>
  <si>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</si>
  <si>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</si>
  <si>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</si>
  <si>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</si>
  <si>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</si>
  <si>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</si>
  <si>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</si>
  <si>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</si>
  <si>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</si>
  <si>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</si>
  <si>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</si>
  <si>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Management Salaries &amp; Benefits</t>
  </si>
  <si>
    <t>ACQUISITION</t>
  </si>
  <si>
    <t>Land</t>
  </si>
  <si>
    <t>Housing Authority of the City of Ashburn</t>
  </si>
  <si>
    <t>Housing Authority of the City of Athens, Georgia</t>
  </si>
  <si>
    <t>Efficiency Rehab Mkt Units</t>
  </si>
  <si>
    <t>1 BR Rehab Mkt Units</t>
  </si>
  <si>
    <t>2 BR Rehab Mkt Units</t>
  </si>
  <si>
    <t>(Years)</t>
  </si>
  <si>
    <t>Federal Grant</t>
  </si>
  <si>
    <t>Total Permanent Financing:</t>
  </si>
  <si>
    <t>Total Development Costs from Development Budget:</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</si>
  <si>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</si>
  <si>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</si>
  <si>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</si>
  <si>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</si>
  <si>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</si>
  <si>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</si>
  <si>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</si>
  <si>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</si>
  <si>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</si>
  <si>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</si>
  <si>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</si>
  <si>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</si>
  <si>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</si>
  <si>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Chattooga County Development Authority</t>
  </si>
  <si>
    <t>Baxley</t>
  </si>
  <si>
    <t>Cherokee County Development Authority</t>
  </si>
  <si>
    <t>Bellville</t>
  </si>
  <si>
    <t>City of Alpharetta Development Authority</t>
  </si>
  <si>
    <t>Berkeley Lake</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</si>
  <si>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</si>
  <si>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</si>
  <si>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</si>
  <si>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</si>
  <si>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</si>
  <si>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</si>
  <si>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</si>
  <si>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</si>
  <si>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</si>
  <si>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</si>
  <si>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</si>
  <si>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</si>
  <si>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</si>
  <si>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</si>
  <si>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</si>
  <si>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</si>
  <si>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</si>
  <si>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</si>
  <si>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</si>
  <si>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</si>
  <si>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</si>
  <si>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</si>
  <si>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</si>
  <si>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</si>
  <si>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</si>
  <si>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</si>
  <si>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</si>
  <si>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</si>
  <si>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</si>
  <si>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</si>
  <si>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</si>
  <si>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</si>
  <si>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</si>
  <si>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</si>
  <si>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</si>
  <si>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</si>
  <si>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</si>
  <si>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</si>
  <si>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</si>
  <si>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</si>
  <si>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</si>
  <si>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</si>
  <si>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</si>
  <si>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</si>
  <si>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</si>
  <si>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</si>
  <si>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</si>
  <si>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</si>
  <si>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</si>
  <si>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</si>
  <si>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</si>
  <si>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</si>
  <si>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</si>
  <si>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</si>
  <si>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</si>
  <si>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</si>
  <si>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</si>
  <si>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</si>
  <si>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</si>
  <si>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</si>
  <si>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</si>
  <si>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</si>
  <si>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</si>
  <si>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</si>
  <si>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</si>
  <si>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</si>
  <si>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</si>
  <si>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</si>
  <si>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</si>
  <si>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</si>
  <si>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</si>
  <si>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</si>
  <si>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</si>
  <si>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</si>
  <si>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</si>
  <si>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</si>
  <si>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</si>
  <si>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</si>
  <si>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</si>
  <si>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</si>
  <si>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</si>
  <si>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</si>
  <si>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</si>
  <si>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</si>
  <si>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</si>
  <si>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</si>
  <si>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</si>
  <si>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</si>
  <si>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</si>
  <si>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</si>
  <si>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</si>
  <si>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</si>
  <si>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</si>
  <si>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</si>
  <si>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</si>
  <si>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</si>
  <si>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</si>
  <si>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Loan Fee</t>
  </si>
  <si>
    <t>Construction Loan Interest</t>
  </si>
  <si>
    <t>Construction Legal Fees</t>
  </si>
  <si>
    <t>Construction Insurance</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</si>
  <si>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</si>
  <si>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</si>
  <si>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</si>
  <si>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</si>
  <si>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</si>
  <si>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</si>
  <si>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</si>
  <si>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</si>
  <si>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</si>
  <si>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</si>
  <si>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</si>
  <si>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</si>
  <si>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</si>
  <si>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RENT SCHEDULE</t>
  </si>
  <si>
    <t>Employee</t>
  </si>
  <si>
    <t>Development Authority of Atkinson County</t>
  </si>
  <si>
    <t>Brinson</t>
  </si>
  <si>
    <t>LESSER OF % of (TDC - uw Land - budgeted DF - Bldr profit)</t>
  </si>
  <si>
    <t>OR percentage proposed</t>
  </si>
  <si>
    <t xml:space="preserve">      Yr 1 Prop Mgt Fee Percentage of EGI:</t>
  </si>
  <si>
    <t>DCA RESOURCES</t>
  </si>
  <si>
    <t>Tax Credit Election</t>
  </si>
  <si>
    <t>South Georgia Business and Development Authority</t>
  </si>
  <si>
    <t>Woodville</t>
  </si>
  <si>
    <t>Woolsey</t>
  </si>
  <si>
    <t>Wrens</t>
  </si>
  <si>
    <t>Per Owner Per Round (% of HOME funds available)</t>
  </si>
  <si>
    <t>Syndicator Legal Fees</t>
  </si>
  <si>
    <t>Proposed</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</si>
  <si>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</si>
  <si>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</si>
  <si>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</si>
  <si>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</si>
  <si>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</si>
  <si>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</si>
  <si>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</si>
  <si>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</si>
  <si>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</si>
  <si>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</si>
  <si>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</si>
  <si>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</si>
  <si>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</si>
  <si>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</si>
  <si>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</si>
  <si>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</si>
  <si>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</si>
  <si>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</si>
  <si>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</si>
  <si>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</si>
  <si>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</si>
  <si>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</si>
  <si>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</si>
  <si>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</si>
  <si>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</si>
  <si>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</si>
  <si>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</si>
  <si>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</si>
  <si>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</si>
  <si>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</si>
  <si>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</si>
  <si>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</si>
  <si>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</si>
  <si>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</si>
  <si>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</si>
  <si>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</si>
  <si>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</si>
  <si>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</si>
  <si>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</si>
  <si>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</si>
  <si>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</si>
  <si>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</si>
  <si>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</si>
  <si>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</si>
  <si>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</si>
  <si>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</si>
  <si>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</si>
  <si>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</si>
  <si>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</si>
  <si>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</si>
  <si>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</si>
  <si>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</si>
  <si>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</si>
  <si>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</si>
  <si>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</si>
  <si>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</si>
  <si>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</si>
  <si>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</si>
  <si>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</si>
  <si>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</si>
  <si>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</si>
  <si>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</si>
  <si>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</si>
  <si>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</si>
  <si>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</si>
  <si>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</si>
  <si>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</si>
  <si>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</si>
  <si>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</si>
  <si>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</si>
  <si>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</si>
  <si>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</si>
  <si>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</si>
  <si>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</si>
  <si>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</si>
  <si>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</si>
  <si>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</si>
  <si>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</si>
  <si>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</si>
  <si>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</si>
  <si>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</si>
  <si>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</si>
  <si>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</si>
  <si>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</si>
  <si>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</si>
  <si>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</si>
  <si>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</si>
  <si>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</si>
  <si>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</si>
  <si>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</si>
  <si>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</si>
  <si>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</si>
  <si>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</si>
  <si>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</si>
  <si>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</si>
  <si>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</si>
  <si>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</si>
  <si>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</si>
  <si>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</si>
  <si>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</si>
  <si>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</si>
  <si>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</si>
  <si>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</si>
  <si>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</si>
  <si>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</si>
  <si>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</si>
  <si>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</si>
  <si>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</si>
  <si>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</si>
  <si>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</si>
  <si>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</si>
  <si>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</si>
  <si>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</si>
  <si>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</si>
  <si>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</si>
  <si>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</si>
  <si>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</si>
  <si>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</si>
  <si>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</si>
  <si>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</si>
  <si>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</si>
  <si>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</si>
  <si>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</si>
  <si>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</si>
  <si>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</si>
  <si>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</si>
  <si>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</si>
  <si>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</si>
  <si>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</si>
  <si>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</si>
  <si>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</si>
  <si>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</si>
  <si>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</si>
  <si>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</si>
  <si>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</si>
  <si>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</si>
  <si>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</si>
  <si>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</si>
  <si>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</si>
  <si>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</si>
  <si>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</si>
  <si>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</si>
  <si>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</si>
  <si>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</si>
  <si>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</si>
  <si>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</si>
  <si>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</si>
  <si>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</si>
  <si>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</si>
  <si>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</si>
  <si>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</si>
  <si>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</si>
  <si>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</si>
  <si>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</si>
  <si>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</si>
  <si>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</si>
  <si>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</si>
  <si>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</si>
  <si>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</si>
  <si>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</si>
  <si>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</si>
  <si>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</si>
  <si>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</si>
  <si>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</si>
  <si>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</si>
  <si>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</si>
  <si>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</si>
  <si>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</si>
  <si>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</si>
  <si>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</si>
  <si>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</si>
  <si>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</si>
  <si>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</si>
  <si>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</si>
  <si>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</si>
  <si>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</si>
  <si>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</si>
  <si>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</si>
  <si>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</si>
  <si>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</si>
  <si>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</si>
  <si>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</si>
  <si>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</si>
  <si>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</si>
  <si>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</si>
  <si>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</si>
  <si>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</si>
  <si>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</si>
  <si>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</si>
  <si>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</si>
  <si>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</si>
  <si>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</si>
  <si>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</si>
  <si>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</si>
  <si>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</si>
  <si>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</si>
  <si>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</si>
  <si>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</si>
  <si>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</si>
  <si>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</si>
  <si>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</si>
  <si>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</si>
  <si>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</si>
  <si>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</si>
  <si>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</si>
  <si>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</si>
  <si>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</si>
  <si>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</si>
  <si>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</si>
  <si>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</si>
  <si>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</si>
  <si>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</si>
  <si>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</si>
  <si>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</si>
  <si>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Setasides</t>
  </si>
  <si>
    <t>CHDO</t>
  </si>
  <si>
    <t>Percent of available 9% credit pool</t>
  </si>
  <si>
    <t>Per Dwelling</t>
  </si>
  <si>
    <t>USDA 515 or URFA Fee</t>
  </si>
  <si>
    <t>DCA COMMENTS - DCA Use Only</t>
  </si>
  <si>
    <t>Construction Period Inspection Fees</t>
  </si>
  <si>
    <t>DCA Waiver and Pre-approval Fees</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</si>
  <si>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</si>
  <si>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</si>
  <si>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</si>
  <si>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</si>
  <si>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</si>
  <si>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</si>
  <si>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</si>
  <si>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r>
      <t>9-digit Zip</t>
    </r>
    <r>
      <rPr>
        <b/>
        <sz val="11"/>
        <color indexed="10"/>
        <rFont val="Arial Narrow"/>
        <family val="2"/>
      </rPr>
      <t>**</t>
    </r>
  </si>
  <si>
    <r>
      <t>**</t>
    </r>
    <r>
      <rPr>
        <b/>
        <sz val="9"/>
        <rFont val="Arial Narrow"/>
        <family val="2"/>
      </rPr>
      <t xml:space="preserve"> Must be verified by applicant using following websites:</t>
    </r>
  </si>
  <si>
    <t>Expiring HUD</t>
  </si>
  <si>
    <t>Website</t>
  </si>
  <si>
    <t>LIHTC:</t>
  </si>
  <si>
    <t>HOME:</t>
  </si>
  <si>
    <t>(must be pre-qualified by DCA as CHDO)</t>
  </si>
  <si>
    <t>1 Bedroom</t>
  </si>
  <si>
    <t>2 Bedroom</t>
  </si>
  <si>
    <t>Unit Type</t>
  </si>
  <si>
    <t>New Construction and</t>
  </si>
  <si>
    <t>3 Bedroom</t>
  </si>
  <si>
    <t>Totals</t>
  </si>
  <si>
    <t>Note: if a PUCL Waiver has been approved by DCA, that amount would supercede the amounts shown at left.</t>
  </si>
  <si>
    <t>(Enter phone nbrs w/out using hyphens, parentheses, etc - ex: 1234567890)</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</si>
  <si>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</si>
  <si>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</si>
  <si>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</si>
  <si>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</si>
  <si>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</si>
  <si>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</si>
  <si>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</si>
  <si>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</si>
  <si>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Average per unit per year</t>
  </si>
  <si>
    <t>Average per unit per month</t>
  </si>
  <si>
    <t>Average per unit</t>
  </si>
  <si>
    <t xml:space="preserve">*This source may possibly trigger Uniform Relocation Act and/or HUD 104(d) reqmts.  Check with source.  For DCA HOME, refer to Relocation Manual. </t>
  </si>
  <si>
    <t>(Select an Application Type)</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</si>
  <si>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</si>
  <si>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</si>
  <si>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</si>
  <si>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</si>
  <si>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</si>
  <si>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</si>
  <si>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</si>
  <si>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</si>
  <si>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</si>
  <si>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</si>
  <si>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</si>
  <si>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</si>
  <si>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</si>
  <si>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</si>
  <si>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</si>
  <si>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</si>
  <si>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</si>
  <si>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</si>
  <si>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</si>
  <si>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</si>
  <si>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</si>
  <si>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</si>
  <si>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Flexible Pool</t>
  </si>
  <si>
    <t>Rural Pool</t>
  </si>
  <si>
    <t>HUD CHOICE Neighborhoods</t>
  </si>
  <si>
    <t>Overall:</t>
  </si>
  <si>
    <r>
      <t xml:space="preserve">General Requirements </t>
    </r>
    <r>
      <rPr>
        <sz val="6"/>
        <rFont val="Arial Narrow"/>
        <family val="2"/>
      </rPr>
      <t>(exclusive of Contractor Svcs)</t>
    </r>
  </si>
  <si>
    <t>Pools</t>
  </si>
  <si>
    <t>Flexible</t>
  </si>
  <si>
    <t>Plus travel</t>
  </si>
  <si>
    <t>Single Family Detached or Duplex fee</t>
  </si>
  <si>
    <t>None</t>
  </si>
  <si>
    <t xml:space="preserve">Total Units </t>
  </si>
  <si>
    <t>20.</t>
  </si>
  <si>
    <t>21.</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</si>
  <si>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</si>
  <si>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</si>
  <si>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</si>
  <si>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</si>
  <si>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</si>
  <si>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</si>
  <si>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</si>
  <si>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</si>
  <si>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</si>
  <si>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</si>
  <si>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</si>
  <si>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</si>
  <si>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</si>
  <si>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</si>
  <si>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</si>
  <si>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</si>
  <si>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</si>
  <si>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</si>
  <si>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</si>
  <si>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</si>
  <si>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</si>
  <si>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</si>
  <si>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</si>
  <si>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</si>
  <si>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</si>
  <si>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</si>
  <si>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</si>
  <si>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</si>
  <si>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</si>
  <si>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</si>
  <si>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</si>
  <si>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</si>
  <si>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</si>
  <si>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</si>
  <si>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</si>
  <si>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</si>
  <si>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</si>
  <si>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</si>
  <si>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</si>
  <si>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</si>
  <si>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</si>
  <si>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</si>
  <si>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</si>
  <si>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</si>
  <si>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</si>
  <si>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</si>
  <si>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</si>
  <si>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</si>
  <si>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Tenancy</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</si>
  <si>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</si>
  <si>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</si>
  <si>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</si>
  <si>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</si>
  <si>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</si>
  <si>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</si>
  <si>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</si>
  <si>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</si>
  <si>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</si>
  <si>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</si>
  <si>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</si>
  <si>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</si>
  <si>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</si>
  <si>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</si>
  <si>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</si>
  <si>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</si>
  <si>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</si>
  <si>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</si>
  <si>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</si>
  <si>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</si>
  <si>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</si>
  <si>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</si>
  <si>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</si>
  <si>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</si>
  <si>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</si>
  <si>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</si>
  <si>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</si>
  <si>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</si>
  <si>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</si>
  <si>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</si>
  <si>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</si>
  <si>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</si>
  <si>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</si>
  <si>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</si>
  <si>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</si>
  <si>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</si>
  <si>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</si>
  <si>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</si>
  <si>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</si>
  <si>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</si>
  <si>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</si>
  <si>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</si>
  <si>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</si>
  <si>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</si>
  <si>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</si>
  <si>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</si>
  <si>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</si>
  <si>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</si>
  <si>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</si>
  <si>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</si>
  <si>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</si>
  <si>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</si>
  <si>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</si>
  <si>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</si>
  <si>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</si>
  <si>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</si>
  <si>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</si>
  <si>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</si>
  <si>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</si>
  <si>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</si>
  <si>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</si>
  <si>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</si>
  <si>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</si>
  <si>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</si>
  <si>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</si>
  <si>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</si>
  <si>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</si>
  <si>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</si>
  <si>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</si>
  <si>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</si>
  <si>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</si>
  <si>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</si>
  <si>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</si>
  <si>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</si>
  <si>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</si>
  <si>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</si>
  <si>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</si>
  <si>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</si>
  <si>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</si>
  <si>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</si>
  <si>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</si>
  <si>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</si>
  <si>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</si>
  <si>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</si>
  <si>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</si>
  <si>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</si>
  <si>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</si>
  <si>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</si>
  <si>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</si>
  <si>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</si>
  <si>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</si>
  <si>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</si>
  <si>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</si>
  <si>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</si>
  <si>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</si>
  <si>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</si>
  <si>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</si>
  <si>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</si>
  <si>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</si>
  <si>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</si>
  <si>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</si>
  <si>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</si>
  <si>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</si>
  <si>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</si>
  <si>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</si>
  <si>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</si>
  <si>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</si>
  <si>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</si>
  <si>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</si>
  <si>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</si>
  <si>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</si>
  <si>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</si>
  <si>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</si>
  <si>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</si>
  <si>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</si>
  <si>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</si>
  <si>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</si>
  <si>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</si>
  <si>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</si>
  <si>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</si>
  <si>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</si>
  <si>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</si>
  <si>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</si>
  <si>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</si>
  <si>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</si>
  <si>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</si>
  <si>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</si>
  <si>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</si>
  <si>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</si>
  <si>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</si>
  <si>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</si>
  <si>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</si>
  <si>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</si>
  <si>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</si>
  <si>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</si>
  <si>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</si>
  <si>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</si>
  <si>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</si>
  <si>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</si>
  <si>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</si>
  <si>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</si>
  <si>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</si>
  <si>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</si>
  <si>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</si>
  <si>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</si>
  <si>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</si>
  <si>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</si>
  <si>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</si>
  <si>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</si>
  <si>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</si>
  <si>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</si>
  <si>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</si>
  <si>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</si>
  <si>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</si>
  <si>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</si>
  <si>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</si>
  <si>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</si>
  <si>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</si>
  <si>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</si>
  <si>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</si>
  <si>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</si>
  <si>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</si>
  <si>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</si>
  <si>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</si>
  <si>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</si>
  <si>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</si>
  <si>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</si>
  <si>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</si>
  <si>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</si>
  <si>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</si>
  <si>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</si>
  <si>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</si>
  <si>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</si>
  <si>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</si>
  <si>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</si>
  <si>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</si>
  <si>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</si>
  <si>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</si>
  <si>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</si>
  <si>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</si>
  <si>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</si>
  <si>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</si>
  <si>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</si>
  <si>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</si>
  <si>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</si>
  <si>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</si>
  <si>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</si>
  <si>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</si>
  <si>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</si>
  <si>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</si>
  <si>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</si>
  <si>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</si>
  <si>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</si>
  <si>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</si>
  <si>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</si>
  <si>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</si>
  <si>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</si>
  <si>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</si>
  <si>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</si>
  <si>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</si>
  <si>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</si>
  <si>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</si>
  <si>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</si>
  <si>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</si>
  <si>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</si>
  <si>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</si>
  <si>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</si>
  <si>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</si>
  <si>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</si>
  <si>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</si>
  <si>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</si>
  <si>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</si>
  <si>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</si>
  <si>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</si>
  <si>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</si>
  <si>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</si>
  <si>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</si>
  <si>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</si>
  <si>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</si>
  <si>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</si>
  <si>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</si>
  <si>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</si>
  <si>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</si>
  <si>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</si>
  <si>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</si>
  <si>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</si>
  <si>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</si>
  <si>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</si>
  <si>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</si>
  <si>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</si>
  <si>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</si>
  <si>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</si>
  <si>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</si>
  <si>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</si>
  <si>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</si>
  <si>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</si>
  <si>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</si>
  <si>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</si>
  <si>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</si>
  <si>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</si>
  <si>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</si>
  <si>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</si>
  <si>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</si>
  <si>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</si>
  <si>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</si>
  <si>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</si>
  <si>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</si>
  <si>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</si>
  <si>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</si>
  <si>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</si>
  <si>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</si>
  <si>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</si>
  <si>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</si>
  <si>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</si>
  <si>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</si>
  <si>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</si>
  <si>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</si>
  <si>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</si>
  <si>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</si>
  <si>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</si>
  <si>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</si>
  <si>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</si>
  <si>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</si>
  <si>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</si>
  <si>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</si>
  <si>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</si>
  <si>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</si>
  <si>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</si>
  <si>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</si>
  <si>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</si>
  <si>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</si>
  <si>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</si>
  <si>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</si>
  <si>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</si>
  <si>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</si>
  <si>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</si>
  <si>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</si>
  <si>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</si>
  <si>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</si>
  <si>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</si>
  <si>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</si>
  <si>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</si>
  <si>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</si>
  <si>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</si>
  <si>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</si>
  <si>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</si>
  <si>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</si>
  <si>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</si>
  <si>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</si>
  <si>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</si>
  <si>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</si>
  <si>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</si>
  <si>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</si>
  <si>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</si>
  <si>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</si>
  <si>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</si>
  <si>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</si>
  <si>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</si>
  <si>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</si>
  <si>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</si>
  <si>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</si>
  <si>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</si>
  <si>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</si>
  <si>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</si>
  <si>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</si>
  <si>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</si>
  <si>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</si>
  <si>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</si>
  <si>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</si>
  <si>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</si>
  <si>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</si>
  <si>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</si>
  <si>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</si>
  <si>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</si>
  <si>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</si>
  <si>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</si>
  <si>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</si>
  <si>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</si>
  <si>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</si>
  <si>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</si>
  <si>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</si>
  <si>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</si>
  <si>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</si>
  <si>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</si>
  <si>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</si>
  <si>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</si>
  <si>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</si>
  <si>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</si>
  <si>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</si>
  <si>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</si>
  <si>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</si>
  <si>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</si>
  <si>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</si>
  <si>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</si>
  <si>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</si>
  <si>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</si>
  <si>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</si>
  <si>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</si>
  <si>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</si>
  <si>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</si>
  <si>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</si>
  <si>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</si>
  <si>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</si>
  <si>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</si>
  <si>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</si>
  <si>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</si>
  <si>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</si>
  <si>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</si>
  <si>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</si>
  <si>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</si>
  <si>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</si>
  <si>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</si>
  <si>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</si>
  <si>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</si>
  <si>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</si>
  <si>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</si>
  <si>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</si>
  <si>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</si>
  <si>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</si>
  <si>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</si>
  <si>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</si>
  <si>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</si>
  <si>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</si>
  <si>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</si>
  <si>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</si>
  <si>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</si>
  <si>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</si>
  <si>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</si>
  <si>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</si>
  <si>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</si>
  <si>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</si>
  <si>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</si>
  <si>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</si>
  <si>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</si>
  <si>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</si>
  <si>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</si>
  <si>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</si>
  <si>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</si>
  <si>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</si>
  <si>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</si>
  <si>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</si>
  <si>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</si>
  <si>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</si>
  <si>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</si>
  <si>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</si>
  <si>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</si>
  <si>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</si>
  <si>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</si>
  <si>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</si>
  <si>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</si>
  <si>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</si>
  <si>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</si>
  <si>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</si>
  <si>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</si>
  <si>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</si>
  <si>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</si>
  <si>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</si>
  <si>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</si>
  <si>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</si>
  <si>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</si>
  <si>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</si>
  <si>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</si>
  <si>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</si>
  <si>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</si>
  <si>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</si>
  <si>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</si>
  <si>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</si>
  <si>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</si>
  <si>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</si>
  <si>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</si>
  <si>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</si>
  <si>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</si>
  <si>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</si>
  <si>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</si>
  <si>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</si>
  <si>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</si>
  <si>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</si>
  <si>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</si>
  <si>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</si>
  <si>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</si>
  <si>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</si>
  <si>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</si>
  <si>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</si>
  <si>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</si>
  <si>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</si>
  <si>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</si>
  <si>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</si>
  <si>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</si>
  <si>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</si>
  <si>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</si>
  <si>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</si>
  <si>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</si>
  <si>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</si>
  <si>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</si>
  <si>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</si>
  <si>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</si>
  <si>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</si>
  <si>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</si>
  <si>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</si>
  <si>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</si>
  <si>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</si>
  <si>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</si>
  <si>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</si>
  <si>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</si>
  <si>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</si>
  <si>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</si>
  <si>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</si>
  <si>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</si>
  <si>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</si>
  <si>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</si>
  <si>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</si>
  <si>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</si>
  <si>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</si>
  <si>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</si>
  <si>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</si>
  <si>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</si>
  <si>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</si>
  <si>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</si>
  <si>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</si>
  <si>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</si>
  <si>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</si>
  <si>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</si>
  <si>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</si>
  <si>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</si>
  <si>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</si>
  <si>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</si>
  <si>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</si>
  <si>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</si>
  <si>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</si>
  <si>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</si>
  <si>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</si>
  <si>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</si>
  <si>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</si>
  <si>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</si>
  <si>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</si>
  <si>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</si>
  <si>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</si>
  <si>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</si>
  <si>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</si>
  <si>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</si>
  <si>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</si>
  <si>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</si>
  <si>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</si>
  <si>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</si>
  <si>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</si>
  <si>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</si>
  <si>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</si>
  <si>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</si>
  <si>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</si>
  <si>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</si>
  <si>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</si>
  <si>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</si>
  <si>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TDC:</t>
  </si>
  <si>
    <t>Fitzgerald Hill</t>
  </si>
  <si>
    <t>Ft. Gaines</t>
  </si>
  <si>
    <t>Ft. Oglethorpe</t>
  </si>
  <si>
    <t>Lafayette</t>
  </si>
  <si>
    <t>Lagrange</t>
  </si>
  <si>
    <t>Mccaysville</t>
  </si>
  <si>
    <t>Mcdonough</t>
  </si>
  <si>
    <t>Mt. Vernon</t>
  </si>
  <si>
    <t>Rabun Gap</t>
  </si>
  <si>
    <t>Cities w/ LIHTC Projects</t>
  </si>
  <si>
    <t>Has LIHTC Project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</si>
  <si>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</si>
  <si>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</si>
  <si>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</si>
  <si>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</si>
  <si>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</si>
  <si>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1.)</t>
  </si>
  <si>
    <r>
      <t xml:space="preserve">Historic </t>
    </r>
    <r>
      <rPr>
        <sz val="9"/>
        <rFont val="Arial"/>
        <family val="2"/>
      </rPr>
      <t>Adaptive Reuse</t>
    </r>
  </si>
  <si>
    <t>General</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</si>
  <si>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</si>
  <si>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</si>
  <si>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</si>
  <si>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</si>
  <si>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</si>
  <si>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</si>
  <si>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</si>
  <si>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</si>
  <si>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</si>
  <si>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</si>
  <si>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</si>
  <si>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</si>
  <si>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</si>
  <si>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</si>
  <si>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</si>
  <si>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</si>
  <si>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</si>
  <si>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</si>
  <si>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</si>
  <si>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</si>
  <si>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</si>
  <si>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</si>
  <si>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</si>
  <si>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</si>
  <si>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</si>
  <si>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</si>
  <si>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</si>
  <si>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</si>
  <si>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</si>
  <si>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</si>
  <si>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</si>
  <si>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</si>
  <si>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</si>
  <si>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</si>
  <si>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</si>
  <si>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Historic Rehabilitation</t>
  </si>
  <si>
    <t xml:space="preserve">qualifying for Historic Preservation point(s) </t>
  </si>
  <si>
    <t>Nbr Units</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</si>
  <si>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</si>
  <si>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&lt;&lt;Select Pool&gt;&gt;</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</si>
  <si>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</si>
  <si>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</si>
  <si>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</si>
  <si>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</si>
  <si>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</si>
  <si>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Rental Assistance Demonstration Program (RAD)</t>
  </si>
  <si>
    <t>If Yes, explain relationship in boxes provided below, and use Comment box at bottom of this tab or attach additional pages as needed:</t>
  </si>
  <si>
    <t>DCA HOME Consent Loan Pre-Application Fee</t>
  </si>
  <si>
    <t>LIHTC Final Inspection Fee</t>
  </si>
  <si>
    <t>Replacement Reserve (RR)</t>
  </si>
  <si>
    <t>APPLICANTS: Explain any any debt service payment amounts that deviate from the amount shown in Permanent Sources (Part III)</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</si>
  <si>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</si>
  <si>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</si>
  <si>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</si>
  <si>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</si>
  <si>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</si>
  <si>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</si>
  <si>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</si>
  <si>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</si>
  <si>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</si>
  <si>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</si>
  <si>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</si>
  <si>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</si>
  <si>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</si>
  <si>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</si>
  <si>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</si>
  <si>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</si>
  <si>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</si>
  <si>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</si>
  <si>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</si>
  <si>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</si>
  <si>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</si>
  <si>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</si>
  <si>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</si>
  <si>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</si>
  <si>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</si>
  <si>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</si>
  <si>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</si>
  <si>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</si>
  <si>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</si>
  <si>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</si>
  <si>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</si>
  <si>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</si>
  <si>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</si>
  <si>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</si>
  <si>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</si>
  <si>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</si>
  <si>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</si>
  <si>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</si>
  <si>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</si>
  <si>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</si>
  <si>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</si>
  <si>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</si>
  <si>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</si>
  <si>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</si>
  <si>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</si>
  <si>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</si>
  <si>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</si>
  <si>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</si>
  <si>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</si>
  <si>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</si>
  <si>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</si>
  <si>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</si>
  <si>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</si>
  <si>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</si>
  <si>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</si>
  <si>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</si>
  <si>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</si>
  <si>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</si>
  <si>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</si>
  <si>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</si>
  <si>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</si>
  <si>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</si>
  <si>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</si>
  <si>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</si>
  <si>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</si>
  <si>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</si>
  <si>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</si>
  <si>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</si>
  <si>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</si>
  <si>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</si>
  <si>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</si>
  <si>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</si>
  <si>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</si>
  <si>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</si>
  <si>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</si>
  <si>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</si>
  <si>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</si>
  <si>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</si>
  <si>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</si>
  <si>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</si>
  <si>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</si>
  <si>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</si>
  <si>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</si>
  <si>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</si>
  <si>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Site is predominantly located:</t>
  </si>
  <si>
    <t xml:space="preserve">Do NOT cut, copy or paste cells in this tab.  Complete ALL columns. For Common Space (non-income producing) units, select "N/A-CS" for Rent Type and "Common Space" for Employee Unit.  </t>
  </si>
  <si>
    <t>DCA Project Number</t>
  </si>
  <si>
    <t>Square</t>
  </si>
  <si>
    <t>Independent Auditor's Report and Certification of Actual Costs</t>
  </si>
  <si>
    <t>Title report of property</t>
  </si>
  <si>
    <t>Final Development Agreement</t>
  </si>
  <si>
    <t>Georgia Department of Community Affairs</t>
  </si>
  <si>
    <t>Project Name:</t>
  </si>
  <si>
    <t>DCA Project Nbr:</t>
  </si>
  <si>
    <t>Compliance Monitoring Fee  (if not paid earlier)</t>
  </si>
  <si>
    <t>Current estimated utility allowance schedule from utility provider or PHA</t>
  </si>
  <si>
    <t>Completed HUD LIHTC Database Form</t>
  </si>
  <si>
    <t xml:space="preserve">RESPA closing statement / Property Settlement Statement (if not submitted earlier) </t>
  </si>
  <si>
    <t>Executed Limited Partnership Agreement or Operating Agreement and all amendments</t>
  </si>
  <si>
    <t>Executed Promissory Note or current Firm Commitment Letter (less than 6 months old) from all lenders</t>
  </si>
  <si>
    <t>Executed Rental Assistance contract (if applicable)</t>
  </si>
  <si>
    <t>Certificate of Occupancy for each building (if applicable)</t>
  </si>
  <si>
    <t>Cost Certification Date:</t>
  </si>
  <si>
    <t>Carryover Allocation Date:</t>
  </si>
  <si>
    <t>Project Address:</t>
  </si>
  <si>
    <t>Type of Activity:</t>
  </si>
  <si>
    <t>Please do NOT include common space employee units!</t>
  </si>
  <si>
    <t>Low</t>
  </si>
  <si>
    <r>
      <t>FINAL</t>
    </r>
    <r>
      <rPr>
        <sz val="8"/>
        <rFont val="Arial Narrow"/>
        <family val="2"/>
      </rPr>
      <t xml:space="preserve"> Tax Credit Allocation Request</t>
    </r>
  </si>
  <si>
    <t>Residential</t>
  </si>
  <si>
    <t>of Low</t>
  </si>
  <si>
    <t>Income</t>
  </si>
  <si>
    <t>Building's</t>
  </si>
  <si>
    <t>QCT/ DDA</t>
  </si>
  <si>
    <t>Placed</t>
  </si>
  <si>
    <t>Applic.</t>
  </si>
  <si>
    <t>Tax</t>
  </si>
  <si>
    <t>Identification</t>
  </si>
  <si>
    <t>Residntl</t>
  </si>
  <si>
    <t>Eligible</t>
  </si>
  <si>
    <t>Adjusted</t>
  </si>
  <si>
    <t xml:space="preserve">Applicable </t>
  </si>
  <si>
    <t xml:space="preserve">Qualified </t>
  </si>
  <si>
    <t>In</t>
  </si>
  <si>
    <t>Credit</t>
  </si>
  <si>
    <t>Tax Credit</t>
  </si>
  <si>
    <t>Building Address</t>
  </si>
  <si>
    <t>Number</t>
  </si>
  <si>
    <t>Units</t>
  </si>
  <si>
    <t>Footage</t>
  </si>
  <si>
    <t>Basis</t>
  </si>
  <si>
    <t>Boost</t>
  </si>
  <si>
    <t>Fraction</t>
  </si>
  <si>
    <t>Service</t>
  </si>
  <si>
    <t>%</t>
  </si>
  <si>
    <t>OWNER COMMENTS AND CLARIFICATIONS</t>
  </si>
  <si>
    <r>
      <t xml:space="preserve">Page </t>
    </r>
    <r>
      <rPr>
        <b/>
        <sz val="8"/>
        <color rgb="FFFF0000"/>
        <rFont val="Arial"/>
        <family val="2"/>
      </rPr>
      <t>1</t>
    </r>
    <r>
      <rPr>
        <b/>
        <sz val="8"/>
        <rFont val="Arial"/>
        <family val="2"/>
      </rPr>
      <t xml:space="preserve"> Totals:</t>
    </r>
  </si>
  <si>
    <r>
      <t xml:space="preserve">Page </t>
    </r>
    <r>
      <rPr>
        <b/>
        <sz val="8"/>
        <color rgb="FFFF0000"/>
        <rFont val="Arial"/>
        <family val="2"/>
      </rPr>
      <t>2</t>
    </r>
    <r>
      <rPr>
        <b/>
        <sz val="8"/>
        <rFont val="Arial"/>
        <family val="2"/>
      </rPr>
      <t xml:space="preserve"> Totals:</t>
    </r>
  </si>
  <si>
    <r>
      <t xml:space="preserve">Page </t>
    </r>
    <r>
      <rPr>
        <b/>
        <sz val="8"/>
        <color rgb="FFFF0000"/>
        <rFont val="Arial"/>
        <family val="2"/>
      </rPr>
      <t>3</t>
    </r>
    <r>
      <rPr>
        <b/>
        <sz val="8"/>
        <rFont val="Arial"/>
        <family val="2"/>
      </rPr>
      <t xml:space="preserve"> Totals:</t>
    </r>
  </si>
  <si>
    <r>
      <t xml:space="preserve">Page </t>
    </r>
    <r>
      <rPr>
        <b/>
        <sz val="8"/>
        <color rgb="FFFF0000"/>
        <rFont val="Arial"/>
        <family val="2"/>
      </rPr>
      <t>4</t>
    </r>
    <r>
      <rPr>
        <b/>
        <sz val="8"/>
        <rFont val="Arial"/>
        <family val="2"/>
      </rPr>
      <t xml:space="preserve"> Totals:</t>
    </r>
  </si>
  <si>
    <t>Should NOT include common space employee units!</t>
  </si>
  <si>
    <t>Project Activity</t>
  </si>
  <si>
    <t>PART EIGHT - BUILDING BY BUILDING CREDIT ALLOCATION GRAND TOTALS</t>
  </si>
  <si>
    <t>GRAND TOTALS</t>
  </si>
  <si>
    <r>
      <t>FINAL</t>
    </r>
    <r>
      <rPr>
        <sz val="9"/>
        <rFont val="Arial Narrow"/>
        <family val="2"/>
      </rPr>
      <t xml:space="preserve"> Tax Credit Allocation Request</t>
    </r>
  </si>
  <si>
    <t>Provide a narrative description of significant changes that have occurred in the project since full application.</t>
  </si>
  <si>
    <t>Describe circumstances that caused significant cost overruns.  For example, start of construction delayed (give reason), storm water regulatory changes, building code changes, impervious surface or open space ordinance changes.</t>
  </si>
  <si>
    <t>Operating Costs</t>
  </si>
  <si>
    <t>Describe circumstances that caused a significant increase in expense items or introduced expenses not originally projected.  For example, large increase in property taxes or insurance, or property now paying for water and sewer.</t>
  </si>
  <si>
    <t>Office of Housing Finance</t>
  </si>
  <si>
    <t>Final Allocation Application</t>
  </si>
  <si>
    <t>OWNER CERTIFICATION</t>
  </si>
  <si>
    <t>Name of Ownership Entity:</t>
  </si>
  <si>
    <t>(“Owner”)</t>
  </si>
  <si>
    <t>Tax ID Number:</t>
  </si>
  <si>
    <t>The undersigned</t>
  </si>
  <si>
    <t xml:space="preserve">of the Owner, in connection with the award and </t>
  </si>
  <si>
    <t>allocation by the Georgia Department of Community Affairs (“GDCA”) of low income housing credits (“Allocation”) hereby certifies on behalf of the Owner as follows:</t>
  </si>
  <si>
    <t>(a)</t>
  </si>
  <si>
    <t>The Owner (i) is validly existing and qualified to transact business under the laws of Georgia, (ii) has the full power and authority to own its properties and assets and to carry on its business as now being conducted, and (iii) has the full legal right, power and authority to execute and deliver this document.</t>
  </si>
  <si>
    <t>(b)</t>
  </si>
  <si>
    <t>There is no action, suit or proceeding at law or in equity or by or before any governmental instrumentality or other agency now pending, or, to the knowledge of the Owner, threatened against or affecting it or any of its properties or rights, which, if adversely determined, would materially impair its right to carry on business substantially as now conducted or would materially adversely affect its financial condition or which would impair the use of the Project as contemplated by this document.</t>
  </si>
  <si>
    <t>(c)</t>
  </si>
  <si>
    <t>The information contained herein is accurate.</t>
  </si>
  <si>
    <t>The Owner authorized the GDCA to utilize this information to calculate the amount of federal low-income housing tax credits and acknowledges that the following constitute conditions to the Allocation:</t>
  </si>
  <si>
    <t>(1)</t>
  </si>
  <si>
    <t>accuracy of the facts and compliance with representations contained in the Allocation documentation and the Project’s application for low-income housing tax credits (“Application”),</t>
  </si>
  <si>
    <t>(2)</t>
  </si>
  <si>
    <t>completion of construction as depicted on the site layout, floor plan and elevations submitted with the Application,</t>
  </si>
  <si>
    <t>(3)</t>
  </si>
  <si>
    <t>adherence to the Qualified Allocation Plan for the year in which the credits were awarded, and</t>
  </si>
  <si>
    <t>(4)</t>
  </si>
  <si>
    <t>provision and maintenance of those certain unit and project amenities for the benefit of the tenants described in the Application.</t>
  </si>
  <si>
    <t>The Owner’s or Project’s failure to comply with all such conditions without prior written authorization from the GDCA will entitle the GDCA, in its discretion, to deem the Allocation to be cancelled by mutual consent.  After any such cancellation, Owner acknowledges that neither it nor the Project will have ay right to claim Credits pursuant to the Allocation.  The GDCA reserves the right, in its discretion, to modify and/or waive any such failed condition.</t>
  </si>
  <si>
    <t>By:</t>
  </si>
  <si>
    <t>a</t>
  </si>
  <si>
    <t>Limited</t>
  </si>
  <si>
    <t>Its'</t>
  </si>
  <si>
    <t>(state)</t>
  </si>
  <si>
    <t>ATTEST:  (if applicable)</t>
  </si>
  <si>
    <t>(signature)</t>
  </si>
  <si>
    <t>Name:</t>
  </si>
  <si>
    <t>[Corporate Seal]</t>
  </si>
  <si>
    <t>Title:</t>
  </si>
  <si>
    <t>Secretary</t>
  </si>
  <si>
    <t>Percentage of aggregate basis financed by tax-exempt bonds:</t>
  </si>
  <si>
    <t>Aggregate basis of building and land:</t>
  </si>
  <si>
    <t>Tax-exempt bond proceeds:</t>
  </si>
  <si>
    <t>PART NINE - NARRATIVE DESCRIPTION OF MATERIAL CHANGES</t>
  </si>
  <si>
    <t>PART ELEVEN - 50% TEST</t>
  </si>
  <si>
    <t>Years 31 - 35</t>
  </si>
  <si>
    <t>Project Owner Contact:</t>
  </si>
  <si>
    <t>Project Nbr:</t>
  </si>
  <si>
    <t>Have any project changes occurred since application selection?</t>
  </si>
  <si>
    <t>Cost of Tax-Exempt Bond Issuance</t>
  </si>
  <si>
    <t>Site Street Address</t>
  </si>
  <si>
    <t>Scattered Site / Nbr sites</t>
  </si>
  <si>
    <r>
      <t xml:space="preserve">SET ASIDES </t>
    </r>
    <r>
      <rPr>
        <sz val="8"/>
        <rFont val="Arial Narrow"/>
        <family val="2"/>
      </rPr>
      <t>(Chosen at initial application)</t>
    </r>
  </si>
  <si>
    <r>
      <t>RENT AND INCOME ELECTIONS</t>
    </r>
    <r>
      <rPr>
        <sz val="8"/>
        <rFont val="Arial Narrow"/>
        <family val="2"/>
      </rPr>
      <t xml:space="preserve"> (Chosen at initial application)</t>
    </r>
  </si>
  <si>
    <r>
      <t>COMPETITIVE POOL</t>
    </r>
    <r>
      <rPr>
        <sz val="8"/>
        <rFont val="Arial Narrow"/>
        <family val="2"/>
      </rPr>
      <t xml:space="preserve"> (Chosen at initial application)</t>
    </r>
  </si>
  <si>
    <t>DCA-Approved
Waiver Amount (if any):</t>
  </si>
  <si>
    <t>Per Unit Cost Limit (PUCL)</t>
  </si>
  <si>
    <t>PUCL Total by Unit Type</t>
  </si>
  <si>
    <t>Total Per Construction Activity</t>
  </si>
  <si>
    <t>Unit Style</t>
  </si>
  <si>
    <t>Enter Per Unit Cost Limits according to applicable Qualified Allocation Plan (QAP).  QAPs prior to 2015 make no distinction for Unit Style, so projects selected under those QAPs will show units of same Unit Type (number of bedrooms) at same limit.  Unit counts are linked to Rent Chart in Part VI Revenues &amp; Expenses Tab.  Cost Limit Per Unit totals by unit type are auto-calculated.</t>
  </si>
  <si>
    <t>Final Cost Certification Instructions</t>
  </si>
  <si>
    <t>The Final Cost Certification form and each tab should be completed in order, from left to right.  All shaded data entry cells are unlocked for your use, but purple-shaded cells also contain default formulas/references which may assist you.  It is generally recommended that you leave these cells alone, but there may be cases where you will need to manually overwrite the formula depending on the specifics of your proposal.  Please refer to the Qualified Allocation Plan (“QAP”) for the year in which your project was awarded credits to ensure your project meets all of that year’s QAP requirements.</t>
  </si>
  <si>
    <t>Atlanta, Georgia 30329</t>
  </si>
  <si>
    <t>Once all of those items are received, DCA will review and approve the cost certification application prior to issuing 8609s (depending on the time of year, the minimum time could be 90 days or longer).  During review, the underwriter will notify the owner contact if the final credit amount DCA determined is less than the amount as requested in the final allocation application submitted by the owner.</t>
  </si>
  <si>
    <t>Final Allocation Application Documents Checklist</t>
  </si>
  <si>
    <t>Folder #</t>
  </si>
  <si>
    <t>Description</t>
  </si>
  <si>
    <t>Applicant Verification    (X)</t>
  </si>
  <si>
    <t>DCA Verification    (X)</t>
  </si>
  <si>
    <t xml:space="preserve">Completed electronic copy of Final Allocation Application in Excel </t>
  </si>
  <si>
    <t>Completed pdf copy of Final Allocation Application (Checklist and Parts I-XI)</t>
  </si>
  <si>
    <t>50% Test (4% Credit projects only)</t>
  </si>
  <si>
    <t>Employer Identification Number letter from the IRS for Ownership Entity (“4% credit” projects only)</t>
  </si>
  <si>
    <t xml:space="preserve">Documentation from funders evidencing Government Financial Assistance ("9% credit" only; if not </t>
  </si>
  <si>
    <t>included in Tab 12)</t>
  </si>
  <si>
    <t>Appraisal</t>
  </si>
  <si>
    <t>Recorded LURC</t>
  </si>
  <si>
    <t>Marketing Plan for affirmatively marketing to persons with disabilities and the homeless*</t>
  </si>
  <si>
    <r>
      <t xml:space="preserve">*Note: Please read </t>
    </r>
    <r>
      <rPr>
        <b/>
        <sz val="8"/>
        <rFont val="Arial"/>
        <family val="2"/>
      </rPr>
      <t>"AFHMP Owner's Checklist"</t>
    </r>
    <r>
      <rPr>
        <sz val="8"/>
        <rFont val="Arial"/>
        <family val="2"/>
      </rPr>
      <t xml:space="preserve"> located on DCA website (</t>
    </r>
    <r>
      <rPr>
        <sz val="8"/>
        <color rgb="FFFF0000"/>
        <rFont val="Arial"/>
        <family val="2"/>
      </rPr>
      <t>see link above</t>
    </r>
    <r>
      <rPr>
        <sz val="8"/>
        <rFont val="Arial"/>
        <family val="2"/>
      </rPr>
      <t>) when providing your marketing plan.</t>
    </r>
  </si>
  <si>
    <t>Support Services Owner Certification Packages</t>
  </si>
  <si>
    <t>Other (if applicable) - Describe:</t>
  </si>
  <si>
    <t>If you have questions regarding this process, please contact the OHF Underwriting Manager at hfdround@dca.ga.gov for additional information.</t>
  </si>
  <si>
    <t>USDA PBRA</t>
  </si>
  <si>
    <t>Kresge Foundation</t>
  </si>
  <si>
    <t>NAHASDA</t>
  </si>
  <si>
    <t>Historic Rehab Credit</t>
  </si>
  <si>
    <r>
      <t xml:space="preserve">DCA HOME * </t>
    </r>
    <r>
      <rPr>
        <sz val="8"/>
        <rFont val="Arial Narrow"/>
        <family val="2"/>
      </rPr>
      <t xml:space="preserve"> -- Amt $</t>
    </r>
  </si>
  <si>
    <r>
      <t>Other HOME *</t>
    </r>
    <r>
      <rPr>
        <sz val="8"/>
        <rFont val="Arial Narrow"/>
        <family val="2"/>
      </rPr>
      <t xml:space="preserve"> -- Amt $</t>
    </r>
  </si>
  <si>
    <r>
      <t xml:space="preserve">Other HOME  -  </t>
    </r>
    <r>
      <rPr>
        <sz val="8"/>
        <rFont val="Arial Narrow"/>
        <family val="2"/>
      </rPr>
      <t>Source</t>
    </r>
  </si>
  <si>
    <t>Other PBRA - Source:</t>
  </si>
  <si>
    <t>Specify Other PBRA Source here</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</si>
  <si>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</si>
  <si>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</si>
  <si>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</si>
  <si>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Neigborhood Stabilization Program *</t>
  </si>
  <si>
    <t>HUD Sect 202 Supportive Housing for Elderly</t>
  </si>
  <si>
    <r>
      <rPr>
        <sz val="10"/>
        <rFont val="Arial Narrow"/>
        <family val="2"/>
      </rPr>
      <t>HUD Sect 811 Supportive Housing</t>
    </r>
    <r>
      <rPr>
        <sz val="9"/>
        <rFont val="Arial Narrow"/>
        <family val="2"/>
      </rPr>
      <t xml:space="preserve"> for Persons w/ Disabilities</t>
    </r>
  </si>
  <si>
    <t>Veterans Affairs Supportive Housing</t>
  </si>
  <si>
    <t>State HTF</t>
  </si>
  <si>
    <t>National HTF</t>
  </si>
  <si>
    <t>Proforma Totals over DDF Term ------&gt;</t>
  </si>
  <si>
    <t>Cash Flow:</t>
  </si>
  <si>
    <t>DDF Paid:</t>
  </si>
  <si>
    <t xml:space="preserve">Actual %: </t>
  </si>
  <si>
    <t>Additional DDF Need:</t>
  </si>
  <si>
    <t>DCA HOME Loan Consent Pre-Application Fee</t>
  </si>
  <si>
    <t>Front End Analysis Fee</t>
  </si>
  <si>
    <t>Construction Inspection Fee (Tax Credit only - no HOME)</t>
  </si>
  <si>
    <t>Guarantor Fees</t>
  </si>
  <si>
    <t>If State Designated Boost Selected, indicate Category of Eligibility:</t>
  </si>
  <si>
    <t>&lt;&lt; Select &gt;&gt;</t>
  </si>
  <si>
    <t>DCA Utility Region for:</t>
  </si>
  <si>
    <t>Note: Elderly allowances cannot be used except at properties that have 100% HUD PBRA and satisfy the DCA definition of "elderly"</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</si>
  <si>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</si>
  <si>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Range/Microwave</t>
  </si>
  <si>
    <t>Refrigerator</t>
  </si>
  <si>
    <t>Other Electric</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</si>
  <si>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</si>
  <si>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</si>
  <si>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</si>
  <si>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</si>
  <si>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</si>
  <si>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</si>
  <si>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</si>
  <si>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</si>
  <si>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</si>
  <si>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</si>
  <si>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</si>
  <si>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40% Units</t>
  </si>
  <si>
    <t>1 BR 40% Units</t>
  </si>
  <si>
    <t>2 BR 40% Units</t>
  </si>
  <si>
    <t>3 BR 40% Units</t>
  </si>
  <si>
    <t>4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</si>
  <si>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</si>
  <si>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</si>
  <si>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</si>
  <si>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</si>
  <si>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</si>
  <si>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</si>
  <si>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</si>
  <si>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</si>
  <si>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</si>
  <si>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</si>
  <si>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</si>
  <si>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</si>
  <si>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</si>
  <si>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</si>
  <si>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</si>
  <si>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</si>
  <si>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</si>
  <si>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</si>
  <si>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</si>
  <si>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</si>
  <si>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</si>
  <si>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</si>
  <si>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</si>
  <si>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</si>
  <si>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</si>
  <si>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</si>
  <si>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</si>
  <si>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</si>
  <si>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</si>
  <si>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</si>
  <si>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</si>
  <si>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</si>
  <si>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</si>
  <si>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</si>
  <si>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</si>
  <si>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</si>
  <si>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</si>
  <si>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</si>
  <si>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</si>
  <si>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</si>
  <si>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</si>
  <si>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</si>
  <si>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</si>
  <si>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</si>
  <si>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</si>
  <si>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</si>
  <si>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</si>
  <si>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</si>
  <si>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</si>
  <si>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</si>
  <si>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</si>
  <si>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</si>
  <si>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</si>
  <si>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</si>
  <si>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</si>
  <si>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</si>
  <si>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</si>
  <si>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</si>
  <si>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</si>
  <si>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</si>
  <si>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</si>
  <si>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</si>
  <si>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</si>
  <si>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</si>
  <si>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</si>
  <si>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Max</t>
  </si>
  <si>
    <t>Provider or</t>
  </si>
  <si>
    <t>Rent Type</t>
  </si>
  <si>
    <t>Gross</t>
  </si>
  <si>
    <t>Operating</t>
  </si>
  <si>
    <t>(Select)</t>
  </si>
  <si>
    <t>(UA Sched 1 UA, 
so over-write if UA Sched 2 used)</t>
  </si>
  <si>
    <t>Affordable to:</t>
  </si>
  <si>
    <t>Put AMIs below Line</t>
  </si>
  <si>
    <t>Limit</t>
  </si>
  <si>
    <t>N/A-CS</t>
  </si>
  <si>
    <t>LI Income Average %</t>
  </si>
  <si>
    <t>4% / T-E Bonds:</t>
  </si>
  <si>
    <t>40/60 Test</t>
  </si>
  <si>
    <t>LI</t>
  </si>
  <si>
    <t>20/50 Test</t>
  </si>
  <si>
    <t>80% AMI</t>
  </si>
  <si>
    <t>(Includes inc-restr mgr units)</t>
  </si>
  <si>
    <t>70% AMI</t>
  </si>
  <si>
    <t>40% AMI</t>
  </si>
  <si>
    <t>30% AMI</t>
  </si>
  <si>
    <t>20% AMI</t>
  </si>
  <si>
    <t>Total Low Income</t>
  </si>
  <si>
    <t>(no rent charged)</t>
  </si>
  <si>
    <t xml:space="preserve">Income Limit Distribution among Bedroom Sizes </t>
  </si>
  <si>
    <t>Equal Distribution?</t>
  </si>
  <si>
    <t>Row Average</t>
  </si>
  <si>
    <r>
      <t xml:space="preserve">UNIT SUMMARY </t>
    </r>
    <r>
      <rPr>
        <i/>
        <sz val="9"/>
        <rFont val="Arial"/>
        <family val="2"/>
      </rPr>
      <t>(Continued)</t>
    </r>
  </si>
  <si>
    <r>
      <t xml:space="preserve">Building Type: (for </t>
    </r>
    <r>
      <rPr>
        <b/>
        <i/>
        <sz val="10"/>
        <rFont val="Arial"/>
        <family val="2"/>
      </rPr>
      <t>Utility Allowance, Monitoring Fees</t>
    </r>
    <r>
      <rPr>
        <sz val="10"/>
        <rFont val="Arial"/>
        <family val="2"/>
      </rPr>
      <t xml:space="preserve"> and other purposes)</t>
    </r>
  </si>
  <si>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</si>
  <si>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r>
      <t xml:space="preserve">Average Unit Sq Ft by </t>
    </r>
    <r>
      <rPr>
        <b/>
        <sz val="10"/>
        <rFont val="Arial"/>
        <family val="2"/>
      </rPr>
      <t>AMI% Level</t>
    </r>
  </si>
  <si>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</si>
  <si>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</si>
  <si>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r>
      <t>NOT</t>
    </r>
    <r>
      <rPr>
        <i/>
        <sz val="9"/>
        <color indexed="10"/>
        <rFont val="Arial"/>
        <family val="2"/>
      </rPr>
      <t xml:space="preserve"> Included in Mgt Fee:</t>
    </r>
  </si>
  <si>
    <t>(Mgt Fee - see Pro Forma, Sect 1, Operating Assumptions)</t>
  </si>
  <si>
    <t>Avg $/mth/unit</t>
  </si>
  <si>
    <t>Proposed average RR/unit amount:</t>
  </si>
  <si>
    <t>Minimum Replacement Reserve Calculation</t>
  </si>
  <si>
    <t>Units x RR Min</t>
  </si>
  <si>
    <t>GROUND LEASE PAYMENT</t>
  </si>
  <si>
    <t>Annual Payment</t>
  </si>
  <si>
    <t>Nbr of Yrs</t>
  </si>
  <si>
    <t>Total Payments</t>
  </si>
  <si>
    <t>Does lease have a Graduated Lease Payment / Step-Up provision?</t>
  </si>
  <si>
    <t>Is periodic?</t>
  </si>
  <si>
    <t>Yrs in period</t>
  </si>
  <si>
    <t>If constant increase, amount:</t>
  </si>
  <si>
    <t>VI.  DCA COMMENTS</t>
  </si>
  <si>
    <t>VII.  DCA COMMENTS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</si>
  <si>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</si>
  <si>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NOTE: 
Row size may be increased or decreased as needed.  
Press and hold Alt-Enter to start new paragraphs in the same box.</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</si>
  <si>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</si>
  <si>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</si>
  <si>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Total CF Before Any DDF Pymt</t>
  </si>
  <si>
    <t>Yrs Thru</t>
  </si>
  <si>
    <t>Total DDF Paid</t>
  </si>
  <si>
    <t>EGI</t>
  </si>
  <si>
    <t>Ground Lease Pymt</t>
  </si>
  <si>
    <t>D/S Other Source,not DDF</t>
  </si>
  <si>
    <t>Total DCR</t>
  </si>
  <si>
    <t>HUD PIH Office of Capital Improvements - Total Development Costs</t>
  </si>
  <si>
    <t>Per Unit (Avg)</t>
  </si>
  <si>
    <t>Historic / CTO</t>
  </si>
  <si>
    <t>City of Atlanta</t>
  </si>
  <si>
    <t>Other MSA</t>
  </si>
  <si>
    <t>With USDA 515 Funding</t>
  </si>
  <si>
    <t>Avg Per "Dwelling" unit hard costs - not including community bldgs and common areas.</t>
  </si>
  <si>
    <t>see UCL</t>
  </si>
  <si>
    <t>% of Total Construction Hard Costs</t>
  </si>
  <si>
    <t>N/A</t>
  </si>
  <si>
    <r>
      <t>% of subtotal of Land Improvements + Structures</t>
    </r>
    <r>
      <rPr>
        <sz val="7"/>
        <rFont val="Arial Narrow"/>
        <family val="2"/>
      </rPr>
      <t xml:space="preserve"> (on Core Application. Part IV – Uses of Funds)</t>
    </r>
  </si>
  <si>
    <t>DCA-Related Costs</t>
  </si>
  <si>
    <t>DCA Waiver and Pre-Application Fees</t>
  </si>
  <si>
    <t>Architectural Standards &amp; Design Options</t>
  </si>
  <si>
    <t>Optional Amenity Request</t>
  </si>
  <si>
    <t>Qualification Determination</t>
  </si>
  <si>
    <t>Operating Expense Waiver</t>
  </si>
  <si>
    <t>Tax Credit Application Fee and Third Party Review Fees</t>
  </si>
  <si>
    <t>Resubmission Fee</t>
  </si>
  <si>
    <t>For Incomplete Applications</t>
  </si>
  <si>
    <t>Payment &amp; Performance Bond Waiver</t>
  </si>
  <si>
    <t>Front-End Cost Review Fee</t>
  </si>
  <si>
    <t>Project Application Amendments, Post Award Project Concept Amendments, Post Letter of Determination</t>
  </si>
  <si>
    <t>Income Averaging Projects</t>
  </si>
  <si>
    <t>(same as LIHTC above unless noted separately in QAP)</t>
  </si>
  <si>
    <t>HOME Asset Management</t>
  </si>
  <si>
    <t>Per Project, annually</t>
  </si>
  <si>
    <t>Construction Inspection Fee (all 9% &amp; 4% projects, excluding HOME)</t>
  </si>
  <si>
    <t>SEE QAP</t>
  </si>
  <si>
    <t>Acq / Rhb</t>
  </si>
  <si>
    <t>?</t>
  </si>
  <si>
    <t>Amount Up To from available 9% credit pool</t>
  </si>
  <si>
    <t>Rural HOME Preservation</t>
  </si>
  <si>
    <t>Total Amount Up To from available 9% credit pool</t>
  </si>
  <si>
    <t>Per Project Amount Up To from available 9% credit pool</t>
  </si>
  <si>
    <t>Disaster Recovery</t>
  </si>
  <si>
    <t>Amount from State HOME allocation</t>
  </si>
  <si>
    <t>Percent of available 9% credit pool (minimum)</t>
  </si>
  <si>
    <t>remaining</t>
  </si>
  <si>
    <t>Unit Accessibility</t>
  </si>
  <si>
    <t>Equipped for Mobility Disabled Residents</t>
  </si>
  <si>
    <t>Percent of Total Units</t>
  </si>
  <si>
    <t>With Roll-In Showers</t>
  </si>
  <si>
    <t>Percent of Units Equipped for Mobility Disabled</t>
  </si>
  <si>
    <t>Equipped for Hearing- and Sight-Impaired Residents</t>
  </si>
  <si>
    <t>(Alphabetized by Area, Not MSA))</t>
  </si>
  <si>
    <t>2018 MTSP</t>
  </si>
  <si>
    <t>TDC Cost Limit Area</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</si>
  <si>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</si>
  <si>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</si>
  <si>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</si>
  <si>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</si>
  <si>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</si>
  <si>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</si>
  <si>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</si>
  <si>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</si>
  <si>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</si>
  <si>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</si>
  <si>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</si>
  <si>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</si>
  <si>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</si>
  <si>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</si>
  <si>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</si>
  <si>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</si>
  <si>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</si>
  <si>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</si>
  <si>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</si>
  <si>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</si>
  <si>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</si>
  <si>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</si>
  <si>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</si>
  <si>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</si>
  <si>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</si>
  <si>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</si>
  <si>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</si>
  <si>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</si>
  <si>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</si>
  <si>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</si>
  <si>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</si>
  <si>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</si>
  <si>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</si>
  <si>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</si>
  <si>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</si>
  <si>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</si>
  <si>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</si>
  <si>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</si>
  <si>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</si>
  <si>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</si>
  <si>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</si>
  <si>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</si>
  <si>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</si>
  <si>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</si>
  <si>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</si>
  <si>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</si>
  <si>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</si>
  <si>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</si>
  <si>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</si>
  <si>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</si>
  <si>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</si>
  <si>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</si>
  <si>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</si>
  <si>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</si>
  <si>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</si>
  <si>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</si>
  <si>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</si>
  <si>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</si>
  <si>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</si>
  <si>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</si>
  <si>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</si>
  <si>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</si>
  <si>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</si>
  <si>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</si>
  <si>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</si>
  <si>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</si>
  <si>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</si>
  <si>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</si>
  <si>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</si>
  <si>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</si>
  <si>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</si>
  <si>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</si>
  <si>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</si>
  <si>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</si>
  <si>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</si>
  <si>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</si>
  <si>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</si>
  <si>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</si>
  <si>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</si>
  <si>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</si>
  <si>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</si>
  <si>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</si>
  <si>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</si>
  <si>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</si>
  <si>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</si>
  <si>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</si>
  <si>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</si>
  <si>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</si>
  <si>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</si>
  <si>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</si>
  <si>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Lincoln County, GA HUD Metro FMR Area</t>
  </si>
  <si>
    <t>090</t>
  </si>
  <si>
    <t>091</t>
  </si>
  <si>
    <t>092</t>
  </si>
  <si>
    <t>093</t>
  </si>
  <si>
    <t>094</t>
  </si>
  <si>
    <t>095</t>
  </si>
  <si>
    <t>096</t>
  </si>
  <si>
    <t>097</t>
  </si>
  <si>
    <t>098</t>
  </si>
  <si>
    <t>099</t>
  </si>
  <si>
    <t>100</t>
  </si>
  <si>
    <t>101</t>
  </si>
  <si>
    <t>102</t>
  </si>
  <si>
    <t>103</t>
  </si>
  <si>
    <t>Morgan County, GA HUD Metro FMR Area</t>
  </si>
  <si>
    <t>104</t>
  </si>
  <si>
    <t>105</t>
  </si>
  <si>
    <t>106</t>
  </si>
  <si>
    <t>107</t>
  </si>
  <si>
    <t>108</t>
  </si>
  <si>
    <t>Chattahoochee Hills</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</si>
  <si>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</si>
  <si>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</si>
  <si>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</si>
  <si>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</si>
  <si>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</si>
  <si>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</si>
  <si>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</si>
  <si>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</si>
  <si>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</si>
  <si>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</si>
  <si>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</si>
  <si>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</si>
  <si>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</si>
  <si>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</si>
  <si>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</si>
  <si>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</si>
  <si>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</si>
  <si>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</si>
  <si>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</si>
  <si>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</si>
  <si>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</si>
  <si>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</si>
  <si>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</si>
  <si>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</si>
  <si>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</si>
  <si>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</si>
  <si>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</si>
  <si>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</si>
  <si>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</si>
  <si>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</si>
  <si>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</si>
  <si>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</si>
  <si>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</si>
  <si>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</si>
  <si>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</si>
  <si>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</si>
  <si>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</si>
  <si>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</si>
  <si>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</si>
  <si>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</si>
  <si>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</si>
  <si>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</si>
  <si>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</si>
  <si>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</si>
  <si>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</si>
  <si>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</si>
  <si>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</si>
  <si>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</si>
  <si>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</si>
  <si>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</si>
  <si>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</si>
  <si>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</si>
  <si>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Edge Hill</t>
  </si>
  <si>
    <t>Downtown Development Authority of the City of Jonesboro</t>
  </si>
  <si>
    <t>McRae-Helena</t>
  </si>
  <si>
    <t>South Fulton</t>
  </si>
  <si>
    <t>Stonecrest</t>
  </si>
  <si>
    <t>Tax Exempt Bonds: Allocation $</t>
  </si>
  <si>
    <r>
      <t xml:space="preserve">Affordable </t>
    </r>
    <r>
      <rPr>
        <b/>
        <i/>
        <u/>
        <sz val="10"/>
        <rFont val="Arial Narrow"/>
        <family val="2"/>
      </rPr>
      <t>non</t>
    </r>
    <r>
      <rPr>
        <sz val="10"/>
        <rFont val="Arial Narrow"/>
        <family val="2"/>
      </rPr>
      <t>public housing project</t>
    </r>
  </si>
  <si>
    <t>Section 8</t>
  </si>
  <si>
    <r>
      <t xml:space="preserve">Affordable </t>
    </r>
    <r>
      <rPr>
        <b/>
        <i/>
        <u/>
        <sz val="10"/>
        <rFont val="Arial Narrow"/>
        <family val="2"/>
      </rPr>
      <t>public</t>
    </r>
    <r>
      <rPr>
        <sz val="10"/>
        <rFont val="Arial Narrow"/>
        <family val="2"/>
      </rPr>
      <t xml:space="preserve"> housing project</t>
    </r>
  </si>
  <si>
    <t>Expiring USDA</t>
  </si>
  <si>
    <t>Source of Cost Limits Used:</t>
  </si>
  <si>
    <t>Check: Units and SF per Part VI</t>
  </si>
  <si>
    <t>80% AMI Units</t>
  </si>
  <si>
    <t>70% AMI Units</t>
  </si>
  <si>
    <t>60% AMI Units</t>
  </si>
  <si>
    <t>50% AMI Units</t>
  </si>
  <si>
    <t>40% AMI Units</t>
  </si>
  <si>
    <t>30% AMI Units</t>
  </si>
  <si>
    <t>20% AMI Units</t>
  </si>
  <si>
    <t># Units per Tenancy:</t>
  </si>
  <si>
    <t>Other Non-Sr</t>
  </si>
  <si>
    <t>Other Sr</t>
  </si>
  <si>
    <t>Required:</t>
  </si>
  <si>
    <t>&lt;&lt; Select LIHTC Election &gt;&gt;</t>
  </si>
  <si>
    <t>Select</t>
  </si>
  <si>
    <t>Disaster Rebuilding</t>
  </si>
  <si>
    <t>T-E Bond $ Allocated:</t>
  </si>
  <si>
    <t>Org Type:</t>
  </si>
  <si>
    <r>
      <t>LAND SELLER</t>
    </r>
    <r>
      <rPr>
        <sz val="10"/>
        <rFont val="Arial Narrow"/>
        <family val="2"/>
      </rPr>
      <t xml:space="preserve"> (If applicable)</t>
    </r>
  </si>
  <si>
    <t>10-Digit Phone / Ext.</t>
  </si>
  <si>
    <r>
      <t xml:space="preserve">IDENTITY OF INTEREST  </t>
    </r>
    <r>
      <rPr>
        <b/>
        <sz val="10"/>
        <color rgb="FFFF0000"/>
        <rFont val="Arial Narrow"/>
        <family val="2"/>
      </rPr>
      <t>(Applicant MUST answer all questions.  Answer "No" for "N/A" situations.)</t>
    </r>
  </si>
  <si>
    <t>Is there ID of interest between:</t>
  </si>
  <si>
    <t>Owner (or Developer) and Lender?</t>
  </si>
  <si>
    <t>Other (Indicate here the two roles involved)</t>
  </si>
  <si>
    <r>
      <t xml:space="preserve">ADDITIONAL INFORMATION </t>
    </r>
    <r>
      <rPr>
        <b/>
        <sz val="10"/>
        <color rgb="FFFF0000"/>
        <rFont val="Arial Narrow"/>
        <family val="2"/>
      </rPr>
      <t xml:space="preserve"> (Applicant MUST answer all questions. Answer "No" for "N/A" situations.)</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</si>
  <si>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</si>
  <si>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Please increase or decrease row size as needed.</t>
  </si>
  <si>
    <r>
      <t xml:space="preserve">Other </t>
    </r>
    <r>
      <rPr>
        <sz val="8"/>
        <color rgb="FFFF0000"/>
        <rFont val="Arial Narrow"/>
        <family val="2"/>
      </rPr>
      <t>Type</t>
    </r>
    <r>
      <rPr>
        <sz val="8"/>
        <rFont val="Arial Narrow"/>
        <family val="2"/>
      </rPr>
      <t xml:space="preserve"> of STATE/LOCAL Funding - describe </t>
    </r>
    <r>
      <rPr>
        <i/>
        <sz val="8"/>
        <rFont val="Arial Narrow"/>
        <family val="2"/>
      </rPr>
      <t>type/program</t>
    </r>
    <r>
      <rPr>
        <sz val="8"/>
        <rFont val="Arial Narrow"/>
        <family val="2"/>
      </rPr>
      <t xml:space="preserve"> here</t>
    </r>
  </si>
  <si>
    <r>
      <t xml:space="preserve">Specify </t>
    </r>
    <r>
      <rPr>
        <i/>
        <sz val="8"/>
        <color rgb="FFFF0000"/>
        <rFont val="Arial Narrow"/>
        <family val="2"/>
      </rPr>
      <t>Source/Administrator</t>
    </r>
    <r>
      <rPr>
        <sz val="8"/>
        <rFont val="Arial Narrow"/>
        <family val="2"/>
      </rPr>
      <t xml:space="preserve"> of Other STATE/LOCAL Funding here</t>
    </r>
  </si>
  <si>
    <t>???</t>
  </si>
  <si>
    <r>
      <t>MSA for Cost Limit purposes 
(</t>
    </r>
    <r>
      <rPr>
        <sz val="8"/>
        <rFont val="Arial"/>
        <family val="2"/>
      </rPr>
      <t>for 2015 to 2019 QAP)</t>
    </r>
    <r>
      <rPr>
        <sz val="9"/>
        <rFont val="Arial"/>
        <family val="2"/>
      </rPr>
      <t>:</t>
    </r>
  </si>
  <si>
    <r>
      <t>TAX CREDIT CARRYOVER ALLOCATION -</t>
    </r>
    <r>
      <rPr>
        <b/>
        <sz val="10"/>
        <rFont val="Arial Narrow"/>
        <family val="2"/>
      </rPr>
      <t xml:space="preserve"> </t>
    </r>
    <r>
      <rPr>
        <sz val="10"/>
        <rFont val="Arial Narrow"/>
        <family val="2"/>
      </rPr>
      <t>Lower of TC Project Maximum &amp; TC Request</t>
    </r>
  </si>
  <si>
    <r>
      <t>AMI</t>
    </r>
    <r>
      <rPr>
        <sz val="8"/>
        <color theme="0"/>
        <rFont val="Arial"/>
        <family val="2"/>
      </rPr>
      <t xml:space="preserve"> (MTSP)</t>
    </r>
  </si>
  <si>
    <t>20##-###</t>
  </si>
  <si>
    <t>Submetered*?</t>
  </si>
  <si>
    <t>** Must be verified by applicant using following websites:</t>
  </si>
  <si>
    <t>* Must be verified by applicant using following website:</t>
  </si>
  <si>
    <t>IDENTITY OF INTEREST  (Applicant MUST answer all questions.  Answer "No" for "N/A" situations.)</t>
  </si>
  <si>
    <t>ADDITIONAL INFORMATION  (Applicant MUST answer all questions. Answer "No" for "N/A" situations.)</t>
  </si>
  <si>
    <t>*New Construction units MUST be sub-metered.</t>
  </si>
  <si>
    <t>Historic Adaptive Reuse</t>
  </si>
  <si>
    <t>Page 1 Totals:</t>
  </si>
  <si>
    <t>Page 2 Totals:</t>
  </si>
  <si>
    <t>Page 3 Totals:</t>
  </si>
  <si>
    <t>Page 4 Totals:</t>
  </si>
  <si>
    <t>Per Part VI:</t>
  </si>
  <si>
    <t>(% of BR config Unit Total)</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</si>
  <si>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</si>
  <si>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</si>
  <si>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r>
      <t xml:space="preserve">    Diff between Proposed &amp; </t>
    </r>
    <r>
      <rPr>
        <i/>
        <u/>
        <sz val="9"/>
        <color theme="9" tint="-0.499984740745262"/>
        <rFont val="Arial Narrow"/>
        <family val="2"/>
      </rPr>
      <t>Exact</t>
    </r>
  </si>
  <si>
    <r>
      <t xml:space="preserve">    </t>
    </r>
    <r>
      <rPr>
        <i/>
        <u/>
        <sz val="9"/>
        <rFont val="Arial Narrow"/>
        <family val="2"/>
      </rPr>
      <t>Exact</t>
    </r>
    <r>
      <rPr>
        <sz val="9"/>
        <rFont val="Arial Narrow"/>
        <family val="2"/>
      </rPr>
      <t xml:space="preserve"> units needed for equal %</t>
    </r>
  </si>
  <si>
    <t>The items below must be submitted to DCA on a USB flash drive. Please use the folder template named "20xx-xxxProjectNameFinalAllocFldr" on DCA's website (https://www.dca.ga.gov/node/3556) to provide your documentation.  Replace "20xx-xxxProjectName" in the title with your DCA Project Number and abbreviated Project Name.  Avoid version references, spaces and special characters such as #, $, %, &amp;, etc in electronic file names of your documents.  Capitalize first letter of each word in file names.  Abbreviate wherever possible.</t>
  </si>
  <si>
    <t>*Note: Please read "AFHMP Owner's Checklist" located on DCA website (see link above) when providing your marketing plan.</t>
  </si>
  <si>
    <t>Blue-shaded cells are unlocked for your use and do not contain references/formulas.</t>
  </si>
  <si>
    <t>Green-shaded cells are unlocked for your use and do contain references/formulas that can be overwritten.</t>
  </si>
  <si>
    <t>Legislative Districts **</t>
  </si>
  <si>
    <t>Type of Construction:</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</si>
  <si>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</si>
  <si>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</si>
  <si>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</si>
  <si>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</si>
  <si>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</si>
  <si>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</si>
  <si>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</si>
  <si>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</si>
  <si>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</si>
  <si>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</si>
  <si>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</si>
  <si>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</si>
  <si>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</si>
  <si>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FINAL Tax Credit Allocation Request</t>
  </si>
  <si>
    <r>
      <t>9-digit Zip</t>
    </r>
    <r>
      <rPr>
        <sz val="11"/>
        <color theme="0"/>
        <rFont val="Arial Narrow"/>
        <family val="2"/>
      </rPr>
      <t>**</t>
    </r>
  </si>
  <si>
    <r>
      <t>Family or Senior</t>
    </r>
    <r>
      <rPr>
        <sz val="8"/>
        <color theme="0"/>
        <rFont val="Arial Narrow"/>
        <family val="2"/>
      </rPr>
      <t xml:space="preserve"> (if Senior, specify Elderly or HFOP)</t>
    </r>
  </si>
  <si>
    <r>
      <t>RENT AND INCOME ELECTIONS</t>
    </r>
    <r>
      <rPr>
        <sz val="8"/>
        <color theme="0"/>
        <rFont val="Arial Narrow"/>
        <family val="2"/>
      </rPr>
      <t xml:space="preserve"> (Chosen at initial application)</t>
    </r>
  </si>
  <si>
    <r>
      <t xml:space="preserve">SET ASIDES </t>
    </r>
    <r>
      <rPr>
        <sz val="8"/>
        <color theme="0"/>
        <rFont val="Arial Narrow"/>
        <family val="2"/>
      </rPr>
      <t>(Chosen at initial application)</t>
    </r>
  </si>
  <si>
    <r>
      <t>COMPETITIVE POOL</t>
    </r>
    <r>
      <rPr>
        <sz val="8"/>
        <color theme="0"/>
        <rFont val="Arial Narrow"/>
        <family val="2"/>
      </rPr>
      <t xml:space="preserve"> (Chosen at initial application)</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</si>
  <si>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</si>
  <si>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</si>
  <si>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</si>
  <si>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</si>
  <si>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</si>
  <si>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</si>
  <si>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</si>
  <si>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</si>
  <si>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</si>
  <si>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</si>
  <si>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</si>
  <si>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</si>
  <si>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</si>
  <si>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</si>
  <si>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</si>
  <si>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</si>
  <si>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CARRYOVER ALLOCATION -</t>
    </r>
    <r>
      <rPr>
        <sz val="10"/>
        <color theme="0"/>
        <rFont val="Arial Narrow"/>
        <family val="2"/>
      </rPr>
      <t xml:space="preserve"> Lower of TC Project Maximum &amp; TC Request</t>
    </r>
  </si>
  <si>
    <r>
      <t xml:space="preserve">Certified Historic/ Deemed Historic? 
</t>
    </r>
    <r>
      <rPr>
        <sz val="8"/>
        <color theme="0"/>
        <rFont val="Arial"/>
        <family val="2"/>
      </rPr>
      <t>(See QAP)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</si>
  <si>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</si>
  <si>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</si>
  <si>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</si>
  <si>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</si>
  <si>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</si>
  <si>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</si>
  <si>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</si>
  <si>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</si>
  <si>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t>https://www.dca.ga.gov/node/3556</t>
  </si>
  <si>
    <t xml:space="preserve">to provide your documentation.  Replace "20xx-xxxProjectName" in the title with your own DCA Project Number and abbreviated Project Name.  </t>
  </si>
  <si>
    <t>When naming your individual electronic files for submission, follow these simple rules:</t>
  </si>
  <si>
    <t>d.</t>
  </si>
  <si>
    <t>e.</t>
  </si>
  <si>
    <t>Do not use spaces.</t>
  </si>
  <si>
    <t>f.</t>
  </si>
  <si>
    <t>g.</t>
  </si>
  <si>
    <t>Do not use special characters such as #, $, %, &amp;, (, ), "", !, etc.</t>
  </si>
  <si>
    <t>Do not use revision dates or revision numbers.</t>
  </si>
  <si>
    <t xml:space="preserve">Capitalize the first letter of each word in the file name.  </t>
  </si>
  <si>
    <t>Abbreviate as much as possible and still be recognizable to someone unfamiliar with your project.</t>
  </si>
  <si>
    <t>Name the file sensibly such that it is obvious to DCA what is in it without opening it.</t>
  </si>
  <si>
    <t>Do not repeat the DCA Project Number and Project Name in the file name - it is sufficient to have these in the top folder level.</t>
  </si>
  <si>
    <t>4)</t>
  </si>
  <si>
    <t>Any outstanding fees must be paid at the time of submission</t>
  </si>
  <si>
    <t xml:space="preserve">Please use the Final Allocation Application Submission Folders folder template named "20xx-xxxProjectNameFinalAllocFldr" at </t>
  </si>
  <si>
    <t>Please make checks payable to Georgia Housing Finance Authority (GHFA).</t>
  </si>
  <si>
    <t>60 Executive Park South, NE</t>
  </si>
  <si>
    <t>ATTN: OHF Program Assistant</t>
  </si>
  <si>
    <t>Fees must be delivered to:</t>
  </si>
  <si>
    <t xml:space="preserve">HFDD Office of Housing Finance </t>
  </si>
  <si>
    <t>Documentation must also be submitted to DCA’s Construction Services department and Compliance department for issuance of 8609 tax forms.</t>
  </si>
  <si>
    <r>
      <t xml:space="preserve">If you have not done so already, please submit your </t>
    </r>
    <r>
      <rPr>
        <u/>
        <sz val="11"/>
        <rFont val="Arial"/>
        <family val="2"/>
      </rPr>
      <t>DCA Final Inspection Submission</t>
    </r>
    <r>
      <rPr>
        <sz val="11"/>
        <rFont val="Arial"/>
        <family val="2"/>
      </rPr>
      <t xml:space="preserve"> and </t>
    </r>
    <r>
      <rPr>
        <u/>
        <sz val="11"/>
        <rFont val="Arial"/>
        <family val="2"/>
      </rPr>
      <t>Construction 8609 Clearance Submission</t>
    </r>
    <r>
      <rPr>
        <sz val="11"/>
        <rFont val="Arial"/>
        <family val="2"/>
      </rPr>
      <t xml:space="preserve"> to our Construction Services department for review (tax credit projects; including bonds). 
If your deal has HOME funds, please submit the </t>
    </r>
    <r>
      <rPr>
        <u/>
        <sz val="11"/>
        <rFont val="Arial"/>
        <family val="2"/>
      </rPr>
      <t>HOME Final Draw Submission</t>
    </r>
    <r>
      <rPr>
        <sz val="11"/>
        <rFont val="Arial"/>
        <family val="2"/>
      </rPr>
      <t xml:space="preserve"> instead.</t>
    </r>
  </si>
  <si>
    <t>hfdround@dca.ga.gov</t>
  </si>
  <si>
    <t>If you have questions regarding this process, please contact the Tax Credit Manager (or Construction Manager, if construction issue) at</t>
  </si>
  <si>
    <t>for additional information.</t>
  </si>
  <si>
    <t>OHFFinalAllocationAppSubmit@gadca.onmicrosoft.com</t>
  </si>
  <si>
    <t>Should you have any LIHTC-related problems or questions when completing this form, please contact hfdround@dca.ga.gov.</t>
  </si>
  <si>
    <t>If you have questions regarding this process, please contact the Tax Credit Manager at hfdround@dca.ga.gov for additional information.</t>
  </si>
  <si>
    <t>Should you have any Excel-related problems or questions when completing this form, please contact Stephen Barrett by e-mail at:</t>
  </si>
  <si>
    <t>Stephen.Barrett@dca.ga.gov</t>
  </si>
  <si>
    <t>All completed Final Allocation Applications must be submitted to DCA at:</t>
  </si>
  <si>
    <t>Applications may be submitted via a Onedrive/Google drive, access link or zip compressed folder - all are acceptable. DCA will confirm receipt once received.</t>
  </si>
  <si>
    <t>Please include with fee check a printed copy of the completed Part I-Project Information tab from this Excel workbook.</t>
  </si>
  <si>
    <r>
      <t xml:space="preserve">The items below must be submitted to DCA at OHFFinalAllocationAppSubmit@gadca.onmicrosoft.com using the folder template named </t>
    </r>
    <r>
      <rPr>
        <b/>
        <sz val="10"/>
        <rFont val="Arial"/>
        <family val="2"/>
      </rPr>
      <t>"20xx-xxxProjectNameFinalAllocFldr"</t>
    </r>
    <r>
      <rPr>
        <sz val="10"/>
        <rFont val="Arial"/>
        <family val="2"/>
      </rPr>
      <t xml:space="preserve"> on DCA's website (</t>
    </r>
    <r>
      <rPr>
        <sz val="10"/>
        <color rgb="FFFF0000"/>
        <rFont val="Arial"/>
        <family val="2"/>
      </rPr>
      <t>https://www.dca.ga.gov/node/3556</t>
    </r>
    <r>
      <rPr>
        <sz val="10"/>
        <rFont val="Arial"/>
        <family val="2"/>
      </rPr>
      <t>) to provide your documentation.  Replace "20xx-xxxProjectName" in the title with your DCA Project Number and abbreviated Project Name.  Avoid version references, spaces and special characters such as #, $, %, &amp;, etc in electronic file names of your documents.  Capitalize first letter of each word in file names.  Abbreviate wherever possible.</t>
    </r>
  </si>
  <si>
    <t>SB OHF Test Villas</t>
  </si>
  <si>
    <t>Project CIty:</t>
  </si>
  <si>
    <t>Content Last Updated: December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</si>
</sst>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m/d/yyyy;@"/>
    <numFmt numFmtId="183" formatCode="mmmm\ d\,\ yyyy"/>
  </numFmts>
  <fonts count="204">
    <font>
      <sz val="10"/>
      <name val="Arial"/>
    </font>
    <font>
      <sz val="11"/>
      <color theme="1"/>
      <name val="Arial"/>
      <family val="2"/>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9"/>
      <name val="Arial"/>
      <family val="2"/>
    </font>
    <font>
      <b/>
      <i/>
      <sz val="10"/>
      <name val="Arial"/>
      <family val="2"/>
    </font>
    <font>
      <sz val="10"/>
      <name val="Arial"/>
      <family val="2"/>
    </font>
    <font>
      <i/>
      <sz val="10"/>
      <name val="Arial"/>
      <family val="2"/>
    </font>
    <font>
      <b/>
      <i/>
      <sz val="9"/>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sz val="10"/>
      <color indexed="9"/>
      <name val="Arial"/>
      <family val="2"/>
    </font>
    <font>
      <b/>
      <sz val="9"/>
      <color indexed="9"/>
      <name val="Arial"/>
      <family val="2"/>
    </font>
    <font>
      <b/>
      <sz val="9"/>
      <color indexed="10"/>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9"/>
      <color indexed="10"/>
      <name val="Arial"/>
      <family val="2"/>
    </font>
    <font>
      <i/>
      <u/>
      <sz val="8"/>
      <name val="Arial Narrow"/>
      <family val="2"/>
    </font>
    <font>
      <u/>
      <sz val="9"/>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0"/>
      <color rgb="FFFF000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8"/>
      <color rgb="FF000000"/>
      <name val="Arial Narrow"/>
      <family val="2"/>
    </font>
    <font>
      <b/>
      <sz val="12"/>
      <color indexed="9"/>
      <name val="Arial"/>
      <family val="2"/>
    </font>
    <font>
      <sz val="12"/>
      <name val="Arial Narrow"/>
      <family val="2"/>
    </font>
    <font>
      <b/>
      <u/>
      <sz val="12"/>
      <name val="Arial Narrow"/>
      <family val="2"/>
    </font>
    <font>
      <b/>
      <sz val="14"/>
      <color rgb="FFFF0000"/>
      <name val="Arial"/>
      <family val="2"/>
    </font>
    <font>
      <u/>
      <sz val="11"/>
      <name val="Arial"/>
      <family val="2"/>
    </font>
    <font>
      <sz val="9"/>
      <color rgb="FFFF0000"/>
      <name val="Arial Narrow"/>
      <family val="2"/>
    </font>
    <font>
      <i/>
      <sz val="9"/>
      <name val="Arial Narrow"/>
      <family val="2"/>
    </font>
    <font>
      <i/>
      <sz val="9"/>
      <color rgb="FFFF0000"/>
      <name val="Arial Narrow"/>
      <family val="2"/>
    </font>
    <font>
      <sz val="5"/>
      <color rgb="FFFF0000"/>
      <name val="Arial Narrow"/>
      <family val="2"/>
    </font>
    <font>
      <b/>
      <sz val="8"/>
      <color rgb="FF0066FF"/>
      <name val="Arial"/>
      <family val="2"/>
    </font>
    <font>
      <sz val="8"/>
      <color rgb="FF0066FF"/>
      <name val="Arial"/>
      <family val="2"/>
    </font>
    <font>
      <b/>
      <sz val="9"/>
      <color rgb="FF0066FF"/>
      <name val="Arial"/>
      <family val="2"/>
    </font>
    <font>
      <b/>
      <sz val="10"/>
      <color rgb="FF0000FF"/>
      <name val="Arial"/>
      <family val="2"/>
    </font>
    <font>
      <i/>
      <sz val="10"/>
      <color indexed="9"/>
      <name val="Arial"/>
      <family val="2"/>
    </font>
    <font>
      <b/>
      <i/>
      <sz val="9"/>
      <color indexed="17"/>
      <name val="Arial"/>
      <family val="2"/>
    </font>
    <font>
      <i/>
      <sz val="9"/>
      <color indexed="10"/>
      <name val="Arial"/>
      <family val="2"/>
    </font>
    <font>
      <i/>
      <sz val="8"/>
      <color rgb="FFFF0000"/>
      <name val="Arial"/>
      <family val="2"/>
    </font>
    <font>
      <i/>
      <u/>
      <sz val="10"/>
      <color rgb="FFFF0000"/>
      <name val="Arial"/>
      <family val="2"/>
    </font>
    <font>
      <sz val="7"/>
      <color rgb="FFFF0000"/>
      <name val="Arial"/>
      <family val="2"/>
    </font>
    <font>
      <b/>
      <u/>
      <sz val="8"/>
      <color rgb="FFFF0000"/>
      <name val="Arial Narrow"/>
      <family val="2"/>
    </font>
    <font>
      <i/>
      <sz val="8"/>
      <color rgb="FFFF0000"/>
      <name val="Arial Narrow"/>
      <family val="2"/>
    </font>
    <font>
      <i/>
      <sz val="10"/>
      <color theme="0"/>
      <name val="Arial"/>
      <family val="2"/>
    </font>
    <font>
      <sz val="10"/>
      <color rgb="FF000000"/>
      <name val="Arial"/>
      <family val="2"/>
    </font>
    <font>
      <sz val="9"/>
      <color theme="9" tint="-0.499984740745262"/>
      <name val="Arial"/>
      <family val="2"/>
    </font>
    <font>
      <sz val="8"/>
      <color theme="9" tint="-0.499984740745262"/>
      <name val="Arial"/>
      <family val="2"/>
    </font>
    <font>
      <sz val="10"/>
      <color theme="9" tint="-0.499984740745262"/>
      <name val="Arial"/>
      <family val="2"/>
    </font>
    <font>
      <i/>
      <u/>
      <sz val="9"/>
      <name val="Arial Narrow"/>
      <family val="2"/>
    </font>
    <font>
      <sz val="9"/>
      <color theme="9" tint="-0.499984740745262"/>
      <name val="Arial Narrow"/>
      <family val="2"/>
    </font>
    <font>
      <i/>
      <u/>
      <sz val="9"/>
      <color theme="9" tint="-0.499984740745262"/>
      <name val="Arial Narrow"/>
      <family val="2"/>
    </font>
    <font>
      <sz val="9"/>
      <color theme="0"/>
      <name val="Arial Narrow"/>
      <family val="2"/>
    </font>
    <font>
      <sz val="11"/>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2"/>
      <color theme="0"/>
      <name val="Arial Narrow"/>
      <family val="2"/>
    </font>
    <font>
      <i/>
      <u/>
      <sz val="8"/>
      <color theme="0"/>
      <name val="Arial Narrow"/>
      <family val="2"/>
    </font>
    <font>
      <sz val="7"/>
      <color theme="0"/>
      <name val="Arial Narrow"/>
      <family val="2"/>
    </font>
    <font>
      <i/>
      <sz val="9"/>
      <color theme="0"/>
      <name val="Arial"/>
      <family val="2"/>
    </font>
    <font>
      <sz val="6"/>
      <color theme="0"/>
      <name val="Arial Narrow"/>
      <family val="2"/>
    </font>
    <font>
      <sz val="5"/>
      <color theme="0"/>
      <name val="Arial Narrow"/>
      <family val="2"/>
    </font>
    <font>
      <sz val="11"/>
      <color theme="0"/>
      <name val="Arial"/>
      <family val="2"/>
    </font>
    <font>
      <i/>
      <sz val="8"/>
      <color theme="0"/>
      <name val="Arial"/>
      <family val="2"/>
    </font>
    <font>
      <u/>
      <sz val="9"/>
      <color theme="0"/>
      <name val="Arial"/>
      <family val="2"/>
    </font>
    <font>
      <i/>
      <u/>
      <sz val="10"/>
      <color theme="0"/>
      <name val="Arial"/>
      <family val="2"/>
    </font>
    <font>
      <sz val="7"/>
      <color theme="0"/>
      <name val="Arial"/>
      <family val="2"/>
    </font>
    <font>
      <u/>
      <sz val="11"/>
      <color indexed="12"/>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theme="5" tint="0.59999389629810485"/>
        <bgColor indexed="64"/>
      </patternFill>
    </fill>
    <fill>
      <patternFill patternType="solid">
        <fgColor rgb="FFCCCCFF"/>
        <bgColor indexed="64"/>
      </patternFill>
    </fill>
    <fill>
      <patternFill patternType="solid">
        <fgColor rgb="FFFD938B"/>
        <bgColor indexed="64"/>
      </patternFill>
    </fill>
    <fill>
      <patternFill patternType="solid">
        <fgColor theme="9" tint="0.59999389629810485"/>
        <bgColor indexed="64"/>
      </patternFill>
    </fill>
    <fill>
      <patternFill patternType="solid">
        <fgColor rgb="FFCCFFFF"/>
        <bgColor auto="1"/>
      </patternFill>
    </fill>
  </fills>
  <borders count="12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auto="1"/>
      </left>
      <right style="hair">
        <color auto="1"/>
      </right>
      <top style="thin">
        <color auto="1"/>
      </top>
      <bottom style="thin">
        <color auto="1"/>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auto="1"/>
      </left>
      <right style="hair">
        <color auto="1"/>
      </right>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right style="hair">
        <color indexed="64"/>
      </right>
      <top style="thin">
        <color indexed="64"/>
      </top>
      <bottom style="hair">
        <color indexed="64"/>
      </bottom>
      <diagonal/>
    </border>
  </borders>
  <cellStyleXfs count="30">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28"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08" fillId="0" borderId="0" applyNumberFormat="0" applyFill="0" applyBorder="0" applyAlignment="0" applyProtection="0"/>
    <xf numFmtId="43" fontId="109" fillId="0" borderId="0" applyFont="0" applyFill="0" applyBorder="0" applyAlignment="0" applyProtection="0"/>
    <xf numFmtId="44" fontId="27" fillId="0" borderId="0" applyFont="0" applyFill="0" applyBorder="0" applyAlignment="0" applyProtection="0"/>
    <xf numFmtId="15" fontId="110" fillId="0" borderId="86" applyFont="0" applyFill="0" applyBorder="0" applyProtection="0">
      <alignment horizontal="center"/>
      <protection locked="0"/>
    </xf>
    <xf numFmtId="179" fontId="111" fillId="0" borderId="0" applyFont="0" applyFill="0" applyBorder="0" applyAlignment="0" applyProtection="0"/>
    <xf numFmtId="38" fontId="110" fillId="0" borderId="0" applyFill="0" applyBorder="0" applyAlignment="0" applyProtection="0"/>
    <xf numFmtId="180" fontId="112" fillId="0" borderId="0" applyFill="0" applyBorder="0" applyAlignment="0" applyProtection="0">
      <alignment horizontal="right"/>
    </xf>
    <xf numFmtId="37" fontId="113" fillId="0" borderId="86" applyNumberFormat="0" applyFont="0" applyFill="0" applyAlignment="0" applyProtection="0">
      <alignment horizontal="center" vertical="center"/>
    </xf>
    <xf numFmtId="37" fontId="114" fillId="0" borderId="0"/>
    <xf numFmtId="0" fontId="3" fillId="0" borderId="0"/>
    <xf numFmtId="0" fontId="3" fillId="0" borderId="0"/>
    <xf numFmtId="0" fontId="115" fillId="0" borderId="0" applyNumberFormat="0" applyFill="0" applyBorder="0" applyAlignment="0" applyProtection="0"/>
    <xf numFmtId="37" fontId="116" fillId="0" borderId="0" applyFill="0" applyBorder="0" applyAlignment="0" applyProtection="0"/>
    <xf numFmtId="9" fontId="109" fillId="0" borderId="0" applyFont="0" applyFill="0" applyBorder="0" applyAlignment="0" applyProtection="0"/>
    <xf numFmtId="0" fontId="3" fillId="0" borderId="0"/>
    <xf numFmtId="0" fontId="1" fillId="0" borderId="0"/>
  </cellStyleXfs>
  <cellXfs count="2694">
    <xf numFmtId="0" fontId="0" fillId="0" borderId="0" xfId="0"/>
    <xf numFmtId="0" fontId="12" fillId="0" borderId="0" xfId="0" applyFont="1" applyFill="1" applyAlignment="1" applyProtection="1">
      <alignment vertical="center"/>
    </xf>
    <xf numFmtId="0" fontId="8" fillId="0" borderId="0" xfId="0" applyFont="1" applyFill="1" applyAlignment="1" applyProtection="1">
      <alignment vertical="center"/>
    </xf>
    <xf numFmtId="0" fontId="12" fillId="0" borderId="0" xfId="0" applyFont="1" applyFill="1" applyProtection="1"/>
    <xf numFmtId="0" fontId="8" fillId="0" borderId="0" xfId="0" applyFont="1" applyFill="1" applyBorder="1" applyAlignment="1" applyProtection="1">
      <alignment vertical="center"/>
    </xf>
    <xf numFmtId="0" fontId="8" fillId="0" borderId="0" xfId="0" applyFont="1" applyFill="1" applyProtection="1"/>
    <xf numFmtId="164" fontId="8" fillId="0" borderId="0" xfId="1" applyNumberFormat="1" applyFont="1" applyFill="1" applyProtection="1"/>
    <xf numFmtId="0" fontId="0" fillId="0" borderId="0" xfId="0" applyProtection="1"/>
    <xf numFmtId="0" fontId="8" fillId="0" borderId="0" xfId="0" applyFont="1" applyFill="1" applyBorder="1" applyProtection="1"/>
    <xf numFmtId="0" fontId="8" fillId="0" borderId="0" xfId="0" applyFont="1" applyFill="1" applyAlignment="1" applyProtection="1"/>
    <xf numFmtId="0" fontId="0" fillId="0" borderId="0" xfId="0" applyAlignment="1" applyProtection="1">
      <alignment vertical="center"/>
    </xf>
    <xf numFmtId="0" fontId="19" fillId="0" borderId="0" xfId="0" applyFont="1" applyFill="1" applyProtection="1"/>
    <xf numFmtId="0" fontId="4" fillId="0" borderId="0" xfId="0" applyFont="1" applyFill="1" applyAlignment="1" applyProtection="1">
      <alignment horizontal="left" vertical="center"/>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vertical="center"/>
    </xf>
    <xf numFmtId="0" fontId="5" fillId="0" borderId="0" xfId="0" applyFont="1" applyFill="1" applyAlignment="1" applyProtection="1">
      <alignment horizontal="center" vertical="center"/>
    </xf>
    <xf numFmtId="0" fontId="8" fillId="0" borderId="0" xfId="0" applyFont="1" applyAlignment="1" applyProtection="1">
      <alignment horizontal="center"/>
    </xf>
    <xf numFmtId="0" fontId="0" fillId="0" borderId="0" xfId="0" applyAlignment="1" applyProtection="1">
      <alignment horizontal="center"/>
    </xf>
    <xf numFmtId="0" fontId="24" fillId="0" borderId="0" xfId="0" applyFont="1" applyFill="1" applyProtection="1"/>
    <xf numFmtId="0" fontId="13" fillId="0" borderId="0" xfId="0" applyFont="1" applyFill="1" applyProtection="1"/>
    <xf numFmtId="0" fontId="24" fillId="0" borderId="0" xfId="0" applyFont="1" applyFill="1" applyAlignment="1" applyProtection="1">
      <alignment vertical="center"/>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0" fillId="0" borderId="0" xfId="0" applyAlignment="1" applyProtection="1">
      <alignment vertical="top" wrapText="1"/>
    </xf>
    <xf numFmtId="0" fontId="13" fillId="0" borderId="0" xfId="0" applyFont="1" applyFill="1" applyAlignment="1" applyProtection="1">
      <alignment vertical="center"/>
    </xf>
    <xf numFmtId="0" fontId="14" fillId="0" borderId="0" xfId="0" applyFont="1" applyFill="1" applyAlignment="1" applyProtection="1">
      <alignment horizontal="left" vertical="center"/>
    </xf>
    <xf numFmtId="0" fontId="0" fillId="0" borderId="0" xfId="0" applyBorder="1" applyProtection="1"/>
    <xf numFmtId="0" fontId="7" fillId="0" borderId="0" xfId="0" applyFont="1" applyAlignment="1" applyProtection="1">
      <alignment vertical="center"/>
    </xf>
    <xf numFmtId="0" fontId="19" fillId="0" borderId="0" xfId="0" applyFont="1" applyFill="1" applyBorder="1" applyProtection="1"/>
    <xf numFmtId="0" fontId="31" fillId="0" borderId="0" xfId="0" applyFont="1" applyFill="1" applyAlignment="1" applyProtection="1">
      <alignment vertical="center"/>
    </xf>
    <xf numFmtId="0" fontId="16" fillId="0" borderId="0" xfId="0" applyFont="1" applyFill="1" applyBorder="1" applyAlignment="1" applyProtection="1">
      <alignment vertical="top"/>
    </xf>
    <xf numFmtId="0" fontId="3" fillId="0" borderId="0" xfId="0" applyFont="1" applyFill="1" applyProtection="1"/>
    <xf numFmtId="0" fontId="0" fillId="0" borderId="0" xfId="0" applyAlignment="1" applyProtection="1">
      <alignment vertical="center" wrapText="1"/>
    </xf>
    <xf numFmtId="0" fontId="24" fillId="0" borderId="0" xfId="0" applyFont="1" applyFill="1" applyBorder="1" applyProtection="1"/>
    <xf numFmtId="0" fontId="0" fillId="0" borderId="0" xfId="0" applyAlignment="1" applyProtection="1">
      <alignment wrapText="1"/>
    </xf>
    <xf numFmtId="164" fontId="13" fillId="0" borderId="0" xfId="1" applyNumberFormat="1" applyFont="1" applyFill="1" applyBorder="1" applyAlignment="1" applyProtection="1">
      <alignment horizontal="center" vertical="center"/>
    </xf>
    <xf numFmtId="1" fontId="13" fillId="5" borderId="15" xfId="1" applyNumberFormat="1" applyFont="1" applyFill="1" applyBorder="1" applyAlignment="1" applyProtection="1">
      <alignment horizontal="center" vertical="center"/>
      <protection locked="0"/>
    </xf>
    <xf numFmtId="173" fontId="13" fillId="5" borderId="15" xfId="1" applyNumberFormat="1" applyFont="1" applyFill="1" applyBorder="1" applyAlignment="1" applyProtection="1">
      <alignment horizontal="center" vertical="center"/>
      <protection locked="0"/>
    </xf>
    <xf numFmtId="3" fontId="13" fillId="5" borderId="15" xfId="1" applyNumberFormat="1" applyFont="1" applyFill="1" applyBorder="1" applyAlignment="1" applyProtection="1">
      <alignment horizontal="center" vertical="center"/>
      <protection locked="0"/>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26" fillId="0" borderId="0" xfId="0" applyFont="1" applyFill="1" applyBorder="1" applyAlignment="1" applyProtection="1">
      <alignment vertical="center"/>
    </xf>
    <xf numFmtId="0" fontId="12" fillId="0" borderId="0" xfId="0" applyFont="1" applyProtection="1"/>
    <xf numFmtId="0" fontId="35" fillId="0" borderId="0" xfId="0" applyFont="1" applyAlignment="1" applyProtection="1"/>
    <xf numFmtId="0" fontId="37" fillId="0" borderId="0" xfId="0" applyFont="1" applyFill="1" applyBorder="1" applyAlignment="1" applyProtection="1">
      <alignment horizontal="center"/>
    </xf>
    <xf numFmtId="0" fontId="39" fillId="0" borderId="0" xfId="0" applyFont="1" applyAlignment="1" applyProtection="1">
      <alignment vertical="center"/>
    </xf>
    <xf numFmtId="0" fontId="39" fillId="0" borderId="0" xfId="0" applyFont="1"/>
    <xf numFmtId="0" fontId="40" fillId="0" borderId="0" xfId="0" applyFont="1" applyFill="1" applyBorder="1" applyAlignment="1" applyProtection="1">
      <alignment horizontal="center" vertical="center"/>
    </xf>
    <xf numFmtId="0" fontId="36" fillId="0" borderId="0" xfId="0" applyFont="1" applyAlignment="1" applyProtection="1">
      <alignment vertical="center"/>
    </xf>
    <xf numFmtId="0" fontId="41" fillId="0" borderId="0" xfId="0" applyFont="1" applyAlignment="1" applyProtection="1">
      <alignment horizontal="center" vertical="center"/>
    </xf>
    <xf numFmtId="0" fontId="36" fillId="0" borderId="0" xfId="0" applyFont="1" applyFill="1" applyAlignment="1" applyProtection="1">
      <alignment vertical="center"/>
    </xf>
    <xf numFmtId="0" fontId="0" fillId="0" borderId="0" xfId="0" applyFill="1" applyProtection="1"/>
    <xf numFmtId="177" fontId="12" fillId="0" borderId="0" xfId="0" applyNumberFormat="1" applyFont="1" applyAlignment="1" applyProtection="1">
      <alignment horizontal="center"/>
    </xf>
    <xf numFmtId="0" fontId="0" fillId="0" borderId="18" xfId="0" applyBorder="1" applyAlignment="1" applyProtection="1">
      <alignment horizontal="center"/>
    </xf>
    <xf numFmtId="177" fontId="12" fillId="0" borderId="18"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19" xfId="0" applyFill="1"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8" xfId="0" applyFill="1" applyBorder="1" applyAlignment="1" applyProtection="1">
      <alignment horizontal="center"/>
    </xf>
    <xf numFmtId="0" fontId="5" fillId="0" borderId="0" xfId="0" applyFont="1" applyFill="1" applyAlignment="1" applyProtection="1">
      <alignment horizontal="center"/>
    </xf>
    <xf numFmtId="0" fontId="46" fillId="0" borderId="0" xfId="0" applyFont="1" applyAlignment="1" applyProtection="1">
      <alignment horizontal="center"/>
    </xf>
    <xf numFmtId="0" fontId="4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19" xfId="0" applyBorder="1" applyAlignment="1" applyProtection="1">
      <alignment horizontal="center"/>
    </xf>
    <xf numFmtId="0" fontId="0" fillId="0" borderId="19" xfId="0" applyBorder="1" applyProtection="1"/>
    <xf numFmtId="8" fontId="0" fillId="0" borderId="19" xfId="0" applyNumberFormat="1" applyBorder="1" applyProtection="1"/>
    <xf numFmtId="0" fontId="0" fillId="0" borderId="20" xfId="0" applyBorder="1" applyAlignment="1" applyProtection="1">
      <alignment horizontal="center"/>
    </xf>
    <xf numFmtId="8" fontId="0" fillId="0" borderId="20" xfId="0" applyNumberFormat="1" applyBorder="1" applyProtection="1"/>
    <xf numFmtId="0" fontId="0" fillId="0" borderId="20"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2" xfId="0" applyNumberFormat="1" applyFont="1" applyBorder="1" applyAlignment="1" applyProtection="1">
      <alignment horizontal="center" vertical="center"/>
    </xf>
    <xf numFmtId="0" fontId="8" fillId="0" borderId="12" xfId="0" applyFont="1" applyBorder="1" applyAlignment="1" applyProtection="1">
      <alignment horizontal="center" vertical="center" wrapText="1"/>
    </xf>
    <xf numFmtId="8" fontId="12" fillId="0" borderId="19" xfId="0" applyNumberFormat="1" applyFont="1" applyBorder="1" applyAlignment="1" applyProtection="1">
      <alignment horizontal="center"/>
    </xf>
    <xf numFmtId="8" fontId="12" fillId="0" borderId="18"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7" fillId="0" borderId="0" xfId="0" applyFont="1" applyAlignment="1" applyProtection="1">
      <alignment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46" fillId="0" borderId="0" xfId="0" applyNumberFormat="1" applyFont="1" applyAlignment="1" applyProtection="1">
      <alignment horizontal="center"/>
    </xf>
    <xf numFmtId="0" fontId="0" fillId="0" borderId="7" xfId="0" applyBorder="1" applyAlignment="1" applyProtection="1">
      <alignment horizontal="center"/>
    </xf>
    <xf numFmtId="0" fontId="22" fillId="0" borderId="0" xfId="0" applyFont="1" applyFill="1" applyAlignment="1" applyProtection="1"/>
    <xf numFmtId="166" fontId="0" fillId="0" borderId="0" xfId="0" applyNumberFormat="1" applyAlignment="1" applyProtection="1">
      <alignment horizontal="center"/>
    </xf>
    <xf numFmtId="0" fontId="23"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7" fillId="0" borderId="0" xfId="0" applyFont="1" applyAlignment="1" applyProtection="1">
      <alignment horizontal="center"/>
    </xf>
    <xf numFmtId="0" fontId="17" fillId="0" borderId="7" xfId="0" applyFont="1" applyBorder="1" applyAlignment="1" applyProtection="1">
      <alignment horizontal="center"/>
    </xf>
    <xf numFmtId="0" fontId="17" fillId="0" borderId="18" xfId="0" applyFont="1" applyBorder="1" applyAlignment="1" applyProtection="1">
      <alignment horizontal="center"/>
    </xf>
    <xf numFmtId="0" fontId="17" fillId="0" borderId="25" xfId="0" applyFont="1" applyBorder="1" applyAlignment="1" applyProtection="1">
      <alignment horizontal="center"/>
    </xf>
    <xf numFmtId="0" fontId="17" fillId="0" borderId="0" xfId="0" applyFont="1" applyFill="1" applyBorder="1" applyAlignment="1" applyProtection="1">
      <alignment horizontal="center"/>
    </xf>
    <xf numFmtId="0" fontId="17" fillId="0" borderId="19" xfId="0" applyFont="1" applyFill="1" applyBorder="1" applyAlignment="1" applyProtection="1">
      <alignment horizontal="center"/>
    </xf>
    <xf numFmtId="0" fontId="17" fillId="0" borderId="26" xfId="0" applyFont="1" applyBorder="1" applyAlignment="1" applyProtection="1">
      <alignment horizontal="center"/>
    </xf>
    <xf numFmtId="0" fontId="17" fillId="0" borderId="0" xfId="0" applyFont="1" applyFill="1" applyAlignment="1" applyProtection="1">
      <alignment horizontal="center"/>
    </xf>
    <xf numFmtId="0" fontId="17" fillId="0" borderId="18" xfId="0" applyFont="1" applyFill="1" applyBorder="1" applyAlignment="1" applyProtection="1">
      <alignment horizontal="center"/>
    </xf>
    <xf numFmtId="0" fontId="22" fillId="0" borderId="0" xfId="0" applyFont="1" applyAlignment="1" applyProtection="1"/>
    <xf numFmtId="0" fontId="46" fillId="0" borderId="0" xfId="0" applyFont="1" applyFill="1" applyAlignment="1" applyProtection="1">
      <alignment horizontal="center"/>
    </xf>
    <xf numFmtId="0" fontId="0" fillId="0" borderId="20" xfId="0" applyBorder="1" applyProtection="1"/>
    <xf numFmtId="8" fontId="0" fillId="0" borderId="0" xfId="0" applyNumberFormat="1" applyFill="1" applyAlignment="1" applyProtection="1"/>
    <xf numFmtId="0" fontId="0" fillId="0" borderId="20" xfId="0" applyFill="1" applyBorder="1" applyProtection="1"/>
    <xf numFmtId="0" fontId="8" fillId="0" borderId="0" xfId="0" applyFont="1" applyProtection="1"/>
    <xf numFmtId="8" fontId="17" fillId="0" borderId="0" xfId="0" applyNumberFormat="1" applyFont="1" applyAlignment="1" applyProtection="1">
      <alignment horizontal="center"/>
    </xf>
    <xf numFmtId="8" fontId="17" fillId="0" borderId="0" xfId="0" applyNumberFormat="1" applyFont="1" applyFill="1" applyAlignment="1" applyProtection="1">
      <alignment horizontal="center"/>
    </xf>
    <xf numFmtId="8" fontId="17" fillId="0" borderId="19" xfId="0" applyNumberFormat="1" applyFont="1" applyBorder="1" applyAlignment="1" applyProtection="1">
      <alignment horizontal="center"/>
    </xf>
    <xf numFmtId="8" fontId="17" fillId="0" borderId="18" xfId="0" applyNumberFormat="1" applyFont="1" applyBorder="1" applyAlignment="1" applyProtection="1">
      <alignment horizontal="center"/>
    </xf>
    <xf numFmtId="8" fontId="17"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29" fillId="0" borderId="0" xfId="0" applyNumberFormat="1" applyFont="1" applyAlignment="1" applyProtection="1">
      <alignment vertical="center"/>
    </xf>
    <xf numFmtId="8" fontId="29"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0" fontId="47" fillId="0" borderId="0" xfId="0" applyFont="1" applyFill="1" applyBorder="1" applyAlignment="1" applyProtection="1">
      <alignment horizontal="left" vertical="center"/>
    </xf>
    <xf numFmtId="0" fontId="35" fillId="0" borderId="0" xfId="0" applyFont="1" applyFill="1" applyAlignment="1" applyProtection="1">
      <alignment vertical="center"/>
    </xf>
    <xf numFmtId="0" fontId="35" fillId="0" borderId="0" xfId="0" applyFont="1" applyFill="1" applyBorder="1" applyAlignment="1" applyProtection="1">
      <alignment horizontal="left" vertical="center"/>
    </xf>
    <xf numFmtId="0" fontId="39" fillId="0" borderId="0" xfId="0" applyFont="1" applyProtection="1"/>
    <xf numFmtId="0" fontId="41" fillId="0" borderId="0" xfId="0" applyFont="1" applyAlignment="1" applyProtection="1">
      <alignment vertical="center"/>
    </xf>
    <xf numFmtId="0" fontId="41" fillId="0" borderId="0" xfId="0" applyFont="1" applyAlignment="1" applyProtection="1">
      <alignment horizontal="right" vertical="center"/>
    </xf>
    <xf numFmtId="0" fontId="41" fillId="0" borderId="0" xfId="0" applyFont="1" applyAlignment="1" applyProtection="1">
      <alignment horizontal="left" vertical="center"/>
    </xf>
    <xf numFmtId="0" fontId="41" fillId="0" borderId="0" xfId="0" applyFont="1" applyProtection="1"/>
    <xf numFmtId="0" fontId="42" fillId="0" borderId="0" xfId="0" applyFont="1" applyAlignment="1" applyProtection="1">
      <alignment vertical="center"/>
    </xf>
    <xf numFmtId="0" fontId="41" fillId="0" borderId="0" xfId="0" applyFont="1" applyAlignment="1" applyProtection="1">
      <alignment horizontal="center"/>
    </xf>
    <xf numFmtId="0" fontId="36" fillId="0" borderId="0" xfId="0" applyFont="1" applyAlignment="1" applyProtection="1">
      <alignment vertical="center" wrapText="1"/>
    </xf>
    <xf numFmtId="0" fontId="36" fillId="0" borderId="0" xfId="0" applyFont="1" applyAlignment="1" applyProtection="1">
      <alignment horizontal="center"/>
    </xf>
    <xf numFmtId="0" fontId="36" fillId="0" borderId="0" xfId="0" applyFont="1" applyAlignment="1" applyProtection="1">
      <alignment horizontal="center" vertical="center"/>
    </xf>
    <xf numFmtId="3" fontId="36" fillId="0" borderId="0" xfId="1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38" fontId="36" fillId="0" borderId="0" xfId="0" applyNumberFormat="1" applyFont="1" applyBorder="1" applyAlignment="1" applyProtection="1">
      <alignment horizontal="center" vertical="center"/>
    </xf>
    <xf numFmtId="0" fontId="36" fillId="0" borderId="0" xfId="0" applyFont="1" applyProtection="1"/>
    <xf numFmtId="0" fontId="44" fillId="0" borderId="0" xfId="0" applyFont="1" applyBorder="1" applyAlignment="1" applyProtection="1">
      <alignment vertical="center"/>
    </xf>
    <xf numFmtId="0" fontId="44" fillId="0" borderId="0" xfId="0" applyFont="1" applyBorder="1" applyAlignment="1" applyProtection="1">
      <alignment vertical="top" wrapText="1"/>
    </xf>
    <xf numFmtId="0" fontId="35" fillId="0" borderId="0" xfId="0" applyFont="1" applyFill="1" applyAlignment="1" applyProtection="1">
      <alignment horizontal="left" vertical="center"/>
    </xf>
    <xf numFmtId="0" fontId="36" fillId="0" borderId="0" xfId="0" applyFont="1" applyAlignment="1" applyProtection="1">
      <alignment horizontal="left" vertical="center"/>
    </xf>
    <xf numFmtId="0" fontId="39" fillId="0" borderId="0" xfId="0" applyFont="1" applyFill="1" applyBorder="1" applyAlignment="1" applyProtection="1">
      <alignment horizontal="left" vertical="center"/>
    </xf>
    <xf numFmtId="0" fontId="39" fillId="0" borderId="0" xfId="0" applyFont="1" applyFill="1" applyAlignment="1" applyProtection="1">
      <alignment vertical="center"/>
    </xf>
    <xf numFmtId="0" fontId="47" fillId="0" borderId="0" xfId="0" applyFont="1" applyFill="1" applyBorder="1" applyAlignment="1" applyProtection="1">
      <alignment horizontal="center" vertical="center"/>
    </xf>
    <xf numFmtId="0" fontId="47" fillId="5" borderId="3" xfId="0" applyFont="1" applyFill="1" applyBorder="1" applyAlignment="1" applyProtection="1">
      <alignment horizontal="center" vertical="center"/>
    </xf>
    <xf numFmtId="0" fontId="47" fillId="0" borderId="0" xfId="0" applyFont="1" applyFill="1" applyAlignment="1" applyProtection="1">
      <alignment horizontal="center" vertical="center"/>
    </xf>
    <xf numFmtId="0" fontId="47" fillId="0" borderId="0" xfId="0" applyFont="1" applyFill="1" applyAlignment="1" applyProtection="1">
      <alignment vertical="center"/>
    </xf>
    <xf numFmtId="0" fontId="47" fillId="6" borderId="3" xfId="0" applyFont="1" applyFill="1" applyBorder="1" applyAlignment="1" applyProtection="1">
      <alignment horizontal="center" vertical="center"/>
    </xf>
    <xf numFmtId="0" fontId="39" fillId="0" borderId="0" xfId="0" applyFont="1" applyFill="1" applyBorder="1" applyAlignment="1" applyProtection="1">
      <alignment horizontal="center" vertical="center"/>
    </xf>
    <xf numFmtId="0" fontId="39" fillId="0" borderId="0" xfId="0" applyFont="1" applyFill="1" applyAlignment="1" applyProtection="1">
      <alignment horizontal="centerContinuous" vertical="center"/>
    </xf>
    <xf numFmtId="0" fontId="39" fillId="0" borderId="0" xfId="0" applyFont="1" applyFill="1" applyAlignment="1" applyProtection="1">
      <alignment horizontal="left" vertical="center"/>
    </xf>
    <xf numFmtId="0" fontId="47" fillId="0" borderId="0" xfId="0" applyFont="1" applyFill="1" applyAlignment="1" applyProtection="1">
      <alignment horizontal="left" vertical="center"/>
    </xf>
    <xf numFmtId="0" fontId="39" fillId="0" borderId="0" xfId="0" applyFont="1" applyFill="1" applyBorder="1" applyAlignment="1" applyProtection="1">
      <alignment horizontal="right" vertical="center"/>
    </xf>
    <xf numFmtId="0" fontId="39" fillId="0" borderId="0" xfId="0" applyFont="1" applyFill="1" applyBorder="1" applyAlignment="1" applyProtection="1">
      <alignment horizontal="centerContinuous" vertical="center"/>
    </xf>
    <xf numFmtId="0" fontId="39" fillId="5" borderId="3" xfId="0" applyFont="1" applyFill="1" applyBorder="1" applyAlignment="1" applyProtection="1">
      <alignment horizontal="left"/>
      <protection locked="0"/>
    </xf>
    <xf numFmtId="0" fontId="39" fillId="0" borderId="0" xfId="0" applyFont="1" applyFill="1" applyBorder="1" applyAlignment="1" applyProtection="1">
      <alignment vertical="center"/>
    </xf>
    <xf numFmtId="0" fontId="39" fillId="0" borderId="0" xfId="0" applyFont="1" applyFill="1" applyAlignment="1" applyProtection="1">
      <alignment horizontal="center" vertical="center"/>
    </xf>
    <xf numFmtId="0" fontId="39" fillId="5" borderId="3" xfId="0" applyFont="1" applyFill="1" applyBorder="1" applyAlignment="1" applyProtection="1">
      <alignment horizontal="center" vertical="center"/>
      <protection locked="0"/>
    </xf>
    <xf numFmtId="0" fontId="39" fillId="0" borderId="0" xfId="0" applyFont="1" applyFill="1" applyBorder="1" applyProtection="1"/>
    <xf numFmtId="0" fontId="39" fillId="0" borderId="0" xfId="0" applyNumberFormat="1" applyFont="1" applyFill="1" applyBorder="1" applyAlignment="1" applyProtection="1">
      <alignment horizontal="center" vertical="center"/>
    </xf>
    <xf numFmtId="0" fontId="47" fillId="0" borderId="0" xfId="0" applyFont="1" applyFill="1" applyBorder="1" applyAlignment="1" applyProtection="1">
      <alignment vertical="center"/>
    </xf>
    <xf numFmtId="0" fontId="47" fillId="0" borderId="0" xfId="0" applyFont="1" applyFill="1" applyAlignment="1" applyProtection="1">
      <alignment horizontal="right" vertical="center"/>
    </xf>
    <xf numFmtId="0" fontId="39" fillId="0" borderId="0" xfId="0" applyFont="1" applyFill="1" applyAlignment="1" applyProtection="1">
      <alignment horizontal="right" vertical="center"/>
    </xf>
    <xf numFmtId="0" fontId="39" fillId="0" borderId="0" xfId="0" quotePrefix="1" applyFont="1" applyFill="1" applyBorder="1" applyAlignment="1" applyProtection="1">
      <alignment horizontal="center" vertical="center"/>
    </xf>
    <xf numFmtId="0" fontId="39" fillId="0" borderId="0" xfId="0" applyNumberFormat="1" applyFont="1" applyFill="1" applyBorder="1" applyAlignment="1" applyProtection="1">
      <alignment horizontal="left" vertical="center"/>
    </xf>
    <xf numFmtId="164" fontId="39" fillId="5" borderId="3" xfId="1" applyNumberFormat="1" applyFont="1" applyFill="1" applyBorder="1" applyAlignment="1" applyProtection="1">
      <alignment vertical="center"/>
      <protection locked="0"/>
    </xf>
    <xf numFmtId="164" fontId="39" fillId="0" borderId="0" xfId="1" applyNumberFormat="1" applyFont="1" applyFill="1" applyBorder="1" applyAlignment="1" applyProtection="1">
      <alignment horizontal="center" vertical="center"/>
    </xf>
    <xf numFmtId="0" fontId="47" fillId="0" borderId="0" xfId="0" applyFont="1" applyFill="1" applyBorder="1" applyAlignment="1" applyProtection="1">
      <alignment horizontal="center"/>
    </xf>
    <xf numFmtId="0" fontId="39" fillId="0" borderId="0" xfId="0" applyFont="1" applyFill="1" applyBorder="1" applyAlignment="1" applyProtection="1">
      <alignment horizontal="center"/>
    </xf>
    <xf numFmtId="0" fontId="45" fillId="0" borderId="0" xfId="0" applyFont="1" applyFill="1" applyAlignment="1" applyProtection="1">
      <alignment vertical="center"/>
    </xf>
    <xf numFmtId="0" fontId="39" fillId="0" borderId="0" xfId="0" applyFont="1" applyFill="1" applyProtection="1"/>
    <xf numFmtId="0" fontId="39" fillId="0" borderId="0" xfId="1" applyNumberFormat="1" applyFont="1" applyFill="1" applyBorder="1" applyAlignment="1" applyProtection="1">
      <alignment horizontal="left" vertical="center"/>
    </xf>
    <xf numFmtId="0" fontId="47" fillId="0" borderId="0" xfId="0" applyFont="1" applyFill="1" applyBorder="1" applyProtection="1"/>
    <xf numFmtId="0" fontId="39" fillId="0" borderId="0" xfId="0" applyFont="1" applyFill="1" applyBorder="1" applyAlignment="1" applyProtection="1">
      <alignment horizontal="left"/>
    </xf>
    <xf numFmtId="3" fontId="39" fillId="0" borderId="3" xfId="1" applyNumberFormat="1" applyFont="1" applyFill="1" applyBorder="1" applyAlignment="1" applyProtection="1">
      <alignment horizontal="center" vertical="center"/>
    </xf>
    <xf numFmtId="0" fontId="39" fillId="0" borderId="0" xfId="0" applyFont="1" applyFill="1" applyBorder="1" applyAlignment="1" applyProtection="1"/>
    <xf numFmtId="3" fontId="39" fillId="5" borderId="3" xfId="1" applyNumberFormat="1" applyFont="1" applyFill="1" applyBorder="1" applyAlignment="1" applyProtection="1">
      <alignment horizontal="center" vertical="center"/>
      <protection locked="0"/>
    </xf>
    <xf numFmtId="0" fontId="47" fillId="0" borderId="0" xfId="0" applyFont="1" applyFill="1" applyBorder="1" applyAlignment="1" applyProtection="1"/>
    <xf numFmtId="0" fontId="47" fillId="0" borderId="0" xfId="0" applyFont="1" applyFill="1" applyBorder="1" applyAlignment="1" applyProtection="1">
      <alignment horizontal="left"/>
    </xf>
    <xf numFmtId="0" fontId="39" fillId="0" borderId="0" xfId="0" applyFont="1" applyFill="1" applyBorder="1" applyAlignment="1" applyProtection="1">
      <alignment horizontal="right"/>
    </xf>
    <xf numFmtId="0" fontId="47" fillId="0" borderId="0" xfId="0" applyFont="1" applyFill="1" applyProtection="1"/>
    <xf numFmtId="166" fontId="47" fillId="0" borderId="0" xfId="10" applyNumberFormat="1" applyFont="1" applyFill="1" applyBorder="1" applyAlignment="1" applyProtection="1">
      <alignment horizontal="center" vertical="center"/>
    </xf>
    <xf numFmtId="0" fontId="39" fillId="0" borderId="0" xfId="0" applyFont="1" applyFill="1" applyBorder="1" applyAlignment="1" applyProtection="1">
      <alignment vertical="top"/>
    </xf>
    <xf numFmtId="0" fontId="39" fillId="0" borderId="8" xfId="0" applyFont="1" applyFill="1" applyBorder="1" applyAlignment="1" applyProtection="1">
      <alignment horizontal="left" vertical="center"/>
    </xf>
    <xf numFmtId="0" fontId="38" fillId="0" borderId="0" xfId="0" applyFont="1" applyFill="1" applyBorder="1" applyAlignment="1" applyProtection="1">
      <alignment vertical="center"/>
    </xf>
    <xf numFmtId="0" fontId="47" fillId="0" borderId="0" xfId="0" applyFont="1" applyFill="1" applyAlignment="1" applyProtection="1"/>
    <xf numFmtId="0" fontId="39" fillId="0" borderId="0" xfId="0" applyFont="1" applyFill="1" applyBorder="1" applyAlignment="1" applyProtection="1">
      <alignment horizontal="left" vertical="center"/>
      <protection locked="0"/>
    </xf>
    <xf numFmtId="0" fontId="47" fillId="0" borderId="0" xfId="0" quotePrefix="1" applyFont="1" applyFill="1" applyAlignment="1" applyProtection="1">
      <alignment horizontal="center" vertical="center"/>
    </xf>
    <xf numFmtId="0" fontId="39" fillId="0" borderId="0" xfId="0" applyFont="1" applyFill="1" applyAlignment="1" applyProtection="1">
      <alignment vertical="center"/>
      <protection locked="0"/>
    </xf>
    <xf numFmtId="0" fontId="39" fillId="0" borderId="0" xfId="0" applyFont="1" applyFill="1" applyBorder="1" applyAlignment="1" applyProtection="1">
      <alignment horizontal="center" vertical="center"/>
      <protection locked="0"/>
    </xf>
    <xf numFmtId="167" fontId="39" fillId="0" borderId="0" xfId="0" applyNumberFormat="1" applyFont="1" applyFill="1" applyBorder="1" applyAlignment="1" applyProtection="1">
      <alignment horizontal="center" vertical="center"/>
      <protection locked="0"/>
    </xf>
    <xf numFmtId="0" fontId="47" fillId="0" borderId="0" xfId="0" applyFont="1" applyFill="1" applyAlignment="1" applyProtection="1">
      <alignment horizontal="left" vertical="center"/>
      <protection locked="0"/>
    </xf>
    <xf numFmtId="0" fontId="47" fillId="0" borderId="0" xfId="0" applyFont="1" applyFill="1" applyAlignment="1" applyProtection="1">
      <alignment horizontal="right"/>
    </xf>
    <xf numFmtId="0" fontId="47" fillId="0" borderId="0" xfId="0" quotePrefix="1" applyFont="1" applyFill="1" applyAlignment="1" applyProtection="1"/>
    <xf numFmtId="0" fontId="39" fillId="0" borderId="0" xfId="0" applyFont="1" applyFill="1" applyBorder="1" applyAlignment="1" applyProtection="1">
      <alignment vertical="center"/>
      <protection locked="0"/>
    </xf>
    <xf numFmtId="167" fontId="39" fillId="0" borderId="12" xfId="0" applyNumberFormat="1" applyFont="1" applyFill="1" applyBorder="1" applyAlignment="1" applyProtection="1">
      <alignment vertical="center"/>
      <protection locked="0"/>
    </xf>
    <xf numFmtId="0" fontId="39" fillId="0" borderId="12" xfId="0" applyFont="1" applyFill="1" applyBorder="1" applyAlignment="1" applyProtection="1">
      <alignment horizontal="center" vertical="center"/>
      <protection locked="0"/>
    </xf>
    <xf numFmtId="167" fontId="39" fillId="0" borderId="0" xfId="0" applyNumberFormat="1" applyFont="1" applyFill="1" applyBorder="1" applyAlignment="1" applyProtection="1">
      <alignment vertical="center"/>
      <protection locked="0"/>
    </xf>
    <xf numFmtId="167" fontId="39" fillId="0" borderId="2" xfId="0" applyNumberFormat="1" applyFont="1" applyFill="1" applyBorder="1" applyAlignment="1" applyProtection="1">
      <alignment vertical="center"/>
      <protection locked="0"/>
    </xf>
    <xf numFmtId="0" fontId="39" fillId="0" borderId="0" xfId="0" applyFont="1" applyFill="1" applyProtection="1">
      <protection locked="0"/>
    </xf>
    <xf numFmtId="0" fontId="47" fillId="0" borderId="0" xfId="0" quotePrefix="1" applyFont="1" applyFill="1" applyAlignment="1" applyProtection="1">
      <alignment horizontal="right"/>
    </xf>
    <xf numFmtId="1" fontId="39" fillId="0" borderId="0" xfId="0" applyNumberFormat="1" applyFont="1" applyFill="1" applyBorder="1" applyAlignment="1" applyProtection="1">
      <alignment horizontal="center" vertical="center"/>
      <protection locked="0"/>
    </xf>
    <xf numFmtId="0" fontId="47" fillId="0" borderId="0" xfId="0" applyFont="1" applyFill="1" applyBorder="1" applyAlignment="1" applyProtection="1">
      <alignment horizontal="left" vertical="center"/>
      <protection locked="0"/>
    </xf>
    <xf numFmtId="0" fontId="39" fillId="0" borderId="0" xfId="0" applyFont="1" applyFill="1" applyAlignment="1" applyProtection="1">
      <alignment horizontal="left" vertical="center"/>
      <protection locked="0"/>
    </xf>
    <xf numFmtId="0" fontId="39" fillId="0" borderId="0" xfId="0" applyFont="1" applyBorder="1" applyProtection="1">
      <protection locked="0"/>
    </xf>
    <xf numFmtId="0" fontId="47" fillId="0" borderId="0" xfId="0" quotePrefix="1" applyFont="1" applyFill="1" applyBorder="1" applyAlignment="1" applyProtection="1">
      <alignment horizontal="center" vertical="center"/>
    </xf>
    <xf numFmtId="0" fontId="39" fillId="0" borderId="7" xfId="0" applyFont="1" applyFill="1" applyBorder="1" applyAlignment="1" applyProtection="1">
      <alignment vertical="center"/>
    </xf>
    <xf numFmtId="0" fontId="39" fillId="0" borderId="8" xfId="0" applyFont="1" applyFill="1" applyBorder="1" applyAlignment="1" applyProtection="1">
      <alignment vertical="center"/>
    </xf>
    <xf numFmtId="0" fontId="39" fillId="0" borderId="9" xfId="0" applyFont="1" applyFill="1" applyBorder="1" applyAlignment="1" applyProtection="1">
      <alignment vertical="center"/>
    </xf>
    <xf numFmtId="0" fontId="39" fillId="0" borderId="13" xfId="0" applyFont="1" applyFill="1" applyBorder="1" applyAlignment="1" applyProtection="1">
      <alignment vertical="center"/>
    </xf>
    <xf numFmtId="0" fontId="39" fillId="0" borderId="12" xfId="0" applyFont="1" applyFill="1" applyBorder="1" applyAlignment="1" applyProtection="1">
      <alignment vertical="center"/>
    </xf>
    <xf numFmtId="0" fontId="54" fillId="0" borderId="0" xfId="0" applyFont="1" applyAlignment="1">
      <alignment vertical="center"/>
    </xf>
    <xf numFmtId="0" fontId="52" fillId="0" borderId="0" xfId="0" applyFont="1"/>
    <xf numFmtId="0" fontId="35" fillId="0" borderId="0" xfId="0" applyFont="1" applyFill="1" applyProtection="1"/>
    <xf numFmtId="0" fontId="38" fillId="0" borderId="0" xfId="0" applyFont="1" applyFill="1" applyAlignment="1" applyProtection="1">
      <alignment vertical="center"/>
    </xf>
    <xf numFmtId="0" fontId="38" fillId="0" borderId="0" xfId="0" applyFont="1" applyFill="1" applyAlignment="1" applyProtection="1">
      <alignment horizontal="center" vertical="center"/>
    </xf>
    <xf numFmtId="0" fontId="38" fillId="0" borderId="0" xfId="0" applyFont="1" applyFill="1" applyAlignment="1" applyProtection="1"/>
    <xf numFmtId="0" fontId="38" fillId="0" borderId="0" xfId="0" applyFont="1" applyFill="1" applyAlignment="1" applyProtection="1">
      <alignment horizontal="left" vertical="center"/>
    </xf>
    <xf numFmtId="0" fontId="38" fillId="0" borderId="0" xfId="0" quotePrefix="1" applyFont="1" applyFill="1" applyAlignment="1" applyProtection="1">
      <alignment horizontal="center" vertical="center"/>
    </xf>
    <xf numFmtId="164" fontId="39" fillId="0" borderId="0" xfId="1" applyNumberFormat="1" applyFont="1" applyFill="1" applyAlignment="1" applyProtection="1">
      <alignment vertical="center"/>
    </xf>
    <xf numFmtId="0" fontId="55" fillId="0" borderId="0" xfId="0" applyFont="1" applyFill="1" applyAlignment="1" applyProtection="1">
      <alignment horizontal="right" vertical="center"/>
    </xf>
    <xf numFmtId="164" fontId="47" fillId="0" borderId="0" xfId="1" applyNumberFormat="1" applyFont="1" applyFill="1" applyAlignment="1" applyProtection="1">
      <alignment horizontal="center" vertical="center"/>
    </xf>
    <xf numFmtId="164" fontId="39" fillId="0" borderId="0" xfId="1" applyNumberFormat="1" applyFont="1" applyFill="1" applyAlignment="1" applyProtection="1">
      <alignment horizontal="center" vertical="center"/>
    </xf>
    <xf numFmtId="164" fontId="55" fillId="0" borderId="0" xfId="1" applyNumberFormat="1" applyFont="1" applyFill="1" applyBorder="1" applyAlignment="1" applyProtection="1">
      <alignment horizontal="right" vertical="center"/>
    </xf>
    <xf numFmtId="171" fontId="47" fillId="0" borderId="0" xfId="0" applyNumberFormat="1" applyFont="1" applyFill="1" applyBorder="1" applyAlignment="1" applyProtection="1">
      <alignment horizontal="center" vertical="center"/>
    </xf>
    <xf numFmtId="10" fontId="39" fillId="0" borderId="0" xfId="0" applyNumberFormat="1" applyFont="1" applyFill="1" applyAlignment="1" applyProtection="1">
      <alignment horizontal="center"/>
    </xf>
    <xf numFmtId="164" fontId="39" fillId="0" borderId="0" xfId="1" applyNumberFormat="1" applyFont="1" applyFill="1" applyAlignment="1" applyProtection="1">
      <alignment horizontal="center"/>
    </xf>
    <xf numFmtId="0" fontId="39" fillId="0" borderId="0" xfId="0" applyFont="1" applyFill="1" applyAlignment="1" applyProtection="1">
      <alignment horizontal="left" vertical="top"/>
    </xf>
    <xf numFmtId="0" fontId="39" fillId="0" borderId="0" xfId="0" applyFont="1" applyBorder="1" applyAlignment="1" applyProtection="1">
      <alignment horizontal="left" vertical="top"/>
    </xf>
    <xf numFmtId="6" fontId="39" fillId="0" borderId="0" xfId="0" applyNumberFormat="1" applyFont="1" applyFill="1" applyBorder="1" applyAlignment="1" applyProtection="1">
      <alignment horizontal="center" vertical="center"/>
    </xf>
    <xf numFmtId="0" fontId="56" fillId="0" borderId="0" xfId="0" applyFont="1" applyFill="1" applyAlignment="1" applyProtection="1">
      <alignment horizontal="right" vertical="center"/>
    </xf>
    <xf numFmtId="0" fontId="56" fillId="5" borderId="3" xfId="0" applyFont="1" applyFill="1" applyBorder="1" applyAlignment="1" applyProtection="1">
      <alignment horizontal="center" vertical="center"/>
      <protection locked="0"/>
    </xf>
    <xf numFmtId="164" fontId="39" fillId="0" borderId="0" xfId="1" applyNumberFormat="1" applyFont="1" applyFill="1" applyBorder="1" applyProtection="1"/>
    <xf numFmtId="164" fontId="39" fillId="0" borderId="0" xfId="1" applyNumberFormat="1" applyFont="1" applyFill="1" applyProtection="1"/>
    <xf numFmtId="0" fontId="55" fillId="0" borderId="0" xfId="0" applyFont="1" applyFill="1" applyAlignment="1" applyProtection="1">
      <alignment horizontal="center" vertical="center"/>
    </xf>
    <xf numFmtId="38" fontId="47" fillId="0" borderId="0" xfId="0" applyNumberFormat="1" applyFont="1" applyFill="1" applyBorder="1" applyAlignment="1" applyProtection="1">
      <alignment horizontal="right" vertical="center"/>
    </xf>
    <xf numFmtId="164" fontId="39" fillId="0" borderId="0" xfId="1" applyNumberFormat="1" applyFont="1" applyFill="1" applyBorder="1" applyAlignment="1" applyProtection="1">
      <alignment horizontal="left" vertical="center"/>
    </xf>
    <xf numFmtId="0" fontId="57" fillId="0" borderId="0" xfId="0" applyFont="1" applyFill="1" applyBorder="1" applyAlignment="1" applyProtection="1">
      <alignment horizontal="right" vertical="center"/>
    </xf>
    <xf numFmtId="0" fontId="39" fillId="0" borderId="0" xfId="0" quotePrefix="1" applyFont="1" applyFill="1" applyAlignment="1" applyProtection="1">
      <alignment horizontal="right" vertical="center"/>
    </xf>
    <xf numFmtId="38" fontId="47" fillId="0" borderId="0" xfId="0" applyNumberFormat="1" applyFont="1" applyFill="1" applyBorder="1" applyAlignment="1" applyProtection="1">
      <alignment horizontal="center" vertical="center"/>
    </xf>
    <xf numFmtId="38" fontId="39" fillId="0" borderId="0" xfId="0" applyNumberFormat="1" applyFont="1" applyFill="1" applyBorder="1" applyAlignment="1" applyProtection="1">
      <alignment horizontal="center" vertical="center"/>
    </xf>
    <xf numFmtId="0" fontId="49" fillId="0" borderId="7" xfId="0" applyFont="1" applyFill="1" applyBorder="1" applyAlignment="1" applyProtection="1">
      <alignment horizontal="left" vertical="center"/>
    </xf>
    <xf numFmtId="0" fontId="39" fillId="0" borderId="0" xfId="0" applyFont="1" applyAlignment="1"/>
    <xf numFmtId="0" fontId="49" fillId="0" borderId="0" xfId="0" applyFont="1" applyFill="1" applyAlignment="1" applyProtection="1">
      <alignment vertical="center"/>
    </xf>
    <xf numFmtId="0" fontId="39" fillId="0" borderId="12" xfId="0" applyFont="1" applyFill="1" applyBorder="1" applyAlignment="1" applyProtection="1">
      <alignment horizontal="center" vertical="center"/>
    </xf>
    <xf numFmtId="0" fontId="39" fillId="0" borderId="12" xfId="0" applyFont="1" applyFill="1" applyBorder="1" applyAlignment="1" applyProtection="1">
      <alignment horizontal="left" vertical="center"/>
    </xf>
    <xf numFmtId="0" fontId="39" fillId="0" borderId="0" xfId="0" applyFont="1" applyFill="1" applyAlignment="1" applyProtection="1">
      <alignment horizontal="center"/>
    </xf>
    <xf numFmtId="10" fontId="39" fillId="0" borderId="3" xfId="0" applyNumberFormat="1" applyFont="1" applyFill="1" applyBorder="1" applyAlignment="1" applyProtection="1">
      <alignment horizontal="center" vertical="center"/>
    </xf>
    <xf numFmtId="0" fontId="39" fillId="0" borderId="0" xfId="0" applyFont="1" applyBorder="1" applyAlignment="1" applyProtection="1">
      <alignment vertical="center"/>
    </xf>
    <xf numFmtId="0" fontId="39" fillId="0" borderId="0" xfId="0" applyFont="1" applyFill="1" applyBorder="1" applyAlignment="1" applyProtection="1">
      <alignment vertical="center" wrapText="1"/>
    </xf>
    <xf numFmtId="0" fontId="39" fillId="0" borderId="0" xfId="0" applyFont="1" applyAlignment="1" applyProtection="1">
      <alignment horizontal="center" vertical="center"/>
    </xf>
    <xf numFmtId="0" fontId="49" fillId="0" borderId="0" xfId="0" applyFont="1" applyFill="1" applyAlignment="1" applyProtection="1">
      <alignment horizontal="left" vertical="center"/>
    </xf>
    <xf numFmtId="0" fontId="60" fillId="0" borderId="0" xfId="0" applyFont="1" applyFill="1" applyAlignment="1" applyProtection="1">
      <alignment horizontal="center" vertical="center"/>
    </xf>
    <xf numFmtId="0" fontId="35" fillId="0" borderId="0" xfId="0" applyFont="1" applyFill="1" applyAlignment="1" applyProtection="1">
      <alignment vertical="center"/>
      <protection locked="0"/>
    </xf>
    <xf numFmtId="0" fontId="12" fillId="0" borderId="0" xfId="0" applyFont="1" applyFill="1" applyAlignment="1" applyProtection="1">
      <alignment horizontal="centerContinuous" vertical="center"/>
    </xf>
    <xf numFmtId="0" fontId="36" fillId="0" borderId="0" xfId="9" applyFont="1" applyProtection="1"/>
    <xf numFmtId="0" fontId="36" fillId="0" borderId="0" xfId="9" applyFont="1" applyAlignment="1" applyProtection="1">
      <alignment horizontal="left"/>
    </xf>
    <xf numFmtId="0" fontId="65" fillId="0" borderId="0" xfId="9" applyFont="1" applyAlignment="1" applyProtection="1">
      <alignment horizontal="center"/>
    </xf>
    <xf numFmtId="0" fontId="35" fillId="0" borderId="0" xfId="0" applyFont="1"/>
    <xf numFmtId="0" fontId="66" fillId="0" borderId="0" xfId="0" applyFont="1" applyAlignment="1">
      <alignment horizontal="center"/>
    </xf>
    <xf numFmtId="0" fontId="66" fillId="0" borderId="0" xfId="0" applyFont="1" applyAlignment="1" applyProtection="1">
      <alignment horizontal="center" vertical="center"/>
    </xf>
    <xf numFmtId="9" fontId="36" fillId="0" borderId="0" xfId="10" applyFont="1" applyBorder="1" applyAlignment="1" applyProtection="1">
      <alignment horizontal="center" vertical="center"/>
    </xf>
    <xf numFmtId="9" fontId="36" fillId="0" borderId="0" xfId="10" applyFont="1" applyBorder="1" applyAlignment="1" applyProtection="1">
      <alignment horizontal="left" vertical="center"/>
    </xf>
    <xf numFmtId="0" fontId="36" fillId="0" borderId="0" xfId="0" applyFont="1" applyFill="1" applyProtection="1"/>
    <xf numFmtId="4" fontId="13" fillId="0" borderId="0" xfId="1" applyNumberFormat="1" applyFont="1" applyFill="1" applyAlignment="1" applyProtection="1">
      <alignment horizontal="center" vertical="center"/>
    </xf>
    <xf numFmtId="0" fontId="51" fillId="0" borderId="0" xfId="0" applyFont="1" applyFill="1" applyProtection="1"/>
    <xf numFmtId="164" fontId="39" fillId="0" borderId="8" xfId="1" applyNumberFormat="1" applyFont="1" applyFill="1" applyBorder="1" applyAlignment="1" applyProtection="1">
      <alignment horizontal="center"/>
    </xf>
    <xf numFmtId="0" fontId="55" fillId="0" borderId="8" xfId="0" applyFont="1" applyFill="1" applyBorder="1" applyAlignment="1" applyProtection="1">
      <alignment horizontal="right" vertical="center"/>
    </xf>
    <xf numFmtId="0" fontId="36" fillId="0" borderId="0" xfId="0" applyFont="1" applyAlignment="1">
      <alignment horizontal="center"/>
    </xf>
    <xf numFmtId="166" fontId="39" fillId="0" borderId="0" xfId="0" applyNumberFormat="1" applyFont="1" applyFill="1" applyAlignment="1" applyProtection="1">
      <alignment horizontal="center" vertical="center"/>
    </xf>
    <xf numFmtId="0" fontId="39" fillId="0" borderId="0" xfId="0" applyFont="1" applyBorder="1" applyAlignment="1" applyProtection="1">
      <alignment horizontal="center" vertical="center"/>
    </xf>
    <xf numFmtId="0" fontId="66" fillId="0" borderId="0" xfId="0" applyFont="1" applyBorder="1" applyAlignment="1" applyProtection="1">
      <alignment horizontal="center" vertical="center"/>
    </xf>
    <xf numFmtId="9" fontId="35" fillId="0" borderId="0" xfId="0" applyNumberFormat="1" applyFont="1" applyFill="1" applyBorder="1" applyAlignment="1" applyProtection="1">
      <alignment horizontal="center" vertical="center"/>
    </xf>
    <xf numFmtId="9" fontId="35" fillId="0" borderId="2" xfId="0" applyNumberFormat="1" applyFont="1" applyFill="1" applyBorder="1" applyAlignment="1" applyProtection="1">
      <alignment horizontal="center" vertical="center"/>
    </xf>
    <xf numFmtId="0" fontId="30" fillId="0" borderId="0" xfId="0" applyFont="1" applyAlignment="1" applyProtection="1">
      <alignment horizontal="center"/>
    </xf>
    <xf numFmtId="0" fontId="53" fillId="0" borderId="0" xfId="0" applyFont="1" applyFill="1" applyAlignment="1" applyProtection="1">
      <alignment horizontal="center" vertical="center"/>
      <protection locked="0"/>
    </xf>
    <xf numFmtId="0" fontId="49"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7" xfId="0" applyFont="1" applyFill="1" applyBorder="1" applyProtection="1"/>
    <xf numFmtId="0" fontId="77" fillId="0" borderId="0" xfId="0" applyFont="1" applyFill="1" applyAlignment="1" applyProtection="1">
      <alignment horizontal="center" vertical="center"/>
    </xf>
    <xf numFmtId="0" fontId="80" fillId="0" borderId="0" xfId="0" applyFont="1" applyFill="1" applyAlignment="1" applyProtection="1">
      <alignment vertical="top"/>
    </xf>
    <xf numFmtId="0" fontId="80" fillId="0" borderId="0" xfId="0" applyFont="1" applyFill="1" applyAlignment="1" applyProtection="1">
      <alignment vertical="center"/>
    </xf>
    <xf numFmtId="0" fontId="80" fillId="0" borderId="0" xfId="0" applyFont="1" applyFill="1" applyBorder="1" applyAlignment="1" applyProtection="1">
      <alignment horizontal="left" vertical="top"/>
    </xf>
    <xf numFmtId="0" fontId="4" fillId="0" borderId="0" xfId="0" applyFont="1" applyProtection="1"/>
    <xf numFmtId="37" fontId="36" fillId="0" borderId="0" xfId="1" applyNumberFormat="1" applyFont="1" applyAlignment="1" applyProtection="1">
      <alignment horizontal="center"/>
    </xf>
    <xf numFmtId="0" fontId="34" fillId="0" borderId="7" xfId="0" applyFont="1" applyFill="1" applyBorder="1" applyAlignment="1" applyProtection="1">
      <alignment vertical="center"/>
    </xf>
    <xf numFmtId="0" fontId="84" fillId="0" borderId="0" xfId="0" applyFont="1" applyFill="1" applyProtection="1"/>
    <xf numFmtId="0" fontId="84" fillId="0" borderId="0" xfId="0" applyFont="1" applyFill="1" applyAlignment="1" applyProtection="1">
      <alignment vertical="center"/>
    </xf>
    <xf numFmtId="0" fontId="88" fillId="0" borderId="0" xfId="0" applyFont="1" applyFill="1" applyProtection="1"/>
    <xf numFmtId="0" fontId="75" fillId="0" borderId="0" xfId="0" applyFont="1" applyFill="1" applyProtection="1"/>
    <xf numFmtId="0" fontId="85" fillId="0" borderId="0" xfId="0" applyFont="1" applyFill="1" applyBorder="1" applyAlignment="1" applyProtection="1">
      <alignment vertical="center"/>
    </xf>
    <xf numFmtId="164" fontId="84" fillId="0" borderId="0" xfId="1" applyNumberFormat="1" applyFont="1" applyFill="1" applyBorder="1" applyAlignment="1" applyProtection="1">
      <alignment vertical="center"/>
    </xf>
    <xf numFmtId="166" fontId="39" fillId="0" borderId="69" xfId="0" applyNumberFormat="1" applyFont="1" applyFill="1" applyBorder="1" applyAlignment="1" applyProtection="1">
      <alignment horizontal="center" vertical="center"/>
    </xf>
    <xf numFmtId="0" fontId="39" fillId="0" borderId="73" xfId="0" applyFont="1" applyFill="1" applyBorder="1" applyAlignment="1" applyProtection="1">
      <alignment horizontal="center" vertical="center"/>
    </xf>
    <xf numFmtId="164" fontId="39" fillId="0" borderId="0" xfId="1" applyNumberFormat="1" applyFont="1" applyFill="1" applyBorder="1" applyAlignment="1" applyProtection="1">
      <alignment horizontal="center" vertical="center"/>
    </xf>
    <xf numFmtId="0" fontId="31" fillId="0" borderId="0" xfId="0" applyFont="1" applyFill="1" applyBorder="1" applyAlignment="1" applyProtection="1">
      <alignment vertical="center"/>
    </xf>
    <xf numFmtId="0" fontId="34" fillId="0" borderId="0" xfId="0" applyFont="1" applyFill="1" applyAlignment="1" applyProtection="1">
      <alignment vertical="center" wrapText="1"/>
    </xf>
    <xf numFmtId="38" fontId="35" fillId="0" borderId="0" xfId="0" applyNumberFormat="1" applyFont="1" applyFill="1" applyBorder="1" applyAlignment="1" applyProtection="1">
      <alignment vertical="center"/>
    </xf>
    <xf numFmtId="0" fontId="39" fillId="0" borderId="0" xfId="0" applyFont="1" applyAlignment="1">
      <alignment horizontal="center"/>
    </xf>
    <xf numFmtId="164" fontId="39" fillId="0" borderId="0" xfId="1" applyNumberFormat="1" applyFont="1" applyFill="1" applyBorder="1" applyAlignment="1" applyProtection="1">
      <alignment horizontal="center" vertical="center"/>
    </xf>
    <xf numFmtId="0" fontId="39" fillId="0" borderId="0" xfId="0" applyFont="1" applyFill="1" applyBorder="1" applyAlignment="1" applyProtection="1">
      <alignment horizontal="left" vertical="center"/>
    </xf>
    <xf numFmtId="0" fontId="47" fillId="0" borderId="0" xfId="0" applyFont="1" applyFill="1" applyBorder="1" applyAlignment="1" applyProtection="1">
      <alignment horizontal="left"/>
    </xf>
    <xf numFmtId="0" fontId="39" fillId="0" borderId="0" xfId="0" applyFont="1" applyFill="1" applyBorder="1" applyAlignment="1" applyProtection="1">
      <alignment horizontal="center" vertical="center"/>
    </xf>
    <xf numFmtId="0" fontId="47" fillId="0" borderId="0" xfId="0" applyFont="1" applyFill="1" applyAlignment="1" applyProtection="1">
      <alignment horizontal="center" vertical="center"/>
    </xf>
    <xf numFmtId="0" fontId="36" fillId="0" borderId="0" xfId="0" applyFont="1" applyFill="1" applyBorder="1" applyAlignment="1" applyProtection="1">
      <alignment horizontal="left" vertical="center"/>
    </xf>
    <xf numFmtId="0" fontId="43" fillId="0" borderId="0" xfId="0" applyFont="1" applyFill="1" applyAlignment="1" applyProtection="1">
      <alignment horizontal="left" vertical="center"/>
    </xf>
    <xf numFmtId="0" fontId="39" fillId="0" borderId="0" xfId="0" applyFont="1" applyFill="1" applyBorder="1" applyAlignment="1" applyProtection="1">
      <alignment vertical="center"/>
    </xf>
    <xf numFmtId="0" fontId="39" fillId="0" borderId="0" xfId="0" applyFont="1" applyFill="1" applyBorder="1" applyAlignment="1" applyProtection="1">
      <alignment horizontal="center" vertical="center"/>
    </xf>
    <xf numFmtId="0" fontId="47" fillId="0" borderId="0" xfId="0" applyFont="1" applyFill="1" applyAlignment="1" applyProtection="1">
      <alignment horizontal="center" vertical="center"/>
    </xf>
    <xf numFmtId="0" fontId="39" fillId="0" borderId="76" xfId="0" applyFont="1" applyFill="1" applyBorder="1" applyAlignment="1" applyProtection="1">
      <alignment vertical="center"/>
    </xf>
    <xf numFmtId="0" fontId="39" fillId="0" borderId="0" xfId="0" quotePrefix="1" applyFont="1" applyFill="1" applyAlignment="1" applyProtection="1">
      <alignment vertical="center"/>
    </xf>
    <xf numFmtId="164" fontId="39" fillId="0" borderId="0" xfId="1" applyNumberFormat="1" applyFont="1" applyFill="1" applyBorder="1" applyAlignment="1" applyProtection="1">
      <alignment horizontal="center" vertical="center"/>
    </xf>
    <xf numFmtId="164" fontId="39"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vertical="top"/>
    </xf>
    <xf numFmtId="0" fontId="39" fillId="0" borderId="0" xfId="0" applyFont="1" applyFill="1" applyBorder="1" applyAlignment="1" applyProtection="1">
      <alignment vertical="center"/>
    </xf>
    <xf numFmtId="10" fontId="47" fillId="0" borderId="12" xfId="0" applyNumberFormat="1" applyFont="1" applyFill="1" applyBorder="1" applyAlignment="1" applyProtection="1">
      <alignment horizontal="center" vertical="center"/>
    </xf>
    <xf numFmtId="0" fontId="78" fillId="0" borderId="0" xfId="0" applyFont="1" applyFill="1" applyAlignment="1" applyProtection="1"/>
    <xf numFmtId="0" fontId="93" fillId="0" borderId="0" xfId="0" applyFont="1" applyFill="1" applyProtection="1"/>
    <xf numFmtId="0" fontId="87" fillId="0" borderId="0" xfId="0" applyFont="1" applyFill="1" applyBorder="1" applyAlignment="1" applyProtection="1">
      <alignment horizontal="left"/>
    </xf>
    <xf numFmtId="0" fontId="39" fillId="0" borderId="8" xfId="0" applyFont="1" applyFill="1" applyBorder="1" applyAlignment="1" applyProtection="1">
      <alignment horizontal="center" vertical="center"/>
    </xf>
    <xf numFmtId="0" fontId="41" fillId="0" borderId="0" xfId="9" applyFont="1" applyAlignment="1" applyProtection="1">
      <alignment horizontal="left"/>
    </xf>
    <xf numFmtId="38" fontId="39" fillId="0" borderId="0" xfId="0" applyNumberFormat="1" applyFont="1" applyFill="1" applyBorder="1" applyAlignment="1" applyProtection="1">
      <alignment horizontal="left" vertical="center"/>
    </xf>
    <xf numFmtId="0" fontId="39" fillId="0" borderId="0" xfId="0" applyFont="1" applyFill="1" applyBorder="1" applyAlignment="1" applyProtection="1">
      <alignment vertical="center"/>
    </xf>
    <xf numFmtId="0" fontId="39" fillId="0" borderId="0" xfId="0" applyFont="1" applyFill="1" applyBorder="1" applyAlignment="1" applyProtection="1">
      <alignment horizontal="center" vertical="center"/>
    </xf>
    <xf numFmtId="164" fontId="39" fillId="0" borderId="0" xfId="1" applyNumberFormat="1" applyFont="1" applyFill="1" applyBorder="1" applyAlignment="1" applyProtection="1">
      <alignment horizontal="center" vertical="center"/>
    </xf>
    <xf numFmtId="0" fontId="8" fillId="0" borderId="76" xfId="0" applyFont="1" applyFill="1" applyBorder="1" applyAlignment="1" applyProtection="1"/>
    <xf numFmtId="0" fontId="39" fillId="0" borderId="7" xfId="0" applyFont="1" applyFill="1" applyBorder="1" applyAlignment="1" applyProtection="1">
      <alignment vertical="center"/>
    </xf>
    <xf numFmtId="0" fontId="39" fillId="0" borderId="0" xfId="0" applyFont="1" applyFill="1" applyBorder="1" applyAlignment="1" applyProtection="1">
      <alignment vertical="center"/>
    </xf>
    <xf numFmtId="164" fontId="39" fillId="0" borderId="0" xfId="1" applyNumberFormat="1" applyFont="1" applyFill="1" applyBorder="1" applyAlignment="1" applyProtection="1">
      <alignment horizontal="center" vertical="center"/>
    </xf>
    <xf numFmtId="3" fontId="39" fillId="0" borderId="0" xfId="0" applyNumberFormat="1" applyFont="1" applyFill="1" applyAlignment="1" applyProtection="1">
      <alignment vertical="center"/>
    </xf>
    <xf numFmtId="3" fontId="39" fillId="0" borderId="0" xfId="0" applyNumberFormat="1" applyFont="1" applyFill="1" applyProtection="1"/>
    <xf numFmtId="0" fontId="39" fillId="0" borderId="0" xfId="0" applyFont="1" applyFill="1" applyBorder="1" applyAlignment="1" applyProtection="1">
      <alignment vertical="center"/>
    </xf>
    <xf numFmtId="0" fontId="39" fillId="0" borderId="0" xfId="0" applyFont="1" applyFill="1" applyBorder="1" applyAlignment="1" applyProtection="1">
      <alignment horizontal="left" vertical="center"/>
    </xf>
    <xf numFmtId="0" fontId="62" fillId="0" borderId="0" xfId="6" applyFont="1" applyFill="1" applyAlignment="1" applyProtection="1">
      <alignment vertical="center"/>
      <protection locked="0"/>
    </xf>
    <xf numFmtId="0" fontId="39" fillId="0" borderId="0" xfId="0" applyFont="1" applyFill="1" applyBorder="1" applyAlignment="1" applyProtection="1">
      <alignment vertical="center"/>
    </xf>
    <xf numFmtId="0" fontId="39" fillId="0" borderId="0" xfId="0" applyFont="1" applyFill="1" applyBorder="1" applyAlignment="1" applyProtection="1">
      <alignment vertical="center"/>
    </xf>
    <xf numFmtId="0" fontId="39" fillId="0" borderId="0" xfId="0" applyFont="1" applyFill="1" applyBorder="1" applyAlignment="1" applyProtection="1">
      <alignment horizontal="center" vertical="center"/>
    </xf>
    <xf numFmtId="0" fontId="36" fillId="0" borderId="39" xfId="0" applyFont="1" applyFill="1" applyBorder="1" applyAlignment="1" applyProtection="1">
      <alignment vertical="center"/>
    </xf>
    <xf numFmtId="0" fontId="36" fillId="0" borderId="0" xfId="0" applyFont="1" applyFill="1" applyBorder="1" applyAlignment="1" applyProtection="1">
      <alignment vertical="center"/>
    </xf>
    <xf numFmtId="164" fontId="36" fillId="0" borderId="0" xfId="1" applyNumberFormat="1" applyFont="1" applyFill="1" applyBorder="1" applyAlignment="1" applyProtection="1">
      <alignment horizontal="center" vertical="center"/>
    </xf>
    <xf numFmtId="0" fontId="98" fillId="0" borderId="0" xfId="6" applyFont="1" applyFill="1" applyBorder="1" applyAlignment="1" applyProtection="1">
      <alignment vertical="center"/>
    </xf>
    <xf numFmtId="0" fontId="61" fillId="0" borderId="0" xfId="0" applyFont="1" applyFill="1" applyBorder="1" applyAlignment="1" applyProtection="1">
      <alignment vertical="top"/>
    </xf>
    <xf numFmtId="0" fontId="99" fillId="0" borderId="0" xfId="6" applyFont="1" applyFill="1" applyBorder="1" applyAlignment="1" applyProtection="1">
      <alignment vertical="center"/>
      <protection locked="0"/>
    </xf>
    <xf numFmtId="0" fontId="39" fillId="0" borderId="0" xfId="0" applyFont="1" applyFill="1" applyAlignment="1" applyProtection="1">
      <alignment vertical="top"/>
    </xf>
    <xf numFmtId="0" fontId="56" fillId="0" borderId="73" xfId="0" applyFont="1" applyFill="1" applyBorder="1" applyAlignment="1" applyProtection="1">
      <alignment vertical="center"/>
    </xf>
    <xf numFmtId="0" fontId="56" fillId="0" borderId="73" xfId="0" applyFont="1" applyFill="1" applyBorder="1" applyAlignment="1" applyProtection="1">
      <alignment horizontal="center" vertical="center"/>
    </xf>
    <xf numFmtId="0" fontId="55" fillId="0" borderId="69" xfId="0" applyFont="1" applyFill="1" applyBorder="1" applyAlignment="1" applyProtection="1">
      <alignment horizontal="left" vertical="center"/>
    </xf>
    <xf numFmtId="0" fontId="36" fillId="0" borderId="0" xfId="0" applyFont="1" applyFill="1" applyBorder="1" applyAlignment="1" applyProtection="1">
      <alignment horizontal="left"/>
    </xf>
    <xf numFmtId="0" fontId="100" fillId="0" borderId="0" xfId="0" applyFont="1" applyFill="1" applyBorder="1" applyAlignment="1" applyProtection="1">
      <alignment horizontal="left" vertical="center"/>
    </xf>
    <xf numFmtId="0" fontId="39" fillId="5" borderId="11" xfId="0" applyFont="1" applyFill="1" applyBorder="1" applyAlignment="1" applyProtection="1">
      <alignment horizontal="left" vertical="center"/>
      <protection locked="0"/>
    </xf>
    <xf numFmtId="0" fontId="39" fillId="0" borderId="0" xfId="0" applyFont="1" applyFill="1" applyBorder="1" applyAlignment="1" applyProtection="1">
      <alignment horizontal="left" vertical="center"/>
    </xf>
    <xf numFmtId="0" fontId="39" fillId="0" borderId="0" xfId="0" applyFont="1" applyFill="1" applyBorder="1" applyAlignment="1" applyProtection="1">
      <alignment vertical="center"/>
    </xf>
    <xf numFmtId="3" fontId="39" fillId="13" borderId="79" xfId="0" applyNumberFormat="1" applyFont="1" applyFill="1" applyBorder="1" applyAlignment="1" applyProtection="1">
      <alignment vertical="center"/>
      <protection locked="0"/>
    </xf>
    <xf numFmtId="3" fontId="39" fillId="13" borderId="37" xfId="0" applyNumberFormat="1" applyFont="1" applyFill="1" applyBorder="1" applyAlignment="1" applyProtection="1">
      <alignment vertical="center"/>
      <protection locked="0"/>
    </xf>
    <xf numFmtId="3" fontId="49" fillId="13" borderId="37" xfId="0" applyNumberFormat="1" applyFont="1" applyFill="1" applyBorder="1" applyAlignment="1" applyProtection="1">
      <alignment horizontal="left" vertical="center"/>
      <protection locked="0"/>
    </xf>
    <xf numFmtId="3" fontId="39" fillId="13" borderId="48" xfId="0" applyNumberFormat="1" applyFont="1" applyFill="1" applyBorder="1" applyAlignment="1" applyProtection="1">
      <alignment vertical="center"/>
      <protection locked="0"/>
    </xf>
    <xf numFmtId="3" fontId="39" fillId="13" borderId="77" xfId="0" applyNumberFormat="1" applyFont="1" applyFill="1" applyBorder="1" applyAlignment="1" applyProtection="1">
      <alignment vertical="center"/>
      <protection locked="0"/>
    </xf>
    <xf numFmtId="0" fontId="39" fillId="0" borderId="0" xfId="0" applyFont="1" applyFill="1" applyAlignment="1" applyProtection="1">
      <alignment horizontal="center" vertical="center"/>
      <protection locked="0"/>
    </xf>
    <xf numFmtId="0" fontId="39" fillId="0" borderId="12" xfId="0" applyFont="1" applyFill="1" applyBorder="1" applyAlignment="1" applyProtection="1">
      <alignment vertical="center"/>
    </xf>
    <xf numFmtId="4" fontId="56" fillId="0" borderId="12" xfId="1" applyNumberFormat="1" applyFont="1" applyFill="1" applyBorder="1" applyAlignment="1" applyProtection="1">
      <alignment horizontal="right" vertical="center"/>
    </xf>
    <xf numFmtId="4" fontId="56" fillId="0" borderId="76" xfId="1" applyNumberFormat="1" applyFont="1" applyFill="1" applyBorder="1" applyAlignment="1" applyProtection="1">
      <alignment horizontal="right" vertical="center"/>
    </xf>
    <xf numFmtId="171" fontId="45" fillId="0" borderId="76" xfId="0" applyNumberFormat="1" applyFont="1" applyFill="1" applyBorder="1" applyAlignment="1" applyProtection="1">
      <alignment horizontal="left" vertical="center"/>
    </xf>
    <xf numFmtId="0" fontId="45" fillId="0" borderId="12" xfId="0" applyFont="1" applyFill="1" applyBorder="1" applyAlignment="1" applyProtection="1">
      <alignment vertical="center"/>
    </xf>
    <xf numFmtId="0" fontId="56" fillId="0" borderId="71" xfId="0" applyFont="1" applyFill="1" applyBorder="1" applyAlignment="1" applyProtection="1">
      <alignment vertical="top"/>
    </xf>
    <xf numFmtId="0" fontId="56" fillId="0" borderId="72" xfId="0" applyFont="1" applyFill="1" applyBorder="1" applyAlignment="1" applyProtection="1">
      <alignment vertical="center"/>
    </xf>
    <xf numFmtId="0" fontId="100" fillId="0" borderId="0" xfId="0" applyFont="1" applyFill="1" applyAlignment="1" applyProtection="1">
      <alignment vertical="center"/>
    </xf>
    <xf numFmtId="164" fontId="39" fillId="0" borderId="0" xfId="1" applyNumberFormat="1" applyFont="1" applyFill="1" applyBorder="1" applyAlignment="1" applyProtection="1">
      <alignment horizontal="center" vertical="center"/>
    </xf>
    <xf numFmtId="0" fontId="39" fillId="0" borderId="0" xfId="0" applyFont="1" applyFill="1" applyBorder="1" applyAlignment="1" applyProtection="1">
      <alignment horizontal="left" vertical="center"/>
    </xf>
    <xf numFmtId="0" fontId="39" fillId="0" borderId="0" xfId="0" applyFont="1" applyFill="1" applyBorder="1" applyAlignment="1" applyProtection="1">
      <alignment horizontal="left"/>
    </xf>
    <xf numFmtId="0" fontId="47" fillId="0" borderId="0" xfId="0" applyFont="1" applyFill="1" applyBorder="1" applyAlignment="1" applyProtection="1">
      <alignment horizontal="left"/>
    </xf>
    <xf numFmtId="0" fontId="39" fillId="0" borderId="0" xfId="0" applyFont="1" applyFill="1" applyBorder="1" applyAlignment="1" applyProtection="1">
      <alignment vertical="center"/>
    </xf>
    <xf numFmtId="0" fontId="39" fillId="0" borderId="0" xfId="0" applyFont="1" applyFill="1" applyBorder="1" applyAlignment="1" applyProtection="1">
      <alignment horizontal="center" vertical="center"/>
    </xf>
    <xf numFmtId="0" fontId="100" fillId="0" borderId="77" xfId="0" applyFont="1" applyFill="1" applyBorder="1" applyAlignment="1" applyProtection="1">
      <alignment horizontal="center" vertical="center"/>
    </xf>
    <xf numFmtId="0" fontId="13" fillId="0" borderId="0" xfId="0" applyFont="1" applyProtection="1"/>
    <xf numFmtId="0" fontId="39" fillId="0" borderId="0" xfId="0" applyFont="1" applyFill="1" applyAlignment="1" applyProtection="1">
      <alignment horizontal="center" vertical="center"/>
    </xf>
    <xf numFmtId="0" fontId="39" fillId="0" borderId="0" xfId="0" applyFont="1" applyFill="1" applyBorder="1" applyAlignment="1" applyProtection="1">
      <alignment horizontal="center" vertical="center"/>
    </xf>
    <xf numFmtId="0" fontId="39" fillId="0" borderId="0" xfId="0" applyFont="1" applyFill="1" applyBorder="1" applyAlignment="1" applyProtection="1">
      <alignment horizontal="left"/>
    </xf>
    <xf numFmtId="0" fontId="39" fillId="0" borderId="0" xfId="0" applyFont="1" applyFill="1" applyBorder="1" applyAlignment="1" applyProtection="1">
      <alignment vertical="center"/>
    </xf>
    <xf numFmtId="0" fontId="39" fillId="0" borderId="0" xfId="0" applyFont="1" applyFill="1" applyBorder="1" applyAlignment="1" applyProtection="1">
      <alignment horizontal="center" vertical="center"/>
    </xf>
    <xf numFmtId="164" fontId="39"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0" fontId="103" fillId="0" borderId="0" xfId="0" applyFont="1" applyFill="1" applyBorder="1" applyAlignment="1" applyProtection="1">
      <alignment horizontal="left" wrapText="1"/>
    </xf>
    <xf numFmtId="0" fontId="87" fillId="0" borderId="0" xfId="0" applyFont="1"/>
    <xf numFmtId="0" fontId="94" fillId="0" borderId="0" xfId="0" applyFont="1"/>
    <xf numFmtId="0" fontId="87" fillId="0" borderId="0" xfId="0" applyNumberFormat="1" applyFont="1"/>
    <xf numFmtId="0" fontId="36" fillId="0" borderId="0" xfId="0" applyFont="1" applyAlignment="1" applyProtection="1">
      <alignment horizontal="left"/>
    </xf>
    <xf numFmtId="0" fontId="47" fillId="16" borderId="77" xfId="0" applyFont="1" applyFill="1" applyBorder="1" applyAlignment="1" applyProtection="1">
      <alignment vertical="center"/>
    </xf>
    <xf numFmtId="0" fontId="36" fillId="0" borderId="0" xfId="0" quotePrefix="1" applyNumberFormat="1" applyFont="1"/>
    <xf numFmtId="0" fontId="76" fillId="0" borderId="0" xfId="0" applyNumberFormat="1" applyFont="1"/>
    <xf numFmtId="0" fontId="76" fillId="0" borderId="0" xfId="0" applyFont="1"/>
    <xf numFmtId="0" fontId="4" fillId="0" borderId="0" xfId="0" applyFont="1" applyFill="1" applyBorder="1" applyAlignment="1" applyProtection="1">
      <alignment horizontal="center" vertical="center" wrapText="1"/>
    </xf>
    <xf numFmtId="0" fontId="91" fillId="0" borderId="0" xfId="0" applyFont="1" applyFill="1" applyAlignment="1" applyProtection="1">
      <alignment vertical="top"/>
    </xf>
    <xf numFmtId="0" fontId="39" fillId="0" borderId="0" xfId="0" applyFont="1" applyFill="1" applyBorder="1" applyAlignment="1" applyProtection="1">
      <alignment vertical="center"/>
    </xf>
    <xf numFmtId="174" fontId="39" fillId="0" borderId="11" xfId="10" applyNumberFormat="1" applyFont="1" applyFill="1" applyBorder="1" applyAlignment="1" applyProtection="1">
      <alignment vertical="center"/>
    </xf>
    <xf numFmtId="0" fontId="77" fillId="0" borderId="0" xfId="0" applyFont="1" applyFill="1" applyAlignment="1" applyProtection="1">
      <alignment horizontal="left" vertical="center"/>
    </xf>
    <xf numFmtId="0" fontId="39" fillId="0" borderId="0" xfId="0" applyFont="1" applyFill="1" applyBorder="1" applyAlignment="1" applyProtection="1">
      <alignment horizontal="left"/>
    </xf>
    <xf numFmtId="0" fontId="39" fillId="0" borderId="0" xfId="0" applyFont="1" applyFill="1" applyBorder="1" applyAlignment="1" applyProtection="1">
      <alignment horizontal="left" vertical="center"/>
    </xf>
    <xf numFmtId="0" fontId="39" fillId="0" borderId="0" xfId="0" applyFont="1" applyFill="1" applyBorder="1" applyAlignment="1" applyProtection="1">
      <alignment horizontal="center" vertical="center"/>
    </xf>
    <xf numFmtId="0" fontId="39" fillId="0" borderId="0" xfId="0" applyFont="1" applyFill="1" applyBorder="1" applyAlignment="1" applyProtection="1">
      <alignment vertical="center"/>
    </xf>
    <xf numFmtId="0" fontId="3" fillId="0" borderId="0" xfId="13"/>
    <xf numFmtId="0" fontId="125" fillId="0" borderId="0" xfId="13" applyFont="1" applyAlignment="1">
      <alignment horizontal="center"/>
    </xf>
    <xf numFmtId="0" fontId="126" fillId="0" borderId="0" xfId="13" applyFont="1"/>
    <xf numFmtId="0" fontId="126" fillId="0" borderId="0" xfId="13" applyFont="1" applyAlignment="1">
      <alignment horizontal="center"/>
    </xf>
    <xf numFmtId="177" fontId="126" fillId="0" borderId="0" xfId="13" applyNumberFormat="1" applyFont="1" applyAlignment="1">
      <alignment horizontal="center"/>
    </xf>
    <xf numFmtId="0" fontId="126" fillId="0" borderId="0" xfId="13" applyFont="1" applyFill="1" applyAlignment="1">
      <alignment horizontal="center"/>
    </xf>
    <xf numFmtId="0" fontId="3" fillId="0" borderId="0" xfId="13" applyFont="1"/>
    <xf numFmtId="0" fontId="3" fillId="0" borderId="0" xfId="13" applyFont="1" applyBorder="1"/>
    <xf numFmtId="0" fontId="3" fillId="10" borderId="0" xfId="13" applyFont="1" applyFill="1"/>
    <xf numFmtId="0" fontId="3" fillId="10" borderId="0" xfId="13" applyFill="1"/>
    <xf numFmtId="0" fontId="3" fillId="0" borderId="0" xfId="13" applyBorder="1"/>
    <xf numFmtId="0" fontId="3" fillId="0" borderId="0" xfId="13" applyBorder="1" applyAlignment="1">
      <alignment horizontal="center"/>
    </xf>
    <xf numFmtId="0" fontId="8" fillId="0" borderId="0" xfId="13" applyFont="1" applyBorder="1"/>
    <xf numFmtId="0" fontId="3" fillId="0" borderId="0" xfId="13" applyFont="1" applyAlignment="1">
      <alignment horizontal="right"/>
    </xf>
    <xf numFmtId="3" fontId="3" fillId="0" borderId="0" xfId="13" applyNumberFormat="1" applyBorder="1" applyAlignment="1">
      <alignment horizontal="center"/>
    </xf>
    <xf numFmtId="0" fontId="3" fillId="0" borderId="0" xfId="13" applyFont="1" applyBorder="1" applyAlignment="1">
      <alignment horizontal="right"/>
    </xf>
    <xf numFmtId="0" fontId="4" fillId="0" borderId="0" xfId="13" applyFont="1" applyBorder="1"/>
    <xf numFmtId="0" fontId="84" fillId="0" borderId="0" xfId="13" applyFont="1"/>
    <xf numFmtId="0" fontId="41" fillId="0" borderId="0" xfId="0" applyFont="1" applyAlignment="1" applyProtection="1">
      <alignment horizontal="left" wrapText="1"/>
    </xf>
    <xf numFmtId="0" fontId="41" fillId="0" borderId="0" xfId="0" applyFont="1" applyFill="1" applyAlignment="1" applyProtection="1">
      <alignment horizontal="left" wrapText="1"/>
    </xf>
    <xf numFmtId="0" fontId="41" fillId="0" borderId="0" xfId="0" applyFont="1" applyAlignment="1" applyProtection="1">
      <alignment horizontal="center" wrapText="1"/>
    </xf>
    <xf numFmtId="0" fontId="41" fillId="0" borderId="0" xfId="0" applyFont="1" applyFill="1" applyBorder="1" applyAlignment="1" applyProtection="1">
      <alignment horizontal="left"/>
    </xf>
    <xf numFmtId="0" fontId="36" fillId="0" borderId="0" xfId="0" applyFont="1" applyBorder="1" applyAlignment="1" applyProtection="1">
      <alignment horizontal="left" vertical="center"/>
    </xf>
    <xf numFmtId="0" fontId="36" fillId="0" borderId="0" xfId="0" applyFont="1"/>
    <xf numFmtId="0" fontId="76" fillId="0" borderId="0" xfId="0" applyFont="1" applyFill="1" applyAlignment="1" applyProtection="1"/>
    <xf numFmtId="0" fontId="36" fillId="0" borderId="0" xfId="0" applyFont="1" applyFill="1" applyBorder="1" applyAlignment="1" applyProtection="1">
      <alignment wrapText="1"/>
    </xf>
    <xf numFmtId="0" fontId="43" fillId="0" borderId="0" xfId="0" applyFont="1" applyFill="1" applyBorder="1" applyAlignment="1" applyProtection="1">
      <alignment horizontal="left"/>
    </xf>
    <xf numFmtId="0" fontId="43" fillId="0" borderId="0" xfId="0" applyFont="1" applyAlignment="1" applyProtection="1">
      <alignment horizontal="left" vertical="center"/>
    </xf>
    <xf numFmtId="0" fontId="39" fillId="0" borderId="0" xfId="0" applyFont="1" applyFill="1" applyBorder="1" applyAlignment="1" applyProtection="1">
      <alignment horizontal="center" vertical="center"/>
    </xf>
    <xf numFmtId="0" fontId="8" fillId="0" borderId="0" xfId="13" applyFont="1" applyAlignment="1">
      <alignment horizontal="centerContinuous"/>
    </xf>
    <xf numFmtId="0" fontId="3" fillId="0" borderId="0" xfId="13" applyFont="1" applyAlignment="1">
      <alignment horizontal="left"/>
    </xf>
    <xf numFmtId="5" fontId="3" fillId="0" borderId="0" xfId="13" applyNumberFormat="1" applyFont="1" applyAlignment="1">
      <alignment horizontal="right"/>
    </xf>
    <xf numFmtId="9" fontId="3" fillId="10" borderId="0" xfId="13" applyNumberFormat="1" applyFont="1" applyFill="1" applyAlignment="1">
      <alignment horizontal="right"/>
    </xf>
    <xf numFmtId="9" fontId="3" fillId="0" borderId="0" xfId="13" applyNumberFormat="1" applyFont="1" applyAlignment="1">
      <alignment horizontal="right"/>
    </xf>
    <xf numFmtId="1" fontId="3" fillId="0" borderId="0" xfId="13" applyNumberFormat="1" applyFont="1" applyAlignment="1">
      <alignment horizontal="right"/>
    </xf>
    <xf numFmtId="0" fontId="3" fillId="0" borderId="0" xfId="13" applyFont="1" applyFill="1"/>
    <xf numFmtId="181" fontId="3" fillId="10" borderId="0" xfId="13" applyNumberFormat="1" applyFont="1" applyFill="1" applyAlignment="1">
      <alignment horizontal="right"/>
    </xf>
    <xf numFmtId="181" fontId="3" fillId="0" borderId="0" xfId="13" applyNumberFormat="1" applyFont="1"/>
    <xf numFmtId="181" fontId="3" fillId="0" borderId="0" xfId="13" applyNumberFormat="1" applyFont="1" applyBorder="1"/>
    <xf numFmtId="167" fontId="3" fillId="0" borderId="0" xfId="13" applyNumberFormat="1" applyFont="1" applyAlignment="1">
      <alignment horizontal="left"/>
    </xf>
    <xf numFmtId="3" fontId="3" fillId="0" borderId="0" xfId="13" applyNumberFormat="1" applyFont="1" applyAlignment="1">
      <alignment horizontal="right"/>
    </xf>
    <xf numFmtId="0" fontId="3" fillId="10" borderId="0" xfId="13" applyFont="1" applyFill="1" applyAlignment="1">
      <alignment horizontal="right"/>
    </xf>
    <xf numFmtId="176" fontId="3" fillId="0" borderId="0" xfId="13" applyNumberFormat="1" applyFont="1" applyAlignment="1">
      <alignment horizontal="right"/>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81" fontId="3" fillId="10" borderId="0" xfId="13" applyNumberFormat="1" applyFont="1" applyFill="1"/>
    <xf numFmtId="0" fontId="3" fillId="0" borderId="37" xfId="13" applyFont="1" applyBorder="1" applyAlignment="1">
      <alignment horizontal="center"/>
    </xf>
    <xf numFmtId="1" fontId="3" fillId="0" borderId="37" xfId="13" applyNumberFormat="1" applyFill="1" applyBorder="1" applyAlignment="1">
      <alignment horizontal="center"/>
    </xf>
    <xf numFmtId="0" fontId="3" fillId="10" borderId="37" xfId="13" applyFill="1" applyBorder="1" applyAlignment="1">
      <alignment horizontal="center"/>
    </xf>
    <xf numFmtId="3" fontId="3" fillId="10" borderId="37" xfId="13" applyNumberFormat="1" applyFont="1" applyFill="1" applyBorder="1" applyAlignment="1">
      <alignment horizontal="center"/>
    </xf>
    <xf numFmtId="169" fontId="3" fillId="0" borderId="37" xfId="13" applyNumberFormat="1" applyFont="1" applyBorder="1" applyAlignment="1">
      <alignment horizontal="center"/>
    </xf>
    <xf numFmtId="1" fontId="3" fillId="0" borderId="37" xfId="13" applyNumberFormat="1" applyBorder="1" applyAlignment="1">
      <alignment horizontal="center"/>
    </xf>
    <xf numFmtId="0" fontId="3" fillId="10" borderId="37" xfId="13" applyFont="1" applyFill="1" applyBorder="1" applyAlignment="1">
      <alignment horizontal="center"/>
    </xf>
    <xf numFmtId="0" fontId="3" fillId="0" borderId="76" xfId="13" applyBorder="1"/>
    <xf numFmtId="0" fontId="3" fillId="0" borderId="72" xfId="13" applyBorder="1"/>
    <xf numFmtId="0" fontId="3" fillId="0" borderId="7" xfId="13" applyBorder="1"/>
    <xf numFmtId="0" fontId="3" fillId="0" borderId="8" xfId="13" applyBorder="1"/>
    <xf numFmtId="0" fontId="3" fillId="0" borderId="7" xfId="13" applyFont="1" applyBorder="1"/>
    <xf numFmtId="0" fontId="3" fillId="0" borderId="7" xfId="13" applyFont="1" applyFill="1" applyBorder="1"/>
    <xf numFmtId="0" fontId="3" fillId="0" borderId="9" xfId="13" applyBorder="1"/>
    <xf numFmtId="0" fontId="3" fillId="0" borderId="12" xfId="13" applyBorder="1"/>
    <xf numFmtId="0" fontId="3" fillId="0" borderId="13" xfId="13" applyBorder="1"/>
    <xf numFmtId="0" fontId="3" fillId="0" borderId="71" xfId="13" applyBorder="1"/>
    <xf numFmtId="0" fontId="3" fillId="0" borderId="24" xfId="13" applyFill="1" applyBorder="1" applyAlignment="1">
      <alignment horizontal="center"/>
    </xf>
    <xf numFmtId="0" fontId="13" fillId="0" borderId="7" xfId="13" applyFont="1" applyBorder="1"/>
    <xf numFmtId="0" fontId="133" fillId="0" borderId="0" xfId="13" applyFont="1" applyBorder="1" applyAlignment="1"/>
    <xf numFmtId="0" fontId="3" fillId="0" borderId="7" xfId="13" applyFont="1" applyBorder="1" applyAlignment="1">
      <alignment horizontal="left"/>
    </xf>
    <xf numFmtId="3" fontId="3" fillId="0" borderId="24" xfId="13" applyNumberFormat="1" applyBorder="1" applyAlignment="1">
      <alignment horizontal="center"/>
    </xf>
    <xf numFmtId="0" fontId="13" fillId="0" borderId="0" xfId="13" applyFont="1" applyBorder="1" applyAlignment="1"/>
    <xf numFmtId="0" fontId="16" fillId="0" borderId="8" xfId="13" applyFont="1" applyBorder="1" applyAlignment="1">
      <alignment horizontal="right"/>
    </xf>
    <xf numFmtId="0" fontId="3" fillId="0" borderId="7" xfId="13" applyFont="1" applyFill="1" applyBorder="1" applyAlignment="1">
      <alignment horizontal="left"/>
    </xf>
    <xf numFmtId="0" fontId="13" fillId="0" borderId="7" xfId="13" applyFont="1" applyBorder="1" applyAlignment="1">
      <alignment horizontal="left"/>
    </xf>
    <xf numFmtId="0" fontId="4" fillId="0" borderId="7" xfId="13" applyFont="1" applyBorder="1"/>
    <xf numFmtId="0" fontId="4" fillId="0" borderId="0" xfId="13" applyFont="1" applyFill="1" applyBorder="1"/>
    <xf numFmtId="0" fontId="3" fillId="0" borderId="7" xfId="13" applyFont="1" applyBorder="1" applyAlignment="1"/>
    <xf numFmtId="0" fontId="3" fillId="0" borderId="0" xfId="13" applyFont="1" applyBorder="1" applyAlignment="1"/>
    <xf numFmtId="0" fontId="3" fillId="0" borderId="0" xfId="13" applyFont="1" applyBorder="1" applyAlignment="1">
      <alignment horizontal="left" vertical="top"/>
    </xf>
    <xf numFmtId="0" fontId="3" fillId="0" borderId="24" xfId="13" applyFont="1" applyBorder="1" applyAlignment="1">
      <alignment horizontal="center"/>
    </xf>
    <xf numFmtId="0" fontId="3" fillId="10" borderId="24" xfId="13" applyFont="1" applyFill="1" applyBorder="1" applyAlignment="1">
      <alignment horizontal="center"/>
    </xf>
    <xf numFmtId="3" fontId="3" fillId="0" borderId="8" xfId="13" applyNumberFormat="1" applyBorder="1" applyAlignment="1">
      <alignment horizontal="center"/>
    </xf>
    <xf numFmtId="0" fontId="8" fillId="0" borderId="0" xfId="13" applyFont="1" applyBorder="1" applyAlignment="1">
      <alignment vertical="center"/>
    </xf>
    <xf numFmtId="164" fontId="12" fillId="0" borderId="0" xfId="1" applyNumberFormat="1" applyFont="1" applyFill="1" applyBorder="1" applyAlignment="1" applyProtection="1">
      <alignment horizontal="right" vertical="center"/>
    </xf>
    <xf numFmtId="0" fontId="24" fillId="0" borderId="0" xfId="0" applyFont="1" applyFill="1" applyAlignment="1" applyProtection="1">
      <alignment horizontal="center" vertical="center" wrapText="1"/>
    </xf>
    <xf numFmtId="38" fontId="36" fillId="0" borderId="0" xfId="0" applyNumberFormat="1" applyFont="1" applyBorder="1" applyAlignment="1" applyProtection="1">
      <alignment horizontal="left" vertical="center"/>
    </xf>
    <xf numFmtId="38" fontId="104" fillId="0" borderId="0" xfId="0" applyNumberFormat="1" applyFont="1" applyBorder="1" applyAlignment="1" applyProtection="1">
      <alignment horizontal="left" vertical="center"/>
    </xf>
    <xf numFmtId="0" fontId="36" fillId="0" borderId="12" xfId="0" applyFont="1" applyBorder="1" applyAlignment="1" applyProtection="1">
      <alignment vertical="center"/>
    </xf>
    <xf numFmtId="0" fontId="39" fillId="0" borderId="83" xfId="0" applyFont="1" applyBorder="1" applyAlignment="1" applyProtection="1">
      <alignment horizontal="center" vertical="center"/>
    </xf>
    <xf numFmtId="0" fontId="39" fillId="0" borderId="12" xfId="0" applyFont="1" applyBorder="1" applyAlignment="1" applyProtection="1">
      <alignment horizontal="center" vertical="center"/>
    </xf>
    <xf numFmtId="0" fontId="36" fillId="0" borderId="12" xfId="0" applyFont="1" applyBorder="1" applyAlignment="1" applyProtection="1">
      <alignment horizontal="center" vertical="center"/>
    </xf>
    <xf numFmtId="0" fontId="36" fillId="0" borderId="84"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0" fontId="140" fillId="0" borderId="0" xfId="0" applyFont="1" applyFill="1" applyProtection="1"/>
    <xf numFmtId="0" fontId="145" fillId="0" borderId="0" xfId="0" applyFont="1" applyFill="1" applyAlignment="1" applyProtection="1">
      <alignment vertical="center"/>
    </xf>
    <xf numFmtId="0" fontId="143" fillId="0" borderId="18" xfId="0" applyFont="1" applyFill="1" applyBorder="1" applyAlignment="1" applyProtection="1">
      <alignment horizontal="right" vertical="top"/>
    </xf>
    <xf numFmtId="0" fontId="41" fillId="0" borderId="0" xfId="0" applyFont="1" applyAlignment="1" applyProtection="1">
      <alignment wrapText="1"/>
    </xf>
    <xf numFmtId="0" fontId="4" fillId="0" borderId="0" xfId="0" applyFont="1" applyFill="1" applyAlignment="1" applyProtection="1">
      <alignment horizontal="center" vertical="center"/>
    </xf>
    <xf numFmtId="38" fontId="13" fillId="0" borderId="15"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3" fillId="0" borderId="15" xfId="1" applyNumberFormat="1" applyFont="1" applyFill="1" applyBorder="1" applyAlignment="1" applyProtection="1">
      <alignment horizontal="right" vertical="center"/>
    </xf>
    <xf numFmtId="38" fontId="3" fillId="0" borderId="21" xfId="1" applyNumberFormat="1" applyFont="1" applyFill="1" applyBorder="1" applyAlignment="1" applyProtection="1">
      <alignment horizontal="right" vertical="center"/>
    </xf>
    <xf numFmtId="38" fontId="3" fillId="0" borderId="17" xfId="1" applyNumberFormat="1" applyFont="1" applyFill="1" applyBorder="1" applyAlignment="1" applyProtection="1">
      <alignment horizontal="right" vertical="center"/>
    </xf>
    <xf numFmtId="0" fontId="147" fillId="0" borderId="0" xfId="0" applyFont="1" applyAlignment="1" applyProtection="1">
      <alignment horizontal="center"/>
    </xf>
    <xf numFmtId="3" fontId="16" fillId="0" borderId="18" xfId="0" applyNumberFormat="1" applyFont="1" applyFill="1" applyBorder="1" applyAlignment="1" applyProtection="1">
      <alignment horizontal="center"/>
    </xf>
    <xf numFmtId="0" fontId="16" fillId="0" borderId="0" xfId="0" applyFont="1" applyFill="1" applyAlignment="1" applyProtection="1">
      <alignment horizontal="center"/>
    </xf>
    <xf numFmtId="3" fontId="45" fillId="0" borderId="18" xfId="0" applyNumberFormat="1" applyFont="1" applyFill="1" applyBorder="1" applyAlignment="1" applyProtection="1">
      <alignment horizontal="center"/>
    </xf>
    <xf numFmtId="0" fontId="20" fillId="0" borderId="0" xfId="0" applyFont="1" applyFill="1" applyProtection="1"/>
    <xf numFmtId="0" fontId="47" fillId="0" borderId="0" xfId="0" quotePrefix="1" applyFont="1" applyFill="1" applyAlignment="1" applyProtection="1">
      <alignment vertical="top"/>
    </xf>
    <xf numFmtId="0" fontId="39" fillId="5" borderId="15" xfId="0" applyFont="1" applyFill="1" applyBorder="1" applyAlignment="1" applyProtection="1">
      <alignment horizontal="center" vertical="top"/>
      <protection locked="0"/>
    </xf>
    <xf numFmtId="0" fontId="39" fillId="5" borderId="16" xfId="0" applyFont="1" applyFill="1" applyBorder="1" applyAlignment="1" applyProtection="1">
      <alignment horizontal="center" vertical="top"/>
      <protection locked="0"/>
    </xf>
    <xf numFmtId="0" fontId="39" fillId="5" borderId="17" xfId="0" applyFont="1" applyFill="1" applyBorder="1" applyAlignment="1" applyProtection="1">
      <alignment horizontal="center" vertical="top"/>
      <protection locked="0"/>
    </xf>
    <xf numFmtId="0" fontId="39" fillId="0" borderId="0" xfId="0" applyFont="1" applyFill="1" applyBorder="1" applyAlignment="1" applyProtection="1">
      <alignment vertical="top" wrapText="1"/>
      <protection locked="0"/>
    </xf>
    <xf numFmtId="0" fontId="47" fillId="0" borderId="91" xfId="0" applyFont="1" applyFill="1" applyBorder="1" applyAlignment="1" applyProtection="1">
      <alignment vertical="top" wrapText="1"/>
    </xf>
    <xf numFmtId="0" fontId="39" fillId="5" borderId="15" xfId="0" applyNumberFormat="1" applyFont="1" applyFill="1" applyBorder="1" applyAlignment="1" applyProtection="1">
      <alignment horizontal="center" vertical="top"/>
      <protection locked="0"/>
    </xf>
    <xf numFmtId="0" fontId="39" fillId="5" borderId="47" xfId="0" applyFont="1" applyFill="1" applyBorder="1" applyAlignment="1" applyProtection="1">
      <alignment horizontal="center" vertical="top"/>
      <protection locked="0"/>
    </xf>
    <xf numFmtId="0" fontId="39" fillId="5" borderId="16" xfId="0" applyNumberFormat="1" applyFont="1" applyFill="1" applyBorder="1" applyAlignment="1" applyProtection="1">
      <alignment horizontal="center" vertical="top"/>
      <protection locked="0"/>
    </xf>
    <xf numFmtId="0" fontId="39" fillId="5" borderId="46" xfId="0" applyFont="1" applyFill="1" applyBorder="1" applyAlignment="1" applyProtection="1">
      <alignment horizontal="center" vertical="top"/>
      <protection locked="0"/>
    </xf>
    <xf numFmtId="0" fontId="39" fillId="5" borderId="17" xfId="0" applyNumberFormat="1" applyFont="1" applyFill="1" applyBorder="1" applyAlignment="1" applyProtection="1">
      <alignment horizontal="center" vertical="top"/>
      <protection locked="0"/>
    </xf>
    <xf numFmtId="0" fontId="39" fillId="5" borderId="44" xfId="0" applyFont="1" applyFill="1" applyBorder="1" applyAlignment="1" applyProtection="1">
      <alignment horizontal="center" vertical="top"/>
      <protection locked="0"/>
    </xf>
    <xf numFmtId="0" fontId="35" fillId="0" borderId="0" xfId="0" applyFont="1" applyFill="1" applyAlignment="1" applyProtection="1">
      <alignment horizontal="right" vertical="center"/>
    </xf>
    <xf numFmtId="3" fontId="38" fillId="0" borderId="90" xfId="0" applyNumberFormat="1" applyFont="1" applyFill="1" applyBorder="1" applyAlignment="1" applyProtection="1">
      <alignment horizontal="center" vertical="center"/>
    </xf>
    <xf numFmtId="164" fontId="38" fillId="0" borderId="0" xfId="1" applyNumberFormat="1" applyFont="1" applyFill="1" applyBorder="1" applyAlignment="1" applyProtection="1">
      <alignment horizontal="right" vertical="center"/>
    </xf>
    <xf numFmtId="0" fontId="36" fillId="0" borderId="12" xfId="0" applyFont="1" applyBorder="1" applyAlignment="1" applyProtection="1">
      <alignment horizontal="justify"/>
    </xf>
    <xf numFmtId="0" fontId="4" fillId="0" borderId="12" xfId="0" applyFont="1" applyBorder="1" applyAlignment="1" applyProtection="1">
      <alignment wrapText="1"/>
    </xf>
    <xf numFmtId="0" fontId="148"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22" fillId="0" borderId="0" xfId="1" applyNumberFormat="1" applyFont="1" applyFill="1" applyAlignment="1" applyProtection="1">
      <alignment horizontal="center"/>
    </xf>
    <xf numFmtId="0" fontId="39" fillId="0" borderId="0" xfId="0" applyFont="1" applyFill="1" applyBorder="1" applyAlignment="1" applyProtection="1">
      <alignment horizontal="left"/>
    </xf>
    <xf numFmtId="0" fontId="39" fillId="0" borderId="0" xfId="0" applyFont="1" applyFill="1" applyBorder="1" applyAlignment="1" applyProtection="1">
      <alignment vertical="center"/>
    </xf>
    <xf numFmtId="0" fontId="39" fillId="0" borderId="0" xfId="0" applyFont="1" applyFill="1" applyBorder="1" applyAlignment="1" applyProtection="1">
      <alignment horizontal="center" vertical="center"/>
    </xf>
    <xf numFmtId="38" fontId="3" fillId="0" borderId="0" xfId="13" applyNumberFormat="1" applyFont="1" applyFill="1" applyAlignment="1">
      <alignment horizontal="right"/>
    </xf>
    <xf numFmtId="3" fontId="3" fillId="10" borderId="0" xfId="13" applyNumberFormat="1" applyFont="1" applyFill="1" applyAlignment="1">
      <alignment horizontal="right"/>
    </xf>
    <xf numFmtId="49" fontId="133" fillId="0" borderId="0" xfId="6" applyNumberFormat="1" applyFont="1" applyFill="1" applyAlignment="1" applyProtection="1">
      <alignment horizontal="left"/>
    </xf>
    <xf numFmtId="0" fontId="8" fillId="0" borderId="0" xfId="13" applyFont="1" applyFill="1" applyBorder="1" applyAlignment="1" applyProtection="1">
      <alignment horizontal="left" vertical="center"/>
    </xf>
    <xf numFmtId="0" fontId="3" fillId="0" borderId="54" xfId="13" applyBorder="1"/>
    <xf numFmtId="3" fontId="39" fillId="0" borderId="77" xfId="1" applyNumberFormat="1" applyFont="1" applyFill="1" applyBorder="1" applyAlignment="1" applyProtection="1">
      <alignment horizontal="center" vertical="center"/>
    </xf>
    <xf numFmtId="3" fontId="3" fillId="0" borderId="37" xfId="13" applyNumberFormat="1" applyFont="1" applyBorder="1" applyAlignment="1" applyProtection="1">
      <alignment vertical="center"/>
    </xf>
    <xf numFmtId="38" fontId="36" fillId="0" borderId="77" xfId="0" applyNumberFormat="1" applyFont="1" applyBorder="1" applyAlignment="1" applyProtection="1">
      <alignment horizontal="center" vertical="center"/>
    </xf>
    <xf numFmtId="3" fontId="36" fillId="0" borderId="77" xfId="10" applyNumberFormat="1" applyFont="1" applyBorder="1" applyAlignment="1" applyProtection="1">
      <alignment horizontal="center" vertical="center"/>
    </xf>
    <xf numFmtId="0" fontId="84" fillId="0" borderId="0" xfId="0" applyFont="1" applyFill="1" applyBorder="1" applyProtection="1"/>
    <xf numFmtId="3" fontId="106" fillId="0" borderId="0" xfId="13" quotePrefix="1" applyNumberFormat="1" applyFont="1" applyFill="1" applyAlignment="1" applyProtection="1">
      <alignment horizontal="left"/>
    </xf>
    <xf numFmtId="0" fontId="106" fillId="0" borderId="0" xfId="13" quotePrefix="1" applyFont="1" applyFill="1" applyAlignment="1" applyProtection="1">
      <alignment horizontal="left"/>
    </xf>
    <xf numFmtId="0" fontId="39" fillId="0" borderId="0" xfId="0" applyFont="1" applyFill="1" applyBorder="1" applyAlignment="1" applyProtection="1">
      <alignment horizontal="center" wrapText="1"/>
    </xf>
    <xf numFmtId="0" fontId="106" fillId="0" borderId="0" xfId="13" applyFont="1" applyFill="1" applyAlignment="1" applyProtection="1">
      <alignment horizontal="left"/>
    </xf>
    <xf numFmtId="4" fontId="106" fillId="0" borderId="0" xfId="13" applyNumberFormat="1" applyFont="1" applyFill="1" applyAlignment="1" applyProtection="1">
      <alignment horizontal="left"/>
    </xf>
    <xf numFmtId="0" fontId="3" fillId="0" borderId="0" xfId="13" applyFont="1" applyAlignment="1">
      <alignment horizontal="center"/>
    </xf>
    <xf numFmtId="0" fontId="3" fillId="0" borderId="0" xfId="13" applyFont="1" applyBorder="1" applyAlignment="1">
      <alignment horizontal="left"/>
    </xf>
    <xf numFmtId="0" fontId="152" fillId="0" borderId="0" xfId="13" applyFont="1" applyAlignment="1">
      <alignment horizontal="center" vertical="center"/>
    </xf>
    <xf numFmtId="0" fontId="106" fillId="0" borderId="0" xfId="13" applyFont="1" applyProtection="1"/>
    <xf numFmtId="0" fontId="106" fillId="7" borderId="0" xfId="13" applyFont="1" applyFill="1" applyProtection="1"/>
    <xf numFmtId="0" fontId="107" fillId="0" borderId="0" xfId="13" applyFont="1" applyProtection="1"/>
    <xf numFmtId="0" fontId="5" fillId="0" borderId="0" xfId="13" applyFont="1" applyProtection="1"/>
    <xf numFmtId="0" fontId="106" fillId="0" borderId="0" xfId="13" applyFont="1" applyAlignment="1" applyProtection="1">
      <alignment horizontal="center"/>
    </xf>
    <xf numFmtId="6" fontId="106" fillId="0" borderId="0" xfId="13" applyNumberFormat="1" applyFont="1" applyProtection="1"/>
    <xf numFmtId="0" fontId="106" fillId="0" borderId="0" xfId="13" quotePrefix="1" applyFont="1" applyProtection="1"/>
    <xf numFmtId="38" fontId="106" fillId="0" borderId="0" xfId="13" applyNumberFormat="1" applyFont="1" applyProtection="1"/>
    <xf numFmtId="0" fontId="106" fillId="0" borderId="0" xfId="13" applyFont="1" applyAlignment="1" applyProtection="1"/>
    <xf numFmtId="0" fontId="106" fillId="0" borderId="0" xfId="13" applyFont="1" applyAlignment="1" applyProtection="1">
      <alignment horizontal="justify" vertical="top" wrapText="1"/>
    </xf>
    <xf numFmtId="0" fontId="106" fillId="0" borderId="74" xfId="13" applyFont="1" applyBorder="1" applyProtection="1"/>
    <xf numFmtId="0" fontId="22" fillId="0" borderId="0" xfId="13" applyFont="1" applyAlignment="1" applyProtection="1">
      <alignment horizontal="centerContinuous"/>
    </xf>
    <xf numFmtId="0" fontId="9" fillId="0" borderId="0" xfId="13" applyFont="1" applyAlignment="1" applyProtection="1">
      <alignment horizontal="centerContinuous"/>
    </xf>
    <xf numFmtId="0" fontId="132" fillId="0" borderId="0" xfId="13" applyFont="1" applyAlignment="1" applyProtection="1">
      <alignment horizontal="centerContinuous"/>
    </xf>
    <xf numFmtId="0" fontId="9" fillId="0" borderId="0" xfId="13" applyFont="1" applyProtection="1"/>
    <xf numFmtId="0" fontId="22" fillId="0" borderId="0" xfId="13" applyFont="1" applyProtection="1"/>
    <xf numFmtId="175" fontId="9" fillId="0" borderId="0" xfId="13" applyNumberFormat="1" applyFont="1" applyAlignment="1" applyProtection="1">
      <alignment horizontal="left"/>
    </xf>
    <xf numFmtId="0" fontId="9" fillId="0" borderId="0" xfId="13" applyFont="1" applyAlignment="1" applyProtection="1">
      <alignment horizontal="left"/>
    </xf>
    <xf numFmtId="181"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0" fillId="0" borderId="0" xfId="13" applyFont="1" applyProtection="1"/>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9" fillId="0" borderId="0" xfId="13" applyFont="1" applyAlignment="1" applyProtection="1">
      <alignment horizontal="left" vertical="top" wrapText="1"/>
    </xf>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49" fillId="0" borderId="68" xfId="13" applyFont="1" applyBorder="1" applyAlignment="1" applyProtection="1">
      <alignment horizontal="center" vertical="center"/>
    </xf>
    <xf numFmtId="0" fontId="149" fillId="0" borderId="20" xfId="13" applyFont="1" applyBorder="1" applyAlignment="1" applyProtection="1">
      <alignment horizontal="center" vertical="center"/>
    </xf>
    <xf numFmtId="0" fontId="149" fillId="0" borderId="67"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1" xfId="13" applyNumberFormat="1" applyFont="1" applyBorder="1" applyAlignment="1" applyProtection="1">
      <alignment horizontal="center" vertical="top"/>
    </xf>
    <xf numFmtId="38" fontId="3" fillId="0" borderId="19" xfId="13" applyNumberFormat="1" applyFont="1" applyBorder="1" applyAlignment="1" applyProtection="1">
      <alignment horizontal="center" vertical="top"/>
    </xf>
    <xf numFmtId="0" fontId="3" fillId="0" borderId="55" xfId="13" applyFont="1" applyBorder="1" applyAlignment="1" applyProtection="1">
      <alignment horizontal="center" vertical="top"/>
    </xf>
    <xf numFmtId="0" fontId="130" fillId="0" borderId="0" xfId="13" applyFont="1" applyAlignment="1" applyProtection="1">
      <alignment vertical="center"/>
    </xf>
    <xf numFmtId="0" fontId="9" fillId="0" borderId="37" xfId="13" applyFont="1" applyBorder="1" applyAlignment="1" applyProtection="1">
      <alignment horizontal="center" vertical="top"/>
    </xf>
    <xf numFmtId="0" fontId="130" fillId="0" borderId="0" xfId="13" applyFont="1" applyAlignment="1" applyProtection="1">
      <alignment horizontal="left"/>
    </xf>
    <xf numFmtId="0" fontId="130" fillId="0" borderId="0" xfId="13" applyFont="1" applyAlignment="1" applyProtection="1">
      <alignment horizontal="left" vertical="top"/>
    </xf>
    <xf numFmtId="0" fontId="132" fillId="0" borderId="0" xfId="13" applyFont="1" applyAlignment="1" applyProtection="1">
      <alignment horizontal="left"/>
    </xf>
    <xf numFmtId="0" fontId="9" fillId="0" borderId="0" xfId="13" applyFont="1" applyFill="1" applyAlignment="1" applyProtection="1">
      <alignment horizontal="justify" vertical="top" wrapText="1"/>
    </xf>
    <xf numFmtId="0" fontId="121" fillId="10" borderId="0" xfId="13" applyFont="1" applyFill="1" applyAlignment="1" applyProtection="1">
      <alignment horizontal="left" vertical="top" wrapText="1"/>
    </xf>
    <xf numFmtId="0" fontId="9" fillId="0" borderId="37" xfId="13" applyFont="1" applyBorder="1" applyAlignment="1" applyProtection="1">
      <alignment vertical="top"/>
    </xf>
    <xf numFmtId="0" fontId="9" fillId="10" borderId="0" xfId="13" applyFont="1" applyFill="1" applyAlignment="1" applyProtection="1">
      <alignment horizontal="center" vertical="top"/>
    </xf>
    <xf numFmtId="0" fontId="9" fillId="0" borderId="74" xfId="13" applyFont="1" applyBorder="1" applyProtection="1"/>
    <xf numFmtId="0" fontId="150" fillId="0" borderId="0" xfId="13" applyFont="1" applyAlignment="1" applyProtection="1">
      <alignment horizontal="centerContinuous"/>
    </xf>
    <xf numFmtId="0" fontId="106" fillId="0" borderId="0" xfId="13" applyFont="1" applyAlignment="1" applyProtection="1">
      <alignment horizontal="centerContinuous"/>
    </xf>
    <xf numFmtId="0" fontId="5" fillId="17" borderId="0" xfId="13" applyFont="1" applyFill="1" applyProtection="1"/>
    <xf numFmtId="0" fontId="106" fillId="17" borderId="0" xfId="13" applyFont="1" applyFill="1" applyProtection="1"/>
    <xf numFmtId="177" fontId="106" fillId="17" borderId="0" xfId="13" applyNumberFormat="1" applyFont="1" applyFill="1" applyAlignment="1" applyProtection="1">
      <alignment horizontal="left"/>
    </xf>
    <xf numFmtId="14" fontId="106" fillId="10" borderId="0" xfId="13" applyNumberFormat="1" applyFont="1" applyFill="1" applyBorder="1" applyAlignment="1" applyProtection="1">
      <alignment horizontal="left"/>
    </xf>
    <xf numFmtId="0" fontId="106" fillId="0" borderId="0" xfId="13" applyFont="1" applyFill="1" applyProtection="1"/>
    <xf numFmtId="0" fontId="106" fillId="0" borderId="0" xfId="13" applyFont="1" applyFill="1" applyAlignment="1" applyProtection="1">
      <alignment horizontal="center"/>
    </xf>
    <xf numFmtId="0" fontId="5" fillId="0" borderId="0" xfId="13" applyFont="1" applyFill="1" applyProtection="1"/>
    <xf numFmtId="0" fontId="120" fillId="0" borderId="0" xfId="13" applyFont="1" applyProtection="1"/>
    <xf numFmtId="0" fontId="106" fillId="5" borderId="0" xfId="13" applyFont="1" applyFill="1" applyProtection="1"/>
    <xf numFmtId="0" fontId="134" fillId="0" borderId="0" xfId="13" applyFont="1" applyFill="1" applyAlignment="1" applyProtection="1">
      <alignment horizontal="center"/>
    </xf>
    <xf numFmtId="181" fontId="106" fillId="0" borderId="0" xfId="13" applyNumberFormat="1" applyFont="1" applyFill="1" applyAlignment="1" applyProtection="1">
      <alignment horizontal="left"/>
    </xf>
    <xf numFmtId="2" fontId="106" fillId="0" borderId="37" xfId="13" applyNumberFormat="1" applyFont="1" applyFill="1" applyBorder="1" applyAlignment="1" applyProtection="1">
      <alignment horizontal="center"/>
    </xf>
    <xf numFmtId="2" fontId="0" fillId="0" borderId="37" xfId="0" applyNumberFormat="1" applyBorder="1" applyAlignment="1" applyProtection="1">
      <alignment horizontal="center"/>
    </xf>
    <xf numFmtId="181" fontId="106" fillId="0" borderId="0" xfId="13" applyNumberFormat="1" applyFont="1" applyFill="1" applyProtection="1"/>
    <xf numFmtId="181" fontId="106" fillId="0" borderId="0" xfId="13" applyNumberFormat="1" applyFont="1" applyProtection="1"/>
    <xf numFmtId="177" fontId="106" fillId="0" borderId="0" xfId="13" applyNumberFormat="1" applyFont="1" applyAlignment="1" applyProtection="1">
      <alignment horizontal="left"/>
    </xf>
    <xf numFmtId="0" fontId="5" fillId="0" borderId="0" xfId="13" applyFont="1" applyFill="1" applyAlignment="1" applyProtection="1">
      <alignment horizontal="centerContinuous"/>
    </xf>
    <xf numFmtId="0" fontId="106" fillId="0" borderId="0" xfId="13" applyFont="1" applyFill="1" applyAlignment="1" applyProtection="1">
      <alignment horizontal="centerContinuous"/>
    </xf>
    <xf numFmtId="0" fontId="117" fillId="0" borderId="0" xfId="13" applyFont="1" applyAlignment="1" applyProtection="1">
      <alignment horizontal="center" wrapText="1"/>
    </xf>
    <xf numFmtId="0" fontId="106" fillId="5" borderId="0" xfId="13" applyFont="1" applyFill="1" applyAlignment="1" applyProtection="1">
      <alignment horizontal="left"/>
    </xf>
    <xf numFmtId="5" fontId="106" fillId="5" borderId="0" xfId="13" applyNumberFormat="1" applyFont="1" applyFill="1" applyProtection="1"/>
    <xf numFmtId="0" fontId="106" fillId="5" borderId="0" xfId="13" applyFont="1" applyFill="1" applyAlignment="1" applyProtection="1">
      <alignment horizontal="center"/>
    </xf>
    <xf numFmtId="10" fontId="106" fillId="0" borderId="0" xfId="13" applyNumberFormat="1" applyFont="1" applyFill="1" applyAlignment="1" applyProtection="1">
      <alignment horizontal="right"/>
    </xf>
    <xf numFmtId="0" fontId="5" fillId="0" borderId="0" xfId="13" applyFont="1" applyAlignment="1" applyProtection="1">
      <alignment horizontal="right"/>
    </xf>
    <xf numFmtId="5" fontId="106" fillId="0" borderId="63" xfId="13" applyNumberFormat="1" applyFont="1" applyFill="1" applyBorder="1" applyProtection="1"/>
    <xf numFmtId="5" fontId="106" fillId="0" borderId="0" xfId="13" applyNumberFormat="1" applyFont="1" applyFill="1" applyBorder="1" applyProtection="1"/>
    <xf numFmtId="9" fontId="106" fillId="0" borderId="0" xfId="13" applyNumberFormat="1" applyFont="1" applyFill="1" applyProtection="1"/>
    <xf numFmtId="0" fontId="8" fillId="0" borderId="0" xfId="13" applyFont="1" applyProtection="1"/>
    <xf numFmtId="5" fontId="106" fillId="0" borderId="0" xfId="13" applyNumberFormat="1" applyFont="1" applyFill="1" applyProtection="1"/>
    <xf numFmtId="10" fontId="106" fillId="10" borderId="0" xfId="13" applyNumberFormat="1" applyFont="1" applyFill="1" applyProtection="1"/>
    <xf numFmtId="0" fontId="117" fillId="0" borderId="0" xfId="13" applyFont="1" applyFill="1" applyProtection="1"/>
    <xf numFmtId="0" fontId="106" fillId="0" borderId="0" xfId="13" applyNumberFormat="1" applyFont="1" applyFill="1" applyAlignment="1" applyProtection="1">
      <alignment horizontal="right"/>
    </xf>
    <xf numFmtId="9" fontId="106" fillId="0" borderId="0" xfId="13" applyNumberFormat="1" applyFont="1" applyProtection="1"/>
    <xf numFmtId="9" fontId="10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17" fillId="0" borderId="0" xfId="13" applyFont="1" applyProtection="1"/>
    <xf numFmtId="0" fontId="117" fillId="0" borderId="68" xfId="13" applyFont="1" applyBorder="1" applyProtection="1"/>
    <xf numFmtId="165" fontId="106" fillId="5" borderId="67" xfId="13" applyNumberFormat="1" applyFont="1" applyFill="1" applyBorder="1" applyAlignment="1" applyProtection="1">
      <alignment horizontal="left"/>
    </xf>
    <xf numFmtId="165" fontId="106" fillId="0" borderId="0" xfId="13" applyNumberFormat="1" applyFont="1" applyAlignment="1" applyProtection="1">
      <alignment horizontal="left"/>
    </xf>
    <xf numFmtId="0" fontId="106" fillId="0" borderId="0" xfId="13" applyFont="1" applyFill="1" applyAlignment="1" applyProtection="1">
      <alignment vertical="center"/>
    </xf>
    <xf numFmtId="6" fontId="106" fillId="0" borderId="0" xfId="13" applyNumberFormat="1" applyFont="1" applyFill="1" applyAlignment="1" applyProtection="1">
      <alignment vertical="center"/>
    </xf>
    <xf numFmtId="165" fontId="106" fillId="0" borderId="0" xfId="13" applyNumberFormat="1" applyFont="1" applyAlignment="1" applyProtection="1">
      <alignment vertical="center"/>
    </xf>
    <xf numFmtId="6" fontId="106" fillId="0" borderId="0" xfId="13" quotePrefix="1" applyNumberFormat="1" applyFont="1" applyFill="1" applyAlignment="1" applyProtection="1">
      <alignment vertical="center"/>
    </xf>
    <xf numFmtId="165" fontId="106" fillId="5" borderId="0" xfId="13" quotePrefix="1" applyNumberFormat="1" applyFont="1" applyFill="1" applyAlignment="1" applyProtection="1">
      <alignment vertical="center"/>
    </xf>
    <xf numFmtId="165" fontId="106" fillId="0" borderId="0" xfId="13" quotePrefix="1" applyNumberFormat="1" applyFont="1" applyFill="1" applyAlignment="1" applyProtection="1">
      <alignment vertical="center"/>
    </xf>
    <xf numFmtId="0" fontId="106" fillId="0" borderId="76" xfId="13" applyFont="1" applyFill="1" applyBorder="1" applyAlignment="1" applyProtection="1">
      <alignment vertical="center"/>
    </xf>
    <xf numFmtId="6" fontId="106" fillId="0" borderId="76" xfId="13" applyNumberFormat="1" applyFont="1" applyFill="1" applyBorder="1" applyAlignment="1" applyProtection="1">
      <alignment vertical="center"/>
    </xf>
    <xf numFmtId="6" fontId="106" fillId="0" borderId="0" xfId="13" applyNumberFormat="1" applyFont="1" applyFill="1" applyBorder="1" applyAlignment="1" applyProtection="1">
      <alignment vertical="center"/>
    </xf>
    <xf numFmtId="165" fontId="106" fillId="5" borderId="0" xfId="13" applyNumberFormat="1" applyFont="1" applyFill="1" applyAlignment="1" applyProtection="1">
      <alignment vertical="center"/>
    </xf>
    <xf numFmtId="0" fontId="106" fillId="0" borderId="0" xfId="13" applyFont="1" applyAlignment="1" applyProtection="1">
      <alignment vertical="center"/>
    </xf>
    <xf numFmtId="0" fontId="10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06" fillId="0" borderId="12" xfId="13" applyFont="1" applyFill="1" applyBorder="1" applyAlignment="1" applyProtection="1">
      <alignment vertical="center"/>
    </xf>
    <xf numFmtId="0" fontId="5" fillId="0" borderId="76" xfId="13" applyFont="1" applyFill="1" applyBorder="1" applyAlignment="1" applyProtection="1">
      <alignment vertical="center"/>
    </xf>
    <xf numFmtId="6" fontId="5" fillId="0" borderId="76"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06" fillId="0" borderId="0" xfId="13" applyNumberFormat="1" applyFont="1" applyFill="1" applyAlignment="1" applyProtection="1">
      <alignment horizontal="right" vertical="center"/>
    </xf>
    <xf numFmtId="5" fontId="106" fillId="0" borderId="0" xfId="13" applyNumberFormat="1" applyFont="1" applyFill="1" applyAlignment="1" applyProtection="1">
      <alignment vertical="center"/>
    </xf>
    <xf numFmtId="0" fontId="117" fillId="0" borderId="0" xfId="13" applyFont="1" applyFill="1" applyAlignment="1" applyProtection="1">
      <alignment vertical="center"/>
    </xf>
    <xf numFmtId="5" fontId="106" fillId="0" borderId="0" xfId="13" applyNumberFormat="1" applyFont="1" applyAlignment="1" applyProtection="1">
      <alignment vertical="center"/>
    </xf>
    <xf numFmtId="9" fontId="106" fillId="0" borderId="14" xfId="13" applyNumberFormat="1" applyFont="1" applyBorder="1" applyAlignment="1" applyProtection="1">
      <alignment horizontal="center" vertical="center"/>
    </xf>
    <xf numFmtId="0" fontId="22" fillId="0" borderId="0" xfId="13" applyNumberFormat="1" applyFont="1" applyProtection="1"/>
    <xf numFmtId="6" fontId="22" fillId="10" borderId="0" xfId="1" applyNumberFormat="1" applyFont="1" applyFill="1" applyAlignment="1" applyProtection="1">
      <alignment horizontal="right"/>
    </xf>
    <xf numFmtId="0" fontId="9" fillId="0" borderId="0" xfId="13" applyFont="1" applyAlignment="1" applyProtection="1">
      <alignment horizontal="right"/>
    </xf>
    <xf numFmtId="3" fontId="9" fillId="0" borderId="0" xfId="13" applyNumberFormat="1" applyFont="1" applyProtection="1"/>
    <xf numFmtId="0" fontId="9" fillId="0" borderId="12" xfId="13" applyFont="1" applyBorder="1" applyAlignment="1" applyProtection="1">
      <alignment horizontal="center"/>
    </xf>
    <xf numFmtId="6" fontId="22" fillId="0" borderId="0" xfId="1" applyNumberFormat="1" applyFont="1" applyProtection="1"/>
    <xf numFmtId="165" fontId="22"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2" fillId="0" borderId="0" xfId="13" applyFont="1" applyAlignment="1" applyProtection="1">
      <alignment horizontal="right"/>
    </xf>
    <xf numFmtId="6" fontId="9" fillId="0" borderId="0" xfId="13" applyNumberFormat="1" applyFont="1" applyProtection="1"/>
    <xf numFmtId="0" fontId="12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6" fontId="9" fillId="0" borderId="0" xfId="0" applyNumberFormat="1" applyFont="1" applyFill="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7" borderId="0" xfId="13" applyFont="1" applyFill="1" applyProtection="1"/>
    <xf numFmtId="10" fontId="9" fillId="0" borderId="0" xfId="13" applyNumberFormat="1" applyFont="1" applyProtection="1"/>
    <xf numFmtId="6" fontId="9" fillId="18" borderId="0" xfId="13" applyNumberFormat="1" applyFont="1" applyFill="1" applyProtection="1"/>
    <xf numFmtId="6" fontId="9" fillId="0" borderId="0" xfId="13" applyNumberFormat="1" applyFont="1" applyFill="1" applyProtection="1"/>
    <xf numFmtId="0" fontId="9" fillId="0" borderId="0" xfId="13" applyFont="1" applyAlignment="1" applyProtection="1">
      <alignment vertical="center"/>
    </xf>
    <xf numFmtId="0" fontId="9" fillId="0" borderId="69" xfId="13" applyFont="1" applyBorder="1" applyAlignment="1" applyProtection="1">
      <alignment vertical="center"/>
    </xf>
    <xf numFmtId="0" fontId="9" fillId="0" borderId="73" xfId="13" applyFont="1" applyBorder="1" applyAlignment="1" applyProtection="1">
      <alignment vertical="center"/>
    </xf>
    <xf numFmtId="0" fontId="22" fillId="0" borderId="73" xfId="13" applyFont="1" applyBorder="1" applyAlignment="1" applyProtection="1">
      <alignment horizontal="right" vertical="center"/>
    </xf>
    <xf numFmtId="0" fontId="3" fillId="0" borderId="0" xfId="13" applyFont="1" applyProtection="1"/>
    <xf numFmtId="0" fontId="153" fillId="0" borderId="0" xfId="13" applyFont="1" applyProtection="1"/>
    <xf numFmtId="0" fontId="18" fillId="0" borderId="0" xfId="13" applyFont="1" applyProtection="1"/>
    <xf numFmtId="0" fontId="144" fillId="0" borderId="0" xfId="13" applyFont="1" applyProtection="1"/>
    <xf numFmtId="0" fontId="46" fillId="0" borderId="0" xfId="13" applyFont="1" applyAlignment="1" applyProtection="1">
      <alignment horizontal="center" vertical="top"/>
    </xf>
    <xf numFmtId="0" fontId="10" fillId="0" borderId="12" xfId="13" applyFont="1" applyBorder="1" applyAlignment="1" applyProtection="1">
      <alignment horizontal="left" wrapText="1"/>
    </xf>
    <xf numFmtId="0" fontId="13" fillId="0" borderId="0" xfId="13" applyFont="1" applyAlignment="1" applyProtection="1">
      <alignment horizontal="center" wrapText="1"/>
    </xf>
    <xf numFmtId="0" fontId="10" fillId="0" borderId="54" xfId="13" applyFont="1" applyBorder="1" applyAlignment="1" applyProtection="1">
      <alignment horizontal="center" wrapText="1"/>
    </xf>
    <xf numFmtId="0" fontId="3" fillId="0" borderId="0" xfId="13" applyFont="1" applyAlignment="1" applyProtection="1">
      <alignment horizontal="center" vertical="center"/>
    </xf>
    <xf numFmtId="3" fontId="3" fillId="10" borderId="37" xfId="13" applyNumberFormat="1" applyFont="1" applyFill="1" applyBorder="1" applyAlignment="1" applyProtection="1">
      <alignment horizontal="center" vertical="center"/>
    </xf>
    <xf numFmtId="0" fontId="129"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29" fillId="0" borderId="37" xfId="13" applyNumberFormat="1" applyFont="1" applyBorder="1" applyAlignment="1" applyProtection="1">
      <alignment vertical="center"/>
    </xf>
    <xf numFmtId="0" fontId="3" fillId="0" borderId="12" xfId="13" applyFont="1" applyBorder="1" applyAlignment="1" applyProtection="1">
      <alignment vertical="center"/>
    </xf>
    <xf numFmtId="3" fontId="3" fillId="10" borderId="45" xfId="13" applyNumberFormat="1" applyFont="1" applyFill="1" applyBorder="1" applyAlignment="1" applyProtection="1">
      <alignment horizontal="center" vertical="center"/>
    </xf>
    <xf numFmtId="0" fontId="129" fillId="0" borderId="12" xfId="13" applyFont="1" applyBorder="1" applyAlignment="1" applyProtection="1">
      <alignment horizontal="center" vertical="center"/>
    </xf>
    <xf numFmtId="3" fontId="3" fillId="0" borderId="12" xfId="13" applyNumberFormat="1" applyFont="1" applyBorder="1" applyAlignment="1" applyProtection="1">
      <alignment horizontal="center" vertical="center"/>
    </xf>
    <xf numFmtId="0" fontId="21" fillId="0" borderId="0" xfId="13" applyFont="1" applyAlignment="1" applyProtection="1">
      <alignment vertical="center"/>
    </xf>
    <xf numFmtId="0" fontId="3" fillId="0" borderId="76" xfId="13" applyFont="1" applyBorder="1" applyProtection="1"/>
    <xf numFmtId="0" fontId="3" fillId="0" borderId="0" xfId="13" applyFont="1" applyAlignment="1" applyProtection="1">
      <alignment horizontal="center"/>
    </xf>
    <xf numFmtId="0" fontId="8" fillId="0" borderId="0" xfId="13" applyFont="1" applyAlignment="1" applyProtection="1">
      <alignment vertical="center"/>
    </xf>
    <xf numFmtId="3" fontId="3" fillId="0" borderId="14" xfId="13" applyNumberFormat="1" applyFont="1" applyFill="1" applyBorder="1" applyAlignment="1" applyProtection="1">
      <alignment horizontal="center" vertical="center"/>
    </xf>
    <xf numFmtId="3" fontId="3" fillId="0" borderId="37" xfId="13" applyNumberFormat="1" applyFont="1" applyBorder="1" applyAlignment="1" applyProtection="1">
      <alignment horizontal="center" vertical="center"/>
    </xf>
    <xf numFmtId="0" fontId="16" fillId="0" borderId="0" xfId="13" applyFont="1" applyAlignment="1" applyProtection="1">
      <alignment horizontal="left"/>
    </xf>
    <xf numFmtId="0" fontId="16" fillId="0" borderId="0" xfId="13" applyFont="1" applyAlignment="1" applyProtection="1">
      <alignment vertical="center"/>
    </xf>
    <xf numFmtId="0" fontId="3" fillId="10" borderId="37" xfId="13" applyFont="1" applyFill="1" applyBorder="1" applyAlignment="1" applyProtection="1">
      <alignment vertical="center"/>
    </xf>
    <xf numFmtId="0" fontId="20" fillId="0" borderId="0" xfId="13" applyFont="1" applyProtection="1"/>
    <xf numFmtId="166" fontId="3" fillId="0" borderId="77" xfId="13" applyNumberFormat="1" applyFont="1" applyBorder="1" applyAlignment="1" applyProtection="1">
      <alignment vertical="center"/>
    </xf>
    <xf numFmtId="0" fontId="3" fillId="0" borderId="0" xfId="13" applyFont="1" applyBorder="1" applyAlignment="1" applyProtection="1">
      <alignment vertical="center"/>
    </xf>
    <xf numFmtId="0" fontId="128" fillId="0" borderId="0" xfId="13" applyFont="1" applyAlignment="1" applyProtection="1">
      <alignment vertical="center"/>
    </xf>
    <xf numFmtId="3" fontId="129" fillId="10" borderId="37" xfId="13" applyNumberFormat="1" applyFont="1" applyFill="1" applyBorder="1" applyAlignment="1" applyProtection="1">
      <alignment vertical="center"/>
    </xf>
    <xf numFmtId="0" fontId="128" fillId="0" borderId="0" xfId="13" applyFont="1" applyProtection="1"/>
    <xf numFmtId="3" fontId="129" fillId="0" borderId="0" xfId="13" applyNumberFormat="1" applyFont="1" applyProtection="1"/>
    <xf numFmtId="3" fontId="8" fillId="0" borderId="77"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77" xfId="13" applyNumberFormat="1" applyFont="1" applyFill="1" applyBorder="1" applyAlignment="1" applyProtection="1">
      <alignment vertical="center"/>
    </xf>
    <xf numFmtId="0" fontId="144" fillId="0" borderId="0" xfId="13" applyFont="1" applyAlignment="1" applyProtection="1">
      <alignment vertical="center"/>
    </xf>
    <xf numFmtId="0" fontId="5" fillId="0" borderId="0" xfId="13" applyFont="1" applyAlignment="1" applyProtection="1">
      <alignment vertical="center"/>
    </xf>
    <xf numFmtId="3" fontId="5" fillId="19" borderId="14" xfId="13" applyNumberFormat="1" applyFont="1" applyFill="1" applyBorder="1" applyAlignment="1" applyProtection="1">
      <alignment vertical="center"/>
    </xf>
    <xf numFmtId="3" fontId="151" fillId="0" borderId="77"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21" fillId="0" borderId="77" xfId="13" applyFont="1" applyBorder="1" applyAlignment="1" applyProtection="1">
      <alignment horizontal="center" vertical="center" wrapText="1"/>
    </xf>
    <xf numFmtId="0" fontId="13" fillId="0" borderId="48" xfId="13" applyFont="1" applyBorder="1" applyAlignment="1" applyProtection="1">
      <alignment horizontal="center" vertical="center"/>
    </xf>
    <xf numFmtId="0" fontId="16" fillId="0" borderId="0" xfId="13" applyFont="1" applyAlignment="1" applyProtection="1"/>
    <xf numFmtId="0" fontId="46"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10" borderId="73" xfId="13" applyFont="1" applyFill="1" applyBorder="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19" xfId="13" applyFont="1" applyBorder="1" applyAlignment="1" applyProtection="1">
      <alignment horizontal="center"/>
    </xf>
    <xf numFmtId="0" fontId="8" fillId="0" borderId="54" xfId="13" applyFont="1" applyBorder="1" applyAlignment="1" applyProtection="1">
      <alignment horizontal="center"/>
    </xf>
    <xf numFmtId="0" fontId="8" fillId="0" borderId="76" xfId="13" applyFont="1" applyBorder="1" applyAlignment="1" applyProtection="1">
      <alignment horizontal="center"/>
    </xf>
    <xf numFmtId="0" fontId="8" fillId="10" borderId="19" xfId="13" applyFont="1" applyFill="1" applyBorder="1" applyAlignment="1" applyProtection="1">
      <alignment horizontal="center"/>
    </xf>
    <xf numFmtId="0" fontId="8" fillId="10" borderId="54" xfId="13" applyFont="1" applyFill="1" applyBorder="1" applyAlignment="1" applyProtection="1">
      <alignment horizontal="center"/>
    </xf>
    <xf numFmtId="38" fontId="8" fillId="0" borderId="76" xfId="13" applyNumberFormat="1"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2"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181" fontId="8" fillId="10" borderId="0" xfId="13" applyNumberFormat="1" applyFont="1" applyFill="1" applyAlignment="1" applyProtection="1">
      <alignment horizontal="left"/>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10" fontId="8" fillId="0" borderId="12" xfId="13" applyNumberFormat="1" applyFont="1" applyBorder="1" applyAlignment="1" applyProtection="1">
      <alignment horizontal="left"/>
    </xf>
    <xf numFmtId="9" fontId="3" fillId="0" borderId="0" xfId="13" applyNumberFormat="1" applyFont="1" applyAlignment="1" applyProtection="1">
      <alignment horizontal="left"/>
    </xf>
    <xf numFmtId="10" fontId="8" fillId="10" borderId="12" xfId="13" applyNumberFormat="1" applyFont="1" applyFill="1" applyBorder="1" applyAlignment="1" applyProtection="1">
      <alignment horizontal="left"/>
    </xf>
    <xf numFmtId="0" fontId="8" fillId="0" borderId="12" xfId="13" applyFont="1" applyFill="1" applyBorder="1" applyAlignment="1" applyProtection="1">
      <alignment horizontal="left"/>
    </xf>
    <xf numFmtId="0" fontId="8" fillId="0" borderId="12" xfId="13" applyFont="1" applyBorder="1" applyAlignment="1" applyProtection="1">
      <alignment horizontal="left"/>
    </xf>
    <xf numFmtId="4" fontId="8" fillId="10" borderId="0" xfId="13" applyNumberFormat="1" applyFont="1" applyFill="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0" fontId="8" fillId="10" borderId="12" xfId="13" applyFont="1" applyFill="1" applyBorder="1" applyAlignment="1" applyProtection="1">
      <alignment horizontal="left"/>
    </xf>
    <xf numFmtId="38" fontId="8" fillId="0" borderId="12"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37" fillId="0" borderId="0" xfId="13" applyFont="1" applyProtection="1"/>
    <xf numFmtId="3" fontId="136" fillId="0" borderId="0" xfId="13" applyNumberFormat="1"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0" fillId="10" borderId="12" xfId="13" applyNumberFormat="1" applyFont="1" applyFill="1" applyBorder="1" applyAlignment="1" applyProtection="1">
      <alignment horizontal="center"/>
    </xf>
    <xf numFmtId="0" fontId="25" fillId="0" borderId="0" xfId="13" applyFont="1" applyProtection="1"/>
    <xf numFmtId="0" fontId="3" fillId="0" borderId="0" xfId="13" quotePrefix="1" applyFont="1" applyAlignment="1" applyProtection="1">
      <alignment horizontal="center" vertical="top"/>
    </xf>
    <xf numFmtId="181" fontId="8" fillId="10" borderId="12" xfId="13" applyNumberFormat="1" applyFont="1" applyFill="1" applyBorder="1" applyAlignment="1" applyProtection="1">
      <alignment horizontal="center" vertical="top"/>
    </xf>
    <xf numFmtId="0" fontId="18" fillId="0" borderId="0" xfId="13" applyFont="1" applyAlignment="1" applyProtection="1">
      <alignment horizontal="right" vertical="top"/>
    </xf>
    <xf numFmtId="0" fontId="18" fillId="0" borderId="0" xfId="13" applyFont="1" applyAlignment="1" applyProtection="1">
      <alignment horizontal="center"/>
    </xf>
    <xf numFmtId="0" fontId="3" fillId="0" borderId="0" xfId="13" applyFont="1" applyAlignment="1" applyProtection="1">
      <alignment horizontal="justify" vertical="top" wrapText="1"/>
    </xf>
    <xf numFmtId="3" fontId="35" fillId="5" borderId="15" xfId="1" applyNumberFormat="1" applyFont="1" applyFill="1" applyBorder="1" applyAlignment="1" applyProtection="1">
      <alignment horizontal="center" vertical="center"/>
      <protection locked="0"/>
    </xf>
    <xf numFmtId="3" fontId="35" fillId="5" borderId="16" xfId="1" applyNumberFormat="1" applyFont="1" applyFill="1" applyBorder="1" applyAlignment="1" applyProtection="1">
      <alignment horizontal="center" vertical="center"/>
      <protection locked="0"/>
    </xf>
    <xf numFmtId="3" fontId="35" fillId="5" borderId="17" xfId="1" applyNumberFormat="1" applyFont="1" applyFill="1" applyBorder="1" applyAlignment="1" applyProtection="1">
      <alignment horizontal="center" vertical="center"/>
      <protection locked="0"/>
    </xf>
    <xf numFmtId="3" fontId="39" fillId="0" borderId="15" xfId="1" applyNumberFormat="1" applyFont="1" applyFill="1" applyBorder="1" applyAlignment="1" applyProtection="1">
      <alignment horizontal="center" vertical="center"/>
    </xf>
    <xf numFmtId="3" fontId="39" fillId="0" borderId="17" xfId="1" applyNumberFormat="1" applyFont="1" applyFill="1" applyBorder="1" applyAlignment="1" applyProtection="1">
      <alignment horizontal="center" vertical="center"/>
    </xf>
    <xf numFmtId="0" fontId="39" fillId="5" borderId="22" xfId="0" applyFont="1" applyFill="1" applyBorder="1" applyAlignment="1" applyProtection="1">
      <alignment horizontal="center" vertical="top"/>
      <protection locked="0"/>
    </xf>
    <xf numFmtId="0" fontId="39" fillId="5" borderId="24" xfId="0" applyFont="1" applyFill="1" applyBorder="1" applyAlignment="1" applyProtection="1">
      <alignment horizontal="center" vertical="top"/>
      <protection locked="0"/>
    </xf>
    <xf numFmtId="0" fontId="39" fillId="5" borderId="23" xfId="0" applyFont="1" applyFill="1" applyBorder="1" applyAlignment="1" applyProtection="1">
      <alignment horizontal="center" vertical="top"/>
      <protection locked="0"/>
    </xf>
    <xf numFmtId="174" fontId="39" fillId="5" borderId="15" xfId="10" applyNumberFormat="1" applyFont="1" applyFill="1" applyBorder="1" applyAlignment="1" applyProtection="1">
      <alignment horizontal="center" vertical="top"/>
      <protection locked="0"/>
    </xf>
    <xf numFmtId="174" fontId="39" fillId="5" borderId="16" xfId="10" applyNumberFormat="1" applyFont="1" applyFill="1" applyBorder="1" applyAlignment="1" applyProtection="1">
      <alignment horizontal="center" vertical="top"/>
      <protection locked="0"/>
    </xf>
    <xf numFmtId="174" fontId="39" fillId="5" borderId="17" xfId="10" applyNumberFormat="1" applyFont="1" applyFill="1" applyBorder="1" applyAlignment="1" applyProtection="1">
      <alignment horizontal="center" vertical="top"/>
      <protection locked="0"/>
    </xf>
    <xf numFmtId="0" fontId="39" fillId="5" borderId="77" xfId="0" applyFont="1" applyFill="1" applyBorder="1" applyAlignment="1" applyProtection="1">
      <alignment horizontal="center" vertical="center"/>
      <protection locked="0"/>
    </xf>
    <xf numFmtId="166" fontId="39" fillId="5" borderId="77" xfId="0" applyNumberFormat="1" applyFont="1" applyFill="1" applyBorder="1" applyAlignment="1" applyProtection="1">
      <alignment horizontal="center" vertical="center"/>
      <protection locked="0"/>
    </xf>
    <xf numFmtId="166" fontId="39" fillId="5" borderId="15" xfId="0" applyNumberFormat="1" applyFont="1" applyFill="1" applyBorder="1" applyAlignment="1" applyProtection="1">
      <alignment horizontal="center" vertical="center"/>
      <protection locked="0"/>
    </xf>
    <xf numFmtId="166" fontId="39" fillId="5" borderId="16" xfId="0" applyNumberFormat="1" applyFont="1" applyFill="1" applyBorder="1" applyAlignment="1" applyProtection="1">
      <alignment horizontal="center" vertical="center"/>
      <protection locked="0"/>
    </xf>
    <xf numFmtId="166" fontId="39" fillId="5" borderId="17" xfId="0" applyNumberFormat="1" applyFont="1" applyFill="1" applyBorder="1" applyAlignment="1" applyProtection="1">
      <alignment horizontal="center" vertical="center"/>
      <protection locked="0"/>
    </xf>
    <xf numFmtId="0" fontId="36" fillId="0" borderId="0" xfId="0" applyFont="1" applyFill="1" applyAlignment="1" applyProtection="1">
      <alignment horizontal="right" vertical="center"/>
    </xf>
    <xf numFmtId="0" fontId="36" fillId="0" borderId="0" xfId="0" applyFont="1" applyAlignment="1" applyProtection="1">
      <alignment horizontal="justify" vertical="center"/>
    </xf>
    <xf numFmtId="0" fontId="141" fillId="0" borderId="0" xfId="0" applyFont="1" applyFill="1" applyAlignment="1" applyProtection="1">
      <alignment horizontal="center" vertical="center"/>
    </xf>
    <xf numFmtId="37" fontId="4" fillId="0" borderId="0" xfId="0" applyNumberFormat="1" applyFont="1" applyFill="1" applyAlignment="1" applyProtection="1">
      <alignment horizontal="center" vertical="center"/>
    </xf>
    <xf numFmtId="3" fontId="36" fillId="0" borderId="0" xfId="0" applyNumberFormat="1" applyFont="1" applyFill="1" applyAlignment="1" applyProtection="1">
      <alignment horizontal="center" vertical="center"/>
    </xf>
    <xf numFmtId="0" fontId="36" fillId="0" borderId="0" xfId="0" applyFont="1" applyBorder="1" applyAlignment="1" applyProtection="1">
      <alignment horizontal="justify" vertical="center"/>
    </xf>
    <xf numFmtId="37" fontId="141" fillId="0" borderId="0" xfId="0" applyNumberFormat="1" applyFont="1" applyFill="1" applyAlignment="1" applyProtection="1">
      <alignment horizontal="center" vertical="center"/>
    </xf>
    <xf numFmtId="0" fontId="39" fillId="5" borderId="17" xfId="0" applyFont="1" applyFill="1" applyBorder="1" applyAlignment="1" applyProtection="1">
      <alignment horizontal="center" vertical="center"/>
      <protection locked="0"/>
    </xf>
    <xf numFmtId="0" fontId="39" fillId="5" borderId="15" xfId="0" applyFont="1" applyFill="1" applyBorder="1" applyAlignment="1" applyProtection="1">
      <alignment horizontal="center" vertical="center"/>
      <protection locked="0"/>
    </xf>
    <xf numFmtId="0" fontId="39" fillId="5" borderId="16" xfId="0" applyFont="1" applyFill="1" applyBorder="1" applyAlignment="1" applyProtection="1">
      <alignment horizontal="center" vertical="center"/>
      <protection locked="0"/>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4" fillId="0" borderId="0" xfId="0" applyFont="1" applyFill="1" applyBorder="1" applyProtection="1"/>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13" fillId="0" borderId="0" xfId="28" applyFont="1" applyAlignment="1"/>
    <xf numFmtId="0" fontId="13" fillId="0" borderId="0" xfId="28" applyFont="1"/>
    <xf numFmtId="0" fontId="13" fillId="0" borderId="0" xfId="28" applyFont="1" applyAlignment="1">
      <alignment horizontal="left"/>
    </xf>
    <xf numFmtId="0" fontId="3" fillId="0" borderId="0" xfId="28"/>
    <xf numFmtId="0" fontId="13" fillId="0" borderId="0" xfId="28" applyFont="1" applyProtection="1"/>
    <xf numFmtId="0" fontId="26" fillId="0" borderId="0" xfId="28" applyFont="1" applyFill="1" applyBorder="1" applyAlignment="1" applyProtection="1">
      <alignment horizontal="center" vertical="center"/>
    </xf>
    <xf numFmtId="0" fontId="10" fillId="0" borderId="0" xfId="28" applyFont="1" applyFill="1" applyBorder="1" applyAlignment="1" applyProtection="1">
      <alignment horizontal="center"/>
    </xf>
    <xf numFmtId="0" fontId="13" fillId="0" borderId="0" xfId="28" applyFont="1" applyFill="1" applyProtection="1"/>
    <xf numFmtId="0" fontId="14" fillId="0" borderId="0" xfId="28" applyFont="1" applyFill="1" applyBorder="1" applyAlignment="1" applyProtection="1">
      <alignment horizontal="left" vertical="center"/>
    </xf>
    <xf numFmtId="0" fontId="3" fillId="0" borderId="0" xfId="28" applyAlignment="1" applyProtection="1">
      <alignment vertical="center"/>
    </xf>
    <xf numFmtId="0" fontId="14" fillId="0" borderId="0" xfId="28" applyFont="1" applyFill="1" applyAlignment="1" applyProtection="1">
      <alignment horizontal="right" vertical="center"/>
    </xf>
    <xf numFmtId="0" fontId="3" fillId="0" borderId="0" xfId="28" applyProtection="1"/>
    <xf numFmtId="0" fontId="31" fillId="0" borderId="0" xfId="28" applyFont="1" applyFill="1" applyBorder="1" applyAlignment="1" applyProtection="1">
      <alignment horizontal="left"/>
    </xf>
    <xf numFmtId="0" fontId="13" fillId="0" borderId="0" xfId="28" applyFont="1" applyBorder="1" applyProtection="1"/>
    <xf numFmtId="0" fontId="4" fillId="0" borderId="0" xfId="28" applyFont="1" applyAlignment="1" applyProtection="1">
      <alignment horizontal="center"/>
    </xf>
    <xf numFmtId="0" fontId="36" fillId="0" borderId="7" xfId="28" applyFont="1" applyFill="1" applyBorder="1" applyAlignment="1" applyProtection="1">
      <alignment horizontal="left"/>
    </xf>
    <xf numFmtId="0" fontId="36" fillId="0" borderId="0" xfId="28" applyFont="1" applyBorder="1" applyAlignment="1" applyProtection="1">
      <alignment vertical="center"/>
    </xf>
    <xf numFmtId="0" fontId="36" fillId="0" borderId="0" xfId="28" applyFont="1" applyFill="1" applyBorder="1" applyAlignment="1" applyProtection="1">
      <alignment horizontal="center"/>
    </xf>
    <xf numFmtId="0" fontId="4" fillId="0" borderId="0" xfId="28" applyFont="1" applyProtection="1"/>
    <xf numFmtId="0" fontId="36" fillId="0" borderId="9" xfId="28" applyFont="1" applyFill="1" applyBorder="1" applyAlignment="1" applyProtection="1">
      <alignment horizontal="left"/>
    </xf>
    <xf numFmtId="0" fontId="36" fillId="0" borderId="12" xfId="28" applyFont="1" applyBorder="1" applyAlignment="1" applyProtection="1">
      <alignment vertical="center"/>
    </xf>
    <xf numFmtId="0" fontId="36" fillId="0" borderId="12" xfId="28" applyFont="1" applyFill="1" applyBorder="1" applyAlignment="1" applyProtection="1">
      <alignment horizontal="center"/>
    </xf>
    <xf numFmtId="14" fontId="36" fillId="5" borderId="15" xfId="28" applyNumberFormat="1" applyFont="1" applyFill="1" applyBorder="1" applyAlignment="1" applyProtection="1">
      <alignment horizontal="center" vertical="center"/>
      <protection locked="0"/>
    </xf>
    <xf numFmtId="3" fontId="36" fillId="5" borderId="15" xfId="28" applyNumberFormat="1" applyFont="1" applyFill="1" applyBorder="1" applyAlignment="1" applyProtection="1">
      <alignment horizontal="center" vertical="center"/>
      <protection locked="0"/>
    </xf>
    <xf numFmtId="0" fontId="36" fillId="5" borderId="80" xfId="28" applyFont="1" applyFill="1" applyBorder="1" applyAlignment="1" applyProtection="1">
      <alignment horizontal="center" vertical="center"/>
      <protection locked="0"/>
    </xf>
    <xf numFmtId="10" fontId="36" fillId="5" borderId="15" xfId="28" applyNumberFormat="1" applyFont="1" applyFill="1" applyBorder="1" applyAlignment="1" applyProtection="1">
      <alignment horizontal="center" vertical="center"/>
      <protection locked="0"/>
    </xf>
    <xf numFmtId="14" fontId="36" fillId="5" borderId="16" xfId="28" applyNumberFormat="1" applyFont="1" applyFill="1" applyBorder="1" applyAlignment="1" applyProtection="1">
      <alignment horizontal="center" vertical="center"/>
      <protection locked="0"/>
    </xf>
    <xf numFmtId="3" fontId="36" fillId="5" borderId="16" xfId="28" applyNumberFormat="1" applyFont="1" applyFill="1" applyBorder="1" applyAlignment="1" applyProtection="1">
      <alignment horizontal="center" vertical="center"/>
      <protection locked="0"/>
    </xf>
    <xf numFmtId="0" fontId="36" fillId="5" borderId="37" xfId="28" applyFont="1" applyFill="1" applyBorder="1" applyAlignment="1" applyProtection="1">
      <alignment horizontal="center" vertical="center"/>
      <protection locked="0"/>
    </xf>
    <xf numFmtId="10" fontId="36" fillId="5" borderId="16" xfId="28" applyNumberFormat="1" applyFont="1" applyFill="1" applyBorder="1" applyAlignment="1" applyProtection="1">
      <alignment horizontal="center" vertical="center"/>
      <protection locked="0"/>
    </xf>
    <xf numFmtId="14" fontId="36" fillId="5" borderId="17" xfId="28" applyNumberFormat="1" applyFont="1" applyFill="1" applyBorder="1" applyAlignment="1" applyProtection="1">
      <alignment horizontal="center" vertical="center"/>
      <protection locked="0"/>
    </xf>
    <xf numFmtId="3" fontId="36" fillId="5" borderId="17" xfId="28" applyNumberFormat="1" applyFont="1" applyFill="1" applyBorder="1" applyAlignment="1" applyProtection="1">
      <alignment horizontal="center" vertical="center"/>
      <protection locked="0"/>
    </xf>
    <xf numFmtId="0" fontId="36" fillId="5" borderId="45" xfId="28" applyFont="1" applyFill="1" applyBorder="1" applyAlignment="1" applyProtection="1">
      <alignment horizontal="center" vertical="center"/>
      <protection locked="0"/>
    </xf>
    <xf numFmtId="10" fontId="36" fillId="5" borderId="17" xfId="28" applyNumberFormat="1" applyFont="1" applyFill="1" applyBorder="1" applyAlignment="1" applyProtection="1">
      <alignment horizontal="center" vertical="center"/>
      <protection locked="0"/>
    </xf>
    <xf numFmtId="0" fontId="36" fillId="0" borderId="0" xfId="28" applyFont="1" applyFill="1" applyBorder="1" applyAlignment="1" applyProtection="1">
      <alignment horizontal="left" vertical="center"/>
    </xf>
    <xf numFmtId="14" fontId="36" fillId="0" borderId="0" xfId="28" applyNumberFormat="1" applyFont="1" applyFill="1" applyBorder="1" applyAlignment="1" applyProtection="1">
      <alignment horizontal="center" vertical="center"/>
    </xf>
    <xf numFmtId="3" fontId="36" fillId="0" borderId="77" xfId="28" applyNumberFormat="1" applyFont="1" applyFill="1" applyBorder="1" applyAlignment="1" applyProtection="1">
      <alignment horizontal="center" vertical="center"/>
    </xf>
    <xf numFmtId="0" fontId="36" fillId="0" borderId="0" xfId="28" applyFont="1" applyFill="1" applyBorder="1" applyAlignment="1" applyProtection="1">
      <alignment vertical="center"/>
    </xf>
    <xf numFmtId="10" fontId="36" fillId="0" borderId="0" xfId="28" applyNumberFormat="1" applyFont="1" applyFill="1" applyBorder="1" applyAlignment="1" applyProtection="1">
      <alignment horizontal="center" vertical="center"/>
    </xf>
    <xf numFmtId="3" fontId="36" fillId="0" borderId="0" xfId="28" applyNumberFormat="1" applyFont="1" applyFill="1" applyBorder="1" applyAlignment="1" applyProtection="1">
      <alignment horizontal="center" vertical="center"/>
    </xf>
    <xf numFmtId="0" fontId="96" fillId="0" borderId="0" xfId="28" applyNumberFormat="1" applyFont="1" applyFill="1" applyBorder="1" applyAlignment="1" applyProtection="1">
      <alignment vertical="center"/>
    </xf>
    <xf numFmtId="3" fontId="36" fillId="0" borderId="76" xfId="28" applyNumberFormat="1" applyFont="1" applyFill="1" applyBorder="1" applyAlignment="1" applyProtection="1">
      <alignment horizontal="center" vertical="center"/>
    </xf>
    <xf numFmtId="0" fontId="90" fillId="0" borderId="0" xfId="28" applyFont="1" applyFill="1" applyBorder="1" applyAlignment="1" applyProtection="1">
      <alignment horizontal="left" vertical="center"/>
    </xf>
    <xf numFmtId="0" fontId="8" fillId="0" borderId="0" xfId="28" applyFont="1" applyFill="1" applyProtection="1"/>
    <xf numFmtId="0" fontId="3" fillId="0" borderId="0" xfId="28" applyFont="1" applyFill="1" applyProtection="1"/>
    <xf numFmtId="0" fontId="8" fillId="0" borderId="0" xfId="28" applyFont="1" applyFill="1" applyAlignment="1" applyProtection="1"/>
    <xf numFmtId="0" fontId="10" fillId="0" borderId="0" xfId="28" applyFont="1" applyFill="1" applyBorder="1" applyAlignment="1" applyProtection="1">
      <alignment horizontal="left" vertical="center"/>
    </xf>
    <xf numFmtId="0" fontId="35" fillId="0" borderId="0" xfId="28" applyFont="1" applyFill="1" applyBorder="1" applyAlignment="1" applyProtection="1">
      <alignment horizontal="left" vertical="center"/>
    </xf>
    <xf numFmtId="14" fontId="35" fillId="0" borderId="0" xfId="28" applyNumberFormat="1" applyFont="1" applyFill="1" applyBorder="1" applyAlignment="1" applyProtection="1">
      <alignment horizontal="center" vertical="center"/>
    </xf>
    <xf numFmtId="0" fontId="38" fillId="0" borderId="0" xfId="28" applyFont="1" applyFill="1" applyBorder="1" applyAlignment="1" applyProtection="1">
      <alignment horizontal="left"/>
    </xf>
    <xf numFmtId="0" fontId="35" fillId="0" borderId="0" xfId="28" applyFont="1" applyBorder="1" applyAlignment="1" applyProtection="1">
      <alignment vertical="center"/>
    </xf>
    <xf numFmtId="0" fontId="35" fillId="0" borderId="8" xfId="28" applyFont="1" applyFill="1" applyBorder="1" applyAlignment="1" applyProtection="1">
      <alignment horizontal="center"/>
    </xf>
    <xf numFmtId="0" fontId="35" fillId="0" borderId="75" xfId="28" applyFont="1" applyFill="1" applyBorder="1" applyAlignment="1" applyProtection="1">
      <alignment horizontal="center"/>
    </xf>
    <xf numFmtId="0" fontId="35" fillId="0" borderId="76" xfId="28" applyFont="1" applyFill="1" applyBorder="1" applyAlignment="1" applyProtection="1">
      <alignment horizontal="center"/>
    </xf>
    <xf numFmtId="0" fontId="35" fillId="0" borderId="75" xfId="28" applyFont="1" applyFill="1" applyBorder="1" applyProtection="1"/>
    <xf numFmtId="0" fontId="35" fillId="0" borderId="10" xfId="28" applyFont="1" applyBorder="1" applyAlignment="1" applyProtection="1">
      <alignment horizontal="center"/>
    </xf>
    <xf numFmtId="0" fontId="35" fillId="0" borderId="10" xfId="28" applyFont="1" applyFill="1" applyBorder="1" applyProtection="1"/>
    <xf numFmtId="0" fontId="35" fillId="0" borderId="75" xfId="28" applyFont="1" applyFill="1" applyBorder="1" applyAlignment="1" applyProtection="1"/>
    <xf numFmtId="0" fontId="35" fillId="0" borderId="7" xfId="28" applyFont="1" applyFill="1" applyBorder="1" applyAlignment="1" applyProtection="1">
      <alignment horizontal="center"/>
    </xf>
    <xf numFmtId="0" fontId="35" fillId="0" borderId="8" xfId="28" applyFont="1" applyFill="1" applyBorder="1" applyAlignment="1" applyProtection="1"/>
    <xf numFmtId="0" fontId="35" fillId="0" borderId="0" xfId="28" applyFont="1" applyFill="1" applyBorder="1" applyAlignment="1" applyProtection="1">
      <alignment horizontal="left"/>
    </xf>
    <xf numFmtId="14" fontId="35" fillId="0" borderId="10" xfId="28" applyNumberFormat="1" applyFont="1" applyFill="1" applyBorder="1" applyAlignment="1" applyProtection="1">
      <alignment horizontal="center"/>
    </xf>
    <xf numFmtId="0" fontId="35" fillId="0" borderId="10" xfId="28" applyFont="1" applyFill="1" applyBorder="1" applyAlignment="1" applyProtection="1">
      <alignment horizontal="center"/>
    </xf>
    <xf numFmtId="0" fontId="35" fillId="0" borderId="0" xfId="28" applyFont="1" applyFill="1" applyBorder="1" applyAlignment="1" applyProtection="1">
      <alignment horizontal="center"/>
    </xf>
    <xf numFmtId="0" fontId="35" fillId="0" borderId="12" xfId="28" applyFont="1" applyFill="1" applyBorder="1" applyAlignment="1" applyProtection="1">
      <alignment horizontal="left"/>
    </xf>
    <xf numFmtId="0" fontId="35" fillId="0" borderId="12" xfId="28" applyFont="1" applyBorder="1" applyAlignment="1" applyProtection="1">
      <alignment vertical="center"/>
    </xf>
    <xf numFmtId="0" fontId="35" fillId="0" borderId="13" xfId="28" applyFont="1" applyFill="1" applyBorder="1" applyAlignment="1" applyProtection="1">
      <alignment horizontal="center"/>
    </xf>
    <xf numFmtId="0" fontId="35" fillId="0" borderId="11" xfId="28" applyFont="1" applyFill="1" applyBorder="1" applyAlignment="1" applyProtection="1">
      <alignment horizontal="center"/>
    </xf>
    <xf numFmtId="0" fontId="35" fillId="0" borderId="12" xfId="28" applyFont="1" applyFill="1" applyBorder="1" applyAlignment="1" applyProtection="1">
      <alignment horizontal="center"/>
    </xf>
    <xf numFmtId="0" fontId="35" fillId="0" borderId="10" xfId="28" applyFont="1" applyBorder="1" applyAlignment="1" applyProtection="1">
      <alignment horizontal="center" vertical="center"/>
    </xf>
    <xf numFmtId="3" fontId="13" fillId="0" borderId="0" xfId="28" applyNumberFormat="1" applyFont="1" applyAlignment="1">
      <alignment horizontal="left"/>
    </xf>
    <xf numFmtId="0" fontId="8" fillId="0" borderId="0" xfId="28" applyFont="1"/>
    <xf numFmtId="0" fontId="3" fillId="0" borderId="0" xfId="28" applyBorder="1" applyAlignment="1" applyProtection="1">
      <alignment vertical="top" wrapText="1"/>
      <protection locked="0"/>
    </xf>
    <xf numFmtId="0" fontId="3" fillId="0" borderId="0" xfId="28" applyFont="1" applyProtection="1"/>
    <xf numFmtId="0" fontId="3" fillId="0" borderId="0" xfId="28" applyFont="1" applyAlignment="1" applyProtection="1">
      <alignment horizontal="left"/>
    </xf>
    <xf numFmtId="0" fontId="3" fillId="0" borderId="0" xfId="28" applyFont="1" applyAlignment="1" applyProtection="1">
      <alignment horizontal="left" vertical="top" wrapText="1"/>
    </xf>
    <xf numFmtId="0" fontId="3" fillId="0" borderId="0" xfId="28" applyFont="1" applyAlignment="1" applyProtection="1">
      <alignment vertical="top"/>
    </xf>
    <xf numFmtId="0" fontId="3" fillId="0" borderId="0" xfId="28" quotePrefix="1" applyFont="1" applyAlignment="1" applyProtection="1">
      <alignment vertical="top"/>
    </xf>
    <xf numFmtId="0" fontId="3" fillId="0" borderId="0" xfId="28" applyFont="1" applyAlignment="1" applyProtection="1">
      <alignment horizontal="justify" vertical="top" wrapText="1"/>
    </xf>
    <xf numFmtId="0" fontId="3" fillId="0" borderId="0" xfId="28" applyFont="1" applyBorder="1" applyAlignment="1" applyProtection="1"/>
    <xf numFmtId="0" fontId="32" fillId="0" borderId="0" xfId="28" applyFont="1" applyProtection="1"/>
    <xf numFmtId="0" fontId="106" fillId="0" borderId="0" xfId="28" applyFont="1"/>
    <xf numFmtId="0" fontId="106" fillId="0" borderId="0" xfId="28" applyFont="1" applyAlignment="1">
      <alignment horizontal="right"/>
    </xf>
    <xf numFmtId="0" fontId="106" fillId="0" borderId="0" xfId="28" quotePrefix="1" applyFont="1" applyAlignment="1">
      <alignment horizontal="right" vertical="center"/>
    </xf>
    <xf numFmtId="0" fontId="106" fillId="0" borderId="0" xfId="28" applyFont="1" applyAlignment="1">
      <alignment vertical="center"/>
    </xf>
    <xf numFmtId="0" fontId="3" fillId="0" borderId="0" xfId="28" applyAlignment="1">
      <alignment vertical="center"/>
    </xf>
    <xf numFmtId="0" fontId="3" fillId="0" borderId="0" xfId="28" applyFont="1" applyAlignment="1">
      <alignment horizontal="left" vertical="center"/>
    </xf>
    <xf numFmtId="3" fontId="3" fillId="0" borderId="0" xfId="28" applyNumberFormat="1" applyFont="1" applyAlignment="1">
      <alignment horizontal="left" vertical="center"/>
    </xf>
    <xf numFmtId="0" fontId="3" fillId="0" borderId="0" xfId="28" applyFont="1" applyAlignment="1">
      <alignment vertical="center"/>
    </xf>
    <xf numFmtId="3" fontId="38" fillId="0" borderId="0" xfId="0" applyNumberFormat="1" applyFont="1" applyFill="1" applyBorder="1" applyAlignment="1" applyProtection="1">
      <alignment horizontal="center" vertical="center"/>
    </xf>
    <xf numFmtId="0" fontId="96" fillId="0" borderId="78" xfId="28" applyNumberFormat="1" applyFont="1" applyFill="1" applyBorder="1" applyAlignment="1" applyProtection="1">
      <alignment vertical="center"/>
    </xf>
    <xf numFmtId="0" fontId="31" fillId="0" borderId="78" xfId="28" applyFont="1" applyFill="1" applyBorder="1" applyAlignment="1" applyProtection="1">
      <alignment horizontal="left"/>
    </xf>
    <xf numFmtId="0" fontId="13" fillId="0" borderId="78" xfId="28" applyFont="1" applyBorder="1" applyProtection="1"/>
    <xf numFmtId="0" fontId="10" fillId="0" borderId="78" xfId="28" applyFont="1" applyFill="1" applyBorder="1" applyAlignment="1" applyProtection="1">
      <alignment horizontal="center"/>
    </xf>
    <xf numFmtId="3" fontId="35" fillId="0" borderId="78" xfId="28" applyNumberFormat="1" applyFont="1" applyFill="1" applyBorder="1" applyAlignment="1" applyProtection="1">
      <alignment horizontal="center" vertical="center"/>
    </xf>
    <xf numFmtId="0" fontId="35" fillId="0" borderId="78" xfId="28" applyFont="1" applyFill="1" applyBorder="1" applyAlignment="1" applyProtection="1">
      <alignment vertical="center"/>
    </xf>
    <xf numFmtId="10" fontId="35" fillId="0" borderId="78" xfId="28" applyNumberFormat="1" applyFont="1" applyFill="1" applyBorder="1" applyAlignment="1" applyProtection="1">
      <alignment horizontal="center" vertical="center"/>
    </xf>
    <xf numFmtId="3" fontId="36" fillId="0" borderId="78" xfId="28" applyNumberFormat="1" applyFont="1" applyFill="1" applyBorder="1" applyAlignment="1" applyProtection="1">
      <alignment horizontal="center" vertical="center"/>
    </xf>
    <xf numFmtId="0" fontId="36" fillId="0" borderId="78" xfId="28" applyFont="1" applyFill="1" applyBorder="1" applyAlignment="1" applyProtection="1">
      <alignment vertical="center"/>
    </xf>
    <xf numFmtId="10" fontId="36" fillId="0" borderId="78" xfId="28" applyNumberFormat="1" applyFont="1" applyFill="1" applyBorder="1" applyAlignment="1" applyProtection="1">
      <alignment horizontal="center" vertical="center"/>
    </xf>
    <xf numFmtId="0" fontId="10" fillId="0" borderId="39" xfId="28" applyFont="1" applyFill="1" applyBorder="1" applyAlignment="1" applyProtection="1">
      <alignment horizontal="center"/>
    </xf>
    <xf numFmtId="0" fontId="13" fillId="0" borderId="40" xfId="28" applyFont="1" applyBorder="1" applyProtection="1"/>
    <xf numFmtId="14" fontId="35" fillId="0" borderId="39" xfId="28" applyNumberFormat="1" applyFont="1" applyFill="1" applyBorder="1" applyAlignment="1" applyProtection="1">
      <alignment horizontal="center" vertical="center"/>
    </xf>
    <xf numFmtId="10" fontId="35" fillId="0" borderId="40" xfId="28" applyNumberFormat="1" applyFont="1" applyFill="1" applyBorder="1" applyAlignment="1" applyProtection="1">
      <alignment horizontal="center" vertical="center"/>
    </xf>
    <xf numFmtId="14" fontId="36" fillId="0" borderId="39" xfId="28" applyNumberFormat="1" applyFont="1" applyFill="1" applyBorder="1" applyAlignment="1" applyProtection="1">
      <alignment horizontal="center" vertical="center"/>
    </xf>
    <xf numFmtId="10" fontId="36" fillId="0" borderId="40" xfId="28" applyNumberFormat="1" applyFont="1" applyFill="1" applyBorder="1" applyAlignment="1" applyProtection="1">
      <alignment horizontal="center" vertical="center"/>
    </xf>
    <xf numFmtId="0" fontId="4" fillId="0" borderId="0" xfId="28" applyFont="1" applyBorder="1" applyProtection="1"/>
    <xf numFmtId="0" fontId="101" fillId="0" borderId="0" xfId="28" applyFont="1" applyFill="1" applyBorder="1" applyAlignment="1" applyProtection="1">
      <alignment horizontal="left" vertical="center"/>
    </xf>
    <xf numFmtId="0" fontId="156" fillId="0" borderId="0" xfId="28" applyFont="1" applyFill="1" applyBorder="1" applyAlignment="1" applyProtection="1">
      <alignment horizontal="left" vertical="center"/>
    </xf>
    <xf numFmtId="0" fontId="101" fillId="0" borderId="0" xfId="28" applyNumberFormat="1" applyFont="1" applyFill="1" applyBorder="1" applyAlignment="1" applyProtection="1">
      <alignment vertical="center"/>
    </xf>
    <xf numFmtId="14" fontId="156" fillId="0" borderId="0" xfId="28" applyNumberFormat="1" applyFont="1" applyFill="1" applyBorder="1" applyAlignment="1" applyProtection="1">
      <alignment horizontal="center" vertical="center"/>
    </xf>
    <xf numFmtId="3" fontId="67" fillId="0" borderId="77" xfId="28" applyNumberFormat="1" applyFont="1" applyFill="1" applyBorder="1" applyAlignment="1" applyProtection="1">
      <alignment horizontal="center" vertical="center"/>
    </xf>
    <xf numFmtId="0" fontId="67" fillId="0" borderId="0" xfId="28" applyFont="1" applyFill="1" applyBorder="1" applyAlignment="1" applyProtection="1">
      <alignment vertical="center"/>
    </xf>
    <xf numFmtId="10" fontId="67" fillId="0" borderId="0" xfId="28" applyNumberFormat="1" applyFont="1" applyFill="1" applyBorder="1" applyAlignment="1" applyProtection="1">
      <alignment horizontal="center" vertical="center"/>
    </xf>
    <xf numFmtId="14" fontId="67" fillId="0" borderId="0" xfId="28" applyNumberFormat="1" applyFont="1" applyFill="1" applyBorder="1" applyAlignment="1" applyProtection="1">
      <alignment horizontal="center" vertical="center"/>
    </xf>
    <xf numFmtId="0" fontId="106" fillId="0" borderId="0" xfId="28" applyFont="1" applyProtection="1"/>
    <xf numFmtId="0" fontId="8" fillId="0" borderId="0" xfId="28" applyFont="1" applyFill="1" applyBorder="1" applyAlignment="1" applyProtection="1">
      <alignment horizontal="left" vertical="center"/>
    </xf>
    <xf numFmtId="0" fontId="13" fillId="0" borderId="0" xfId="28" applyFont="1" applyFill="1" applyAlignment="1" applyProtection="1">
      <alignment horizontal="left"/>
    </xf>
    <xf numFmtId="0" fontId="86" fillId="0" borderId="0" xfId="0" applyFont="1" applyFill="1" applyAlignment="1" applyProtection="1">
      <alignment vertical="top" wrapText="1"/>
    </xf>
    <xf numFmtId="0" fontId="100" fillId="0" borderId="0" xfId="0" applyFont="1" applyFill="1" applyAlignment="1" applyProtection="1">
      <alignment horizontal="center" vertical="top"/>
    </xf>
    <xf numFmtId="0" fontId="157" fillId="0" borderId="0" xfId="0" applyFont="1" applyFill="1" applyAlignment="1" applyProtection="1">
      <alignment vertical="center"/>
    </xf>
    <xf numFmtId="0" fontId="4" fillId="0" borderId="0" xfId="0" applyFont="1" applyBorder="1" applyAlignment="1" applyProtection="1">
      <alignment horizontal="center" vertical="center"/>
    </xf>
    <xf numFmtId="0" fontId="100" fillId="0" borderId="0" xfId="0" applyFont="1" applyFill="1" applyAlignment="1" applyProtection="1">
      <alignment horizontal="center" vertical="top"/>
    </xf>
    <xf numFmtId="0" fontId="4" fillId="0" borderId="0" xfId="0" applyFont="1" applyFill="1" applyBorder="1" applyAlignment="1" applyProtection="1">
      <alignment horizontal="left" vertical="top" wrapText="1"/>
    </xf>
    <xf numFmtId="0" fontId="39" fillId="5" borderId="77" xfId="0" applyFont="1" applyFill="1" applyBorder="1" applyAlignment="1" applyProtection="1">
      <alignment vertical="center"/>
      <protection locked="0"/>
    </xf>
    <xf numFmtId="3" fontId="39" fillId="5" borderId="77" xfId="0" applyNumberFormat="1" applyFont="1" applyFill="1" applyBorder="1" applyAlignment="1" applyProtection="1">
      <alignment vertical="center"/>
      <protection locked="0"/>
    </xf>
    <xf numFmtId="0" fontId="19" fillId="0" borderId="0" xfId="0" applyFont="1" applyFill="1" applyBorder="1" applyAlignment="1" applyProtection="1">
      <alignment horizontal="center"/>
    </xf>
    <xf numFmtId="0" fontId="19" fillId="0" borderId="0" xfId="0" applyFont="1" applyFill="1" applyAlignment="1" applyProtection="1">
      <alignment horizontal="center"/>
    </xf>
    <xf numFmtId="0" fontId="4" fillId="0" borderId="0" xfId="0" applyFont="1" applyFill="1" applyBorder="1" applyAlignment="1" applyProtection="1">
      <alignment horizontal="center" vertical="top" wrapText="1"/>
    </xf>
    <xf numFmtId="3" fontId="16" fillId="0" borderId="0" xfId="0" applyNumberFormat="1" applyFont="1" applyFill="1" applyBorder="1" applyAlignment="1" applyProtection="1">
      <alignment horizontal="center"/>
    </xf>
    <xf numFmtId="0" fontId="4" fillId="0" borderId="0" xfId="0" applyFont="1" applyBorder="1" applyAlignment="1" applyProtection="1">
      <alignment wrapText="1"/>
    </xf>
    <xf numFmtId="0" fontId="4" fillId="0" borderId="12" xfId="0" applyFont="1" applyBorder="1" applyAlignment="1" applyProtection="1">
      <alignment horizontal="center" wrapText="1"/>
    </xf>
    <xf numFmtId="38" fontId="4" fillId="10" borderId="37" xfId="0" applyNumberFormat="1" applyFont="1" applyFill="1" applyBorder="1" applyAlignment="1" applyProtection="1">
      <alignment horizontal="center" vertical="center" wrapText="1"/>
      <protection locked="0"/>
    </xf>
    <xf numFmtId="0" fontId="148" fillId="0" borderId="0" xfId="0" applyFont="1" applyAlignment="1" applyProtection="1">
      <alignment horizontal="center" vertical="top" wrapText="1"/>
    </xf>
    <xf numFmtId="0" fontId="4" fillId="0" borderId="0" xfId="0" applyFont="1" applyFill="1" applyBorder="1" applyAlignment="1" applyProtection="1">
      <alignment horizontal="center" vertical="top"/>
    </xf>
    <xf numFmtId="0" fontId="3" fillId="0" borderId="0" xfId="28" applyAlignment="1"/>
    <xf numFmtId="0" fontId="3" fillId="0" borderId="0" xfId="28" applyAlignment="1">
      <alignment vertical="top" wrapText="1"/>
    </xf>
    <xf numFmtId="0" fontId="9" fillId="0" borderId="0" xfId="28" applyFont="1" applyAlignment="1">
      <alignment horizontal="center" vertical="top" wrapText="1"/>
    </xf>
    <xf numFmtId="0" fontId="3" fillId="0" borderId="0" xfId="28" applyAlignment="1">
      <alignment horizontal="center"/>
    </xf>
    <xf numFmtId="0" fontId="9" fillId="0" borderId="0" xfId="28" applyFont="1" applyAlignment="1">
      <alignment horizontal="justify" vertical="top" wrapText="1"/>
    </xf>
    <xf numFmtId="0" fontId="9" fillId="0" borderId="0" xfId="28" applyFont="1"/>
    <xf numFmtId="0" fontId="22" fillId="0" borderId="0" xfId="28" applyFont="1"/>
    <xf numFmtId="0" fontId="3" fillId="0" borderId="0" xfId="28" applyAlignment="1">
      <alignment horizontal="center" vertical="center" wrapText="1"/>
    </xf>
    <xf numFmtId="0" fontId="3" fillId="0" borderId="0" xfId="28" applyAlignment="1">
      <alignment horizontal="center" wrapText="1"/>
    </xf>
    <xf numFmtId="0" fontId="3" fillId="0" borderId="0" xfId="28" quotePrefix="1" applyBorder="1" applyAlignment="1">
      <alignment horizontal="center" vertical="center"/>
    </xf>
    <xf numFmtId="0" fontId="3" fillId="0" borderId="0" xfId="28" applyFont="1" applyBorder="1" applyAlignment="1">
      <alignment horizontal="left" vertical="center"/>
    </xf>
    <xf numFmtId="0" fontId="3" fillId="0" borderId="0" xfId="28" applyBorder="1" applyAlignment="1">
      <alignment vertical="center"/>
    </xf>
    <xf numFmtId="0" fontId="3" fillId="0" borderId="0" xfId="28" applyBorder="1" applyAlignment="1"/>
    <xf numFmtId="0" fontId="3" fillId="0" borderId="0" xfId="28" applyFont="1" applyFill="1" applyBorder="1" applyAlignment="1">
      <alignment horizontal="left" vertical="center"/>
    </xf>
    <xf numFmtId="0" fontId="3" fillId="0" borderId="0" xfId="28" quotePrefix="1" applyFont="1" applyBorder="1" applyAlignment="1">
      <alignment horizontal="center" vertical="center"/>
    </xf>
    <xf numFmtId="0" fontId="3" fillId="0" borderId="0" xfId="28" applyFont="1" applyBorder="1" applyAlignment="1">
      <alignment vertical="center"/>
    </xf>
    <xf numFmtId="0" fontId="3" fillId="0" borderId="0" xfId="28" applyFont="1" applyBorder="1" applyAlignment="1">
      <alignment vertical="center" wrapText="1"/>
    </xf>
    <xf numFmtId="0" fontId="3" fillId="5" borderId="12" xfId="28" applyFill="1" applyBorder="1" applyAlignment="1" applyProtection="1">
      <alignment horizontal="left" vertical="center"/>
      <protection locked="0"/>
    </xf>
    <xf numFmtId="0" fontId="3" fillId="0" borderId="0" xfId="28" applyAlignment="1">
      <alignment vertical="top"/>
    </xf>
    <xf numFmtId="0" fontId="39" fillId="0" borderId="0" xfId="0" applyFont="1" applyFill="1" applyBorder="1" applyAlignment="1" applyProtection="1">
      <alignment horizontal="left" vertical="center"/>
    </xf>
    <xf numFmtId="0" fontId="39" fillId="5" borderId="15" xfId="0" applyFont="1" applyFill="1" applyBorder="1" applyAlignment="1" applyProtection="1">
      <alignment horizontal="center" vertical="center"/>
      <protection locked="0"/>
    </xf>
    <xf numFmtId="0" fontId="39" fillId="5" borderId="16" xfId="0" applyFont="1" applyFill="1" applyBorder="1" applyAlignment="1" applyProtection="1">
      <alignment horizontal="center" vertical="center"/>
      <protection locked="0"/>
    </xf>
    <xf numFmtId="0" fontId="39" fillId="5" borderId="17" xfId="0" applyFont="1" applyFill="1" applyBorder="1" applyAlignment="1" applyProtection="1">
      <alignment horizontal="center" vertical="center"/>
      <protection locked="0"/>
    </xf>
    <xf numFmtId="164" fontId="39" fillId="0" borderId="0" xfId="1" applyNumberFormat="1" applyFont="1" applyFill="1" applyBorder="1" applyAlignment="1" applyProtection="1">
      <alignment horizontal="center" vertical="center"/>
    </xf>
    <xf numFmtId="0" fontId="39" fillId="5" borderId="44" xfId="0" applyFont="1" applyFill="1" applyBorder="1" applyAlignment="1" applyProtection="1">
      <alignment horizontal="center" vertical="center"/>
      <protection locked="0"/>
    </xf>
    <xf numFmtId="0" fontId="39" fillId="5" borderId="95" xfId="0" applyFont="1" applyFill="1" applyBorder="1" applyAlignment="1" applyProtection="1">
      <alignment horizontal="center" vertical="center"/>
      <protection locked="0"/>
    </xf>
    <xf numFmtId="0" fontId="35" fillId="0" borderId="0" xfId="0" applyFont="1" applyFill="1" applyBorder="1" applyAlignment="1" applyProtection="1">
      <alignment horizontal="center" vertical="center"/>
      <protection locked="0"/>
    </xf>
    <xf numFmtId="38" fontId="77" fillId="0" borderId="0" xfId="0" applyNumberFormat="1" applyFont="1" applyFill="1" applyBorder="1" applyAlignment="1" applyProtection="1">
      <alignment horizontal="center" vertical="center"/>
      <protection locked="0"/>
    </xf>
    <xf numFmtId="166" fontId="39" fillId="0" borderId="0" xfId="0" applyNumberFormat="1" applyFont="1" applyFill="1" applyBorder="1" applyAlignment="1" applyProtection="1">
      <alignment horizontal="center" vertical="center"/>
      <protection locked="0"/>
    </xf>
    <xf numFmtId="38" fontId="39" fillId="0" borderId="0" xfId="2" applyNumberFormat="1" applyFont="1" applyFill="1" applyBorder="1" applyAlignment="1" applyProtection="1">
      <alignment horizontal="center" vertical="center"/>
      <protection locked="0"/>
    </xf>
    <xf numFmtId="0" fontId="35" fillId="0" borderId="12" xfId="0" applyFont="1" applyFill="1" applyBorder="1" applyAlignment="1" applyProtection="1">
      <alignment horizontal="center" vertical="center"/>
      <protection locked="0"/>
    </xf>
    <xf numFmtId="38" fontId="77" fillId="0" borderId="12" xfId="0" applyNumberFormat="1" applyFont="1" applyFill="1" applyBorder="1" applyAlignment="1" applyProtection="1">
      <alignment horizontal="center" vertical="center"/>
      <protection locked="0"/>
    </xf>
    <xf numFmtId="0" fontId="35" fillId="13" borderId="0" xfId="0" applyFont="1" applyFill="1" applyBorder="1" applyAlignment="1" applyProtection="1">
      <alignment vertical="center"/>
    </xf>
    <xf numFmtId="0" fontId="39" fillId="13" borderId="0" xfId="0" applyFont="1" applyFill="1" applyBorder="1" applyAlignment="1" applyProtection="1">
      <alignment vertical="center"/>
    </xf>
    <xf numFmtId="0" fontId="35" fillId="13" borderId="0" xfId="0" applyFont="1" applyFill="1" applyAlignment="1" applyProtection="1">
      <alignment vertical="center"/>
    </xf>
    <xf numFmtId="0" fontId="35" fillId="13" borderId="0" xfId="0" applyFont="1" applyFill="1" applyAlignment="1" applyProtection="1">
      <alignment horizontal="right" vertical="center"/>
    </xf>
    <xf numFmtId="0" fontId="8" fillId="0" borderId="0" xfId="28" applyFont="1" applyFill="1" applyBorder="1" applyAlignment="1" applyProtection="1">
      <alignment vertical="center"/>
    </xf>
    <xf numFmtId="0" fontId="3" fillId="0" borderId="0" xfId="28" applyFont="1" applyFill="1" applyBorder="1" applyProtection="1"/>
    <xf numFmtId="0" fontId="8" fillId="0" borderId="0" xfId="28" applyFont="1" applyFill="1" applyAlignment="1" applyProtection="1">
      <alignment vertical="center"/>
    </xf>
    <xf numFmtId="0" fontId="8" fillId="0" borderId="0" xfId="28" applyFont="1" applyFill="1" applyAlignment="1" applyProtection="1">
      <alignment horizontal="left" vertical="center"/>
    </xf>
    <xf numFmtId="0" fontId="25" fillId="0" borderId="0" xfId="28" applyFont="1" applyProtection="1"/>
    <xf numFmtId="0" fontId="3" fillId="0" borderId="0" xfId="28" applyFont="1" applyFill="1" applyAlignment="1" applyProtection="1">
      <alignment vertical="center"/>
    </xf>
    <xf numFmtId="0" fontId="3" fillId="0" borderId="0" xfId="28" applyFont="1" applyFill="1" applyAlignment="1" applyProtection="1">
      <alignment horizontal="center" vertical="center"/>
    </xf>
    <xf numFmtId="0" fontId="8" fillId="0" borderId="0" xfId="28" applyFont="1" applyProtection="1"/>
    <xf numFmtId="0" fontId="8" fillId="0" borderId="0" xfId="28" applyFont="1" applyAlignment="1" applyProtection="1">
      <alignment horizontal="center"/>
    </xf>
    <xf numFmtId="0" fontId="8" fillId="0" borderId="12" xfId="28" applyFont="1" applyFill="1" applyBorder="1" applyAlignment="1" applyProtection="1">
      <alignment horizontal="center"/>
    </xf>
    <xf numFmtId="0" fontId="8" fillId="0" borderId="12" xfId="28" applyFont="1" applyBorder="1" applyAlignment="1" applyProtection="1">
      <alignment horizontal="center"/>
    </xf>
    <xf numFmtId="0" fontId="3" fillId="0" borderId="71" xfId="28" applyBorder="1" applyAlignment="1" applyProtection="1">
      <alignment vertical="center"/>
    </xf>
    <xf numFmtId="0" fontId="3" fillId="0" borderId="72" xfId="28" applyFont="1" applyFill="1" applyBorder="1" applyAlignment="1" applyProtection="1">
      <alignment vertical="center"/>
    </xf>
    <xf numFmtId="0" fontId="8" fillId="5" borderId="15" xfId="28" applyNumberFormat="1" applyFont="1" applyFill="1" applyBorder="1" applyAlignment="1" applyProtection="1">
      <alignment horizontal="center" vertical="center"/>
      <protection locked="0"/>
    </xf>
    <xf numFmtId="0" fontId="3" fillId="0" borderId="75" xfId="28" applyFont="1" applyFill="1" applyBorder="1" applyProtection="1"/>
    <xf numFmtId="0" fontId="3" fillId="5" borderId="15" xfId="28" applyFill="1" applyBorder="1" applyAlignment="1" applyProtection="1">
      <alignment horizontal="center" vertical="center"/>
      <protection locked="0"/>
    </xf>
    <xf numFmtId="0" fontId="3" fillId="0" borderId="7" xfId="28" applyBorder="1" applyAlignment="1" applyProtection="1">
      <alignment vertical="center"/>
    </xf>
    <xf numFmtId="0" fontId="3" fillId="0" borderId="8" xfId="28" applyFont="1" applyFill="1" applyBorder="1" applyAlignment="1" applyProtection="1">
      <alignment vertical="center"/>
    </xf>
    <xf numFmtId="0" fontId="8" fillId="5" borderId="16" xfId="28" applyNumberFormat="1" applyFont="1" applyFill="1" applyBorder="1" applyAlignment="1" applyProtection="1">
      <alignment horizontal="center" vertical="center"/>
      <protection locked="0"/>
    </xf>
    <xf numFmtId="0" fontId="3" fillId="0" borderId="10" xfId="28" applyFont="1" applyFill="1" applyBorder="1" applyProtection="1"/>
    <xf numFmtId="0" fontId="3" fillId="5" borderId="16" xfId="28" applyFill="1" applyBorder="1" applyAlignment="1" applyProtection="1">
      <alignment horizontal="center" vertical="center"/>
      <protection locked="0"/>
    </xf>
    <xf numFmtId="0" fontId="3" fillId="5" borderId="16" xfId="28" applyFont="1" applyFill="1" applyBorder="1" applyAlignment="1" applyProtection="1">
      <alignment horizontal="center" vertical="center"/>
      <protection locked="0"/>
    </xf>
    <xf numFmtId="0" fontId="3" fillId="0" borderId="26" xfId="28" applyBorder="1" applyAlignment="1" applyProtection="1">
      <alignment vertical="center"/>
    </xf>
    <xf numFmtId="0" fontId="3" fillId="0" borderId="81" xfId="28" applyFont="1" applyFill="1" applyBorder="1" applyAlignment="1" applyProtection="1">
      <alignment vertical="center"/>
    </xf>
    <xf numFmtId="0" fontId="3" fillId="0" borderId="21" xfId="28" applyFont="1" applyFill="1" applyBorder="1" applyProtection="1"/>
    <xf numFmtId="0" fontId="3" fillId="0" borderId="25" xfId="28" applyBorder="1" applyAlignment="1" applyProtection="1">
      <alignment vertical="center"/>
    </xf>
    <xf numFmtId="0" fontId="3" fillId="0" borderId="31" xfId="28" applyFont="1" applyFill="1" applyBorder="1" applyAlignment="1" applyProtection="1">
      <alignment vertical="center"/>
    </xf>
    <xf numFmtId="0" fontId="3" fillId="0" borderId="31" xfId="28" applyFont="1" applyFill="1" applyBorder="1" applyProtection="1"/>
    <xf numFmtId="0" fontId="3" fillId="0" borderId="89" xfId="28" applyFont="1" applyFill="1" applyBorder="1" applyProtection="1"/>
    <xf numFmtId="0" fontId="3" fillId="0" borderId="7" xfId="28" applyFont="1" applyBorder="1" applyAlignment="1" applyProtection="1">
      <alignment vertical="center"/>
    </xf>
    <xf numFmtId="0" fontId="3" fillId="0" borderId="8" xfId="28" applyFont="1" applyFill="1" applyBorder="1" applyProtection="1"/>
    <xf numFmtId="0" fontId="3" fillId="0" borderId="26" xfId="28" applyFont="1" applyBorder="1" applyAlignment="1" applyProtection="1">
      <alignment vertical="center"/>
    </xf>
    <xf numFmtId="0" fontId="3" fillId="0" borderId="29" xfId="28" applyFont="1" applyBorder="1" applyAlignment="1" applyProtection="1">
      <alignment vertical="center"/>
    </xf>
    <xf numFmtId="0" fontId="3" fillId="5" borderId="77" xfId="28" applyFont="1" applyFill="1" applyBorder="1" applyAlignment="1" applyProtection="1">
      <alignment horizontal="center" vertical="center"/>
      <protection locked="0"/>
    </xf>
    <xf numFmtId="0" fontId="3" fillId="0" borderId="9" xfId="28" applyFont="1" applyBorder="1" applyAlignment="1" applyProtection="1">
      <alignment vertical="center"/>
    </xf>
    <xf numFmtId="0" fontId="3" fillId="0" borderId="13" xfId="28" applyFont="1" applyFill="1" applyBorder="1" applyAlignment="1" applyProtection="1">
      <alignment vertical="center"/>
    </xf>
    <xf numFmtId="0" fontId="3" fillId="0" borderId="32" xfId="28" applyBorder="1" applyProtection="1"/>
    <xf numFmtId="0" fontId="3" fillId="0" borderId="13" xfId="28" applyFont="1" applyFill="1" applyBorder="1" applyProtection="1"/>
    <xf numFmtId="0" fontId="8" fillId="5" borderId="17" xfId="28" applyNumberFormat="1" applyFont="1" applyFill="1" applyBorder="1" applyAlignment="1" applyProtection="1">
      <alignment horizontal="center" vertical="center"/>
      <protection locked="0"/>
    </xf>
    <xf numFmtId="0" fontId="3" fillId="0" borderId="11" xfId="28" applyFont="1" applyFill="1" applyBorder="1" applyProtection="1"/>
    <xf numFmtId="0" fontId="3" fillId="5" borderId="17" xfId="28" applyFill="1" applyBorder="1" applyAlignment="1" applyProtection="1">
      <alignment horizontal="center" vertical="center"/>
      <protection locked="0"/>
    </xf>
    <xf numFmtId="0" fontId="3" fillId="5" borderId="17" xfId="28" applyFont="1" applyFill="1" applyBorder="1" applyAlignment="1" applyProtection="1">
      <alignment horizontal="center" vertical="center"/>
      <protection locked="0"/>
    </xf>
    <xf numFmtId="0" fontId="3" fillId="0" borderId="0" xfId="28" applyAlignment="1" applyProtection="1">
      <alignment horizontal="center"/>
    </xf>
    <xf numFmtId="0" fontId="8" fillId="0" borderId="0" xfId="28" applyFont="1" applyAlignment="1" applyProtection="1">
      <alignment horizontal="center" vertical="center"/>
    </xf>
    <xf numFmtId="0" fontId="24" fillId="0" borderId="0" xfId="28" applyFont="1" applyFill="1" applyAlignment="1" applyProtection="1">
      <alignment vertical="center"/>
    </xf>
    <xf numFmtId="0" fontId="84" fillId="0" borderId="0" xfId="28" applyFont="1" applyFill="1" applyAlignment="1" applyProtection="1">
      <alignment vertical="center"/>
    </xf>
    <xf numFmtId="0" fontId="84" fillId="0" borderId="0" xfId="28" applyFont="1" applyFill="1" applyAlignment="1" applyProtection="1">
      <alignment horizontal="center" vertical="center"/>
    </xf>
    <xf numFmtId="0" fontId="75" fillId="0" borderId="0" xfId="28" applyFont="1" applyFill="1" applyAlignment="1" applyProtection="1">
      <alignment vertical="center"/>
    </xf>
    <xf numFmtId="0" fontId="24" fillId="0" borderId="0" xfId="28" applyFont="1" applyFill="1" applyProtection="1"/>
    <xf numFmtId="0" fontId="88" fillId="0" borderId="0" xfId="28" applyFont="1" applyFill="1" applyProtection="1"/>
    <xf numFmtId="0" fontId="88" fillId="0" borderId="0" xfId="28" applyFont="1" applyFill="1" applyAlignment="1" applyProtection="1">
      <alignment horizontal="center"/>
    </xf>
    <xf numFmtId="0" fontId="84" fillId="0" borderId="0" xfId="28" applyFont="1" applyFill="1" applyProtection="1"/>
    <xf numFmtId="0" fontId="59" fillId="0" borderId="0" xfId="28" applyFont="1" applyFill="1" applyAlignment="1" applyProtection="1">
      <alignment vertical="center"/>
    </xf>
    <xf numFmtId="0" fontId="23" fillId="0" borderId="0" xfId="28" applyFont="1" applyFill="1" applyAlignment="1" applyProtection="1">
      <alignment vertical="center"/>
    </xf>
    <xf numFmtId="0" fontId="26" fillId="0" borderId="0" xfId="28" applyFont="1" applyFill="1" applyAlignment="1" applyProtection="1">
      <alignment vertical="center"/>
    </xf>
    <xf numFmtId="0" fontId="88" fillId="0" borderId="0" xfId="28" applyFont="1" applyFill="1" applyAlignment="1" applyProtection="1">
      <alignment vertical="center"/>
    </xf>
    <xf numFmtId="0" fontId="88" fillId="0" borderId="0" xfId="28" applyFont="1" applyFill="1" applyAlignment="1" applyProtection="1">
      <alignment horizontal="center" vertical="center"/>
    </xf>
    <xf numFmtId="0" fontId="10" fillId="0" borderId="0" xfId="28" applyFont="1" applyFill="1" applyAlignment="1" applyProtection="1">
      <alignment horizontal="center" wrapText="1"/>
    </xf>
    <xf numFmtId="0" fontId="73" fillId="0" borderId="0" xfId="28" applyFont="1" applyFill="1" applyBorder="1" applyAlignment="1" applyProtection="1">
      <alignment vertical="center" wrapText="1"/>
    </xf>
    <xf numFmtId="0" fontId="73" fillId="0" borderId="0" xfId="28" applyFont="1" applyFill="1" applyAlignment="1" applyProtection="1">
      <alignment vertical="center"/>
    </xf>
    <xf numFmtId="0" fontId="10" fillId="0" borderId="0" xfId="28" applyFont="1" applyFill="1" applyAlignment="1" applyProtection="1">
      <alignment horizontal="center" vertical="center"/>
    </xf>
    <xf numFmtId="0" fontId="8" fillId="0" borderId="0" xfId="28" applyFont="1" applyFill="1" applyAlignment="1" applyProtection="1">
      <alignment horizontal="center" vertical="center"/>
    </xf>
    <xf numFmtId="0" fontId="8" fillId="0" borderId="0" xfId="28" applyFont="1" applyFill="1" applyBorder="1" applyAlignment="1" applyProtection="1">
      <alignment horizontal="left"/>
    </xf>
    <xf numFmtId="0" fontId="3" fillId="5" borderId="77" xfId="28" applyFill="1" applyBorder="1" applyAlignment="1" applyProtection="1">
      <alignment horizontal="center" vertical="center"/>
      <protection locked="0"/>
    </xf>
    <xf numFmtId="0" fontId="10" fillId="0" borderId="0" xfId="28" applyFont="1" applyFill="1" applyAlignment="1" applyProtection="1">
      <alignment horizontal="center" vertical="center" wrapText="1"/>
    </xf>
    <xf numFmtId="0" fontId="3" fillId="0" borderId="0" xfId="28" applyFont="1" applyFill="1" applyBorder="1" applyAlignment="1" applyProtection="1">
      <alignment vertical="center" wrapText="1"/>
    </xf>
    <xf numFmtId="0" fontId="8" fillId="0" borderId="0" xfId="28" applyFont="1" applyFill="1" applyBorder="1" applyAlignment="1" applyProtection="1">
      <alignment vertical="center" wrapText="1"/>
    </xf>
    <xf numFmtId="0" fontId="8" fillId="0" borderId="0" xfId="28" applyFont="1" applyFill="1" applyBorder="1" applyAlignment="1" applyProtection="1">
      <alignment horizontal="center" vertical="center" wrapText="1"/>
    </xf>
    <xf numFmtId="0" fontId="84" fillId="0" borderId="0" xfId="28" applyFont="1" applyFill="1" applyAlignment="1" applyProtection="1">
      <alignment horizontal="center"/>
    </xf>
    <xf numFmtId="0" fontId="96" fillId="0" borderId="0" xfId="28" applyFont="1" applyFill="1" applyAlignment="1" applyProtection="1">
      <alignment horizontal="center" vertical="center"/>
    </xf>
    <xf numFmtId="0" fontId="74" fillId="0" borderId="0" xfId="28" applyFont="1" applyFill="1" applyAlignment="1" applyProtection="1">
      <alignment horizontal="center" vertical="center"/>
    </xf>
    <xf numFmtId="0" fontId="72" fillId="0" borderId="0" xfId="28" applyFont="1" applyFill="1" applyProtection="1"/>
    <xf numFmtId="0" fontId="33" fillId="0" borderId="0" xfId="28" applyFont="1" applyFill="1" applyProtection="1"/>
    <xf numFmtId="0" fontId="163" fillId="19" borderId="0" xfId="28" applyFont="1" applyFill="1" applyAlignment="1" applyProtection="1">
      <alignment horizontal="center" vertical="center" wrapText="1"/>
    </xf>
    <xf numFmtId="0" fontId="86" fillId="0" borderId="0" xfId="28" applyFont="1" applyFill="1" applyAlignment="1" applyProtection="1">
      <alignment horizontal="center" vertical="center"/>
    </xf>
    <xf numFmtId="0" fontId="23" fillId="0" borderId="0" xfId="28" applyFont="1" applyFill="1" applyAlignment="1" applyProtection="1">
      <alignment horizontal="center" vertical="center"/>
    </xf>
    <xf numFmtId="3" fontId="13" fillId="5" borderId="15" xfId="10" applyNumberFormat="1" applyFont="1" applyFill="1" applyBorder="1" applyAlignment="1" applyProtection="1">
      <alignment horizontal="center" vertical="center"/>
      <protection locked="0"/>
    </xf>
    <xf numFmtId="3" fontId="13" fillId="11" borderId="15" xfId="1" applyNumberFormat="1" applyFont="1" applyFill="1" applyBorder="1" applyAlignment="1" applyProtection="1">
      <alignment horizontal="center" vertical="center"/>
      <protection locked="0"/>
    </xf>
    <xf numFmtId="0" fontId="35" fillId="5" borderId="15" xfId="28" applyFont="1" applyFill="1" applyBorder="1" applyAlignment="1" applyProtection="1">
      <alignment horizontal="center" vertical="center"/>
      <protection locked="0"/>
    </xf>
    <xf numFmtId="0" fontId="13" fillId="5" borderId="15" xfId="28" applyFont="1" applyFill="1" applyBorder="1" applyAlignment="1" applyProtection="1">
      <alignment horizontal="center" vertical="center"/>
      <protection locked="0"/>
    </xf>
    <xf numFmtId="3" fontId="13" fillId="13" borderId="47" xfId="28" applyNumberFormat="1" applyFont="1" applyFill="1" applyBorder="1" applyAlignment="1" applyProtection="1">
      <alignment horizontal="center" vertical="center"/>
    </xf>
    <xf numFmtId="10" fontId="13" fillId="13" borderId="48" xfId="28" applyNumberFormat="1" applyFont="1" applyFill="1" applyBorder="1" applyAlignment="1" applyProtection="1">
      <alignment horizontal="center" vertical="center"/>
    </xf>
    <xf numFmtId="3" fontId="13" fillId="13" borderId="48" xfId="28" applyNumberFormat="1" applyFont="1" applyFill="1" applyBorder="1" applyAlignment="1" applyProtection="1">
      <alignment horizontal="center" vertical="center"/>
      <protection locked="0"/>
    </xf>
    <xf numFmtId="10" fontId="13" fillId="13" borderId="22" xfId="28" applyNumberFormat="1" applyFont="1" applyFill="1" applyBorder="1" applyAlignment="1" applyProtection="1">
      <alignment horizontal="center" vertical="center"/>
      <protection locked="0"/>
    </xf>
    <xf numFmtId="3" fontId="84" fillId="0" borderId="0" xfId="28" applyNumberFormat="1" applyFont="1" applyFill="1" applyAlignment="1" applyProtection="1">
      <alignment horizontal="center"/>
    </xf>
    <xf numFmtId="0" fontId="75" fillId="0" borderId="0" xfId="28" applyFont="1" applyFill="1" applyAlignment="1" applyProtection="1">
      <alignment horizontal="center"/>
    </xf>
    <xf numFmtId="3" fontId="13" fillId="5" borderId="16" xfId="10" applyNumberFormat="1" applyFont="1" applyFill="1" applyBorder="1" applyAlignment="1" applyProtection="1">
      <alignment horizontal="center" vertical="center"/>
      <protection locked="0"/>
    </xf>
    <xf numFmtId="3" fontId="13" fillId="11" borderId="16" xfId="1" applyNumberFormat="1" applyFont="1" applyFill="1" applyBorder="1" applyAlignment="1" applyProtection="1">
      <alignment horizontal="center" vertical="center"/>
      <protection locked="0"/>
    </xf>
    <xf numFmtId="0" fontId="35" fillId="5" borderId="16" xfId="28" applyFont="1" applyFill="1" applyBorder="1" applyAlignment="1" applyProtection="1">
      <alignment horizontal="center" vertical="center"/>
      <protection locked="0"/>
    </xf>
    <xf numFmtId="0" fontId="13" fillId="5" borderId="16" xfId="28" applyFont="1" applyFill="1" applyBorder="1" applyAlignment="1" applyProtection="1">
      <alignment horizontal="center" vertical="center"/>
      <protection locked="0"/>
    </xf>
    <xf numFmtId="3" fontId="13" fillId="13" borderId="46" xfId="28" applyNumberFormat="1" applyFont="1" applyFill="1" applyBorder="1" applyAlignment="1" applyProtection="1">
      <alignment horizontal="center" vertical="center"/>
    </xf>
    <xf numFmtId="10" fontId="13" fillId="13" borderId="37" xfId="28" applyNumberFormat="1" applyFont="1" applyFill="1" applyBorder="1" applyAlignment="1" applyProtection="1">
      <alignment horizontal="center" vertical="center"/>
    </xf>
    <xf numFmtId="3" fontId="13" fillId="13" borderId="37" xfId="28" applyNumberFormat="1" applyFont="1" applyFill="1" applyBorder="1" applyAlignment="1" applyProtection="1">
      <alignment horizontal="center" vertical="center"/>
      <protection locked="0"/>
    </xf>
    <xf numFmtId="10" fontId="13" fillId="13" borderId="24" xfId="28" applyNumberFormat="1" applyFont="1" applyFill="1" applyBorder="1" applyAlignment="1" applyProtection="1">
      <alignment horizontal="center" vertical="center"/>
      <protection locked="0"/>
    </xf>
    <xf numFmtId="3" fontId="13" fillId="5" borderId="96" xfId="10" applyNumberFormat="1" applyFont="1" applyFill="1" applyBorder="1" applyAlignment="1" applyProtection="1">
      <alignment horizontal="center" vertical="center"/>
      <protection locked="0"/>
    </xf>
    <xf numFmtId="1" fontId="13" fillId="5" borderId="96" xfId="1" applyNumberFormat="1" applyFont="1" applyFill="1" applyBorder="1" applyAlignment="1" applyProtection="1">
      <alignment horizontal="center" vertical="center"/>
      <protection locked="0"/>
    </xf>
    <xf numFmtId="173" fontId="13" fillId="5" borderId="96" xfId="1" applyNumberFormat="1" applyFont="1" applyFill="1" applyBorder="1" applyAlignment="1" applyProtection="1">
      <alignment horizontal="center" vertical="center"/>
      <protection locked="0"/>
    </xf>
    <xf numFmtId="3" fontId="13" fillId="5" borderId="96" xfId="1" applyNumberFormat="1" applyFont="1" applyFill="1" applyBorder="1" applyAlignment="1" applyProtection="1">
      <alignment horizontal="center" vertical="center"/>
      <protection locked="0"/>
    </xf>
    <xf numFmtId="3" fontId="13" fillId="11" borderId="96" xfId="1" applyNumberFormat="1" applyFont="1" applyFill="1" applyBorder="1" applyAlignment="1" applyProtection="1">
      <alignment horizontal="center" vertical="center"/>
      <protection locked="0"/>
    </xf>
    <xf numFmtId="3" fontId="35" fillId="5" borderId="96" xfId="1" applyNumberFormat="1" applyFont="1" applyFill="1" applyBorder="1" applyAlignment="1" applyProtection="1">
      <alignment horizontal="center" vertical="center"/>
      <protection locked="0"/>
    </xf>
    <xf numFmtId="38" fontId="13" fillId="0" borderId="96" xfId="1" applyNumberFormat="1" applyFont="1" applyFill="1" applyBorder="1" applyAlignment="1" applyProtection="1">
      <alignment horizontal="center" vertical="center"/>
    </xf>
    <xf numFmtId="0" fontId="35" fillId="5" borderId="96" xfId="28" applyFont="1" applyFill="1" applyBorder="1" applyAlignment="1" applyProtection="1">
      <alignment horizontal="center" vertical="center"/>
      <protection locked="0"/>
    </xf>
    <xf numFmtId="0" fontId="13" fillId="5" borderId="96" xfId="28" applyFont="1" applyFill="1" applyBorder="1" applyAlignment="1" applyProtection="1">
      <alignment horizontal="center" vertical="center"/>
      <protection locked="0"/>
    </xf>
    <xf numFmtId="0" fontId="13" fillId="5" borderId="21" xfId="10" applyNumberFormat="1" applyFont="1" applyFill="1" applyBorder="1" applyAlignment="1" applyProtection="1">
      <alignment horizontal="center" vertical="center"/>
      <protection locked="0"/>
    </xf>
    <xf numFmtId="1" fontId="13" fillId="5" borderId="21" xfId="1" applyNumberFormat="1" applyFont="1" applyFill="1" applyBorder="1" applyAlignment="1" applyProtection="1">
      <alignment horizontal="center" vertical="center"/>
      <protection locked="0"/>
    </xf>
    <xf numFmtId="173" fontId="13" fillId="5" borderId="21" xfId="1" applyNumberFormat="1" applyFont="1" applyFill="1" applyBorder="1" applyAlignment="1" applyProtection="1">
      <alignment horizontal="center" vertical="center"/>
      <protection locked="0"/>
    </xf>
    <xf numFmtId="3" fontId="13" fillId="5" borderId="21" xfId="1" applyNumberFormat="1" applyFont="1" applyFill="1" applyBorder="1" applyAlignment="1" applyProtection="1">
      <alignment horizontal="center" vertical="center"/>
      <protection locked="0"/>
    </xf>
    <xf numFmtId="3" fontId="13" fillId="11" borderId="21" xfId="1" applyNumberFormat="1" applyFont="1" applyFill="1" applyBorder="1" applyAlignment="1" applyProtection="1">
      <alignment horizontal="center" vertical="center"/>
      <protection locked="0"/>
    </xf>
    <xf numFmtId="3" fontId="35" fillId="5" borderId="21" xfId="1" applyNumberFormat="1" applyFont="1" applyFill="1" applyBorder="1" applyAlignment="1" applyProtection="1">
      <alignment horizontal="center" vertical="center"/>
      <protection locked="0"/>
    </xf>
    <xf numFmtId="38" fontId="13" fillId="0" borderId="21" xfId="1" applyNumberFormat="1" applyFont="1" applyFill="1" applyBorder="1" applyAlignment="1" applyProtection="1">
      <alignment horizontal="center" vertical="center"/>
    </xf>
    <xf numFmtId="0" fontId="35" fillId="5" borderId="21" xfId="28" applyFont="1" applyFill="1" applyBorder="1" applyAlignment="1" applyProtection="1">
      <alignment horizontal="center" vertical="center"/>
      <protection locked="0"/>
    </xf>
    <xf numFmtId="0" fontId="13" fillId="5" borderId="21" xfId="28" applyFont="1" applyFill="1" applyBorder="1" applyAlignment="1" applyProtection="1">
      <alignment horizontal="center" vertical="center"/>
      <protection locked="0"/>
    </xf>
    <xf numFmtId="3" fontId="13" fillId="11" borderId="17" xfId="1" applyNumberFormat="1" applyFont="1" applyFill="1" applyBorder="1" applyAlignment="1" applyProtection="1">
      <alignment horizontal="center" vertical="center"/>
      <protection locked="0"/>
    </xf>
    <xf numFmtId="0" fontId="35" fillId="5" borderId="17" xfId="28" applyFont="1" applyFill="1" applyBorder="1" applyAlignment="1" applyProtection="1">
      <alignment horizontal="center" vertical="center"/>
      <protection locked="0"/>
    </xf>
    <xf numFmtId="0" fontId="13" fillId="5" borderId="17" xfId="28" applyFont="1" applyFill="1" applyBorder="1" applyAlignment="1" applyProtection="1">
      <alignment horizontal="center" vertical="center"/>
      <protection locked="0"/>
    </xf>
    <xf numFmtId="3" fontId="13" fillId="13" borderId="44" xfId="28" applyNumberFormat="1" applyFont="1" applyFill="1" applyBorder="1" applyAlignment="1" applyProtection="1">
      <alignment horizontal="center" vertical="center"/>
    </xf>
    <xf numFmtId="10" fontId="13" fillId="13" borderId="45" xfId="28" applyNumberFormat="1" applyFont="1" applyFill="1" applyBorder="1" applyAlignment="1" applyProtection="1">
      <alignment horizontal="center" vertical="center"/>
    </xf>
    <xf numFmtId="3" fontId="13" fillId="13" borderId="45" xfId="28" applyNumberFormat="1" applyFont="1" applyFill="1" applyBorder="1" applyAlignment="1" applyProtection="1">
      <alignment horizontal="center" vertical="center"/>
      <protection locked="0"/>
    </xf>
    <xf numFmtId="10" fontId="13" fillId="13" borderId="23" xfId="28" applyNumberFormat="1" applyFont="1" applyFill="1" applyBorder="1" applyAlignment="1" applyProtection="1">
      <alignment horizontal="center" vertical="center"/>
      <protection locked="0"/>
    </xf>
    <xf numFmtId="0" fontId="8" fillId="0" borderId="0" xfId="28" applyFont="1" applyFill="1" applyBorder="1" applyAlignment="1" applyProtection="1">
      <alignment horizontal="center" vertical="center"/>
    </xf>
    <xf numFmtId="0" fontId="10" fillId="0" borderId="0" xfId="28" applyFont="1" applyFill="1" applyAlignment="1" applyProtection="1">
      <alignment horizontal="right" vertical="center"/>
    </xf>
    <xf numFmtId="37" fontId="13" fillId="0" borderId="11" xfId="1" applyNumberFormat="1" applyFont="1" applyFill="1" applyBorder="1" applyAlignment="1" applyProtection="1">
      <alignment horizontal="center" vertical="center"/>
    </xf>
    <xf numFmtId="37" fontId="4" fillId="0" borderId="13" xfId="1" applyNumberFormat="1" applyFont="1" applyFill="1" applyBorder="1" applyAlignment="1" applyProtection="1">
      <alignment horizontal="center" vertical="center"/>
    </xf>
    <xf numFmtId="0" fontId="165" fillId="0" borderId="27" xfId="28" applyFont="1" applyFill="1" applyBorder="1" applyAlignment="1">
      <alignment horizontal="center" vertical="center"/>
    </xf>
    <xf numFmtId="164" fontId="165" fillId="0" borderId="28" xfId="1" applyNumberFormat="1" applyFont="1" applyFill="1" applyBorder="1" applyAlignment="1" applyProtection="1">
      <alignment horizontal="center" vertical="center"/>
    </xf>
    <xf numFmtId="0" fontId="13" fillId="0" borderId="0" xfId="28" applyFont="1" applyFill="1" applyAlignment="1" applyProtection="1">
      <alignment horizontal="right" vertical="center"/>
    </xf>
    <xf numFmtId="164" fontId="13" fillId="0" borderId="77" xfId="1" applyNumberFormat="1" applyFont="1" applyFill="1" applyBorder="1" applyAlignment="1" applyProtection="1">
      <alignment horizontal="center" vertical="center"/>
    </xf>
    <xf numFmtId="0" fontId="3" fillId="0" borderId="0" xfId="28" applyFont="1" applyAlignment="1" applyProtection="1">
      <alignment vertical="center"/>
    </xf>
    <xf numFmtId="0" fontId="3" fillId="0" borderId="0" xfId="28" applyFont="1" applyFill="1" applyBorder="1" applyAlignment="1" applyProtection="1">
      <alignment vertical="center"/>
    </xf>
    <xf numFmtId="0" fontId="10" fillId="0" borderId="0" xfId="28" applyFont="1" applyFill="1" applyBorder="1" applyAlignment="1" applyProtection="1">
      <alignment horizontal="center" vertical="center"/>
    </xf>
    <xf numFmtId="3" fontId="8" fillId="0" borderId="0" xfId="28" applyNumberFormat="1" applyFont="1" applyFill="1" applyBorder="1" applyAlignment="1" applyProtection="1">
      <alignment horizontal="center"/>
    </xf>
    <xf numFmtId="3" fontId="75" fillId="0" borderId="0" xfId="28" applyNumberFormat="1" applyFont="1" applyFill="1" applyAlignment="1" applyProtection="1">
      <alignment horizontal="center"/>
    </xf>
    <xf numFmtId="37" fontId="13" fillId="0" borderId="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0" fontId="165" fillId="0" borderId="32" xfId="28" applyFont="1" applyFill="1" applyBorder="1" applyAlignment="1">
      <alignment horizontal="center" vertical="center"/>
    </xf>
    <xf numFmtId="164" fontId="165" fillId="0" borderId="33" xfId="1" applyNumberFormat="1" applyFont="1" applyFill="1" applyBorder="1" applyAlignment="1" applyProtection="1">
      <alignment horizontal="center" vertical="center"/>
    </xf>
    <xf numFmtId="3" fontId="8" fillId="0" borderId="0" xfId="28" applyNumberFormat="1" applyFont="1" applyFill="1" applyAlignment="1" applyProtection="1">
      <alignment horizontal="center"/>
    </xf>
    <xf numFmtId="0" fontId="68" fillId="0" borderId="0" xfId="28" applyFont="1" applyFill="1" applyAlignment="1" applyProtection="1">
      <alignment vertical="center"/>
    </xf>
    <xf numFmtId="0" fontId="8" fillId="0" borderId="0" xfId="28" applyFont="1" applyFill="1" applyAlignment="1" applyProtection="1">
      <alignment horizontal="right" vertical="center"/>
    </xf>
    <xf numFmtId="3" fontId="26" fillId="0" borderId="0" xfId="28" applyNumberFormat="1" applyFont="1" applyFill="1" applyAlignment="1" applyProtection="1">
      <alignment horizontal="center"/>
    </xf>
    <xf numFmtId="0" fontId="36" fillId="0" borderId="0" xfId="28" applyFont="1" applyAlignment="1">
      <alignment horizontal="left" vertical="center" wrapText="1"/>
    </xf>
    <xf numFmtId="0" fontId="84" fillId="0" borderId="0" xfId="28" applyFont="1" applyFill="1" applyBorder="1" applyProtection="1"/>
    <xf numFmtId="0" fontId="75" fillId="0" borderId="0" xfId="28" applyFont="1" applyFill="1" applyProtection="1"/>
    <xf numFmtId="0" fontId="26" fillId="0" borderId="0" xfId="28" applyFont="1" applyFill="1" applyProtection="1"/>
    <xf numFmtId="0" fontId="26" fillId="0" borderId="0" xfId="28" applyFont="1" applyFill="1" applyBorder="1" applyProtection="1"/>
    <xf numFmtId="0" fontId="26" fillId="0" borderId="0" xfId="28" applyNumberFormat="1" applyFont="1" applyAlignment="1" applyProtection="1">
      <alignment horizontal="center" vertical="center" wrapText="1"/>
    </xf>
    <xf numFmtId="0" fontId="22" fillId="0" borderId="0" xfId="28" applyFont="1" applyFill="1" applyAlignment="1" applyProtection="1">
      <alignment horizontal="right"/>
    </xf>
    <xf numFmtId="0" fontId="89" fillId="0" borderId="0" xfId="28" applyFont="1" applyFill="1" applyBorder="1" applyAlignment="1" applyProtection="1">
      <alignment horizontal="right"/>
    </xf>
    <xf numFmtId="0" fontId="4" fillId="0" borderId="0" xfId="28" applyFont="1" applyFill="1" applyAlignment="1" applyProtection="1">
      <alignment vertical="center"/>
    </xf>
    <xf numFmtId="38" fontId="3" fillId="0" borderId="97"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75" xfId="1" applyNumberFormat="1" applyFont="1" applyFill="1" applyBorder="1" applyAlignment="1" applyProtection="1">
      <alignment horizontal="right" vertical="center"/>
    </xf>
    <xf numFmtId="0" fontId="4" fillId="0" borderId="0" xfId="28" applyFont="1" applyFill="1" applyBorder="1" applyAlignment="1" applyProtection="1">
      <alignment horizontal="left" vertical="center" wrapText="1"/>
    </xf>
    <xf numFmtId="0" fontId="84" fillId="0" borderId="0" xfId="28" applyFont="1" applyFill="1" applyBorder="1" applyAlignment="1" applyProtection="1">
      <alignment vertical="center"/>
    </xf>
    <xf numFmtId="0" fontId="85" fillId="0" borderId="0" xfId="28" applyFont="1" applyFill="1" applyBorder="1" applyAlignment="1" applyProtection="1">
      <alignment vertical="center"/>
    </xf>
    <xf numFmtId="38" fontId="3" fillId="0" borderId="100"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4" fillId="0" borderId="0" xfId="28" applyFont="1" applyFill="1" applyBorder="1" applyAlignment="1" applyProtection="1">
      <alignment vertical="center"/>
    </xf>
    <xf numFmtId="0" fontId="24" fillId="0" borderId="8" xfId="28" applyFont="1" applyFill="1" applyBorder="1" applyProtection="1"/>
    <xf numFmtId="38" fontId="3" fillId="0" borderId="88" xfId="1" applyNumberFormat="1" applyFont="1" applyFill="1" applyBorder="1" applyAlignment="1" applyProtection="1">
      <alignment horizontal="right" vertical="center"/>
    </xf>
    <xf numFmtId="38" fontId="3" fillId="0" borderId="80"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0" fontId="75" fillId="0" borderId="0" xfId="28" applyFont="1" applyFill="1" applyBorder="1" applyAlignment="1" applyProtection="1">
      <alignment vertical="center"/>
    </xf>
    <xf numFmtId="0" fontId="13" fillId="0" borderId="0" xfId="28" applyFont="1" applyFill="1" applyAlignment="1" applyProtection="1">
      <alignment vertical="center"/>
    </xf>
    <xf numFmtId="0" fontId="4" fillId="0" borderId="0" xfId="28" applyFont="1" applyFill="1" applyProtection="1"/>
    <xf numFmtId="38" fontId="3" fillId="0" borderId="73" xfId="1" applyNumberFormat="1" applyFont="1" applyFill="1" applyBorder="1" applyAlignment="1" applyProtection="1">
      <alignment horizontal="right" vertical="center"/>
    </xf>
    <xf numFmtId="38" fontId="3" fillId="0" borderId="11" xfId="1" applyNumberFormat="1" applyFont="1" applyFill="1" applyBorder="1" applyAlignment="1" applyProtection="1">
      <alignment horizontal="right" vertical="center"/>
    </xf>
    <xf numFmtId="0" fontId="85" fillId="0" borderId="0" xfId="28" applyFont="1" applyFill="1" applyBorder="1" applyProtection="1"/>
    <xf numFmtId="0" fontId="20" fillId="0" borderId="0" xfId="28" applyFont="1" applyFill="1" applyAlignment="1" applyProtection="1">
      <alignment vertical="center"/>
    </xf>
    <xf numFmtId="0" fontId="168" fillId="0" borderId="0" xfId="28" applyFont="1" applyFill="1" applyProtection="1"/>
    <xf numFmtId="0" fontId="16" fillId="0" borderId="0" xfId="28" applyFont="1" applyFill="1" applyAlignment="1" applyProtection="1">
      <alignment vertical="center"/>
    </xf>
    <xf numFmtId="38" fontId="20" fillId="0" borderId="73" xfId="1" applyNumberFormat="1" applyFont="1" applyFill="1" applyBorder="1" applyAlignment="1" applyProtection="1">
      <alignment horizontal="right" vertical="center"/>
    </xf>
    <xf numFmtId="38" fontId="8" fillId="0" borderId="76" xfId="1" applyNumberFormat="1" applyFont="1" applyFill="1" applyBorder="1" applyAlignment="1" applyProtection="1">
      <alignment horizontal="right" vertical="center"/>
    </xf>
    <xf numFmtId="0" fontId="90" fillId="0" borderId="0" xfId="28" applyFont="1" applyFill="1" applyBorder="1" applyAlignment="1" applyProtection="1">
      <alignment vertical="top" wrapText="1"/>
    </xf>
    <xf numFmtId="38" fontId="3" fillId="0" borderId="0" xfId="28" applyNumberFormat="1" applyFont="1" applyFill="1" applyAlignment="1" applyProtection="1">
      <alignment horizontal="right" vertical="center"/>
    </xf>
    <xf numFmtId="0" fontId="24" fillId="0" borderId="0" xfId="28" applyFont="1" applyFill="1" applyBorder="1" applyProtection="1"/>
    <xf numFmtId="0" fontId="30" fillId="0" borderId="0" xfId="28" applyFont="1" applyAlignment="1" applyProtection="1">
      <alignment horizontal="center"/>
    </xf>
    <xf numFmtId="0" fontId="13" fillId="0" borderId="0" xfId="28" applyFont="1" applyFill="1" applyBorder="1" applyAlignment="1" applyProtection="1">
      <alignment vertical="center"/>
    </xf>
    <xf numFmtId="0" fontId="31" fillId="0" borderId="0" xfId="28" applyFont="1" applyFill="1" applyAlignment="1" applyProtection="1">
      <alignment vertical="top" wrapText="1"/>
    </xf>
    <xf numFmtId="0" fontId="39" fillId="0" borderId="0" xfId="28" applyFont="1" applyFill="1" applyProtection="1"/>
    <xf numFmtId="38" fontId="3" fillId="0" borderId="97" xfId="28" applyNumberFormat="1" applyFont="1" applyFill="1" applyBorder="1" applyProtection="1"/>
    <xf numFmtId="38" fontId="3" fillId="0" borderId="98" xfId="28" applyNumberFormat="1" applyFont="1" applyFill="1" applyBorder="1" applyProtection="1"/>
    <xf numFmtId="38" fontId="3" fillId="0" borderId="99" xfId="28" applyNumberFormat="1" applyFont="1" applyFill="1" applyBorder="1" applyProtection="1"/>
    <xf numFmtId="0" fontId="31" fillId="0" borderId="0" xfId="28" applyFont="1" applyFill="1" applyAlignment="1" applyProtection="1">
      <alignment vertical="center" wrapText="1"/>
    </xf>
    <xf numFmtId="38" fontId="3" fillId="0" borderId="101" xfId="28" applyNumberFormat="1" applyFont="1" applyFill="1" applyBorder="1" applyProtection="1"/>
    <xf numFmtId="38" fontId="3" fillId="0" borderId="102" xfId="28" applyNumberFormat="1" applyFont="1" applyFill="1" applyBorder="1" applyProtection="1"/>
    <xf numFmtId="38" fontId="3" fillId="0" borderId="92" xfId="28" applyNumberFormat="1" applyFont="1" applyFill="1" applyBorder="1" applyProtection="1"/>
    <xf numFmtId="0" fontId="14" fillId="0" borderId="0" xfId="28" applyFont="1" applyFill="1" applyAlignment="1" applyProtection="1">
      <alignment vertical="center"/>
    </xf>
    <xf numFmtId="0" fontId="3" fillId="0" borderId="0" xfId="28" applyFont="1" applyFill="1" applyAlignment="1" applyProtection="1">
      <alignment vertical="top"/>
    </xf>
    <xf numFmtId="0" fontId="85" fillId="0" borderId="0" xfId="28" applyFont="1" applyFill="1" applyAlignment="1" applyProtection="1">
      <alignment vertical="center"/>
    </xf>
    <xf numFmtId="0" fontId="3" fillId="0" borderId="0" xfId="28" applyFont="1" applyFill="1" applyAlignment="1" applyProtection="1">
      <alignment vertical="center" wrapText="1"/>
    </xf>
    <xf numFmtId="38" fontId="8" fillId="0" borderId="73" xfId="1" applyNumberFormat="1" applyFont="1" applyFill="1" applyBorder="1" applyAlignment="1" applyProtection="1">
      <alignment horizontal="right" vertical="center"/>
    </xf>
    <xf numFmtId="0" fontId="13" fillId="0" borderId="0" xfId="28" applyFont="1" applyFill="1" applyAlignment="1" applyProtection="1">
      <alignment vertical="top" wrapText="1"/>
    </xf>
    <xf numFmtId="0" fontId="36" fillId="0" borderId="0" xfId="28" applyFont="1" applyFill="1" applyAlignment="1" applyProtection="1">
      <alignment vertical="center"/>
    </xf>
    <xf numFmtId="38" fontId="3" fillId="5" borderId="15" xfId="1" applyNumberFormat="1" applyFont="1" applyFill="1" applyBorder="1" applyAlignment="1" applyProtection="1">
      <alignment horizontal="right" vertical="center"/>
      <protection locked="0"/>
    </xf>
    <xf numFmtId="0" fontId="97" fillId="0" borderId="0" xfId="28" applyFont="1" applyFill="1" applyAlignment="1" applyProtection="1">
      <alignment vertical="center"/>
    </xf>
    <xf numFmtId="38" fontId="3" fillId="5" borderId="17" xfId="1" applyNumberFormat="1" applyFont="1" applyFill="1" applyBorder="1" applyAlignment="1" applyProtection="1">
      <alignment horizontal="right" vertical="center"/>
      <protection locked="0"/>
    </xf>
    <xf numFmtId="0" fontId="96" fillId="0" borderId="0" xfId="28" applyFont="1" applyFill="1" applyAlignment="1" applyProtection="1">
      <alignment horizontal="left"/>
    </xf>
    <xf numFmtId="38" fontId="3" fillId="0" borderId="95"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04"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0" fontId="39" fillId="0" borderId="0" xfId="28" applyFont="1" applyFill="1" applyAlignment="1" applyProtection="1"/>
    <xf numFmtId="0" fontId="13" fillId="0" borderId="18" xfId="28" applyFont="1" applyFill="1" applyBorder="1" applyAlignment="1" applyProtection="1">
      <alignment vertical="center"/>
    </xf>
    <xf numFmtId="0" fontId="3" fillId="0" borderId="18" xfId="28" applyFont="1" applyFill="1" applyBorder="1" applyAlignment="1" applyProtection="1">
      <alignment vertical="center"/>
    </xf>
    <xf numFmtId="0" fontId="36" fillId="0" borderId="18" xfId="28" applyFont="1" applyFill="1" applyBorder="1" applyAlignment="1" applyProtection="1">
      <alignment vertical="center"/>
    </xf>
    <xf numFmtId="0" fontId="24" fillId="0" borderId="18" xfId="28" applyFont="1" applyFill="1" applyBorder="1" applyProtection="1"/>
    <xf numFmtId="0" fontId="24" fillId="0" borderId="31" xfId="28" applyFont="1" applyFill="1" applyBorder="1" applyProtection="1"/>
    <xf numFmtId="38" fontId="8" fillId="0" borderId="95" xfId="1" applyNumberFormat="1" applyFont="1" applyFill="1" applyBorder="1" applyAlignment="1" applyProtection="1">
      <alignment horizontal="right" vertical="center"/>
    </xf>
    <xf numFmtId="38" fontId="8" fillId="0" borderId="103" xfId="1" applyNumberFormat="1" applyFont="1" applyFill="1" applyBorder="1" applyAlignment="1" applyProtection="1">
      <alignment horizontal="right" vertical="center"/>
    </xf>
    <xf numFmtId="38" fontId="8" fillId="0" borderId="104" xfId="1" applyNumberFormat="1" applyFont="1" applyFill="1" applyBorder="1" applyAlignment="1" applyProtection="1">
      <alignment horizontal="right" vertical="center"/>
    </xf>
    <xf numFmtId="38" fontId="8" fillId="0" borderId="77" xfId="1" applyNumberFormat="1" applyFont="1" applyFill="1" applyBorder="1" applyAlignment="1" applyProtection="1">
      <alignment horizontal="right" vertical="center"/>
    </xf>
    <xf numFmtId="0" fontId="4" fillId="0" borderId="0" xfId="28" applyFont="1" applyFill="1" applyBorder="1" applyAlignment="1" applyProtection="1">
      <alignment horizontal="left" vertical="center"/>
    </xf>
    <xf numFmtId="0" fontId="16" fillId="0" borderId="0" xfId="28" applyFont="1" applyFill="1" applyBorder="1" applyAlignment="1" applyProtection="1">
      <alignment horizontal="left" vertical="center"/>
    </xf>
    <xf numFmtId="38" fontId="3" fillId="0" borderId="89" xfId="1" applyNumberFormat="1" applyFont="1" applyFill="1" applyBorder="1" applyAlignment="1" applyProtection="1">
      <alignment horizontal="right" vertical="center"/>
    </xf>
    <xf numFmtId="0" fontId="4" fillId="0" borderId="0" xfId="28" applyFont="1" applyFill="1" applyAlignment="1" applyProtection="1">
      <alignment horizontal="left" vertical="center"/>
    </xf>
    <xf numFmtId="0" fontId="16" fillId="0" borderId="0" xfId="28" applyFont="1" applyFill="1" applyAlignment="1" applyProtection="1">
      <alignment horizontal="left" vertical="center"/>
    </xf>
    <xf numFmtId="38" fontId="3" fillId="0" borderId="105"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106" xfId="1" applyNumberFormat="1" applyFont="1" applyFill="1" applyBorder="1" applyAlignment="1" applyProtection="1">
      <alignment horizontal="right" vertical="center"/>
    </xf>
    <xf numFmtId="0" fontId="3" fillId="0" borderId="0" xfId="28" applyFont="1" applyFill="1" applyAlignment="1" applyProtection="1">
      <alignment horizontal="left"/>
    </xf>
    <xf numFmtId="38" fontId="3" fillId="0" borderId="0" xfId="28" applyNumberFormat="1" applyFont="1" applyFill="1" applyProtection="1"/>
    <xf numFmtId="0" fontId="39" fillId="0" borderId="0" xfId="28" applyFont="1" applyFill="1" applyAlignment="1" applyProtection="1">
      <alignment vertical="center"/>
    </xf>
    <xf numFmtId="0" fontId="26" fillId="0" borderId="0" xfId="28" applyNumberFormat="1" applyFont="1" applyBorder="1" applyAlignment="1" applyProtection="1">
      <alignment horizontal="center" vertical="center" wrapText="1"/>
    </xf>
    <xf numFmtId="0" fontId="4" fillId="0" borderId="18" xfId="28" applyFont="1" applyFill="1" applyBorder="1" applyAlignment="1" applyProtection="1">
      <alignment horizontal="left" vertical="center"/>
    </xf>
    <xf numFmtId="0" fontId="36" fillId="0" borderId="0" xfId="28" applyFont="1" applyFill="1" applyProtection="1"/>
    <xf numFmtId="38" fontId="3" fillId="0" borderId="0" xfId="28" applyNumberFormat="1" applyFont="1" applyFill="1" applyAlignment="1" applyProtection="1">
      <alignment vertical="center"/>
    </xf>
    <xf numFmtId="38" fontId="3" fillId="0" borderId="75" xfId="1" applyNumberFormat="1" applyFont="1" applyFill="1" applyBorder="1" applyAlignment="1" applyProtection="1">
      <alignment vertical="center"/>
    </xf>
    <xf numFmtId="3" fontId="3" fillId="0" borderId="46" xfId="28" applyNumberFormat="1" applyFont="1" applyFill="1" applyBorder="1" applyAlignment="1" applyProtection="1">
      <alignment horizontal="center" vertical="center"/>
    </xf>
    <xf numFmtId="38" fontId="3" fillId="0" borderId="100" xfId="1" applyNumberFormat="1" applyFont="1" applyFill="1" applyBorder="1" applyAlignment="1" applyProtection="1">
      <alignment vertical="center"/>
    </xf>
    <xf numFmtId="38" fontId="3" fillId="0" borderId="78"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10" xfId="1" applyNumberFormat="1" applyFont="1" applyFill="1" applyBorder="1" applyAlignment="1" applyProtection="1">
      <alignment vertical="center"/>
    </xf>
    <xf numFmtId="38" fontId="3" fillId="0" borderId="88" xfId="1" applyNumberFormat="1" applyFont="1" applyFill="1" applyBorder="1" applyAlignment="1" applyProtection="1">
      <alignment vertical="center"/>
    </xf>
    <xf numFmtId="38" fontId="3" fillId="0" borderId="80" xfId="1" applyNumberFormat="1" applyFont="1" applyFill="1" applyBorder="1" applyAlignment="1" applyProtection="1">
      <alignment vertical="center"/>
    </xf>
    <xf numFmtId="38" fontId="3" fillId="0" borderId="87" xfId="1" applyNumberFormat="1" applyFont="1" applyFill="1" applyBorder="1" applyAlignment="1" applyProtection="1">
      <alignment vertical="center"/>
    </xf>
    <xf numFmtId="38" fontId="3" fillId="0" borderId="2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73" xfId="1" applyNumberFormat="1" applyFont="1" applyFill="1" applyBorder="1" applyAlignment="1" applyProtection="1">
      <alignment vertical="center"/>
    </xf>
    <xf numFmtId="38" fontId="3" fillId="0" borderId="95" xfId="1" applyNumberFormat="1" applyFont="1" applyFill="1" applyBorder="1" applyAlignment="1" applyProtection="1">
      <alignment vertical="center"/>
    </xf>
    <xf numFmtId="38" fontId="3" fillId="0" borderId="103" xfId="1" applyNumberFormat="1" applyFont="1" applyFill="1" applyBorder="1" applyAlignment="1" applyProtection="1">
      <alignment vertical="center"/>
    </xf>
    <xf numFmtId="38" fontId="3" fillId="0" borderId="104" xfId="1" applyNumberFormat="1" applyFont="1" applyFill="1" applyBorder="1" applyAlignment="1" applyProtection="1">
      <alignment vertical="center"/>
    </xf>
    <xf numFmtId="3" fontId="3" fillId="0" borderId="0" xfId="28" applyNumberFormat="1" applyFont="1" applyFill="1" applyAlignment="1" applyProtection="1">
      <alignment horizontal="center" vertical="center"/>
    </xf>
    <xf numFmtId="38" fontId="8" fillId="0" borderId="76" xfId="1" applyNumberFormat="1" applyFont="1" applyFill="1" applyBorder="1" applyAlignment="1" applyProtection="1">
      <alignment vertical="center"/>
    </xf>
    <xf numFmtId="3" fontId="3" fillId="0" borderId="37" xfId="28" applyNumberFormat="1" applyFont="1" applyFill="1" applyBorder="1" applyAlignment="1" applyProtection="1">
      <alignment vertical="center"/>
    </xf>
    <xf numFmtId="3" fontId="3" fillId="0" borderId="0" xfId="28" applyNumberFormat="1" applyFont="1" applyFill="1" applyAlignment="1" applyProtection="1">
      <alignment vertical="center"/>
    </xf>
    <xf numFmtId="0" fontId="8" fillId="0" borderId="0" xfId="28" quotePrefix="1" applyFont="1" applyFill="1" applyAlignment="1" applyProtection="1">
      <alignment horizontal="center" vertical="center"/>
    </xf>
    <xf numFmtId="0" fontId="24" fillId="0" borderId="0" xfId="28" applyFont="1" applyAlignment="1" applyProtection="1">
      <alignment vertical="center"/>
    </xf>
    <xf numFmtId="0" fontId="10" fillId="0" borderId="0" xfId="28" applyFont="1" applyFill="1" applyProtection="1"/>
    <xf numFmtId="10" fontId="13" fillId="0" borderId="77" xfId="28" applyNumberFormat="1" applyFont="1" applyFill="1" applyBorder="1" applyProtection="1"/>
    <xf numFmtId="0" fontId="33" fillId="0" borderId="0" xfId="28" applyFont="1" applyBorder="1" applyAlignment="1" applyProtection="1">
      <alignment vertical="center"/>
    </xf>
    <xf numFmtId="0" fontId="13" fillId="0" borderId="0" xfId="28" applyFont="1" applyBorder="1" applyAlignment="1" applyProtection="1"/>
    <xf numFmtId="0" fontId="13" fillId="0" borderId="0" xfId="28" applyFont="1" applyFill="1" applyAlignment="1" applyProtection="1">
      <alignment horizontal="left" indent="2"/>
    </xf>
    <xf numFmtId="9" fontId="13" fillId="0" borderId="0" xfId="10" applyFont="1" applyFill="1" applyBorder="1" applyProtection="1"/>
    <xf numFmtId="0" fontId="169" fillId="0" borderId="0" xfId="28"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5" xfId="28" applyNumberFormat="1" applyFont="1" applyFill="1" applyBorder="1" applyAlignment="1" applyProtection="1">
      <alignment vertical="center"/>
      <protection locked="0"/>
    </xf>
    <xf numFmtId="3" fontId="3" fillId="0" borderId="0" xfId="28" applyNumberFormat="1" applyFont="1" applyFill="1" applyBorder="1" applyAlignment="1" applyProtection="1">
      <alignment vertical="center"/>
      <protection locked="0"/>
    </xf>
    <xf numFmtId="3" fontId="13" fillId="5" borderId="17" xfId="28" applyNumberFormat="1" applyFont="1" applyFill="1" applyBorder="1" applyAlignment="1" applyProtection="1">
      <alignment vertical="center"/>
      <protection locked="0"/>
    </xf>
    <xf numFmtId="3" fontId="13" fillId="5" borderId="17" xfId="10" applyNumberFormat="1" applyFont="1" applyFill="1" applyBorder="1" applyAlignment="1" applyProtection="1">
      <alignment vertical="center"/>
      <protection locked="0"/>
    </xf>
    <xf numFmtId="164" fontId="13" fillId="0" borderId="77" xfId="1" applyNumberFormat="1" applyFont="1" applyFill="1" applyBorder="1" applyAlignment="1" applyProtection="1">
      <alignment vertical="center"/>
    </xf>
    <xf numFmtId="0" fontId="64" fillId="0" borderId="0" xfId="28" applyFont="1" applyFill="1" applyProtection="1"/>
    <xf numFmtId="44" fontId="13" fillId="0" borderId="0" xfId="28" applyNumberFormat="1" applyFont="1" applyFill="1" applyProtection="1"/>
    <xf numFmtId="3" fontId="13" fillId="5" borderId="15" xfId="10" applyNumberFormat="1" applyFont="1" applyFill="1" applyBorder="1" applyAlignment="1" applyProtection="1">
      <alignment vertical="center"/>
      <protection locked="0"/>
    </xf>
    <xf numFmtId="44" fontId="3" fillId="0" borderId="0" xfId="28" applyNumberFormat="1" applyFont="1" applyFill="1" applyProtection="1"/>
    <xf numFmtId="0" fontId="14" fillId="0" borderId="0" xfId="28" applyFont="1" applyFill="1" applyAlignment="1" applyProtection="1"/>
    <xf numFmtId="3" fontId="3" fillId="5" borderId="15" xfId="28" applyNumberFormat="1" applyFont="1" applyFill="1" applyBorder="1" applyAlignment="1" applyProtection="1">
      <alignment vertical="center"/>
      <protection locked="0"/>
    </xf>
    <xf numFmtId="3" fontId="3" fillId="5" borderId="16" xfId="28" applyNumberFormat="1" applyFont="1" applyFill="1" applyBorder="1" applyAlignment="1" applyProtection="1">
      <alignment vertical="center"/>
      <protection locked="0"/>
    </xf>
    <xf numFmtId="0" fontId="18" fillId="0" borderId="0" xfId="28" applyFont="1" applyFill="1" applyBorder="1" applyAlignment="1" applyProtection="1">
      <alignment horizontal="right" vertical="center"/>
    </xf>
    <xf numFmtId="3" fontId="3" fillId="5" borderId="109" xfId="28" applyNumberFormat="1" applyFont="1" applyFill="1" applyBorder="1" applyAlignment="1" applyProtection="1">
      <alignment vertical="center"/>
      <protection locked="0"/>
    </xf>
    <xf numFmtId="0" fontId="18" fillId="0" borderId="0" xfId="28" applyFont="1" applyFill="1" applyAlignment="1" applyProtection="1">
      <alignment horizontal="right" vertical="center"/>
    </xf>
    <xf numFmtId="3" fontId="3" fillId="0" borderId="11" xfId="28" applyNumberFormat="1" applyFont="1" applyFill="1" applyBorder="1" applyAlignment="1" applyProtection="1">
      <alignment vertical="center"/>
    </xf>
    <xf numFmtId="3" fontId="3" fillId="0" borderId="0" xfId="28"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8" fontId="3" fillId="0" borderId="0" xfId="28" applyNumberFormat="1" applyFont="1" applyFill="1" applyAlignment="1" applyProtection="1">
      <alignment horizontal="center" vertical="center"/>
    </xf>
    <xf numFmtId="3" fontId="3" fillId="0" borderId="14" xfId="1" applyNumberFormat="1" applyFont="1" applyFill="1" applyBorder="1" applyAlignment="1" applyProtection="1">
      <alignment vertical="center"/>
    </xf>
    <xf numFmtId="3" fontId="3" fillId="0" borderId="0" xfId="1" applyNumberFormat="1" applyFont="1" applyFill="1" applyBorder="1" applyAlignment="1" applyProtection="1">
      <alignment vertical="center"/>
    </xf>
    <xf numFmtId="0" fontId="16" fillId="0" borderId="0" xfId="28" applyFont="1" applyFill="1" applyBorder="1" applyAlignment="1" applyProtection="1">
      <alignment vertical="center"/>
    </xf>
    <xf numFmtId="0" fontId="4" fillId="0" borderId="0" xfId="28" applyFont="1" applyAlignment="1" applyProtection="1">
      <alignment vertical="center" wrapText="1"/>
    </xf>
    <xf numFmtId="0" fontId="4" fillId="0" borderId="0" xfId="28" applyFont="1" applyFill="1" applyAlignment="1" applyProtection="1">
      <alignment horizontal="left" vertical="center" wrapText="1"/>
    </xf>
    <xf numFmtId="3" fontId="3" fillId="0" borderId="14" xfId="28" applyNumberFormat="1" applyFont="1" applyFill="1" applyBorder="1" applyAlignment="1" applyProtection="1">
      <alignment vertical="center"/>
    </xf>
    <xf numFmtId="0" fontId="171" fillId="0" borderId="0" xfId="28" applyFont="1" applyFill="1" applyAlignment="1" applyProtection="1">
      <alignment vertical="center"/>
    </xf>
    <xf numFmtId="3" fontId="136" fillId="0" borderId="0" xfId="28" applyNumberFormat="1" applyFont="1" applyFill="1" applyAlignment="1" applyProtection="1">
      <alignment vertical="center"/>
    </xf>
    <xf numFmtId="0" fontId="39" fillId="0" borderId="0" xfId="28" applyFont="1" applyFill="1" applyAlignment="1" applyProtection="1">
      <alignment horizontal="center" vertical="center"/>
    </xf>
    <xf numFmtId="3" fontId="3" fillId="11" borderId="14" xfId="1" applyNumberFormat="1" applyFont="1" applyFill="1" applyBorder="1" applyAlignment="1" applyProtection="1">
      <alignment horizontal="right" vertical="center"/>
      <protection locked="0"/>
    </xf>
    <xf numFmtId="3" fontId="39" fillId="0" borderId="0" xfId="28" applyNumberFormat="1" applyFont="1" applyFill="1" applyAlignment="1" applyProtection="1">
      <alignment horizontal="center" vertical="center"/>
    </xf>
    <xf numFmtId="0" fontId="4" fillId="0" borderId="42" xfId="28" applyFont="1" applyFill="1" applyBorder="1" applyAlignment="1" applyProtection="1">
      <alignment vertical="center"/>
    </xf>
    <xf numFmtId="3" fontId="13" fillId="0" borderId="14" xfId="1" applyNumberFormat="1" applyFont="1" applyFill="1" applyBorder="1" applyAlignment="1" applyProtection="1">
      <alignment horizontal="right" vertical="center"/>
    </xf>
    <xf numFmtId="3" fontId="3" fillId="0" borderId="0" xfId="1" applyNumberFormat="1" applyFont="1" applyFill="1" applyBorder="1" applyAlignment="1" applyProtection="1">
      <alignment horizontal="right" vertical="center"/>
      <protection locked="0"/>
    </xf>
    <xf numFmtId="0" fontId="146" fillId="0" borderId="39" xfId="28" applyFont="1" applyFill="1" applyBorder="1" applyAlignment="1" applyProtection="1"/>
    <xf numFmtId="0" fontId="146" fillId="0" borderId="0" xfId="28" applyFont="1" applyFill="1" applyBorder="1" applyAlignment="1" applyProtection="1">
      <alignment horizontal="center"/>
    </xf>
    <xf numFmtId="0" fontId="146" fillId="0" borderId="40" xfId="28" applyFont="1" applyFill="1" applyBorder="1" applyAlignment="1" applyProtection="1">
      <alignment horizontal="center"/>
    </xf>
    <xf numFmtId="0" fontId="76" fillId="0" borderId="39" xfId="28" applyFont="1" applyFill="1" applyBorder="1" applyAlignment="1" applyProtection="1"/>
    <xf numFmtId="0" fontId="24" fillId="0" borderId="0" xfId="28" applyFont="1" applyFill="1" applyBorder="1" applyAlignment="1" applyProtection="1">
      <alignment vertical="center"/>
    </xf>
    <xf numFmtId="0" fontId="24" fillId="0" borderId="40" xfId="28" applyFont="1" applyFill="1" applyBorder="1" applyAlignment="1" applyProtection="1">
      <alignment vertical="center"/>
    </xf>
    <xf numFmtId="0" fontId="36" fillId="0" borderId="39" xfId="28" applyFont="1" applyFill="1" applyBorder="1" applyAlignment="1" applyProtection="1">
      <alignment vertical="center"/>
    </xf>
    <xf numFmtId="3" fontId="4" fillId="0" borderId="0" xfId="28" applyNumberFormat="1" applyFont="1" applyFill="1" applyBorder="1" applyAlignment="1" applyProtection="1">
      <alignment horizontal="center" vertical="center"/>
    </xf>
    <xf numFmtId="3" fontId="4" fillId="0" borderId="40" xfId="28" applyNumberFormat="1" applyFont="1" applyFill="1" applyBorder="1" applyAlignment="1" applyProtection="1">
      <alignment horizontal="center" vertical="center"/>
    </xf>
    <xf numFmtId="0" fontId="76" fillId="0" borderId="39" xfId="28" applyFont="1" applyFill="1" applyBorder="1" applyAlignment="1" applyProtection="1">
      <alignment vertical="center"/>
    </xf>
    <xf numFmtId="0" fontId="13" fillId="0" borderId="68" xfId="28" applyFont="1" applyFill="1" applyBorder="1" applyAlignment="1" applyProtection="1">
      <alignment horizontal="right" vertical="center"/>
    </xf>
    <xf numFmtId="3" fontId="13" fillId="0" borderId="20" xfId="28" applyNumberFormat="1" applyFont="1" applyFill="1" applyBorder="1" applyAlignment="1" applyProtection="1">
      <alignment horizontal="center" vertical="center"/>
    </xf>
    <xf numFmtId="3" fontId="96" fillId="19" borderId="67" xfId="28" applyNumberFormat="1" applyFont="1" applyFill="1" applyBorder="1" applyAlignment="1" applyProtection="1">
      <alignment horizontal="center" vertical="center"/>
    </xf>
    <xf numFmtId="38" fontId="3" fillId="0" borderId="0" xfId="1" applyNumberFormat="1" applyFont="1" applyFill="1" applyBorder="1" applyAlignment="1" applyProtection="1">
      <alignment horizontal="left" vertical="center"/>
    </xf>
    <xf numFmtId="0" fontId="3" fillId="0" borderId="0" xfId="28" applyFont="1" applyFill="1" applyAlignment="1" applyProtection="1">
      <alignment horizontal="left" vertical="center"/>
    </xf>
    <xf numFmtId="3" fontId="3" fillId="5" borderId="77" xfId="28" applyNumberFormat="1" applyFont="1" applyFill="1" applyBorder="1" applyAlignment="1" applyProtection="1">
      <alignment horizontal="center" vertical="center"/>
      <protection locked="0"/>
    </xf>
    <xf numFmtId="3" fontId="3" fillId="11" borderId="14" xfId="28" applyNumberFormat="1" applyFont="1" applyFill="1" applyBorder="1" applyAlignment="1" applyProtection="1">
      <alignment horizontal="center" vertical="center"/>
      <protection locked="0"/>
    </xf>
    <xf numFmtId="3" fontId="3" fillId="10" borderId="14" xfId="28" applyNumberFormat="1" applyFont="1" applyFill="1" applyBorder="1" applyAlignment="1" applyProtection="1">
      <alignment horizontal="center" vertical="center"/>
      <protection locked="0"/>
    </xf>
    <xf numFmtId="0" fontId="39" fillId="0" borderId="0" xfId="0" applyFont="1" applyFill="1" applyBorder="1" applyAlignment="1" applyProtection="1">
      <alignment horizontal="left" vertical="center"/>
    </xf>
    <xf numFmtId="0" fontId="39" fillId="0" borderId="0" xfId="0" applyFont="1" applyFill="1" applyBorder="1" applyAlignment="1" applyProtection="1">
      <alignment horizontal="left"/>
    </xf>
    <xf numFmtId="0" fontId="39" fillId="0" borderId="0" xfId="0" applyFont="1" applyFill="1" applyBorder="1" applyAlignment="1" applyProtection="1">
      <alignment vertical="center"/>
    </xf>
    <xf numFmtId="0" fontId="39" fillId="0" borderId="0" xfId="0" applyFont="1" applyFill="1" applyBorder="1" applyAlignment="1" applyProtection="1">
      <alignment horizontal="center" vertical="center"/>
    </xf>
    <xf numFmtId="0" fontId="39" fillId="5" borderId="15" xfId="0" applyFont="1" applyFill="1" applyBorder="1" applyAlignment="1" applyProtection="1">
      <alignment horizontal="center" vertical="center"/>
      <protection locked="0"/>
    </xf>
    <xf numFmtId="0" fontId="39" fillId="5" borderId="16" xfId="0" applyFont="1" applyFill="1" applyBorder="1" applyAlignment="1" applyProtection="1">
      <alignment horizontal="center" vertical="center"/>
      <protection locked="0"/>
    </xf>
    <xf numFmtId="0" fontId="39" fillId="5" borderId="17" xfId="0" applyFont="1" applyFill="1" applyBorder="1" applyAlignment="1" applyProtection="1">
      <alignment horizontal="center" vertical="center"/>
      <protection locked="0"/>
    </xf>
    <xf numFmtId="0" fontId="3" fillId="0" borderId="0" xfId="0" applyFont="1" applyFill="1" applyBorder="1" applyProtection="1"/>
    <xf numFmtId="0" fontId="90" fillId="0" borderId="0" xfId="0" applyFont="1" applyFill="1" applyProtection="1"/>
    <xf numFmtId="0" fontId="8" fillId="6" borderId="77" xfId="0" applyFont="1" applyFill="1" applyBorder="1" applyAlignment="1" applyProtection="1">
      <alignment horizontal="center" vertical="center"/>
    </xf>
    <xf numFmtId="0" fontId="160" fillId="0" borderId="0" xfId="0" applyFont="1" applyFill="1" applyBorder="1" applyAlignment="1" applyProtection="1">
      <alignment horizontal="left" vertical="center"/>
    </xf>
    <xf numFmtId="10" fontId="3" fillId="0" borderId="0" xfId="0" applyNumberFormat="1" applyFont="1" applyFill="1" applyBorder="1" applyAlignment="1" applyProtection="1">
      <alignment horizontal="left"/>
    </xf>
    <xf numFmtId="164" fontId="3" fillId="5" borderId="77" xfId="1" applyNumberFormat="1" applyFont="1" applyFill="1" applyBorder="1" applyAlignment="1" applyProtection="1">
      <alignment horizontal="right"/>
      <protection locked="0"/>
    </xf>
    <xf numFmtId="0" fontId="3" fillId="0" borderId="0" xfId="0" applyFont="1" applyFill="1" applyAlignment="1" applyProtection="1">
      <alignment horizontal="left"/>
    </xf>
    <xf numFmtId="10" fontId="3" fillId="0" borderId="0" xfId="0" applyNumberFormat="1" applyFont="1" applyFill="1" applyAlignment="1" applyProtection="1">
      <alignment horizontal="center"/>
    </xf>
    <xf numFmtId="3" fontId="90" fillId="0" borderId="0" xfId="0" applyNumberFormat="1" applyFont="1" applyFill="1" applyBorder="1" applyAlignment="1" applyProtection="1">
      <alignment horizontal="right"/>
    </xf>
    <xf numFmtId="0" fontId="3" fillId="0" borderId="0" xfId="0" applyFont="1" applyBorder="1" applyAlignment="1" applyProtection="1">
      <alignment vertical="center"/>
    </xf>
    <xf numFmtId="0" fontId="3" fillId="0" borderId="0" xfId="0" applyFont="1" applyFill="1" applyAlignment="1" applyProtection="1">
      <alignment horizontal="right"/>
    </xf>
    <xf numFmtId="10" fontId="3" fillId="5" borderId="77" xfId="0" applyNumberFormat="1" applyFont="1" applyFill="1" applyBorder="1" applyAlignment="1" applyProtection="1">
      <alignment horizontal="left"/>
      <protection locked="0"/>
    </xf>
    <xf numFmtId="0" fontId="77" fillId="0" borderId="0" xfId="0" applyFont="1" applyFill="1" applyBorder="1" applyAlignment="1" applyProtection="1">
      <alignment horizontal="center" vertical="center"/>
    </xf>
    <xf numFmtId="0" fontId="3" fillId="5" borderId="15" xfId="0" applyNumberFormat="1" applyFont="1" applyFill="1" applyBorder="1" applyAlignment="1" applyProtection="1">
      <alignment horizontal="right" vertical="center"/>
      <protection locked="0"/>
    </xf>
    <xf numFmtId="0" fontId="3" fillId="0" borderId="0" xfId="0" quotePrefix="1" applyFont="1" applyAlignment="1" applyProtection="1">
      <alignment horizontal="left" vertical="center"/>
    </xf>
    <xf numFmtId="3" fontId="3" fillId="5" borderId="15" xfId="10" applyNumberFormat="1" applyFont="1" applyFill="1" applyBorder="1" applyAlignment="1" applyProtection="1">
      <alignment horizontal="right" vertical="center"/>
      <protection locked="0"/>
    </xf>
    <xf numFmtId="0" fontId="3" fillId="5" borderId="17" xfId="0" applyNumberFormat="1" applyFont="1" applyFill="1" applyBorder="1" applyAlignment="1" applyProtection="1">
      <alignment horizontal="right" vertical="center"/>
      <protection locked="0"/>
    </xf>
    <xf numFmtId="166" fontId="3" fillId="5" borderId="17" xfId="10" applyNumberFormat="1" applyFont="1" applyFill="1" applyBorder="1" applyAlignment="1" applyProtection="1">
      <alignment horizontal="right" vertical="center"/>
      <protection locked="0"/>
    </xf>
    <xf numFmtId="0" fontId="90" fillId="0" borderId="0" xfId="0" applyFont="1" applyFill="1" applyAlignment="1" applyProtection="1">
      <alignment horizontal="left" vertical="center"/>
    </xf>
    <xf numFmtId="0" fontId="3" fillId="0" borderId="71" xfId="0" applyFont="1" applyFill="1" applyBorder="1" applyProtection="1"/>
    <xf numFmtId="164" fontId="3" fillId="0" borderId="76" xfId="1" applyNumberFormat="1" applyFont="1" applyFill="1" applyBorder="1" applyProtection="1"/>
    <xf numFmtId="164" fontId="3" fillId="0" borderId="72" xfId="1" applyNumberFormat="1" applyFont="1" applyFill="1" applyBorder="1" applyProtection="1"/>
    <xf numFmtId="164" fontId="3" fillId="0" borderId="0" xfId="1" applyNumberFormat="1" applyFont="1" applyFill="1" applyBorder="1" applyProtection="1"/>
    <xf numFmtId="164" fontId="3" fillId="0" borderId="8" xfId="1" applyNumberFormat="1" applyFont="1" applyFill="1" applyBorder="1" applyProtection="1"/>
    <xf numFmtId="0" fontId="3" fillId="0" borderId="0" xfId="0" applyFont="1" applyFill="1" applyAlignment="1" applyProtection="1">
      <alignment horizontal="center"/>
    </xf>
    <xf numFmtId="3" fontId="3" fillId="0" borderId="0" xfId="0" applyNumberFormat="1" applyFont="1" applyFill="1" applyAlignment="1" applyProtection="1">
      <alignment horizontal="center"/>
    </xf>
    <xf numFmtId="164" fontId="3" fillId="6" borderId="77" xfId="1" applyNumberFormat="1" applyFont="1" applyFill="1" applyBorder="1" applyProtection="1">
      <protection locked="0"/>
    </xf>
    <xf numFmtId="164" fontId="3" fillId="0" borderId="13" xfId="1" applyNumberFormat="1" applyFont="1" applyFill="1" applyBorder="1" applyProtection="1"/>
    <xf numFmtId="164" fontId="3" fillId="11" borderId="15" xfId="1" applyNumberFormat="1" applyFont="1" applyFill="1" applyBorder="1" applyProtection="1">
      <protection locked="0"/>
    </xf>
    <xf numFmtId="164" fontId="3" fillId="6" borderId="16" xfId="1" applyNumberFormat="1" applyFont="1" applyFill="1" applyBorder="1" applyProtection="1">
      <protection locked="0"/>
    </xf>
    <xf numFmtId="164" fontId="3" fillId="5" borderId="16" xfId="1" applyNumberFormat="1" applyFont="1" applyFill="1" applyBorder="1" applyProtection="1">
      <protection locked="0"/>
    </xf>
    <xf numFmtId="164" fontId="3" fillId="6" borderId="89" xfId="1" applyNumberFormat="1" applyFont="1" applyFill="1" applyBorder="1" applyProtection="1">
      <protection locked="0"/>
    </xf>
    <xf numFmtId="164" fontId="3" fillId="6" borderId="17" xfId="1" applyNumberFormat="1" applyFont="1" applyFill="1" applyBorder="1" applyProtection="1">
      <protection locked="0"/>
    </xf>
    <xf numFmtId="43" fontId="3" fillId="0" borderId="0" xfId="1" applyNumberFormat="1" applyFont="1" applyFill="1" applyBorder="1" applyProtection="1"/>
    <xf numFmtId="43" fontId="3" fillId="0" borderId="8" xfId="1" applyNumberFormat="1" applyFont="1" applyFill="1" applyBorder="1" applyProtection="1"/>
    <xf numFmtId="39" fontId="3" fillId="0" borderId="0" xfId="1" applyNumberFormat="1" applyFont="1" applyFill="1" applyBorder="1" applyAlignment="1" applyProtection="1">
      <alignment horizontal="right"/>
    </xf>
    <xf numFmtId="39" fontId="3" fillId="0" borderId="13" xfId="1" applyNumberFormat="1" applyFont="1" applyFill="1" applyBorder="1" applyAlignment="1" applyProtection="1">
      <alignment horizontal="right"/>
    </xf>
    <xf numFmtId="164" fontId="3" fillId="6" borderId="15" xfId="1" applyNumberFormat="1" applyFont="1" applyFill="1" applyBorder="1" applyProtection="1">
      <protection locked="0"/>
    </xf>
    <xf numFmtId="164" fontId="3" fillId="0" borderId="0" xfId="1" applyNumberFormat="1" applyFont="1" applyFill="1" applyProtection="1"/>
    <xf numFmtId="39" fontId="3" fillId="0" borderId="8" xfId="1" applyNumberFormat="1" applyFont="1" applyFill="1" applyBorder="1" applyAlignment="1" applyProtection="1">
      <alignment horizontal="right"/>
    </xf>
    <xf numFmtId="0" fontId="3" fillId="0" borderId="9" xfId="0" applyFont="1" applyFill="1" applyBorder="1" applyProtection="1"/>
    <xf numFmtId="0" fontId="13" fillId="0" borderId="0" xfId="0" applyFont="1" applyAlignment="1" applyProtection="1"/>
    <xf numFmtId="9" fontId="36" fillId="0" borderId="77" xfId="10" applyFont="1" applyBorder="1" applyAlignment="1" applyProtection="1">
      <alignment horizontal="center" vertical="center"/>
    </xf>
    <xf numFmtId="0" fontId="77" fillId="0" borderId="0" xfId="0" applyFont="1" applyAlignment="1" applyProtection="1">
      <alignment horizontal="left" vertical="center"/>
    </xf>
    <xf numFmtId="0" fontId="36" fillId="22" borderId="0" xfId="0" applyFont="1" applyFill="1" applyAlignment="1" applyProtection="1">
      <alignment horizontal="left" vertical="center"/>
    </xf>
    <xf numFmtId="3" fontId="36" fillId="22" borderId="0" xfId="0" applyNumberFormat="1" applyFont="1" applyFill="1" applyAlignment="1" applyProtection="1">
      <alignment horizontal="center" vertical="center"/>
    </xf>
    <xf numFmtId="3" fontId="154" fillId="20" borderId="0" xfId="0" applyNumberFormat="1" applyFont="1" applyFill="1" applyBorder="1" applyAlignment="1">
      <alignment horizontal="center" vertical="top"/>
    </xf>
    <xf numFmtId="0" fontId="36" fillId="21" borderId="0" xfId="0" applyFont="1" applyFill="1" applyAlignment="1" applyProtection="1">
      <alignment horizontal="left" vertical="center"/>
    </xf>
    <xf numFmtId="3" fontId="36" fillId="21" borderId="0" xfId="0" applyNumberFormat="1" applyFont="1" applyFill="1" applyAlignment="1" applyProtection="1">
      <alignment horizontal="center" vertical="center"/>
    </xf>
    <xf numFmtId="0" fontId="36" fillId="23" borderId="0" xfId="0" applyFont="1" applyFill="1" applyAlignment="1" applyProtection="1">
      <alignment horizontal="left" vertical="center"/>
    </xf>
    <xf numFmtId="3" fontId="36" fillId="23" borderId="0" xfId="0" applyNumberFormat="1" applyFont="1" applyFill="1" applyAlignment="1" applyProtection="1">
      <alignment horizontal="center" vertical="center"/>
    </xf>
    <xf numFmtId="0" fontId="36" fillId="11" borderId="0" xfId="0" applyFont="1" applyFill="1" applyAlignment="1" applyProtection="1">
      <alignment horizontal="left" vertical="center"/>
    </xf>
    <xf numFmtId="3" fontId="36" fillId="11" borderId="0" xfId="0" applyNumberFormat="1" applyFont="1" applyFill="1" applyAlignment="1" applyProtection="1">
      <alignment horizontal="center" vertical="center"/>
    </xf>
    <xf numFmtId="0" fontId="36" fillId="0" borderId="0" xfId="0" applyFont="1" applyFill="1" applyAlignment="1" applyProtection="1">
      <alignment horizontal="left" vertical="center"/>
    </xf>
    <xf numFmtId="0" fontId="36" fillId="13" borderId="0" xfId="0" applyFont="1" applyFill="1" applyAlignment="1" applyProtection="1">
      <alignment horizontal="left" vertical="center"/>
    </xf>
    <xf numFmtId="3" fontId="36" fillId="13" borderId="0" xfId="0" applyNumberFormat="1" applyFont="1" applyFill="1" applyAlignment="1" applyProtection="1">
      <alignment horizontal="center" vertical="center"/>
    </xf>
    <xf numFmtId="0" fontId="36" fillId="24" borderId="0" xfId="0" applyFont="1" applyFill="1" applyAlignment="1" applyProtection="1">
      <alignment horizontal="left" vertical="center"/>
    </xf>
    <xf numFmtId="3" fontId="36" fillId="24" borderId="0" xfId="0" applyNumberFormat="1" applyFont="1" applyFill="1" applyAlignment="1" applyProtection="1">
      <alignment horizontal="center" vertical="center"/>
    </xf>
    <xf numFmtId="37" fontId="36" fillId="0" borderId="77" xfId="1" applyNumberFormat="1" applyFont="1" applyFill="1" applyBorder="1" applyAlignment="1" applyProtection="1">
      <alignment horizontal="center" vertical="center"/>
    </xf>
    <xf numFmtId="0" fontId="36" fillId="0" borderId="77" xfId="0" applyFont="1" applyBorder="1" applyAlignment="1" applyProtection="1">
      <alignment horizontal="center" vertical="center"/>
    </xf>
    <xf numFmtId="37" fontId="36" fillId="0" borderId="77" xfId="1" applyNumberFormat="1" applyFont="1" applyBorder="1" applyAlignment="1" applyProtection="1">
      <alignment horizontal="center" vertical="center"/>
    </xf>
    <xf numFmtId="0" fontId="100" fillId="0" borderId="0" xfId="0" applyFont="1" applyAlignment="1" applyProtection="1">
      <alignment vertical="center"/>
    </xf>
    <xf numFmtId="1" fontId="36" fillId="0" borderId="77" xfId="10" applyNumberFormat="1" applyFont="1" applyBorder="1" applyAlignment="1" applyProtection="1">
      <alignment horizontal="center" vertical="center"/>
    </xf>
    <xf numFmtId="0" fontId="36" fillId="0" borderId="77" xfId="0" applyNumberFormat="1" applyFont="1" applyBorder="1" applyAlignment="1" applyProtection="1">
      <alignment horizontal="center" vertical="center"/>
    </xf>
    <xf numFmtId="0" fontId="44" fillId="0" borderId="77" xfId="0" applyFont="1" applyBorder="1" applyAlignment="1" applyProtection="1">
      <alignment horizontal="center" vertical="top" wrapText="1"/>
    </xf>
    <xf numFmtId="9" fontId="44" fillId="0" borderId="77" xfId="0" applyNumberFormat="1" applyFont="1" applyBorder="1" applyAlignment="1" applyProtection="1">
      <alignment horizontal="center" vertical="top" wrapText="1"/>
    </xf>
    <xf numFmtId="0" fontId="147" fillId="0" borderId="0" xfId="0" applyFont="1" applyAlignment="1" applyProtection="1">
      <alignment horizontal="center" vertical="center"/>
    </xf>
    <xf numFmtId="0" fontId="41" fillId="19" borderId="0" xfId="0" applyFont="1" applyFill="1" applyProtection="1"/>
    <xf numFmtId="0" fontId="36" fillId="25" borderId="0" xfId="0" applyFont="1" applyFill="1" applyProtection="1"/>
    <xf numFmtId="0" fontId="36" fillId="25" borderId="0" xfId="9" applyFont="1" applyFill="1" applyAlignment="1" applyProtection="1">
      <alignment horizontal="left"/>
    </xf>
    <xf numFmtId="0" fontId="36" fillId="25" borderId="0" xfId="0" quotePrefix="1" applyNumberFormat="1" applyFont="1" applyFill="1" applyProtection="1"/>
    <xf numFmtId="0" fontId="36" fillId="25" borderId="0" xfId="0" applyNumberFormat="1" applyFont="1" applyFill="1" applyAlignment="1" applyProtection="1">
      <alignment horizontal="center"/>
    </xf>
    <xf numFmtId="0" fontId="36" fillId="25" borderId="0" xfId="0" applyFont="1" applyFill="1" applyBorder="1" applyAlignment="1">
      <alignment horizontal="center"/>
    </xf>
    <xf numFmtId="0" fontId="36" fillId="25" borderId="0" xfId="0" quotePrefix="1" applyFont="1" applyFill="1" applyBorder="1" applyAlignment="1">
      <alignment horizontal="center"/>
    </xf>
    <xf numFmtId="0" fontId="13" fillId="0" borderId="0" xfId="0" applyFont="1" applyFill="1" applyBorder="1" applyAlignment="1" applyProtection="1">
      <alignment horizontal="left"/>
    </xf>
    <xf numFmtId="0" fontId="36" fillId="25" borderId="0" xfId="9" applyFont="1" applyFill="1" applyProtection="1"/>
    <xf numFmtId="0" fontId="36" fillId="25" borderId="0" xfId="0" applyFont="1" applyFill="1" applyAlignment="1">
      <alignment horizontal="center"/>
    </xf>
    <xf numFmtId="0" fontId="13" fillId="0" borderId="0" xfId="0" applyFont="1"/>
    <xf numFmtId="0" fontId="13" fillId="19" borderId="0" xfId="0" applyFont="1" applyFill="1" applyBorder="1" applyAlignment="1" applyProtection="1">
      <alignment horizontal="left"/>
    </xf>
    <xf numFmtId="0" fontId="13" fillId="19" borderId="0" xfId="0" applyFont="1" applyFill="1" applyProtection="1"/>
    <xf numFmtId="0" fontId="36" fillId="25" borderId="0" xfId="0" applyFont="1" applyFill="1" applyAlignment="1" applyProtection="1">
      <alignment horizontal="left"/>
    </xf>
    <xf numFmtId="0" fontId="13" fillId="0" borderId="0" xfId="0" applyFont="1" applyFill="1" applyBorder="1" applyAlignment="1" applyProtection="1">
      <alignment wrapText="1"/>
    </xf>
    <xf numFmtId="0" fontId="36" fillId="5" borderId="73" xfId="0" applyFont="1" applyFill="1" applyBorder="1" applyAlignment="1" applyProtection="1">
      <alignment horizontal="left"/>
    </xf>
    <xf numFmtId="0" fontId="36" fillId="5" borderId="70" xfId="0" applyFont="1" applyFill="1" applyBorder="1" applyAlignment="1" applyProtection="1">
      <alignment horizontal="left"/>
    </xf>
    <xf numFmtId="0" fontId="36" fillId="5" borderId="69" xfId="0" applyFont="1" applyFill="1" applyBorder="1" applyAlignment="1" applyProtection="1">
      <alignment horizontal="left"/>
    </xf>
    <xf numFmtId="0" fontId="39" fillId="0" borderId="73" xfId="0" applyFont="1" applyFill="1" applyBorder="1" applyAlignment="1" applyProtection="1">
      <alignment horizontal="center" vertical="center"/>
    </xf>
    <xf numFmtId="0" fontId="39" fillId="5" borderId="17" xfId="0" applyFont="1" applyFill="1" applyBorder="1" applyAlignment="1" applyProtection="1">
      <alignment horizontal="left" vertical="center"/>
      <protection locked="0"/>
    </xf>
    <xf numFmtId="0" fontId="39" fillId="5" borderId="16" xfId="0" applyFont="1" applyFill="1" applyBorder="1" applyAlignment="1" applyProtection="1">
      <alignment horizontal="left" vertical="center"/>
      <protection locked="0"/>
    </xf>
    <xf numFmtId="0" fontId="47" fillId="0" borderId="0" xfId="0" applyFont="1" applyFill="1" applyBorder="1" applyAlignment="1" applyProtection="1">
      <alignment horizontal="left" vertical="top"/>
    </xf>
    <xf numFmtId="0" fontId="39" fillId="5" borderId="15" xfId="0" applyFont="1" applyFill="1" applyBorder="1" applyAlignment="1" applyProtection="1">
      <alignment horizontal="center"/>
      <protection locked="0"/>
    </xf>
    <xf numFmtId="0" fontId="39" fillId="5" borderId="77" xfId="0" applyFont="1" applyFill="1" applyBorder="1" applyAlignment="1" applyProtection="1">
      <alignment horizontal="center"/>
      <protection locked="0"/>
    </xf>
    <xf numFmtId="0" fontId="39" fillId="5" borderId="17" xfId="0" applyFont="1" applyFill="1" applyBorder="1" applyAlignment="1" applyProtection="1">
      <alignment horizontal="center"/>
      <protection locked="0"/>
    </xf>
    <xf numFmtId="1" fontId="39" fillId="0" borderId="15" xfId="1" applyNumberFormat="1" applyFont="1" applyFill="1" applyBorder="1" applyAlignment="1" applyProtection="1">
      <alignment horizontal="center" vertical="center"/>
    </xf>
    <xf numFmtId="1" fontId="39" fillId="0" borderId="16" xfId="1" applyNumberFormat="1" applyFont="1" applyFill="1" applyBorder="1" applyAlignment="1" applyProtection="1">
      <alignment horizontal="center" vertical="center"/>
    </xf>
    <xf numFmtId="1" fontId="39" fillId="0" borderId="17" xfId="1" applyNumberFormat="1" applyFont="1" applyFill="1" applyBorder="1" applyAlignment="1" applyProtection="1">
      <alignment horizontal="center" vertical="center"/>
    </xf>
    <xf numFmtId="176" fontId="39" fillId="5" borderId="17" xfId="0" applyNumberFormat="1" applyFont="1" applyFill="1" applyBorder="1" applyAlignment="1" applyProtection="1">
      <alignment horizontal="center" vertical="center"/>
      <protection locked="0"/>
    </xf>
    <xf numFmtId="1" fontId="39" fillId="5" borderId="16" xfId="0" applyNumberFormat="1" applyFont="1" applyFill="1" applyBorder="1" applyAlignment="1" applyProtection="1">
      <alignment horizontal="center" vertical="center"/>
      <protection locked="0"/>
    </xf>
    <xf numFmtId="0" fontId="39" fillId="0" borderId="0" xfId="0" applyNumberFormat="1" applyFont="1" applyFill="1" applyAlignment="1" applyProtection="1">
      <alignment horizontal="center" vertical="center"/>
    </xf>
    <xf numFmtId="3" fontId="39" fillId="0" borderId="10" xfId="1" applyNumberFormat="1" applyFont="1" applyFill="1" applyBorder="1" applyAlignment="1" applyProtection="1">
      <alignment horizontal="center" vertical="center"/>
    </xf>
    <xf numFmtId="3" fontId="39" fillId="0" borderId="16" xfId="1" applyNumberFormat="1" applyFont="1" applyFill="1" applyBorder="1" applyAlignment="1" applyProtection="1">
      <alignment horizontal="center" vertical="center"/>
    </xf>
    <xf numFmtId="3" fontId="39" fillId="0" borderId="11" xfId="1" applyNumberFormat="1" applyFont="1" applyFill="1" applyBorder="1" applyAlignment="1" applyProtection="1">
      <alignment horizontal="center" vertical="center"/>
    </xf>
    <xf numFmtId="3" fontId="39" fillId="5" borderId="15" xfId="1" applyNumberFormat="1" applyFont="1" applyFill="1" applyBorder="1" applyAlignment="1" applyProtection="1">
      <alignment horizontal="center" vertical="center"/>
      <protection locked="0"/>
    </xf>
    <xf numFmtId="0" fontId="39" fillId="0" borderId="0" xfId="0" applyFont="1" applyFill="1" applyBorder="1" applyAlignment="1" applyProtection="1">
      <alignment vertical="top" wrapText="1"/>
    </xf>
    <xf numFmtId="3" fontId="39" fillId="5" borderId="17" xfId="1" applyNumberFormat="1" applyFont="1" applyFill="1" applyBorder="1" applyAlignment="1" applyProtection="1">
      <alignment horizontal="center" vertical="center"/>
      <protection locked="0"/>
    </xf>
    <xf numFmtId="3" fontId="39" fillId="5" borderId="77" xfId="1" applyNumberFormat="1" applyFont="1" applyFill="1" applyBorder="1" applyAlignment="1" applyProtection="1">
      <alignment horizontal="center" vertical="center"/>
      <protection locked="0"/>
    </xf>
    <xf numFmtId="165" fontId="39" fillId="0" borderId="77" xfId="1" applyNumberFormat="1" applyFont="1" applyFill="1" applyBorder="1" applyAlignment="1" applyProtection="1">
      <alignment horizontal="center" vertical="center"/>
    </xf>
    <xf numFmtId="9" fontId="39" fillId="0" borderId="0" xfId="0" applyNumberFormat="1" applyFont="1" applyFill="1" applyAlignment="1" applyProtection="1">
      <alignment horizontal="center" vertical="center"/>
    </xf>
    <xf numFmtId="0" fontId="77" fillId="5" borderId="77" xfId="0" applyFont="1" applyFill="1" applyBorder="1" applyAlignment="1" applyProtection="1">
      <alignment horizontal="center" vertical="center"/>
      <protection locked="0"/>
    </xf>
    <xf numFmtId="0" fontId="8" fillId="0" borderId="0" xfId="28" applyFont="1" applyFill="1" applyBorder="1" applyAlignment="1" applyProtection="1">
      <alignment horizontal="left" vertical="center"/>
    </xf>
    <xf numFmtId="0" fontId="39" fillId="0" borderId="76" xfId="0" applyFont="1" applyFill="1" applyBorder="1" applyAlignment="1" applyProtection="1">
      <alignment horizontal="center" vertical="center"/>
    </xf>
    <xf numFmtId="0" fontId="39" fillId="0" borderId="10" xfId="0" applyFont="1" applyFill="1" applyBorder="1" applyAlignment="1" applyProtection="1">
      <alignment horizontal="center" vertical="center"/>
    </xf>
    <xf numFmtId="0" fontId="39" fillId="0" borderId="8" xfId="0" applyFont="1" applyFill="1" applyBorder="1" applyAlignment="1" applyProtection="1">
      <alignment horizontal="center" vertical="center"/>
      <protection locked="0"/>
    </xf>
    <xf numFmtId="0" fontId="39" fillId="5" borderId="70" xfId="0" applyFont="1" applyFill="1" applyBorder="1" applyAlignment="1" applyProtection="1">
      <alignment horizontal="center"/>
      <protection locked="0"/>
    </xf>
    <xf numFmtId="0" fontId="77" fillId="0" borderId="75" xfId="0" applyFont="1" applyFill="1" applyBorder="1" applyAlignment="1" applyProtection="1">
      <alignment horizontal="center" vertical="center"/>
      <protection locked="0"/>
    </xf>
    <xf numFmtId="0" fontId="47" fillId="0" borderId="76" xfId="0" quotePrefix="1" applyFont="1" applyFill="1" applyBorder="1" applyAlignment="1" applyProtection="1">
      <alignment vertical="top"/>
    </xf>
    <xf numFmtId="0" fontId="39" fillId="5" borderId="14" xfId="0" applyFont="1" applyFill="1" applyBorder="1" applyAlignment="1" applyProtection="1">
      <alignment horizontal="center" vertical="top"/>
      <protection locked="0"/>
    </xf>
    <xf numFmtId="0" fontId="77" fillId="0" borderId="92" xfId="0" applyFont="1" applyFill="1" applyBorder="1" applyAlignment="1" applyProtection="1">
      <alignment horizontal="center" vertical="top" wrapText="1"/>
    </xf>
    <xf numFmtId="0" fontId="77" fillId="0" borderId="0" xfId="0" applyFont="1" applyFill="1" applyAlignment="1" applyProtection="1">
      <alignment horizontal="center"/>
    </xf>
    <xf numFmtId="0" fontId="77" fillId="13" borderId="0" xfId="0" applyFont="1" applyFill="1" applyAlignment="1" applyProtection="1">
      <alignment horizontal="center" vertical="center"/>
    </xf>
    <xf numFmtId="0" fontId="8" fillId="0" borderId="0" xfId="0" applyFont="1" applyFill="1" applyBorder="1" applyAlignment="1" applyProtection="1"/>
    <xf numFmtId="0" fontId="39" fillId="0" borderId="0" xfId="0" applyFont="1" applyFill="1" applyBorder="1" applyAlignment="1" applyProtection="1">
      <alignment vertical="center"/>
    </xf>
    <xf numFmtId="0" fontId="3" fillId="13" borderId="42" xfId="0" applyFont="1" applyFill="1" applyBorder="1" applyAlignment="1" applyProtection="1">
      <alignment vertical="top" wrapText="1"/>
      <protection locked="0"/>
    </xf>
    <xf numFmtId="0" fontId="3" fillId="13" borderId="38" xfId="0" applyFont="1" applyFill="1" applyBorder="1" applyAlignment="1" applyProtection="1">
      <alignment vertical="top" wrapText="1"/>
      <protection locked="0"/>
    </xf>
    <xf numFmtId="0" fontId="3" fillId="13" borderId="39" xfId="0" applyFont="1" applyFill="1" applyBorder="1" applyAlignment="1" applyProtection="1">
      <alignment vertical="top" wrapText="1"/>
      <protection locked="0"/>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0" fontId="3" fillId="13" borderId="55" xfId="0" applyFont="1" applyFill="1" applyBorder="1" applyAlignment="1" applyProtection="1">
      <alignment vertical="top" wrapText="1"/>
      <protection locked="0"/>
    </xf>
    <xf numFmtId="164" fontId="39" fillId="0" borderId="0" xfId="1" applyNumberFormat="1" applyFont="1" applyFill="1" applyBorder="1" applyAlignment="1" applyProtection="1">
      <alignment horizontal="center" vertical="center"/>
    </xf>
    <xf numFmtId="0" fontId="3" fillId="0" borderId="0" xfId="28" applyFont="1" applyAlignment="1" applyProtection="1">
      <alignment horizontal="justify" vertical="top" wrapText="1"/>
    </xf>
    <xf numFmtId="0" fontId="75" fillId="0" borderId="0" xfId="28" applyFont="1" applyFill="1" applyBorder="1" applyAlignment="1" applyProtection="1">
      <alignment horizontal="left" vertical="center"/>
    </xf>
    <xf numFmtId="0" fontId="75" fillId="0" borderId="0" xfId="28" applyFont="1" applyFill="1" applyBorder="1" applyAlignment="1" applyProtection="1">
      <alignment horizontal="center" vertical="center"/>
    </xf>
    <xf numFmtId="3" fontId="75" fillId="0" borderId="0" xfId="28" applyNumberFormat="1" applyFont="1" applyFill="1" applyBorder="1" applyAlignment="1" applyProtection="1">
      <alignment horizontal="center" vertical="center"/>
      <protection locked="0"/>
    </xf>
    <xf numFmtId="3" fontId="39" fillId="26" borderId="77" xfId="1" applyNumberFormat="1" applyFont="1" applyFill="1" applyBorder="1" applyAlignment="1" applyProtection="1">
      <alignment horizontal="center" vertical="center"/>
      <protection locked="0"/>
    </xf>
    <xf numFmtId="0" fontId="38" fillId="0" borderId="0" xfId="28" applyFont="1" applyFill="1" applyBorder="1" applyAlignment="1" applyProtection="1">
      <alignment horizontal="left" vertical="center"/>
    </xf>
    <xf numFmtId="0" fontId="38" fillId="0" borderId="0" xfId="28" applyFont="1" applyFill="1" applyAlignment="1" applyProtection="1">
      <alignment horizontal="left"/>
    </xf>
    <xf numFmtId="0" fontId="35" fillId="0" borderId="0" xfId="28" applyFont="1" applyFill="1" applyAlignment="1" applyProtection="1">
      <alignment horizontal="left"/>
    </xf>
    <xf numFmtId="0" fontId="8" fillId="5" borderId="15" xfId="28" applyFont="1" applyFill="1" applyBorder="1" applyAlignment="1" applyProtection="1">
      <alignment horizontal="center" vertical="center"/>
      <protection locked="0"/>
    </xf>
    <xf numFmtId="0" fontId="8" fillId="5" borderId="16" xfId="28" applyFont="1" applyFill="1" applyBorder="1" applyAlignment="1" applyProtection="1">
      <alignment horizontal="center" vertical="center"/>
      <protection locked="0"/>
    </xf>
    <xf numFmtId="0" fontId="8" fillId="5" borderId="17" xfId="28" applyFont="1" applyFill="1" applyBorder="1" applyAlignment="1" applyProtection="1">
      <alignment horizontal="center" vertical="center"/>
      <protection locked="0"/>
    </xf>
    <xf numFmtId="0" fontId="8" fillId="13" borderId="15" xfId="28" applyFont="1" applyFill="1" applyBorder="1" applyAlignment="1" applyProtection="1">
      <alignment horizontal="center" vertical="center"/>
      <protection locked="0"/>
    </xf>
    <xf numFmtId="0" fontId="8" fillId="13" borderId="16" xfId="28" applyFont="1" applyFill="1" applyBorder="1" applyAlignment="1" applyProtection="1">
      <alignment horizontal="center" vertical="center"/>
      <protection locked="0"/>
    </xf>
    <xf numFmtId="0" fontId="8" fillId="13" borderId="17" xfId="28" applyFont="1" applyFill="1" applyBorder="1" applyAlignment="1" applyProtection="1">
      <alignment horizontal="center" vertical="center"/>
      <protection locked="0"/>
    </xf>
    <xf numFmtId="164" fontId="39" fillId="0" borderId="0" xfId="1" applyNumberFormat="1" applyFont="1" applyFill="1" applyBorder="1" applyAlignment="1" applyProtection="1">
      <alignment horizontal="center" vertical="center"/>
    </xf>
    <xf numFmtId="3" fontId="67" fillId="0" borderId="76" xfId="28" applyNumberFormat="1" applyFont="1" applyFill="1" applyBorder="1" applyAlignment="1" applyProtection="1">
      <alignment horizontal="center" vertical="center"/>
    </xf>
    <xf numFmtId="3" fontId="67" fillId="0" borderId="72" xfId="28" applyNumberFormat="1" applyFont="1" applyFill="1" applyBorder="1" applyAlignment="1" applyProtection="1">
      <alignment horizontal="center" vertical="center"/>
    </xf>
    <xf numFmtId="0" fontId="47" fillId="0" borderId="0" xfId="28" applyFont="1" applyFill="1" applyBorder="1" applyAlignment="1" applyProtection="1">
      <alignment horizontal="left" vertical="center"/>
    </xf>
    <xf numFmtId="14" fontId="47" fillId="0" borderId="0" xfId="28" applyNumberFormat="1" applyFont="1" applyFill="1" applyBorder="1" applyAlignment="1" applyProtection="1">
      <alignment horizontal="center" vertical="center"/>
    </xf>
    <xf numFmtId="3" fontId="47" fillId="0" borderId="0" xfId="28" applyNumberFormat="1" applyFont="1" applyFill="1" applyBorder="1" applyAlignment="1" applyProtection="1">
      <alignment horizontal="center" vertical="center"/>
    </xf>
    <xf numFmtId="0" fontId="84" fillId="0" borderId="0" xfId="0" applyFont="1"/>
    <xf numFmtId="0" fontId="90" fillId="0" borderId="0" xfId="0" applyFont="1" applyAlignment="1">
      <alignment vertical="top" wrapText="1"/>
    </xf>
    <xf numFmtId="0" fontId="96" fillId="0" borderId="0" xfId="0" applyFont="1" applyAlignment="1">
      <alignment vertical="top" wrapText="1"/>
    </xf>
    <xf numFmtId="0" fontId="90" fillId="0" borderId="12" xfId="0" applyFont="1" applyBorder="1" applyAlignment="1">
      <alignment vertical="top" wrapText="1"/>
    </xf>
    <xf numFmtId="0" fontId="24" fillId="0" borderId="0" xfId="0" applyFont="1"/>
    <xf numFmtId="0" fontId="35" fillId="0" borderId="0" xfId="0" applyFont="1" applyAlignment="1">
      <alignment vertical="center"/>
    </xf>
    <xf numFmtId="0" fontId="30" fillId="0" borderId="0" xfId="0" applyFont="1" applyAlignment="1">
      <alignment horizontal="center"/>
    </xf>
    <xf numFmtId="0" fontId="84" fillId="0" borderId="0" xfId="0" applyFont="1" applyAlignment="1">
      <alignment vertical="center"/>
    </xf>
    <xf numFmtId="0" fontId="85" fillId="0" borderId="0" xfId="0" applyFont="1" applyAlignment="1">
      <alignment vertical="center"/>
    </xf>
    <xf numFmtId="0" fontId="84" fillId="0" borderId="0" xfId="0" applyFont="1" applyAlignment="1">
      <alignment horizontal="center"/>
    </xf>
    <xf numFmtId="0" fontId="75" fillId="0" borderId="0" xfId="0" applyFont="1"/>
    <xf numFmtId="0" fontId="3" fillId="0" borderId="0" xfId="0" applyFont="1"/>
    <xf numFmtId="0" fontId="13" fillId="0" borderId="0" xfId="0" applyFont="1" applyAlignment="1">
      <alignment vertical="center"/>
    </xf>
    <xf numFmtId="0" fontId="4" fillId="0" borderId="0" xfId="0" applyFont="1" applyAlignment="1">
      <alignment vertical="center"/>
    </xf>
    <xf numFmtId="10" fontId="177" fillId="0" borderId="115" xfId="0" applyNumberFormat="1" applyFont="1" applyBorder="1" applyAlignment="1">
      <alignment horizontal="center" vertical="center"/>
    </xf>
    <xf numFmtId="10" fontId="177" fillId="0" borderId="116" xfId="0" applyNumberFormat="1" applyFont="1" applyBorder="1" applyAlignment="1">
      <alignment horizontal="center" vertical="center"/>
    </xf>
    <xf numFmtId="10" fontId="177" fillId="0" borderId="117" xfId="0" applyNumberFormat="1" applyFont="1" applyBorder="1" applyAlignment="1">
      <alignment horizontal="center" vertical="center"/>
    </xf>
    <xf numFmtId="0" fontId="4" fillId="0" borderId="0" xfId="0" applyFont="1" applyAlignment="1">
      <alignment horizontal="left" vertical="center"/>
    </xf>
    <xf numFmtId="0" fontId="3" fillId="0" borderId="0" xfId="0" applyFont="1" applyAlignment="1">
      <alignment vertical="center" wrapText="1"/>
    </xf>
    <xf numFmtId="2" fontId="177" fillId="0" borderId="118" xfId="0" applyNumberFormat="1" applyFont="1" applyBorder="1" applyAlignment="1">
      <alignment horizontal="center" vertical="center"/>
    </xf>
    <xf numFmtId="2" fontId="177" fillId="0" borderId="119" xfId="0" applyNumberFormat="1" applyFont="1" applyBorder="1" applyAlignment="1">
      <alignment horizontal="center" vertical="center"/>
    </xf>
    <xf numFmtId="0" fontId="179" fillId="0" borderId="0" xfId="0" applyFont="1" applyAlignment="1">
      <alignment vertical="center"/>
    </xf>
    <xf numFmtId="2" fontId="180" fillId="0" borderId="120" xfId="0" applyNumberFormat="1" applyFont="1" applyBorder="1" applyAlignment="1">
      <alignment horizontal="center" vertical="center"/>
    </xf>
    <xf numFmtId="2" fontId="180" fillId="0" borderId="121" xfId="0" applyNumberFormat="1" applyFont="1" applyBorder="1" applyAlignment="1">
      <alignment horizontal="center" vertical="center"/>
    </xf>
    <xf numFmtId="2" fontId="180" fillId="0" borderId="122" xfId="0" applyNumberFormat="1" applyFont="1" applyBorder="1" applyAlignment="1">
      <alignment horizontal="center" vertical="center"/>
    </xf>
    <xf numFmtId="10" fontId="177" fillId="0" borderId="123" xfId="0" applyNumberFormat="1" applyFont="1" applyBorder="1" applyAlignment="1">
      <alignment horizontal="center" vertical="center"/>
    </xf>
    <xf numFmtId="10" fontId="177" fillId="0" borderId="124" xfId="0" applyNumberFormat="1" applyFont="1" applyBorder="1" applyAlignment="1">
      <alignment horizontal="center" vertical="center"/>
    </xf>
    <xf numFmtId="10" fontId="177" fillId="0" borderId="125" xfId="0" applyNumberFormat="1" applyFont="1" applyBorder="1" applyAlignment="1">
      <alignment horizontal="center" vertical="center"/>
    </xf>
    <xf numFmtId="0" fontId="8" fillId="0" borderId="0" xfId="0" applyFont="1" applyAlignment="1">
      <alignment wrapText="1"/>
    </xf>
    <xf numFmtId="0" fontId="90" fillId="0" borderId="0" xfId="0" applyFont="1" applyAlignment="1">
      <alignment wrapText="1"/>
    </xf>
    <xf numFmtId="10" fontId="180" fillId="0" borderId="126" xfId="0" applyNumberFormat="1" applyFont="1" applyBorder="1" applyAlignment="1">
      <alignment horizontal="center" vertical="center"/>
    </xf>
    <xf numFmtId="0" fontId="182" fillId="0" borderId="0" xfId="0" applyFont="1" applyAlignment="1">
      <alignment vertical="center"/>
    </xf>
    <xf numFmtId="0" fontId="3" fillId="13" borderId="27" xfId="0" applyFont="1" applyFill="1" applyBorder="1" applyAlignment="1" applyProtection="1">
      <alignment vertical="top" wrapText="1"/>
      <protection locked="0"/>
    </xf>
    <xf numFmtId="0" fontId="3" fillId="13" borderId="53" xfId="0" applyFont="1" applyFill="1" applyBorder="1" applyAlignment="1" applyProtection="1">
      <alignment vertical="top" wrapText="1"/>
      <protection locked="0"/>
    </xf>
    <xf numFmtId="0" fontId="3" fillId="13" borderId="28" xfId="0" applyFont="1" applyFill="1" applyBorder="1" applyAlignment="1" applyProtection="1">
      <alignment vertical="top" wrapText="1"/>
      <protection locked="0"/>
    </xf>
    <xf numFmtId="0" fontId="120" fillId="0" borderId="0" xfId="28" applyFont="1" applyFill="1" applyBorder="1" applyAlignment="1" applyProtection="1"/>
    <xf numFmtId="0" fontId="84" fillId="0" borderId="0" xfId="28" applyFont="1" applyFill="1" applyBorder="1" applyAlignment="1" applyProtection="1"/>
    <xf numFmtId="0" fontId="84" fillId="0" borderId="0" xfId="28" applyFont="1" applyFill="1" applyBorder="1" applyAlignment="1" applyProtection="1">
      <alignment vertical="top" wrapText="1"/>
    </xf>
    <xf numFmtId="0" fontId="84" fillId="0" borderId="0" xfId="28" applyFont="1" applyFill="1" applyBorder="1" applyAlignment="1" applyProtection="1">
      <alignment horizontal="center" vertical="center" wrapText="1"/>
    </xf>
    <xf numFmtId="0" fontId="84" fillId="0" borderId="0" xfId="28" applyFont="1" applyFill="1" applyBorder="1" applyAlignment="1" applyProtection="1">
      <alignment horizontal="center" wrapText="1"/>
    </xf>
    <xf numFmtId="0" fontId="84" fillId="0" borderId="0" xfId="28" quotePrefix="1" applyFont="1" applyFill="1" applyBorder="1" applyAlignment="1" applyProtection="1">
      <alignment horizontal="center" vertical="center"/>
    </xf>
    <xf numFmtId="0" fontId="84" fillId="0" borderId="0" xfId="28" applyFont="1" applyFill="1" applyBorder="1" applyAlignment="1" applyProtection="1">
      <alignment horizontal="left" vertical="center"/>
    </xf>
    <xf numFmtId="0" fontId="84" fillId="0" borderId="0" xfId="28" applyFont="1" applyFill="1" applyBorder="1" applyAlignment="1" applyProtection="1">
      <alignment horizontal="center" vertical="center"/>
    </xf>
    <xf numFmtId="0" fontId="84" fillId="0" borderId="0" xfId="28" applyFont="1" applyFill="1" applyBorder="1" applyAlignment="1" applyProtection="1">
      <alignment horizontal="center"/>
    </xf>
    <xf numFmtId="0" fontId="85" fillId="0" borderId="0" xfId="28" applyFont="1" applyFill="1" applyBorder="1" applyAlignment="1" applyProtection="1">
      <alignment vertical="top" wrapText="1"/>
    </xf>
    <xf numFmtId="0" fontId="84" fillId="0" borderId="0" xfId="28" applyFont="1" applyFill="1" applyBorder="1" applyAlignment="1" applyProtection="1">
      <alignment vertical="center" wrapText="1"/>
    </xf>
    <xf numFmtId="0" fontId="84" fillId="0" borderId="0" xfId="28" applyFont="1" applyFill="1" applyBorder="1" applyAlignment="1" applyProtection="1">
      <alignment vertical="top"/>
    </xf>
    <xf numFmtId="0" fontId="9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184" fillId="0" borderId="0" xfId="0" applyFont="1" applyFill="1" applyBorder="1" applyAlignment="1" applyProtection="1">
      <alignment horizontal="left" vertical="center"/>
    </xf>
    <xf numFmtId="0" fontId="87" fillId="0" borderId="0" xfId="0" applyFont="1" applyFill="1" applyBorder="1" applyAlignment="1" applyProtection="1">
      <alignment vertical="center"/>
    </xf>
    <xf numFmtId="0" fontId="93" fillId="0" borderId="0" xfId="0" applyFont="1" applyFill="1" applyBorder="1" applyProtection="1"/>
    <xf numFmtId="42" fontId="93" fillId="0" borderId="0" xfId="2" applyNumberFormat="1" applyFont="1" applyFill="1" applyBorder="1" applyAlignment="1" applyProtection="1">
      <alignment vertical="center"/>
    </xf>
    <xf numFmtId="0" fontId="84" fillId="0" borderId="0" xfId="0" applyFont="1" applyFill="1" applyBorder="1" applyAlignment="1" applyProtection="1">
      <alignment vertical="center"/>
    </xf>
    <xf numFmtId="0" fontId="84" fillId="0" borderId="0" xfId="0" applyFont="1" applyFill="1" applyBorder="1" applyAlignment="1" applyProtection="1">
      <alignment horizontal="center" vertical="center"/>
    </xf>
    <xf numFmtId="42" fontId="84" fillId="0" borderId="0" xfId="2" applyNumberFormat="1" applyFont="1" applyFill="1" applyBorder="1" applyAlignment="1" applyProtection="1">
      <alignment vertical="center"/>
    </xf>
    <xf numFmtId="0" fontId="93" fillId="0" borderId="0" xfId="0" applyFont="1" applyFill="1" applyBorder="1" applyAlignment="1" applyProtection="1">
      <alignment horizontal="right" vertical="center"/>
    </xf>
    <xf numFmtId="0" fontId="184" fillId="0" borderId="0" xfId="0" applyFont="1" applyFill="1" applyBorder="1" applyAlignment="1" applyProtection="1">
      <alignment vertical="center"/>
    </xf>
    <xf numFmtId="0" fontId="93" fillId="0" borderId="0" xfId="0" applyFont="1" applyFill="1" applyBorder="1" applyAlignment="1" applyProtection="1">
      <alignment horizontal="center"/>
    </xf>
    <xf numFmtId="167"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left"/>
    </xf>
    <xf numFmtId="169" fontId="93" fillId="0" borderId="0" xfId="0" applyNumberFormat="1" applyFont="1" applyFill="1" applyBorder="1" applyAlignment="1" applyProtection="1">
      <alignment vertical="center"/>
    </xf>
    <xf numFmtId="0" fontId="93" fillId="0" borderId="0" xfId="0" applyNumberFormat="1" applyFont="1" applyFill="1" applyBorder="1" applyAlignment="1" applyProtection="1">
      <alignment horizontal="center" vertical="center"/>
    </xf>
    <xf numFmtId="0"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8" fontId="93" fillId="0" borderId="0" xfId="0" applyNumberFormat="1" applyFont="1" applyFill="1" applyBorder="1" applyAlignment="1" applyProtection="1">
      <alignment vertical="center"/>
    </xf>
    <xf numFmtId="0" fontId="93" fillId="0" borderId="0" xfId="0" applyNumberFormat="1" applyFont="1" applyFill="1" applyBorder="1" applyAlignment="1" applyProtection="1">
      <alignment horizontal="left" vertical="center"/>
    </xf>
    <xf numFmtId="49" fontId="93" fillId="0" borderId="0" xfId="0" applyNumberFormat="1" applyFont="1" applyFill="1" applyBorder="1" applyAlignment="1" applyProtection="1">
      <alignment vertical="center"/>
    </xf>
    <xf numFmtId="49" fontId="84" fillId="0" borderId="0" xfId="0" applyNumberFormat="1" applyFont="1" applyFill="1" applyBorder="1" applyAlignment="1" applyProtection="1"/>
    <xf numFmtId="0" fontId="93" fillId="0" borderId="0" xfId="0" quotePrefix="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0" fontId="93" fillId="0" borderId="0" xfId="0" applyFont="1" applyFill="1" applyBorder="1" applyAlignment="1" applyProtection="1"/>
    <xf numFmtId="0" fontId="184" fillId="0" borderId="0" xfId="0" applyFont="1" applyFill="1" applyBorder="1" applyAlignment="1" applyProtection="1">
      <alignment vertical="top"/>
    </xf>
    <xf numFmtId="1" fontId="93" fillId="0" borderId="0" xfId="1" applyNumberFormat="1" applyFont="1" applyFill="1" applyBorder="1" applyAlignment="1" applyProtection="1">
      <alignment vertical="center"/>
    </xf>
    <xf numFmtId="0" fontId="186" fillId="0" borderId="0" xfId="6" applyFont="1" applyFill="1" applyBorder="1" applyAlignment="1" applyProtection="1">
      <alignment vertical="center"/>
    </xf>
    <xf numFmtId="0" fontId="103" fillId="0" borderId="0" xfId="6" applyFont="1" applyFill="1" applyBorder="1" applyAlignment="1" applyProtection="1">
      <alignment vertical="center"/>
    </xf>
    <xf numFmtId="38" fontId="93" fillId="0" borderId="0" xfId="0" applyNumberFormat="1" applyFont="1" applyFill="1" applyBorder="1" applyAlignment="1" applyProtection="1">
      <alignment vertical="center"/>
    </xf>
    <xf numFmtId="38" fontId="93" fillId="0" borderId="0" xfId="0" applyNumberFormat="1" applyFont="1" applyFill="1" applyBorder="1" applyAlignment="1" applyProtection="1">
      <alignment horizontal="left" vertical="center"/>
    </xf>
    <xf numFmtId="0" fontId="187" fillId="0" borderId="0" xfId="0" applyFont="1" applyFill="1" applyBorder="1" applyAlignment="1" applyProtection="1">
      <alignment vertical="center"/>
    </xf>
    <xf numFmtId="1" fontId="93" fillId="0" borderId="0" xfId="1" applyNumberFormat="1" applyFont="1" applyFill="1" applyBorder="1" applyAlignment="1" applyProtection="1">
      <alignment horizontal="center" vertical="center"/>
    </xf>
    <xf numFmtId="0" fontId="93" fillId="0" borderId="0" xfId="1" applyNumberFormat="1" applyFont="1" applyFill="1" applyBorder="1" applyAlignment="1" applyProtection="1">
      <alignment horizontal="left" vertical="center"/>
    </xf>
    <xf numFmtId="0" fontId="93" fillId="0" borderId="0" xfId="0" quotePrefix="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4" fontId="87" fillId="0" borderId="0" xfId="1" applyNumberFormat="1" applyFont="1" applyFill="1" applyBorder="1" applyAlignment="1" applyProtection="1">
      <alignment horizontal="center" vertical="center"/>
    </xf>
    <xf numFmtId="0" fontId="93" fillId="0" borderId="0" xfId="0" applyFont="1" applyFill="1" applyBorder="1" applyAlignment="1" applyProtection="1">
      <alignment horizontal="center" wrapText="1"/>
    </xf>
    <xf numFmtId="3" fontId="93" fillId="0" borderId="0" xfId="1" applyNumberFormat="1" applyFont="1" applyFill="1" applyBorder="1" applyAlignment="1" applyProtection="1">
      <alignment horizontal="center" vertical="center"/>
    </xf>
    <xf numFmtId="0" fontId="93" fillId="0" borderId="0" xfId="0" applyFont="1" applyFill="1" applyBorder="1" applyAlignment="1" applyProtection="1">
      <alignment vertical="top" wrapText="1"/>
    </xf>
    <xf numFmtId="0" fontId="93" fillId="0" borderId="0" xfId="0" applyFont="1" applyFill="1" applyBorder="1" applyAlignment="1" applyProtection="1">
      <alignment horizontal="right"/>
    </xf>
    <xf numFmtId="165" fontId="93" fillId="0" borderId="0" xfId="1"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66" fontId="93"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1" fontId="9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left" vertical="top"/>
    </xf>
    <xf numFmtId="0" fontId="184" fillId="0" borderId="0" xfId="0" applyFont="1" applyFill="1" applyBorder="1" applyAlignment="1" applyProtection="1">
      <alignment vertical="top" wrapText="1"/>
    </xf>
    <xf numFmtId="167" fontId="93" fillId="0" borderId="0" xfId="0" applyNumberFormat="1" applyFont="1" applyFill="1" applyBorder="1" applyAlignment="1" applyProtection="1">
      <alignment horizontal="center" vertical="center"/>
    </xf>
    <xf numFmtId="0" fontId="189" fillId="0" borderId="0" xfId="6"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xf>
    <xf numFmtId="167" fontId="93" fillId="0" borderId="0" xfId="0" applyNumberFormat="1" applyFont="1" applyFill="1" applyBorder="1" applyAlignment="1" applyProtection="1"/>
    <xf numFmtId="0" fontId="93" fillId="0" borderId="0" xfId="0" applyFont="1" applyFill="1" applyBorder="1" applyAlignment="1" applyProtection="1">
      <alignment vertical="center" wrapText="1"/>
    </xf>
    <xf numFmtId="0" fontId="93" fillId="0" borderId="0" xfId="0" quotePrefix="1" applyFont="1" applyFill="1" applyBorder="1" applyAlignment="1" applyProtection="1">
      <alignment vertical="top"/>
    </xf>
    <xf numFmtId="0" fontId="93" fillId="0" borderId="0" xfId="0" applyFont="1" applyFill="1" applyBorder="1" applyAlignment="1" applyProtection="1">
      <alignment horizontal="center" vertical="top"/>
    </xf>
    <xf numFmtId="0" fontId="87" fillId="0" borderId="0" xfId="0" applyFont="1" applyFill="1" applyBorder="1" applyAlignment="1" applyProtection="1">
      <alignment vertical="top" wrapText="1"/>
    </xf>
    <xf numFmtId="0" fontId="87" fillId="0" borderId="0" xfId="0" applyFont="1" applyFill="1" applyBorder="1" applyAlignment="1" applyProtection="1">
      <alignment wrapText="1"/>
    </xf>
    <xf numFmtId="0" fontId="93" fillId="0" borderId="0" xfId="0" applyFont="1" applyFill="1" applyBorder="1" applyAlignment="1" applyProtection="1">
      <alignment horizontal="center" vertical="top" wrapText="1"/>
    </xf>
    <xf numFmtId="0" fontId="93" fillId="0" borderId="0" xfId="0" applyNumberFormat="1" applyFont="1" applyFill="1" applyBorder="1" applyAlignment="1" applyProtection="1">
      <alignment horizontal="center" vertical="top"/>
    </xf>
    <xf numFmtId="174" fontId="93" fillId="0" borderId="0" xfId="10" applyNumberFormat="1" applyFont="1" applyFill="1" applyBorder="1" applyAlignment="1" applyProtection="1">
      <alignment horizontal="center" vertical="top"/>
    </xf>
    <xf numFmtId="174" fontId="93" fillId="0" borderId="0" xfId="10" applyNumberFormat="1" applyFont="1" applyFill="1" applyBorder="1" applyAlignment="1" applyProtection="1">
      <alignment vertical="center"/>
    </xf>
    <xf numFmtId="37" fontId="93" fillId="0" borderId="0" xfId="0" applyNumberFormat="1" applyFont="1" applyFill="1" applyBorder="1" applyAlignment="1" applyProtection="1">
      <alignment vertical="center"/>
    </xf>
    <xf numFmtId="0" fontId="84" fillId="0" borderId="0" xfId="0" applyFont="1" applyFill="1" applyBorder="1" applyAlignment="1" applyProtection="1"/>
    <xf numFmtId="0" fontId="184" fillId="0" borderId="0" xfId="0" applyFont="1" applyFill="1" applyBorder="1" applyAlignment="1" applyProtection="1">
      <alignment horizontal="right" vertical="center"/>
    </xf>
    <xf numFmtId="0" fontId="184" fillId="0" borderId="0" xfId="0" applyFont="1" applyFill="1" applyBorder="1" applyProtection="1"/>
    <xf numFmtId="0" fontId="93" fillId="0" borderId="0" xfId="0" applyFont="1" applyFill="1" applyBorder="1" applyAlignment="1" applyProtection="1">
      <alignment wrapText="1"/>
    </xf>
    <xf numFmtId="166" fontId="93" fillId="0" borderId="0" xfId="0" applyNumberFormat="1" applyFont="1" applyFill="1" applyBorder="1" applyAlignment="1" applyProtection="1">
      <alignment horizontal="center" vertical="center"/>
    </xf>
    <xf numFmtId="38" fontId="93" fillId="0" borderId="0" xfId="2"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184"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38" fontId="93" fillId="0" borderId="0" xfId="2" applyNumberFormat="1" applyFont="1" applyFill="1" applyBorder="1" applyAlignment="1" applyProtection="1">
      <alignment horizontal="center" vertical="center"/>
    </xf>
    <xf numFmtId="37" fontId="184" fillId="0" borderId="0" xfId="0" applyNumberFormat="1" applyFont="1" applyFill="1" applyBorder="1" applyAlignment="1" applyProtection="1">
      <alignment vertical="center"/>
    </xf>
    <xf numFmtId="166" fontId="93" fillId="0" borderId="0" xfId="0" applyNumberFormat="1" applyFont="1" applyFill="1" applyBorder="1" applyAlignment="1" applyProtection="1">
      <alignment vertical="center"/>
    </xf>
    <xf numFmtId="0" fontId="189" fillId="0" borderId="0" xfId="0" applyFont="1" applyFill="1" applyBorder="1" applyAlignment="1" applyProtection="1">
      <alignment vertical="center"/>
    </xf>
    <xf numFmtId="0" fontId="191" fillId="0" borderId="0" xfId="0" quotePrefix="1" applyFont="1" applyFill="1" applyBorder="1" applyAlignment="1" applyProtection="1">
      <alignment vertical="center"/>
    </xf>
    <xf numFmtId="3" fontId="184" fillId="0" borderId="0" xfId="0" applyNumberFormat="1" applyFont="1" applyFill="1" applyBorder="1" applyAlignment="1" applyProtection="1">
      <alignment vertical="center"/>
    </xf>
    <xf numFmtId="4" fontId="184" fillId="0" borderId="0" xfId="0" applyNumberFormat="1" applyFont="1" applyFill="1" applyBorder="1" applyAlignment="1" applyProtection="1">
      <alignment vertical="center"/>
    </xf>
    <xf numFmtId="0" fontId="189" fillId="0" borderId="0" xfId="0" applyFont="1" applyFill="1" applyBorder="1" applyAlignment="1" applyProtection="1">
      <alignment horizontal="center" vertical="center"/>
    </xf>
    <xf numFmtId="9" fontId="184" fillId="0" borderId="0" xfId="0" applyNumberFormat="1" applyFont="1" applyFill="1" applyBorder="1" applyAlignment="1" applyProtection="1">
      <alignment horizontal="center" vertical="center"/>
    </xf>
    <xf numFmtId="0" fontId="84" fillId="0" borderId="0" xfId="0" applyFont="1" applyFill="1" applyBorder="1" applyAlignment="1" applyProtection="1">
      <alignment vertical="top" wrapText="1"/>
    </xf>
    <xf numFmtId="0" fontId="185" fillId="0" borderId="0" xfId="0" applyFont="1" applyFill="1" applyBorder="1" applyAlignment="1" applyProtection="1">
      <alignment vertical="top"/>
    </xf>
    <xf numFmtId="164" fontId="93" fillId="0" borderId="0" xfId="1" applyNumberFormat="1" applyFont="1" applyFill="1" applyBorder="1" applyAlignment="1" applyProtection="1">
      <alignment vertical="center" wrapText="1"/>
    </xf>
    <xf numFmtId="0" fontId="192" fillId="0" borderId="0" xfId="0" applyFont="1" applyFill="1" applyBorder="1" applyAlignment="1" applyProtection="1">
      <alignment horizontal="center" vertical="center"/>
    </xf>
    <xf numFmtId="0" fontId="190" fillId="0" borderId="0" xfId="0" applyFont="1" applyFill="1" applyBorder="1" applyAlignment="1" applyProtection="1">
      <alignment horizontal="right" vertical="center"/>
    </xf>
    <xf numFmtId="164" fontId="190" fillId="0" borderId="0" xfId="1" applyNumberFormat="1" applyFont="1" applyFill="1" applyBorder="1" applyAlignment="1" applyProtection="1">
      <alignment horizontal="right" vertical="center"/>
    </xf>
    <xf numFmtId="171" fontId="93" fillId="0" borderId="0" xfId="0" applyNumberFormat="1" applyFont="1" applyFill="1" applyBorder="1" applyAlignment="1" applyProtection="1">
      <alignment vertical="center"/>
    </xf>
    <xf numFmtId="171" fontId="93"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xf>
    <xf numFmtId="164" fontId="93" fillId="0" borderId="0" xfId="1" applyNumberFormat="1" applyFont="1" applyFill="1" applyBorder="1" applyAlignment="1" applyProtection="1">
      <alignment horizontal="center"/>
    </xf>
    <xf numFmtId="0" fontId="190" fillId="0" borderId="0" xfId="0" applyFont="1" applyFill="1" applyBorder="1" applyAlignment="1" applyProtection="1">
      <alignment vertical="top"/>
    </xf>
    <xf numFmtId="0" fontId="190" fillId="0" borderId="0" xfId="0" applyFont="1" applyFill="1" applyBorder="1" applyAlignment="1" applyProtection="1">
      <alignment vertical="center"/>
    </xf>
    <xf numFmtId="4" fontId="190" fillId="0" borderId="0" xfId="1" applyNumberFormat="1" applyFont="1" applyFill="1" applyBorder="1" applyAlignment="1" applyProtection="1">
      <alignment horizontal="right" vertical="center"/>
    </xf>
    <xf numFmtId="171" fontId="187" fillId="0" borderId="0" xfId="0" applyNumberFormat="1" applyFont="1" applyFill="1" applyBorder="1" applyAlignment="1" applyProtection="1">
      <alignment horizontal="left" vertical="center"/>
    </xf>
    <xf numFmtId="4" fontId="190" fillId="0" borderId="0" xfId="1" applyNumberFormat="1" applyFont="1" applyFill="1" applyBorder="1" applyAlignment="1" applyProtection="1">
      <alignment vertical="center"/>
    </xf>
    <xf numFmtId="171" fontId="190" fillId="0" borderId="0" xfId="0" applyNumberFormat="1" applyFont="1" applyFill="1" applyBorder="1" applyAlignment="1" applyProtection="1">
      <alignment vertical="center"/>
    </xf>
    <xf numFmtId="4" fontId="190" fillId="0" borderId="0" xfId="0" applyNumberFormat="1" applyFont="1" applyFill="1" applyBorder="1" applyAlignment="1" applyProtection="1">
      <alignment vertical="center"/>
    </xf>
    <xf numFmtId="0" fontId="190" fillId="0" borderId="0" xfId="0" applyFont="1" applyFill="1" applyBorder="1" applyAlignment="1" applyProtection="1">
      <alignment horizontal="center" vertical="center"/>
    </xf>
    <xf numFmtId="164" fontId="93" fillId="0" borderId="0" xfId="1" applyNumberFormat="1" applyFont="1" applyFill="1" applyBorder="1" applyProtection="1"/>
    <xf numFmtId="164" fontId="190" fillId="0" borderId="0" xfId="1" applyNumberFormat="1" applyFont="1" applyFill="1" applyBorder="1" applyAlignment="1" applyProtection="1">
      <alignment vertical="center"/>
    </xf>
    <xf numFmtId="3" fontId="93" fillId="0" borderId="0" xfId="0" applyNumberFormat="1" applyFont="1" applyFill="1" applyBorder="1" applyProtection="1"/>
    <xf numFmtId="0" fontId="87" fillId="0" borderId="0" xfId="0" applyFont="1" applyFill="1" applyBorder="1" applyAlignment="1" applyProtection="1">
      <alignment horizontal="right" vertical="center"/>
    </xf>
    <xf numFmtId="6" fontId="93" fillId="0" borderId="0" xfId="0" applyNumberFormat="1" applyFont="1" applyFill="1" applyBorder="1" applyAlignment="1" applyProtection="1">
      <alignment horizontal="center" vertical="center"/>
    </xf>
    <xf numFmtId="0" fontId="190" fillId="0" borderId="0" xfId="0" applyFont="1" applyFill="1" applyBorder="1" applyAlignment="1" applyProtection="1">
      <alignment horizontal="left" vertical="center"/>
    </xf>
    <xf numFmtId="0" fontId="93" fillId="0" borderId="0" xfId="1" applyNumberFormat="1" applyFont="1" applyFill="1" applyBorder="1" applyAlignment="1" applyProtection="1">
      <alignment vertical="center"/>
    </xf>
    <xf numFmtId="4" fontId="93" fillId="0" borderId="0" xfId="1" applyNumberFormat="1"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164" fontId="93" fillId="0" borderId="0" xfId="1" applyNumberFormat="1" applyFont="1" applyFill="1" applyBorder="1" applyAlignment="1" applyProtection="1">
      <alignment horizontal="left" vertical="center"/>
    </xf>
    <xf numFmtId="0" fontId="185" fillId="0" borderId="0" xfId="0" applyFont="1" applyFill="1" applyBorder="1" applyAlignment="1" applyProtection="1">
      <alignment horizontal="left" vertical="top"/>
    </xf>
    <xf numFmtId="0" fontId="188" fillId="0" borderId="0" xfId="0" applyFont="1" applyFill="1" applyBorder="1" applyAlignment="1" applyProtection="1">
      <alignment horizontal="right" vertical="center"/>
    </xf>
    <xf numFmtId="0" fontId="87" fillId="0" borderId="0" xfId="0" applyFont="1" applyFill="1" applyBorder="1" applyAlignment="1" applyProtection="1">
      <alignment vertical="center" wrapText="1"/>
    </xf>
    <xf numFmtId="10"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right" vertical="center"/>
    </xf>
    <xf numFmtId="0" fontId="185" fillId="0" borderId="0" xfId="0" applyFont="1" applyFill="1" applyBorder="1" applyAlignment="1" applyProtection="1">
      <alignment vertical="center"/>
    </xf>
    <xf numFmtId="0" fontId="194" fillId="0" borderId="0" xfId="0" applyFont="1" applyFill="1" applyBorder="1" applyAlignment="1" applyProtection="1">
      <alignment horizontal="left" vertical="center"/>
    </xf>
    <xf numFmtId="38" fontId="184" fillId="0" borderId="0" xfId="0" applyNumberFormat="1" applyFont="1" applyFill="1" applyBorder="1" applyAlignment="1" applyProtection="1">
      <alignment vertical="center"/>
    </xf>
    <xf numFmtId="168" fontId="93" fillId="0" borderId="0" xfId="0" applyNumberFormat="1" applyFont="1" applyFill="1" applyBorder="1" applyAlignment="1" applyProtection="1">
      <alignment vertical="center"/>
    </xf>
    <xf numFmtId="170" fontId="93" fillId="0" borderId="0" xfId="0" applyNumberFormat="1" applyFont="1" applyFill="1" applyBorder="1" applyAlignment="1" applyProtection="1">
      <alignment vertical="center"/>
    </xf>
    <xf numFmtId="0" fontId="195" fillId="0" borderId="0" xfId="28" applyFont="1" applyFill="1" applyBorder="1" applyProtection="1"/>
    <xf numFmtId="175" fontId="84" fillId="0" borderId="0" xfId="28" applyNumberFormat="1" applyFont="1" applyFill="1" applyBorder="1" applyAlignment="1" applyProtection="1">
      <alignment vertical="center"/>
    </xf>
    <xf numFmtId="0" fontId="84" fillId="0" borderId="0" xfId="28" applyNumberFormat="1" applyFont="1" applyFill="1" applyBorder="1" applyAlignment="1" applyProtection="1">
      <alignment horizontal="center" vertical="center"/>
    </xf>
    <xf numFmtId="0" fontId="88" fillId="0" borderId="0" xfId="28" applyFont="1" applyFill="1" applyBorder="1" applyAlignment="1" applyProtection="1">
      <alignment vertical="top" wrapText="1"/>
    </xf>
    <xf numFmtId="0" fontId="88" fillId="0" borderId="0" xfId="28" applyFont="1" applyFill="1" applyBorder="1" applyProtection="1"/>
    <xf numFmtId="0" fontId="88" fillId="0" borderId="0" xfId="28" applyFont="1" applyFill="1" applyBorder="1" applyAlignment="1" applyProtection="1">
      <alignment horizontal="center"/>
    </xf>
    <xf numFmtId="0" fontId="87" fillId="0" borderId="0" xfId="28" applyFont="1" applyFill="1" applyBorder="1" applyAlignment="1" applyProtection="1">
      <alignment vertical="center"/>
    </xf>
    <xf numFmtId="0" fontId="88" fillId="0" borderId="0" xfId="28" applyFont="1" applyFill="1" applyBorder="1" applyAlignment="1" applyProtection="1">
      <alignment vertical="center"/>
    </xf>
    <xf numFmtId="0" fontId="88" fillId="0" borderId="0" xfId="28" applyFont="1" applyFill="1" applyBorder="1" applyAlignment="1" applyProtection="1">
      <alignment horizontal="center" vertical="center"/>
    </xf>
    <xf numFmtId="0" fontId="84" fillId="0" borderId="0" xfId="28" applyFont="1" applyFill="1" applyBorder="1" applyAlignment="1" applyProtection="1">
      <alignment wrapText="1"/>
    </xf>
    <xf numFmtId="0" fontId="88" fillId="0" borderId="0" xfId="28" applyFont="1" applyFill="1" applyBorder="1" applyAlignment="1" applyProtection="1">
      <alignment wrapText="1"/>
    </xf>
    <xf numFmtId="0" fontId="88" fillId="0" borderId="0" xfId="28" applyFont="1" applyFill="1" applyBorder="1" applyAlignment="1" applyProtection="1">
      <alignment horizontal="center" wrapText="1"/>
    </xf>
    <xf numFmtId="0" fontId="88" fillId="0" borderId="0" xfId="28" applyFont="1" applyFill="1" applyBorder="1" applyAlignment="1" applyProtection="1">
      <alignment textRotation="90" wrapText="1"/>
    </xf>
    <xf numFmtId="0" fontId="84" fillId="0" borderId="0" xfId="28" applyFont="1" applyFill="1" applyBorder="1" applyAlignment="1" applyProtection="1">
      <alignment horizontal="left"/>
    </xf>
    <xf numFmtId="3" fontId="84" fillId="0" borderId="0" xfId="28" applyNumberFormat="1" applyFont="1" applyFill="1" applyBorder="1" applyAlignment="1" applyProtection="1">
      <alignment vertical="top" wrapText="1"/>
    </xf>
    <xf numFmtId="3" fontId="84" fillId="0" borderId="0" xfId="28" applyNumberFormat="1" applyFont="1" applyFill="1" applyBorder="1" applyAlignment="1" applyProtection="1">
      <alignment horizontal="center" vertical="center"/>
    </xf>
    <xf numFmtId="0" fontId="88" fillId="0" borderId="0" xfId="28" applyFont="1" applyFill="1" applyBorder="1" applyAlignment="1" applyProtection="1">
      <alignment horizontal="center" vertical="center" wrapText="1"/>
    </xf>
    <xf numFmtId="0" fontId="196" fillId="0" borderId="0" xfId="28" applyFont="1" applyFill="1" applyBorder="1" applyAlignment="1" applyProtection="1">
      <alignment vertical="center" wrapText="1"/>
    </xf>
    <xf numFmtId="0" fontId="197" fillId="0" borderId="0" xfId="28" applyFont="1" applyFill="1" applyBorder="1" applyAlignment="1" applyProtection="1">
      <alignment horizontal="center" vertical="center" wrapText="1"/>
    </xf>
    <xf numFmtId="0" fontId="194" fillId="0" borderId="0" xfId="28" applyFont="1" applyFill="1" applyBorder="1" applyAlignment="1" applyProtection="1">
      <alignment horizontal="center" vertical="center"/>
    </xf>
    <xf numFmtId="3" fontId="88" fillId="0" borderId="0" xfId="10" applyNumberFormat="1" applyFont="1" applyFill="1" applyBorder="1" applyAlignment="1" applyProtection="1">
      <alignment horizontal="center" vertical="center"/>
    </xf>
    <xf numFmtId="1" fontId="88" fillId="0" borderId="0" xfId="1" applyNumberFormat="1" applyFont="1" applyFill="1" applyBorder="1" applyAlignment="1" applyProtection="1">
      <alignment horizontal="center" vertical="center"/>
    </xf>
    <xf numFmtId="173" fontId="88" fillId="0" borderId="0" xfId="1" applyNumberFormat="1" applyFont="1" applyFill="1" applyBorder="1" applyAlignment="1" applyProtection="1">
      <alignment horizontal="center" vertical="center"/>
    </xf>
    <xf numFmtId="3" fontId="88" fillId="0" borderId="0" xfId="1" applyNumberFormat="1" applyFont="1" applyFill="1" applyBorder="1" applyAlignment="1" applyProtection="1">
      <alignment horizontal="center" vertical="center"/>
    </xf>
    <xf numFmtId="3" fontId="184" fillId="0" borderId="0" xfId="1" applyNumberFormat="1" applyFont="1" applyFill="1" applyBorder="1" applyAlignment="1" applyProtection="1">
      <alignment horizontal="center" vertical="center"/>
    </xf>
    <xf numFmtId="38" fontId="88" fillId="0" borderId="0" xfId="1" applyNumberFormat="1" applyFont="1" applyFill="1" applyBorder="1" applyAlignment="1" applyProtection="1">
      <alignment horizontal="center" vertical="center"/>
    </xf>
    <xf numFmtId="0" fontId="184" fillId="0" borderId="0" xfId="28" applyFont="1" applyFill="1" applyBorder="1" applyAlignment="1" applyProtection="1">
      <alignment horizontal="center" vertical="center"/>
    </xf>
    <xf numFmtId="3" fontId="88" fillId="0" borderId="0" xfId="28" applyNumberFormat="1" applyFont="1" applyFill="1" applyBorder="1" applyAlignment="1" applyProtection="1">
      <alignment horizontal="center" vertical="center"/>
    </xf>
    <xf numFmtId="10" fontId="88" fillId="0" borderId="0" xfId="28" applyNumberFormat="1" applyFont="1" applyFill="1" applyBorder="1" applyAlignment="1" applyProtection="1">
      <alignment horizontal="center" vertical="center"/>
    </xf>
    <xf numFmtId="3" fontId="84" fillId="0" borderId="0" xfId="28" applyNumberFormat="1" applyFont="1" applyFill="1" applyBorder="1" applyAlignment="1" applyProtection="1">
      <alignment horizontal="center"/>
    </xf>
    <xf numFmtId="0" fontId="88" fillId="0" borderId="0" xfId="10" applyNumberFormat="1" applyFont="1" applyFill="1" applyBorder="1" applyAlignment="1" applyProtection="1">
      <alignment horizontal="center" vertical="center"/>
    </xf>
    <xf numFmtId="0" fontId="88" fillId="0" borderId="0" xfId="28" applyFont="1" applyFill="1" applyBorder="1" applyAlignment="1" applyProtection="1">
      <alignment horizontal="right" vertical="center"/>
    </xf>
    <xf numFmtId="37" fontId="88" fillId="0" borderId="0" xfId="1" applyNumberFormat="1" applyFont="1" applyFill="1" applyBorder="1" applyAlignment="1" applyProtection="1">
      <alignment horizontal="center" vertical="center"/>
    </xf>
    <xf numFmtId="37" fontId="85" fillId="0" borderId="0" xfId="1"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0" fontId="85" fillId="0" borderId="0" xfId="28" applyFont="1" applyFill="1" applyBorder="1" applyAlignment="1" applyProtection="1">
      <alignment horizontal="center" vertical="center"/>
    </xf>
    <xf numFmtId="164" fontId="85" fillId="0" borderId="0" xfId="1" applyNumberFormat="1" applyFont="1" applyFill="1" applyBorder="1" applyAlignment="1" applyProtection="1">
      <alignment horizontal="center" vertical="center"/>
    </xf>
    <xf numFmtId="164" fontId="88" fillId="0" borderId="0" xfId="1" applyNumberFormat="1" applyFont="1" applyFill="1" applyBorder="1" applyAlignment="1" applyProtection="1">
      <alignment horizontal="center" vertical="center"/>
    </xf>
    <xf numFmtId="2" fontId="88" fillId="0" borderId="0" xfId="28" applyNumberFormat="1" applyFont="1" applyFill="1" applyBorder="1" applyAlignment="1" applyProtection="1">
      <alignment vertical="top"/>
    </xf>
    <xf numFmtId="0" fontId="84" fillId="0" borderId="0" xfId="28" applyFont="1" applyFill="1" applyBorder="1" applyAlignment="1" applyProtection="1">
      <alignment horizontal="right" vertical="center"/>
    </xf>
    <xf numFmtId="0" fontId="87" fillId="0" borderId="0" xfId="28" applyFont="1" applyFill="1" applyBorder="1" applyAlignment="1" applyProtection="1">
      <alignment vertical="center" wrapText="1"/>
    </xf>
    <xf numFmtId="0" fontId="87" fillId="0" borderId="0" xfId="28" applyFont="1" applyFill="1" applyBorder="1" applyAlignment="1" applyProtection="1">
      <alignment horizontal="left" vertical="center" wrapText="1"/>
    </xf>
    <xf numFmtId="38" fontId="84" fillId="0" borderId="0" xfId="28" applyNumberFormat="1" applyFont="1" applyFill="1" applyBorder="1" applyAlignment="1" applyProtection="1">
      <alignment vertical="center"/>
    </xf>
    <xf numFmtId="0" fontId="84" fillId="0" borderId="0" xfId="28" applyNumberFormat="1" applyFont="1" applyFill="1" applyBorder="1" applyAlignment="1" applyProtection="1">
      <alignment horizontal="center" vertical="center" wrapText="1"/>
    </xf>
    <xf numFmtId="0" fontId="198" fillId="0" borderId="0" xfId="28" applyFont="1" applyFill="1" applyBorder="1" applyAlignment="1" applyProtection="1">
      <alignment horizontal="right"/>
    </xf>
    <xf numFmtId="38" fontId="84" fillId="0" borderId="0" xfId="1" applyNumberFormat="1" applyFont="1" applyFill="1" applyBorder="1" applyAlignment="1" applyProtection="1">
      <alignment horizontal="right" vertical="center"/>
    </xf>
    <xf numFmtId="0" fontId="85" fillId="0" borderId="0" xfId="28" applyFont="1" applyFill="1" applyBorder="1" applyAlignment="1" applyProtection="1">
      <alignment horizontal="left" vertical="center" wrapText="1"/>
    </xf>
    <xf numFmtId="0" fontId="176" fillId="0" borderId="0" xfId="28" applyFont="1" applyFill="1" applyBorder="1" applyAlignment="1" applyProtection="1">
      <alignment vertical="center"/>
    </xf>
    <xf numFmtId="0" fontId="176" fillId="0" borderId="0" xfId="28" applyFont="1" applyFill="1" applyBorder="1" applyProtection="1"/>
    <xf numFmtId="0" fontId="199" fillId="0" borderId="0" xfId="28" applyFont="1" applyFill="1" applyBorder="1" applyAlignment="1" applyProtection="1">
      <alignment vertical="center"/>
    </xf>
    <xf numFmtId="38" fontId="176" fillId="0" borderId="0" xfId="1" applyNumberFormat="1" applyFont="1" applyFill="1" applyBorder="1" applyAlignment="1" applyProtection="1">
      <alignment horizontal="right" vertical="center"/>
    </xf>
    <xf numFmtId="38" fontId="84" fillId="0" borderId="0" xfId="28" applyNumberFormat="1" applyFont="1" applyFill="1" applyBorder="1" applyAlignment="1" applyProtection="1">
      <alignment horizontal="right" vertical="center"/>
    </xf>
    <xf numFmtId="0" fontId="200" fillId="0" borderId="0" xfId="28" applyFont="1" applyFill="1" applyBorder="1" applyAlignment="1" applyProtection="1">
      <alignment horizontal="center" vertical="center"/>
    </xf>
    <xf numFmtId="0" fontId="88" fillId="0" borderId="0" xfId="28" applyNumberFormat="1" applyFont="1" applyFill="1" applyBorder="1" applyAlignment="1" applyProtection="1">
      <alignment horizontal="center" vertical="center"/>
    </xf>
    <xf numFmtId="10" fontId="84" fillId="0" borderId="0" xfId="28" applyNumberFormat="1" applyFont="1" applyFill="1" applyBorder="1" applyAlignment="1" applyProtection="1">
      <alignment horizontal="right" vertical="center"/>
    </xf>
    <xf numFmtId="10" fontId="85" fillId="0" borderId="0" xfId="28" applyNumberFormat="1" applyFont="1" applyFill="1" applyBorder="1" applyAlignment="1" applyProtection="1">
      <alignment horizontal="center"/>
    </xf>
    <xf numFmtId="0" fontId="88" fillId="0" borderId="0" xfId="28" applyFont="1" applyFill="1" applyBorder="1" applyAlignment="1" applyProtection="1">
      <alignment vertical="top"/>
    </xf>
    <xf numFmtId="0" fontId="93" fillId="0" borderId="0" xfId="28" applyFont="1" applyFill="1" applyBorder="1" applyProtection="1"/>
    <xf numFmtId="38" fontId="84" fillId="0" borderId="0" xfId="28" applyNumberFormat="1" applyFont="1" applyFill="1" applyBorder="1" applyProtection="1"/>
    <xf numFmtId="0" fontId="88" fillId="0" borderId="0" xfId="28" applyFont="1" applyFill="1" applyBorder="1" applyAlignment="1" applyProtection="1">
      <alignment vertical="center" wrapText="1"/>
    </xf>
    <xf numFmtId="0" fontId="88" fillId="0" borderId="0" xfId="28" applyFont="1" applyFill="1" applyBorder="1" applyAlignment="1" applyProtection="1"/>
    <xf numFmtId="0" fontId="88" fillId="0" borderId="0" xfId="28" applyFont="1" applyFill="1" applyBorder="1" applyAlignment="1" applyProtection="1">
      <alignment horizontal="left"/>
    </xf>
    <xf numFmtId="0" fontId="93" fillId="0" borderId="0" xfId="28" applyFont="1" applyFill="1" applyBorder="1" applyAlignment="1" applyProtection="1"/>
    <xf numFmtId="0" fontId="85" fillId="0" borderId="0" xfId="28" applyFont="1" applyFill="1" applyBorder="1" applyAlignment="1" applyProtection="1">
      <alignment horizontal="left" vertical="center"/>
    </xf>
    <xf numFmtId="0" fontId="199" fillId="0" borderId="0" xfId="28" applyFont="1" applyFill="1" applyBorder="1" applyAlignment="1" applyProtection="1">
      <alignment horizontal="left" vertical="center"/>
    </xf>
    <xf numFmtId="0" fontId="93" fillId="0" borderId="0" xfId="28" applyFont="1" applyFill="1" applyBorder="1" applyAlignment="1" applyProtection="1">
      <alignment vertical="center"/>
    </xf>
    <xf numFmtId="0" fontId="87" fillId="0" borderId="0" xfId="28" applyFont="1" applyFill="1" applyBorder="1" applyProtection="1"/>
    <xf numFmtId="38" fontId="84" fillId="0" borderId="0" xfId="1" applyNumberFormat="1" applyFont="1" applyFill="1" applyBorder="1" applyAlignment="1" applyProtection="1">
      <alignment vertical="center"/>
    </xf>
    <xf numFmtId="3" fontId="84" fillId="0" borderId="0" xfId="28" applyNumberFormat="1" applyFont="1" applyFill="1" applyBorder="1" applyAlignment="1" applyProtection="1">
      <alignment vertical="center"/>
    </xf>
    <xf numFmtId="164" fontId="88" fillId="0" borderId="0" xfId="28" applyNumberFormat="1" applyFont="1" applyFill="1" applyBorder="1" applyAlignment="1" applyProtection="1"/>
    <xf numFmtId="10" fontId="88" fillId="0" borderId="0" xfId="28" applyNumberFormat="1" applyFont="1" applyFill="1" applyBorder="1" applyProtection="1"/>
    <xf numFmtId="0" fontId="88" fillId="0" borderId="0" xfId="28" applyFont="1" applyFill="1" applyBorder="1" applyAlignment="1" applyProtection="1">
      <alignment horizontal="left" indent="2"/>
    </xf>
    <xf numFmtId="9" fontId="88" fillId="0" borderId="0" xfId="10" applyFont="1" applyFill="1" applyBorder="1" applyProtection="1"/>
    <xf numFmtId="0" fontId="88" fillId="0" borderId="0" xfId="1" applyNumberFormat="1" applyFont="1" applyFill="1" applyBorder="1" applyAlignment="1" applyProtection="1">
      <alignment horizontal="center"/>
    </xf>
    <xf numFmtId="0" fontId="198" fillId="0" borderId="0" xfId="1" applyNumberFormat="1" applyFont="1" applyFill="1" applyBorder="1" applyAlignment="1" applyProtection="1">
      <alignment horizontal="center"/>
    </xf>
    <xf numFmtId="3" fontId="88" fillId="0" borderId="0" xfId="28" applyNumberFormat="1" applyFont="1" applyFill="1" applyBorder="1" applyAlignment="1" applyProtection="1">
      <alignment vertical="center"/>
    </xf>
    <xf numFmtId="3" fontId="88" fillId="0" borderId="0" xfId="10" applyNumberFormat="1" applyFont="1" applyFill="1" applyBorder="1" applyAlignment="1" applyProtection="1">
      <alignment vertical="center"/>
    </xf>
    <xf numFmtId="164" fontId="88" fillId="0" borderId="0" xfId="1" applyNumberFormat="1" applyFont="1" applyFill="1" applyBorder="1" applyAlignment="1" applyProtection="1">
      <alignment vertical="center"/>
    </xf>
    <xf numFmtId="44" fontId="88" fillId="0" borderId="0" xfId="28" applyNumberFormat="1" applyFont="1" applyFill="1" applyBorder="1" applyProtection="1"/>
    <xf numFmtId="44" fontId="84" fillId="0" borderId="0" xfId="28" applyNumberFormat="1" applyFont="1" applyFill="1" applyBorder="1" applyProtection="1"/>
    <xf numFmtId="0" fontId="85" fillId="0" borderId="0" xfId="28" applyFont="1" applyFill="1" applyBorder="1" applyAlignment="1" applyProtection="1"/>
    <xf numFmtId="0" fontId="176" fillId="0" borderId="0" xfId="28" applyFont="1" applyFill="1" applyBorder="1" applyAlignment="1" applyProtection="1">
      <alignment horizontal="right" vertical="center"/>
    </xf>
    <xf numFmtId="38" fontId="85" fillId="0" borderId="0" xfId="28" applyNumberFormat="1" applyFont="1" applyFill="1" applyBorder="1" applyAlignment="1" applyProtection="1">
      <alignment vertical="center" wrapText="1"/>
    </xf>
    <xf numFmtId="38" fontId="84" fillId="0" borderId="0" xfId="28" applyNumberFormat="1" applyFont="1" applyFill="1" applyBorder="1" applyAlignment="1" applyProtection="1">
      <alignment horizontal="center" vertical="center"/>
    </xf>
    <xf numFmtId="3" fontId="84" fillId="0" borderId="0" xfId="1" applyNumberFormat="1" applyFont="1" applyFill="1" applyBorder="1" applyAlignment="1" applyProtection="1">
      <alignment vertical="center"/>
    </xf>
    <xf numFmtId="4" fontId="88" fillId="0" borderId="0" xfId="1" applyNumberFormat="1" applyFont="1" applyFill="1" applyBorder="1" applyAlignment="1" applyProtection="1">
      <alignment horizontal="center" vertical="center"/>
    </xf>
    <xf numFmtId="0" fontId="85" fillId="0" borderId="0" xfId="28" applyFont="1" applyFill="1" applyBorder="1" applyAlignment="1" applyProtection="1">
      <alignment vertical="center" wrapText="1"/>
    </xf>
    <xf numFmtId="0" fontId="93" fillId="0" borderId="0" xfId="28" applyFont="1" applyFill="1" applyBorder="1" applyAlignment="1" applyProtection="1">
      <alignment horizontal="center" vertical="center"/>
    </xf>
    <xf numFmtId="3" fontId="84" fillId="0" borderId="0" xfId="1" applyNumberFormat="1" applyFont="1" applyFill="1" applyBorder="1" applyAlignment="1" applyProtection="1">
      <alignment horizontal="right" vertical="center"/>
    </xf>
    <xf numFmtId="3" fontId="93" fillId="0" borderId="0" xfId="28" applyNumberFormat="1" applyFont="1" applyFill="1" applyBorder="1" applyAlignment="1" applyProtection="1">
      <alignment horizontal="center" vertical="center"/>
    </xf>
    <xf numFmtId="3" fontId="88" fillId="0" borderId="0" xfId="1" applyNumberFormat="1" applyFont="1" applyFill="1" applyBorder="1" applyAlignment="1" applyProtection="1">
      <alignment horizontal="right" vertical="center"/>
    </xf>
    <xf numFmtId="1" fontId="201" fillId="0" borderId="0" xfId="28" applyNumberFormat="1" applyFont="1" applyFill="1" applyBorder="1" applyAlignment="1" applyProtection="1"/>
    <xf numFmtId="0" fontId="186" fillId="0" borderId="0" xfId="28" applyFont="1" applyFill="1" applyBorder="1" applyAlignment="1" applyProtection="1"/>
    <xf numFmtId="0" fontId="186" fillId="0" borderId="0" xfId="28" applyFont="1" applyFill="1" applyBorder="1" applyAlignment="1" applyProtection="1">
      <alignment horizontal="center"/>
    </xf>
    <xf numFmtId="0" fontId="87" fillId="0" borderId="0" xfId="28" applyFont="1" applyFill="1" applyBorder="1" applyAlignment="1" applyProtection="1"/>
    <xf numFmtId="3" fontId="85" fillId="0" borderId="0" xfId="28" applyNumberFormat="1" applyFont="1" applyFill="1" applyBorder="1" applyAlignment="1" applyProtection="1">
      <alignment horizontal="center" vertical="center"/>
    </xf>
    <xf numFmtId="38" fontId="84" fillId="0" borderId="0" xfId="1" applyNumberFormat="1" applyFont="1" applyFill="1" applyBorder="1" applyAlignment="1" applyProtection="1">
      <alignment horizontal="left" vertical="center"/>
    </xf>
    <xf numFmtId="0" fontId="184" fillId="0" borderId="0" xfId="28" applyFont="1" applyFill="1" applyBorder="1" applyAlignment="1" applyProtection="1">
      <alignment vertical="top" wrapText="1"/>
    </xf>
    <xf numFmtId="0" fontId="120" fillId="0" borderId="0" xfId="28" applyFont="1" applyFill="1" applyBorder="1" applyAlignment="1" applyProtection="1">
      <alignment vertical="center" wrapText="1"/>
    </xf>
    <xf numFmtId="10" fontId="84" fillId="0" borderId="0" xfId="0" applyNumberFormat="1" applyFont="1" applyFill="1" applyBorder="1" applyAlignment="1" applyProtection="1">
      <alignment horizontal="left"/>
    </xf>
    <xf numFmtId="164" fontId="84" fillId="0" borderId="0" xfId="1" applyNumberFormat="1" applyFont="1" applyFill="1" applyBorder="1" applyAlignment="1" applyProtection="1">
      <alignment horizontal="right"/>
    </xf>
    <xf numFmtId="0" fontId="84" fillId="0" borderId="0" xfId="0" applyFont="1" applyFill="1" applyBorder="1" applyAlignment="1" applyProtection="1">
      <alignment horizontal="left"/>
    </xf>
    <xf numFmtId="10" fontId="84" fillId="0" borderId="0" xfId="0" applyNumberFormat="1" applyFont="1" applyFill="1" applyBorder="1" applyAlignment="1" applyProtection="1">
      <alignment horizontal="center"/>
    </xf>
    <xf numFmtId="3" fontId="84" fillId="0" borderId="0" xfId="0" applyNumberFormat="1" applyFont="1" applyFill="1" applyBorder="1" applyAlignment="1" applyProtection="1">
      <alignment horizontal="right"/>
    </xf>
    <xf numFmtId="0" fontId="84" fillId="0" borderId="0" xfId="0" applyFont="1" applyFill="1" applyBorder="1" applyAlignment="1" applyProtection="1">
      <alignment horizontal="right"/>
    </xf>
    <xf numFmtId="0" fontId="84" fillId="0" borderId="0" xfId="0" applyNumberFormat="1" applyFont="1" applyFill="1" applyBorder="1" applyAlignment="1" applyProtection="1">
      <alignment horizontal="right" vertical="center"/>
    </xf>
    <xf numFmtId="0" fontId="84" fillId="0" borderId="0" xfId="0" quotePrefix="1" applyFont="1" applyFill="1" applyBorder="1" applyAlignment="1" applyProtection="1">
      <alignment horizontal="left" vertical="center"/>
    </xf>
    <xf numFmtId="3" fontId="84" fillId="0" borderId="0" xfId="10" applyNumberFormat="1" applyFont="1" applyFill="1" applyBorder="1" applyAlignment="1" applyProtection="1">
      <alignment horizontal="right" vertical="center"/>
    </xf>
    <xf numFmtId="166" fontId="84" fillId="0" borderId="0" xfId="10" applyNumberFormat="1" applyFont="1" applyFill="1" applyBorder="1" applyAlignment="1" applyProtection="1">
      <alignment horizontal="right" vertical="center"/>
    </xf>
    <xf numFmtId="0" fontId="84" fillId="0" borderId="0" xfId="0" applyFont="1" applyFill="1" applyBorder="1" applyAlignment="1" applyProtection="1">
      <alignment horizontal="left" vertical="center"/>
    </xf>
    <xf numFmtId="164" fontId="84" fillId="0" borderId="0" xfId="1" applyNumberFormat="1" applyFont="1" applyFill="1" applyBorder="1" applyProtection="1"/>
    <xf numFmtId="0" fontId="88" fillId="0" borderId="0" xfId="0" applyFont="1" applyFill="1" applyBorder="1" applyAlignment="1" applyProtection="1">
      <alignment wrapText="1"/>
    </xf>
    <xf numFmtId="0" fontId="84" fillId="0" borderId="0" xfId="0" applyFont="1" applyFill="1" applyBorder="1" applyAlignment="1" applyProtection="1">
      <alignment horizontal="center"/>
    </xf>
    <xf numFmtId="3" fontId="84" fillId="0" borderId="0" xfId="0" applyNumberFormat="1" applyFont="1" applyFill="1" applyBorder="1" applyAlignment="1" applyProtection="1">
      <alignment horizontal="center"/>
    </xf>
    <xf numFmtId="43" fontId="84" fillId="0" borderId="0" xfId="1" applyNumberFormat="1" applyFont="1" applyFill="1" applyBorder="1" applyProtection="1"/>
    <xf numFmtId="39" fontId="84" fillId="0" borderId="0" xfId="1" applyNumberFormat="1" applyFont="1" applyFill="1" applyBorder="1" applyAlignment="1" applyProtection="1">
      <alignment horizontal="right"/>
    </xf>
    <xf numFmtId="0" fontId="120" fillId="0" borderId="0" xfId="0" applyFont="1" applyFill="1" applyBorder="1" applyAlignment="1" applyProtection="1">
      <alignment vertical="center" wrapText="1"/>
    </xf>
    <xf numFmtId="182" fontId="85" fillId="0" borderId="0" xfId="28" applyNumberFormat="1" applyFont="1" applyFill="1" applyBorder="1" applyAlignment="1" applyProtection="1">
      <alignment vertical="center"/>
    </xf>
    <xf numFmtId="0" fontId="85" fillId="0" borderId="0" xfId="28" applyFont="1" applyFill="1" applyBorder="1" applyAlignment="1" applyProtection="1">
      <alignment horizontal="right" vertical="center"/>
    </xf>
    <xf numFmtId="183" fontId="88" fillId="0" borderId="0" xfId="28" applyNumberFormat="1" applyFont="1" applyFill="1" applyBorder="1" applyAlignment="1" applyProtection="1">
      <alignment vertical="center"/>
    </xf>
    <xf numFmtId="0" fontId="87" fillId="0" borderId="0" xfId="28" applyFont="1" applyFill="1" applyBorder="1" applyAlignment="1" applyProtection="1">
      <alignment horizontal="left"/>
    </xf>
    <xf numFmtId="0" fontId="87" fillId="0" borderId="0" xfId="28" applyFont="1" applyFill="1" applyBorder="1" applyAlignment="1" applyProtection="1">
      <alignment horizontal="center"/>
    </xf>
    <xf numFmtId="0" fontId="87" fillId="0" borderId="0" xfId="28" applyFont="1" applyFill="1" applyBorder="1" applyAlignment="1" applyProtection="1">
      <alignment wrapText="1"/>
    </xf>
    <xf numFmtId="14" fontId="87" fillId="0" borderId="0" xfId="28" applyNumberFormat="1" applyFont="1" applyFill="1" applyBorder="1" applyAlignment="1" applyProtection="1">
      <alignment horizontal="center"/>
    </xf>
    <xf numFmtId="0" fontId="87" fillId="0" borderId="0" xfId="28" applyFont="1" applyFill="1" applyBorder="1" applyAlignment="1" applyProtection="1">
      <alignment horizontal="center" vertical="center"/>
    </xf>
    <xf numFmtId="14" fontId="87" fillId="0" borderId="0" xfId="28" applyNumberFormat="1" applyFont="1" applyFill="1" applyBorder="1" applyAlignment="1" applyProtection="1">
      <alignment horizontal="center" vertical="center"/>
    </xf>
    <xf numFmtId="3" fontId="87" fillId="0" borderId="0" xfId="28" applyNumberFormat="1" applyFont="1" applyFill="1" applyBorder="1" applyAlignment="1" applyProtection="1">
      <alignment horizontal="center" vertical="center"/>
    </xf>
    <xf numFmtId="10" fontId="87" fillId="0" borderId="0" xfId="28" applyNumberFormat="1" applyFont="1" applyFill="1" applyBorder="1" applyAlignment="1" applyProtection="1">
      <alignment horizontal="center" vertical="center"/>
    </xf>
    <xf numFmtId="0" fontId="87" fillId="0" borderId="0" xfId="28" applyFont="1" applyFill="1" applyBorder="1" applyAlignment="1" applyProtection="1">
      <alignment horizontal="left" vertical="center"/>
    </xf>
    <xf numFmtId="0" fontId="88" fillId="0" borderId="0" xfId="28" applyNumberFormat="1" applyFont="1" applyFill="1" applyBorder="1" applyAlignment="1" applyProtection="1">
      <alignment vertical="center"/>
    </xf>
    <xf numFmtId="0" fontId="87" fillId="0" borderId="0" xfId="28" applyFont="1" applyFill="1" applyBorder="1" applyAlignment="1" applyProtection="1">
      <alignment vertical="top" wrapText="1"/>
    </xf>
    <xf numFmtId="14" fontId="87" fillId="0" borderId="0" xfId="28" applyNumberFormat="1" applyFont="1" applyFill="1" applyBorder="1" applyAlignment="1" applyProtection="1"/>
    <xf numFmtId="14" fontId="87" fillId="0" borderId="0" xfId="28" applyNumberFormat="1" applyFont="1" applyFill="1" applyBorder="1" applyAlignment="1" applyProtection="1">
      <alignment vertical="center"/>
    </xf>
    <xf numFmtId="3" fontId="87" fillId="0" borderId="0" xfId="28" applyNumberFormat="1" applyFont="1" applyFill="1" applyBorder="1" applyAlignment="1" applyProtection="1">
      <alignment vertical="center"/>
    </xf>
    <xf numFmtId="10" fontId="87" fillId="0" borderId="0" xfId="28" applyNumberFormat="1" applyFont="1" applyFill="1" applyBorder="1" applyAlignment="1" applyProtection="1">
      <alignment vertical="center"/>
    </xf>
    <xf numFmtId="0" fontId="184" fillId="0" borderId="0" xfId="28" applyFont="1" applyFill="1" applyBorder="1" applyAlignment="1" applyProtection="1">
      <alignment horizontal="left" vertical="center"/>
    </xf>
    <xf numFmtId="0" fontId="184" fillId="0" borderId="0" xfId="28" applyFont="1" applyFill="1" applyBorder="1" applyAlignment="1" applyProtection="1">
      <alignment vertical="center"/>
    </xf>
    <xf numFmtId="0" fontId="184" fillId="0" borderId="0" xfId="28" applyFont="1" applyFill="1" applyBorder="1" applyAlignment="1" applyProtection="1">
      <alignment horizontal="left"/>
    </xf>
    <xf numFmtId="0" fontId="184" fillId="0" borderId="0" xfId="28" applyFont="1" applyFill="1" applyBorder="1" applyAlignment="1" applyProtection="1"/>
    <xf numFmtId="0" fontId="184" fillId="0" borderId="0" xfId="28" applyFont="1" applyFill="1" applyBorder="1" applyAlignment="1" applyProtection="1">
      <alignment horizontal="center"/>
    </xf>
    <xf numFmtId="0" fontId="184" fillId="0" borderId="0" xfId="28" applyFont="1" applyFill="1" applyBorder="1" applyProtection="1"/>
    <xf numFmtId="0" fontId="184" fillId="0" borderId="0" xfId="28" applyFont="1" applyFill="1" applyBorder="1" applyAlignment="1" applyProtection="1">
      <alignment wrapText="1"/>
    </xf>
    <xf numFmtId="14" fontId="184" fillId="0" borderId="0" xfId="28" applyNumberFormat="1" applyFont="1" applyFill="1" applyBorder="1" applyAlignment="1" applyProtection="1">
      <alignment horizontal="center"/>
    </xf>
    <xf numFmtId="0" fontId="184" fillId="0" borderId="0" xfId="28" applyFont="1" applyFill="1" applyBorder="1" applyAlignment="1" applyProtection="1">
      <alignment vertical="center" wrapText="1"/>
    </xf>
    <xf numFmtId="0" fontId="88" fillId="0" borderId="0" xfId="28" applyFont="1" applyFill="1" applyBorder="1" applyAlignment="1" applyProtection="1">
      <alignment horizontal="left" vertical="center"/>
    </xf>
    <xf numFmtId="14" fontId="184" fillId="0" borderId="0" xfId="28" applyNumberFormat="1" applyFont="1" applyFill="1" applyBorder="1" applyAlignment="1" applyProtection="1">
      <alignment horizontal="center" vertical="center"/>
    </xf>
    <xf numFmtId="3" fontId="184" fillId="0" borderId="0" xfId="28" applyNumberFormat="1" applyFont="1" applyFill="1" applyBorder="1" applyAlignment="1" applyProtection="1">
      <alignment horizontal="center" vertical="center"/>
    </xf>
    <xf numFmtId="10" fontId="184" fillId="0" borderId="0" xfId="28" applyNumberFormat="1" applyFont="1" applyFill="1" applyBorder="1" applyAlignment="1" applyProtection="1">
      <alignment horizontal="center" vertical="center"/>
    </xf>
    <xf numFmtId="0" fontId="120" fillId="0" borderId="0" xfId="28" applyFont="1" applyFill="1" applyBorder="1" applyAlignment="1" applyProtection="1">
      <alignment horizontal="left" vertical="center"/>
    </xf>
    <xf numFmtId="0" fontId="192" fillId="0" borderId="0" xfId="28" applyFont="1" applyFill="1" applyBorder="1" applyAlignment="1" applyProtection="1">
      <alignment horizontal="left" vertical="center"/>
    </xf>
    <xf numFmtId="0" fontId="120" fillId="0" borderId="0" xfId="28" applyNumberFormat="1" applyFont="1" applyFill="1" applyBorder="1" applyAlignment="1" applyProtection="1">
      <alignment vertical="center"/>
    </xf>
    <xf numFmtId="14" fontId="192" fillId="0" borderId="0" xfId="28" applyNumberFormat="1" applyFont="1" applyFill="1" applyBorder="1" applyAlignment="1" applyProtection="1">
      <alignment horizontal="center" vertical="center"/>
    </xf>
    <xf numFmtId="3" fontId="192" fillId="0" borderId="0" xfId="28" applyNumberFormat="1" applyFont="1" applyFill="1" applyBorder="1" applyAlignment="1" applyProtection="1">
      <alignment horizontal="center" vertical="center"/>
    </xf>
    <xf numFmtId="0" fontId="192" fillId="0" borderId="0" xfId="28" applyFont="1" applyFill="1" applyBorder="1" applyAlignment="1" applyProtection="1">
      <alignment vertical="center"/>
    </xf>
    <xf numFmtId="10" fontId="192" fillId="0" borderId="0" xfId="28" applyNumberFormat="1" applyFont="1" applyFill="1" applyBorder="1" applyAlignment="1" applyProtection="1">
      <alignment horizontal="center" vertical="center"/>
    </xf>
    <xf numFmtId="0" fontId="88" fillId="0" borderId="0" xfId="28" applyNumberFormat="1" applyFont="1" applyFill="1" applyBorder="1" applyAlignment="1" applyProtection="1"/>
    <xf numFmtId="3" fontId="88" fillId="0" borderId="0" xfId="28" applyNumberFormat="1" applyFont="1" applyFill="1" applyBorder="1" applyAlignment="1" applyProtection="1">
      <alignment horizontal="left"/>
    </xf>
    <xf numFmtId="3" fontId="88" fillId="0" borderId="0" xfId="28" applyNumberFormat="1" applyFont="1" applyFill="1" applyBorder="1" applyAlignment="1" applyProtection="1"/>
    <xf numFmtId="0" fontId="120" fillId="0" borderId="0" xfId="28" applyFont="1" applyFill="1" applyBorder="1" applyAlignment="1" applyProtection="1">
      <alignment vertical="center"/>
    </xf>
    <xf numFmtId="0" fontId="84" fillId="0" borderId="0" xfId="28" applyNumberFormat="1" applyFont="1" applyFill="1" applyBorder="1" applyAlignment="1" applyProtection="1">
      <alignment vertical="center"/>
    </xf>
    <xf numFmtId="3" fontId="84" fillId="0" borderId="0" xfId="28" applyNumberFormat="1" applyFont="1" applyFill="1" applyBorder="1" applyAlignment="1" applyProtection="1">
      <alignment horizontal="left" vertical="center"/>
    </xf>
    <xf numFmtId="0" fontId="120" fillId="0" borderId="0" xfId="28" quotePrefix="1" applyFont="1" applyFill="1" applyBorder="1" applyAlignment="1" applyProtection="1">
      <alignment horizontal="right" vertical="center"/>
    </xf>
    <xf numFmtId="3" fontId="120" fillId="0" borderId="0" xfId="28" applyNumberFormat="1" applyFont="1" applyFill="1" applyBorder="1" applyAlignment="1" applyProtection="1">
      <alignment vertical="center"/>
    </xf>
    <xf numFmtId="0" fontId="120" fillId="0" borderId="0" xfId="28" applyFont="1" applyFill="1" applyBorder="1" applyAlignment="1" applyProtection="1">
      <alignment horizontal="right"/>
    </xf>
    <xf numFmtId="0" fontId="120" fillId="0" borderId="0" xfId="28" applyFont="1" applyFill="1" applyBorder="1" applyProtection="1"/>
    <xf numFmtId="10" fontId="120" fillId="0" borderId="0" xfId="28" applyNumberFormat="1" applyFont="1" applyFill="1" applyBorder="1" applyAlignment="1" applyProtection="1">
      <alignment vertical="center"/>
    </xf>
    <xf numFmtId="0" fontId="9" fillId="0" borderId="0" xfId="28" applyFont="1" applyAlignment="1">
      <alignment horizontal="justify" vertical="top" wrapText="1"/>
    </xf>
    <xf numFmtId="0" fontId="39" fillId="5" borderId="16" xfId="0" applyFont="1" applyFill="1" applyBorder="1" applyAlignment="1" applyProtection="1">
      <alignment horizontal="left" vertical="center"/>
      <protection locked="0"/>
    </xf>
    <xf numFmtId="0" fontId="9" fillId="0" borderId="0" xfId="28" applyFont="1" applyAlignment="1">
      <alignment horizontal="center" vertical="center" wrapText="1"/>
    </xf>
    <xf numFmtId="0" fontId="9" fillId="0" borderId="0" xfId="28" applyFont="1" applyAlignment="1">
      <alignment horizontal="left" vertical="center" wrapText="1"/>
    </xf>
    <xf numFmtId="0" fontId="9" fillId="0" borderId="0" xfId="28" applyFont="1" applyAlignment="1">
      <alignment vertical="top" wrapText="1"/>
    </xf>
    <xf numFmtId="0" fontId="3" fillId="0" borderId="0" xfId="28" applyAlignment="1">
      <alignment horizontal="left" vertical="top"/>
    </xf>
    <xf numFmtId="0" fontId="203" fillId="0" borderId="0" xfId="6" applyFont="1" applyAlignment="1" applyProtection="1">
      <alignment horizontal="center" vertical="center"/>
    </xf>
    <xf numFmtId="0" fontId="9" fillId="0" borderId="0" xfId="28" applyFont="1" applyAlignment="1">
      <alignment horizontal="center" vertical="center"/>
    </xf>
    <xf numFmtId="0" fontId="9" fillId="0" borderId="0" xfId="28" applyFont="1" applyAlignment="1">
      <alignment horizontal="left" vertical="top" wrapText="1"/>
    </xf>
    <xf numFmtId="0" fontId="203" fillId="0" borderId="0" xfId="6" applyFont="1" applyAlignment="1" applyProtection="1">
      <alignment horizontal="center" vertical="center" wrapText="1"/>
    </xf>
    <xf numFmtId="0" fontId="9" fillId="0" borderId="0" xfId="28" applyFont="1" applyAlignment="1">
      <alignment horizontal="justify" vertical="top" wrapText="1"/>
    </xf>
    <xf numFmtId="0" fontId="9" fillId="0" borderId="0" xfId="28" applyFont="1" applyAlignment="1">
      <alignment horizontal="center" vertical="center" wrapText="1"/>
    </xf>
    <xf numFmtId="0" fontId="9" fillId="0" borderId="0" xfId="28" applyFont="1" applyAlignment="1">
      <alignment horizontal="left"/>
    </xf>
    <xf numFmtId="0" fontId="22" fillId="0" borderId="0" xfId="28" applyFont="1" applyAlignment="1">
      <alignment horizontal="left" vertical="top" wrapText="1"/>
    </xf>
    <xf numFmtId="0" fontId="144" fillId="0" borderId="0" xfId="28" applyFont="1" applyAlignment="1">
      <alignment horizontal="center"/>
    </xf>
    <xf numFmtId="0" fontId="4" fillId="0" borderId="0" xfId="28" applyFont="1" applyAlignment="1">
      <alignment horizontal="center" vertical="top"/>
    </xf>
    <xf numFmtId="0" fontId="5" fillId="0" borderId="0" xfId="28" applyFont="1" applyAlignment="1">
      <alignment horizontal="center"/>
    </xf>
    <xf numFmtId="0" fontId="3" fillId="0" borderId="0" xfId="28" applyAlignment="1">
      <alignment horizontal="left" vertical="top" wrapText="1"/>
    </xf>
    <xf numFmtId="0" fontId="4" fillId="0" borderId="0" xfId="28" applyFont="1" applyBorder="1" applyAlignment="1">
      <alignment horizontal="left" vertical="top" wrapText="1"/>
    </xf>
    <xf numFmtId="38" fontId="39" fillId="5" borderId="35" xfId="0" applyNumberFormat="1" applyFont="1" applyFill="1" applyBorder="1" applyAlignment="1" applyProtection="1">
      <alignment horizontal="left" vertical="center"/>
      <protection locked="0"/>
    </xf>
    <xf numFmtId="38" fontId="39" fillId="5" borderId="2" xfId="0" applyNumberFormat="1" applyFont="1" applyFill="1" applyBorder="1" applyAlignment="1" applyProtection="1">
      <alignment horizontal="left" vertical="center"/>
      <protection locked="0"/>
    </xf>
    <xf numFmtId="38" fontId="39" fillId="5" borderId="76" xfId="0" applyNumberFormat="1" applyFont="1" applyFill="1" applyBorder="1" applyAlignment="1" applyProtection="1">
      <alignment horizontal="left" vertical="center"/>
      <protection locked="0"/>
    </xf>
    <xf numFmtId="38" fontId="39" fillId="5" borderId="72" xfId="0" applyNumberFormat="1" applyFont="1" applyFill="1" applyBorder="1" applyAlignment="1" applyProtection="1">
      <alignment horizontal="left" vertical="center"/>
      <protection locked="0"/>
    </xf>
    <xf numFmtId="0" fontId="39" fillId="5" borderId="29" xfId="0" applyFont="1" applyFill="1" applyBorder="1" applyAlignment="1" applyProtection="1">
      <alignment horizontal="left" vertical="center"/>
      <protection locked="0"/>
    </xf>
    <xf numFmtId="0" fontId="39" fillId="0" borderId="20" xfId="0" applyFont="1" applyBorder="1" applyProtection="1">
      <protection locked="0"/>
    </xf>
    <xf numFmtId="0" fontId="39" fillId="0" borderId="30" xfId="0" applyFont="1" applyBorder="1" applyProtection="1">
      <protection locked="0"/>
    </xf>
    <xf numFmtId="38" fontId="39" fillId="5" borderId="69" xfId="0" applyNumberFormat="1" applyFont="1" applyFill="1" applyBorder="1" applyAlignment="1" applyProtection="1">
      <alignment horizontal="left" vertical="center"/>
      <protection locked="0"/>
    </xf>
    <xf numFmtId="38" fontId="39" fillId="5" borderId="73" xfId="0" applyNumberFormat="1" applyFont="1" applyFill="1" applyBorder="1" applyAlignment="1" applyProtection="1">
      <alignment horizontal="left" vertical="center"/>
      <protection locked="0"/>
    </xf>
    <xf numFmtId="38" fontId="39" fillId="5" borderId="70" xfId="0" applyNumberFormat="1" applyFont="1" applyFill="1" applyBorder="1" applyAlignment="1" applyProtection="1">
      <alignment horizontal="left" vertical="center"/>
      <protection locked="0"/>
    </xf>
    <xf numFmtId="167" fontId="39" fillId="5" borderId="69" xfId="0" applyNumberFormat="1" applyFont="1" applyFill="1" applyBorder="1" applyAlignment="1" applyProtection="1">
      <alignment horizontal="left" vertical="center"/>
      <protection locked="0"/>
    </xf>
    <xf numFmtId="167" fontId="39" fillId="5" borderId="70" xfId="0" applyNumberFormat="1" applyFont="1" applyFill="1" applyBorder="1" applyAlignment="1" applyProtection="1">
      <alignment horizontal="left" vertical="center"/>
      <protection locked="0"/>
    </xf>
    <xf numFmtId="38" fontId="39" fillId="5" borderId="12" xfId="0" applyNumberFormat="1" applyFont="1" applyFill="1" applyBorder="1" applyAlignment="1" applyProtection="1">
      <alignment horizontal="left" vertical="center"/>
      <protection locked="0"/>
    </xf>
    <xf numFmtId="38" fontId="39" fillId="5" borderId="13" xfId="0" applyNumberFormat="1" applyFont="1" applyFill="1" applyBorder="1" applyAlignment="1" applyProtection="1">
      <alignment horizontal="left" vertical="center"/>
      <protection locked="0"/>
    </xf>
    <xf numFmtId="167" fontId="39" fillId="5" borderId="35" xfId="0" applyNumberFormat="1" applyFont="1" applyFill="1" applyBorder="1" applyAlignment="1" applyProtection="1">
      <alignment horizontal="center" vertical="center"/>
      <protection locked="0"/>
    </xf>
    <xf numFmtId="167" fontId="39" fillId="5" borderId="2" xfId="0" applyNumberFormat="1" applyFont="1" applyFill="1" applyBorder="1" applyAlignment="1" applyProtection="1">
      <alignment horizontal="center" vertical="center"/>
      <protection locked="0"/>
    </xf>
    <xf numFmtId="167" fontId="39" fillId="5" borderId="36" xfId="0" applyNumberFormat="1" applyFont="1" applyFill="1" applyBorder="1" applyAlignment="1" applyProtection="1">
      <alignment horizontal="center" vertical="center"/>
      <protection locked="0"/>
    </xf>
    <xf numFmtId="0" fontId="39" fillId="0" borderId="0" xfId="0" applyFont="1" applyFill="1" applyBorder="1" applyAlignment="1" applyProtection="1">
      <alignment horizontal="left" vertical="center"/>
    </xf>
    <xf numFmtId="0" fontId="39" fillId="5" borderId="69" xfId="0" applyFont="1" applyFill="1" applyBorder="1" applyAlignment="1" applyProtection="1">
      <alignment horizontal="left" vertical="center"/>
      <protection locked="0"/>
    </xf>
    <xf numFmtId="0" fontId="39" fillId="5" borderId="73" xfId="0" applyFont="1" applyFill="1" applyBorder="1" applyAlignment="1" applyProtection="1">
      <alignment horizontal="left" vertical="center"/>
      <protection locked="0"/>
    </xf>
    <xf numFmtId="0" fontId="39" fillId="5" borderId="70" xfId="0" applyFont="1" applyFill="1" applyBorder="1" applyAlignment="1" applyProtection="1">
      <alignment horizontal="left" vertical="center"/>
      <protection locked="0"/>
    </xf>
    <xf numFmtId="0" fontId="77" fillId="5" borderId="35" xfId="0" applyFont="1" applyFill="1" applyBorder="1" applyAlignment="1" applyProtection="1">
      <alignment horizontal="left" vertical="center"/>
      <protection locked="0"/>
    </xf>
    <xf numFmtId="0" fontId="77" fillId="5" borderId="36" xfId="0" applyFont="1" applyFill="1" applyBorder="1" applyAlignment="1" applyProtection="1">
      <alignment horizontal="left" vertical="center"/>
      <protection locked="0"/>
    </xf>
    <xf numFmtId="0" fontId="39" fillId="5" borderId="7" xfId="0" applyFont="1" applyFill="1" applyBorder="1" applyAlignment="1" applyProtection="1">
      <alignment horizontal="left" vertical="center"/>
      <protection locked="0"/>
    </xf>
    <xf numFmtId="0" fontId="39" fillId="0" borderId="76" xfId="0" applyFont="1" applyBorder="1" applyProtection="1">
      <protection locked="0"/>
    </xf>
    <xf numFmtId="0" fontId="39" fillId="0" borderId="70" xfId="0" applyFont="1" applyBorder="1" applyProtection="1">
      <protection locked="0"/>
    </xf>
    <xf numFmtId="0" fontId="39" fillId="0" borderId="0" xfId="0" applyFont="1" applyFill="1" applyBorder="1" applyAlignment="1" applyProtection="1">
      <alignment horizontal="left" vertical="top" wrapText="1"/>
    </xf>
    <xf numFmtId="3" fontId="39" fillId="5" borderId="29" xfId="0" applyNumberFormat="1" applyFont="1" applyFill="1" applyBorder="1" applyAlignment="1" applyProtection="1">
      <alignment horizontal="left" vertical="center"/>
      <protection locked="0"/>
    </xf>
    <xf numFmtId="3" fontId="39" fillId="5" borderId="30" xfId="0" applyNumberFormat="1" applyFont="1" applyFill="1" applyBorder="1" applyAlignment="1" applyProtection="1">
      <alignment horizontal="left" vertical="center"/>
      <protection locked="0"/>
    </xf>
    <xf numFmtId="1" fontId="39" fillId="5" borderId="27" xfId="1" applyNumberFormat="1" applyFont="1" applyFill="1" applyBorder="1" applyAlignment="1" applyProtection="1">
      <alignment horizontal="center" vertical="center"/>
      <protection locked="0"/>
    </xf>
    <xf numFmtId="1" fontId="39" fillId="5" borderId="28" xfId="1" applyNumberFormat="1" applyFont="1" applyFill="1" applyBorder="1" applyAlignment="1" applyProtection="1">
      <alignment horizontal="center" vertical="center"/>
      <protection locked="0"/>
    </xf>
    <xf numFmtId="49" fontId="39" fillId="5" borderId="32" xfId="0" applyNumberFormat="1" applyFont="1" applyFill="1" applyBorder="1" applyAlignment="1" applyProtection="1">
      <alignment horizontal="left" vertical="center"/>
      <protection locked="0"/>
    </xf>
    <xf numFmtId="49" fontId="0" fillId="0" borderId="33" xfId="0" applyNumberFormat="1" applyBorder="1" applyProtection="1">
      <protection locked="0"/>
    </xf>
    <xf numFmtId="0" fontId="98" fillId="0" borderId="0" xfId="6" applyFont="1" applyFill="1" applyBorder="1" applyAlignment="1" applyProtection="1">
      <alignment horizontal="left" vertical="center"/>
    </xf>
    <xf numFmtId="0" fontId="99" fillId="0" borderId="0" xfId="6" applyFont="1" applyFill="1" applyBorder="1" applyAlignment="1" applyProtection="1">
      <alignment horizontal="left" vertical="center"/>
    </xf>
    <xf numFmtId="1" fontId="39" fillId="5" borderId="32" xfId="1" applyNumberFormat="1" applyFont="1" applyFill="1" applyBorder="1" applyAlignment="1" applyProtection="1">
      <alignment horizontal="center" vertical="center"/>
      <protection locked="0"/>
    </xf>
    <xf numFmtId="1" fontId="39" fillId="5" borderId="33" xfId="1" applyNumberFormat="1" applyFont="1" applyFill="1" applyBorder="1" applyAlignment="1" applyProtection="1">
      <alignment horizontal="center" vertical="center"/>
      <protection locked="0"/>
    </xf>
    <xf numFmtId="0" fontId="39" fillId="5" borderId="32" xfId="0" applyFont="1" applyFill="1" applyBorder="1" applyAlignment="1" applyProtection="1">
      <alignment horizontal="left" vertical="center"/>
      <protection locked="0"/>
    </xf>
    <xf numFmtId="0" fontId="39" fillId="5" borderId="54" xfId="0" applyFont="1" applyFill="1" applyBorder="1" applyAlignment="1" applyProtection="1">
      <alignment horizontal="left" vertical="center"/>
      <protection locked="0"/>
    </xf>
    <xf numFmtId="0" fontId="39" fillId="5" borderId="33" xfId="0" applyFont="1" applyFill="1" applyBorder="1" applyAlignment="1" applyProtection="1">
      <alignment horizontal="left" vertical="center"/>
      <protection locked="0"/>
    </xf>
    <xf numFmtId="0" fontId="39" fillId="6" borderId="69" xfId="0" applyFont="1" applyFill="1" applyBorder="1" applyAlignment="1" applyProtection="1">
      <alignment horizontal="left" vertical="center"/>
      <protection locked="0"/>
    </xf>
    <xf numFmtId="0" fontId="39" fillId="6" borderId="70" xfId="0" applyFont="1" applyFill="1" applyBorder="1" applyAlignment="1" applyProtection="1">
      <alignment horizontal="left" vertical="center"/>
      <protection locked="0"/>
    </xf>
    <xf numFmtId="0" fontId="39" fillId="0" borderId="12" xfId="0" applyFont="1" applyFill="1" applyBorder="1" applyAlignment="1" applyProtection="1">
      <alignment horizontal="center"/>
    </xf>
    <xf numFmtId="0" fontId="35" fillId="5" borderId="35" xfId="0" applyFont="1" applyFill="1" applyBorder="1" applyAlignment="1" applyProtection="1">
      <alignment horizontal="left" vertical="top" wrapText="1"/>
      <protection locked="0"/>
    </xf>
    <xf numFmtId="0" fontId="35" fillId="5" borderId="2" xfId="0" applyFont="1" applyFill="1" applyBorder="1" applyAlignment="1" applyProtection="1">
      <alignment horizontal="left" vertical="top" wrapText="1"/>
      <protection locked="0"/>
    </xf>
    <xf numFmtId="0" fontId="35" fillId="5" borderId="36" xfId="0" applyFont="1" applyFill="1" applyBorder="1" applyAlignment="1" applyProtection="1">
      <alignment horizontal="left" vertical="top" wrapText="1"/>
      <protection locked="0"/>
    </xf>
    <xf numFmtId="0" fontId="35" fillId="4" borderId="35" xfId="0" applyFont="1" applyFill="1" applyBorder="1" applyAlignment="1" applyProtection="1">
      <alignment horizontal="left" vertical="top" wrapText="1"/>
      <protection locked="0"/>
    </xf>
    <xf numFmtId="0" fontId="35" fillId="4" borderId="2" xfId="0" applyFont="1" applyFill="1" applyBorder="1" applyAlignment="1" applyProtection="1">
      <alignment horizontal="left" vertical="top" wrapText="1"/>
      <protection locked="0"/>
    </xf>
    <xf numFmtId="0" fontId="35" fillId="4" borderId="36" xfId="0" applyFont="1" applyFill="1" applyBorder="1" applyAlignment="1" applyProtection="1">
      <alignment horizontal="left" vertical="top" wrapText="1"/>
      <protection locked="0"/>
    </xf>
    <xf numFmtId="175" fontId="39" fillId="5" borderId="35" xfId="0" applyNumberFormat="1" applyFont="1" applyFill="1" applyBorder="1" applyAlignment="1" applyProtection="1">
      <alignment horizontal="left" vertical="center"/>
      <protection locked="0"/>
    </xf>
    <xf numFmtId="175" fontId="39" fillId="5" borderId="36" xfId="0" applyNumberFormat="1" applyFont="1" applyFill="1" applyBorder="1" applyAlignment="1" applyProtection="1">
      <alignment horizontal="left" vertical="center"/>
      <protection locked="0"/>
    </xf>
    <xf numFmtId="42" fontId="12" fillId="0" borderId="35"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0" fontId="39" fillId="5" borderId="9" xfId="0" applyFont="1" applyFill="1" applyBorder="1" applyAlignment="1" applyProtection="1">
      <alignment horizontal="left" vertical="center"/>
      <protection locked="0"/>
    </xf>
    <xf numFmtId="0" fontId="39" fillId="5" borderId="12" xfId="0" applyFont="1" applyFill="1" applyBorder="1" applyAlignment="1" applyProtection="1">
      <alignment horizontal="left" vertical="center"/>
      <protection locked="0"/>
    </xf>
    <xf numFmtId="0" fontId="39" fillId="5" borderId="13" xfId="0" applyFont="1" applyFill="1" applyBorder="1" applyAlignment="1" applyProtection="1">
      <alignment horizontal="left" vertical="center"/>
      <protection locked="0"/>
    </xf>
    <xf numFmtId="169" fontId="39" fillId="5" borderId="35" xfId="0" applyNumberFormat="1" applyFont="1" applyFill="1" applyBorder="1" applyAlignment="1" applyProtection="1">
      <alignment horizontal="center" vertical="center"/>
      <protection locked="0"/>
    </xf>
    <xf numFmtId="169" fontId="39" fillId="5" borderId="36" xfId="0" applyNumberFormat="1" applyFont="1" applyFill="1" applyBorder="1" applyAlignment="1" applyProtection="1">
      <alignment horizontal="center" vertical="center"/>
      <protection locked="0"/>
    </xf>
    <xf numFmtId="0" fontId="39" fillId="0" borderId="71" xfId="0" applyFont="1" applyFill="1" applyBorder="1" applyAlignment="1" applyProtection="1">
      <alignment horizontal="center" vertical="center"/>
    </xf>
    <xf numFmtId="0" fontId="39" fillId="0" borderId="72" xfId="0" applyFont="1" applyFill="1" applyBorder="1" applyAlignment="1" applyProtection="1">
      <alignment horizontal="center" vertical="center"/>
    </xf>
    <xf numFmtId="0" fontId="39" fillId="5" borderId="27" xfId="0" applyFont="1" applyFill="1" applyBorder="1" applyAlignment="1" applyProtection="1">
      <alignment horizontal="left" vertical="center"/>
      <protection locked="0"/>
    </xf>
    <xf numFmtId="0" fontId="39" fillId="5" borderId="53" xfId="0" applyFont="1" applyFill="1" applyBorder="1" applyAlignment="1" applyProtection="1">
      <alignment horizontal="left" vertical="center"/>
      <protection locked="0"/>
    </xf>
    <xf numFmtId="0" fontId="39" fillId="5" borderId="28" xfId="0" applyFont="1" applyFill="1" applyBorder="1" applyAlignment="1" applyProtection="1">
      <alignment horizontal="left" vertical="center"/>
      <protection locked="0"/>
    </xf>
    <xf numFmtId="0" fontId="35" fillId="5" borderId="69" xfId="0" applyFont="1" applyFill="1" applyBorder="1" applyAlignment="1" applyProtection="1">
      <alignment horizontal="left" vertical="center"/>
      <protection locked="0"/>
    </xf>
    <xf numFmtId="0" fontId="35" fillId="5" borderId="73" xfId="0" applyFont="1" applyFill="1" applyBorder="1" applyAlignment="1" applyProtection="1">
      <alignment horizontal="left" vertical="center"/>
      <protection locked="0"/>
    </xf>
    <xf numFmtId="0" fontId="35" fillId="5" borderId="70" xfId="0" applyFont="1" applyFill="1" applyBorder="1" applyAlignment="1" applyProtection="1">
      <alignment horizontal="left" vertical="center"/>
      <protection locked="0"/>
    </xf>
    <xf numFmtId="167" fontId="39" fillId="5" borderId="32" xfId="0" applyNumberFormat="1" applyFont="1" applyFill="1" applyBorder="1" applyAlignment="1" applyProtection="1">
      <alignment horizontal="left" vertical="center"/>
      <protection locked="0"/>
    </xf>
    <xf numFmtId="167" fontId="39" fillId="5" borderId="54" xfId="0" applyNumberFormat="1" applyFont="1" applyFill="1" applyBorder="1" applyAlignment="1" applyProtection="1">
      <alignment horizontal="left" vertical="center"/>
      <protection locked="0"/>
    </xf>
    <xf numFmtId="167" fontId="39" fillId="5" borderId="33" xfId="0" applyNumberFormat="1" applyFont="1" applyFill="1" applyBorder="1" applyAlignment="1" applyProtection="1">
      <alignment horizontal="left" vertical="center"/>
      <protection locked="0"/>
    </xf>
    <xf numFmtId="0" fontId="77" fillId="5" borderId="69" xfId="0" applyFont="1" applyFill="1" applyBorder="1" applyAlignment="1" applyProtection="1">
      <alignment horizontal="left" vertical="center"/>
      <protection locked="0"/>
    </xf>
    <xf numFmtId="0" fontId="77" fillId="5" borderId="73" xfId="0" applyFont="1" applyFill="1" applyBorder="1" applyAlignment="1" applyProtection="1">
      <alignment horizontal="left" vertical="center"/>
      <protection locked="0"/>
    </xf>
    <xf numFmtId="0" fontId="77" fillId="5" borderId="70" xfId="0" applyFont="1" applyFill="1" applyBorder="1" applyAlignment="1" applyProtection="1">
      <alignment horizontal="left" vertical="center"/>
      <protection locked="0"/>
    </xf>
    <xf numFmtId="0" fontId="39" fillId="5" borderId="29" xfId="0" applyNumberFormat="1" applyFont="1" applyFill="1" applyBorder="1" applyAlignment="1" applyProtection="1">
      <alignment horizontal="left" vertical="center"/>
      <protection locked="0"/>
    </xf>
    <xf numFmtId="0" fontId="39" fillId="5" borderId="30" xfId="0" applyNumberFormat="1" applyFont="1" applyFill="1" applyBorder="1" applyAlignment="1" applyProtection="1">
      <alignment horizontal="left" vertical="center"/>
      <protection locked="0"/>
    </xf>
    <xf numFmtId="0" fontId="48" fillId="8" borderId="49" xfId="0" applyFont="1" applyFill="1" applyBorder="1" applyAlignment="1" applyProtection="1">
      <alignment horizontal="center" vertical="center"/>
    </xf>
    <xf numFmtId="0" fontId="48" fillId="8" borderId="50" xfId="0" applyFont="1" applyFill="1" applyBorder="1" applyAlignment="1" applyProtection="1">
      <alignment horizontal="center" vertical="center"/>
    </xf>
    <xf numFmtId="0" fontId="48" fillId="8" borderId="51" xfId="0" applyFont="1" applyFill="1" applyBorder="1" applyAlignment="1" applyProtection="1">
      <alignment horizontal="center" vertical="center"/>
    </xf>
    <xf numFmtId="0" fontId="39" fillId="0" borderId="12" xfId="0" applyFont="1" applyFill="1" applyBorder="1" applyAlignment="1" applyProtection="1">
      <alignment horizontal="center" vertical="center"/>
    </xf>
    <xf numFmtId="0" fontId="77" fillId="10" borderId="52" xfId="0" applyFont="1" applyFill="1" applyBorder="1" applyAlignment="1" applyProtection="1">
      <alignment horizontal="center" vertical="center"/>
      <protection locked="0"/>
    </xf>
    <xf numFmtId="0" fontId="77" fillId="10" borderId="34" xfId="0" applyFont="1" applyFill="1" applyBorder="1" applyAlignment="1" applyProtection="1">
      <alignment horizontal="center" vertical="center"/>
      <protection locked="0"/>
    </xf>
    <xf numFmtId="0" fontId="39" fillId="5" borderId="27" xfId="0" applyNumberFormat="1" applyFont="1" applyFill="1" applyBorder="1" applyAlignment="1" applyProtection="1">
      <alignment horizontal="left" vertical="center"/>
      <protection locked="0"/>
    </xf>
    <xf numFmtId="0" fontId="39" fillId="5" borderId="53" xfId="0" applyNumberFormat="1" applyFont="1" applyFill="1" applyBorder="1" applyAlignment="1" applyProtection="1">
      <alignment horizontal="left" vertical="center"/>
      <protection locked="0"/>
    </xf>
    <xf numFmtId="0" fontId="39" fillId="5" borderId="28" xfId="0" applyNumberFormat="1" applyFont="1" applyFill="1" applyBorder="1" applyAlignment="1" applyProtection="1">
      <alignment horizontal="left" vertical="center"/>
      <protection locked="0"/>
    </xf>
    <xf numFmtId="0" fontId="39" fillId="5" borderId="20" xfId="0" applyFont="1" applyFill="1" applyBorder="1" applyAlignment="1" applyProtection="1">
      <alignment horizontal="left" vertical="center"/>
      <protection locked="0"/>
    </xf>
    <xf numFmtId="0" fontId="39" fillId="5" borderId="30" xfId="0" applyFont="1" applyFill="1" applyBorder="1" applyAlignment="1" applyProtection="1">
      <alignment horizontal="left" vertical="center"/>
      <protection locked="0"/>
    </xf>
    <xf numFmtId="169" fontId="39" fillId="5" borderId="27" xfId="0" applyNumberFormat="1" applyFont="1" applyFill="1" applyBorder="1" applyAlignment="1" applyProtection="1">
      <alignment horizontal="center" vertical="center"/>
      <protection locked="0"/>
    </xf>
    <xf numFmtId="169" fontId="39" fillId="5" borderId="28" xfId="0" applyNumberFormat="1" applyFont="1" applyFill="1" applyBorder="1" applyAlignment="1" applyProtection="1">
      <alignment horizontal="center" vertical="center"/>
      <protection locked="0"/>
    </xf>
    <xf numFmtId="167" fontId="39" fillId="5" borderId="29" xfId="0" applyNumberFormat="1" applyFont="1" applyFill="1" applyBorder="1" applyAlignment="1" applyProtection="1">
      <alignment horizontal="left" vertical="center"/>
      <protection locked="0"/>
    </xf>
    <xf numFmtId="167" fontId="39" fillId="5" borderId="30" xfId="0" applyNumberFormat="1" applyFont="1" applyFill="1" applyBorder="1" applyAlignment="1" applyProtection="1">
      <alignment horizontal="left" vertical="center"/>
      <protection locked="0"/>
    </xf>
    <xf numFmtId="178" fontId="39" fillId="5" borderId="27" xfId="0" applyNumberFormat="1" applyFont="1" applyFill="1" applyBorder="1" applyAlignment="1" applyProtection="1">
      <alignment horizontal="left" vertical="center"/>
      <protection locked="0"/>
    </xf>
    <xf numFmtId="178" fontId="39" fillId="5" borderId="28" xfId="0" applyNumberFormat="1" applyFont="1" applyFill="1" applyBorder="1" applyAlignment="1" applyProtection="1">
      <alignment horizontal="left" vertical="center"/>
      <protection locked="0"/>
    </xf>
    <xf numFmtId="0" fontId="39" fillId="5" borderId="35" xfId="0" applyFont="1" applyFill="1" applyBorder="1" applyAlignment="1" applyProtection="1">
      <alignment horizontal="left" vertical="center"/>
      <protection locked="0"/>
    </xf>
    <xf numFmtId="0" fontId="39" fillId="5" borderId="2" xfId="0" applyFont="1" applyFill="1" applyBorder="1" applyAlignment="1" applyProtection="1">
      <alignment horizontal="left" vertical="center"/>
      <protection locked="0"/>
    </xf>
    <xf numFmtId="0" fontId="39" fillId="5" borderId="36" xfId="0" applyFont="1" applyFill="1" applyBorder="1" applyAlignment="1" applyProtection="1">
      <alignment horizontal="left" vertical="center"/>
      <protection locked="0"/>
    </xf>
    <xf numFmtId="0" fontId="39" fillId="6" borderId="32" xfId="0" applyNumberFormat="1" applyFont="1" applyFill="1" applyBorder="1" applyAlignment="1" applyProtection="1">
      <alignment horizontal="left" vertical="center"/>
      <protection locked="0"/>
    </xf>
    <xf numFmtId="0" fontId="39" fillId="6" borderId="33" xfId="0" applyNumberFormat="1" applyFont="1" applyFill="1" applyBorder="1" applyAlignment="1" applyProtection="1">
      <alignment horizontal="left" vertical="center"/>
      <protection locked="0"/>
    </xf>
    <xf numFmtId="167" fontId="39" fillId="5" borderId="35" xfId="0" applyNumberFormat="1" applyFont="1" applyFill="1" applyBorder="1" applyAlignment="1" applyProtection="1">
      <alignment horizontal="left" vertical="center"/>
      <protection locked="0"/>
    </xf>
    <xf numFmtId="167" fontId="39" fillId="5" borderId="2" xfId="0" applyNumberFormat="1" applyFont="1" applyFill="1" applyBorder="1" applyAlignment="1" applyProtection="1">
      <alignment horizontal="left" vertical="center"/>
      <protection locked="0"/>
    </xf>
    <xf numFmtId="167" fontId="39" fillId="5" borderId="36" xfId="0" applyNumberFormat="1" applyFont="1" applyFill="1" applyBorder="1" applyAlignment="1" applyProtection="1">
      <alignment horizontal="left" vertical="center"/>
      <protection locked="0"/>
    </xf>
    <xf numFmtId="42" fontId="39" fillId="0" borderId="35" xfId="2" applyNumberFormat="1" applyFont="1" applyFill="1" applyBorder="1" applyAlignment="1" applyProtection="1">
      <alignment horizontal="center" vertical="center"/>
    </xf>
    <xf numFmtId="42" fontId="39" fillId="0" borderId="36" xfId="2" applyNumberFormat="1" applyFont="1" applyFill="1" applyBorder="1" applyAlignment="1" applyProtection="1">
      <alignment horizontal="center" vertical="center"/>
    </xf>
    <xf numFmtId="0" fontId="35" fillId="5" borderId="69" xfId="0" applyFont="1" applyFill="1" applyBorder="1" applyAlignment="1" applyProtection="1">
      <alignment horizontal="center" vertical="center"/>
      <protection locked="0"/>
    </xf>
    <xf numFmtId="0" fontId="35" fillId="5" borderId="70" xfId="0" applyFont="1" applyFill="1" applyBorder="1" applyAlignment="1" applyProtection="1">
      <alignment horizontal="center" vertical="center"/>
      <protection locked="0"/>
    </xf>
    <xf numFmtId="0" fontId="34" fillId="0" borderId="0" xfId="0" applyFont="1" applyFill="1" applyAlignment="1" applyProtection="1">
      <alignment horizontal="center" vertical="center" wrapText="1"/>
    </xf>
    <xf numFmtId="0" fontId="47" fillId="0" borderId="74" xfId="0" applyFont="1" applyFill="1" applyBorder="1" applyAlignment="1" applyProtection="1">
      <alignment horizontal="center" vertical="center"/>
    </xf>
    <xf numFmtId="0" fontId="39" fillId="0" borderId="53" xfId="0" applyFont="1" applyBorder="1" applyProtection="1">
      <protection locked="0"/>
    </xf>
    <xf numFmtId="0" fontId="39" fillId="0" borderId="19" xfId="0" applyFont="1" applyBorder="1" applyProtection="1">
      <protection locked="0"/>
    </xf>
    <xf numFmtId="0" fontId="39" fillId="0" borderId="81" xfId="0" applyFont="1" applyBorder="1" applyProtection="1">
      <protection locked="0"/>
    </xf>
    <xf numFmtId="0" fontId="39" fillId="0" borderId="0" xfId="0" applyFont="1" applyFill="1" applyBorder="1" applyAlignment="1" applyProtection="1">
      <alignment horizontal="left"/>
    </xf>
    <xf numFmtId="175" fontId="39" fillId="5" borderId="27" xfId="0" applyNumberFormat="1" applyFont="1" applyFill="1" applyBorder="1" applyAlignment="1" applyProtection="1">
      <alignment horizontal="left" vertical="center"/>
      <protection locked="0"/>
    </xf>
    <xf numFmtId="175" fontId="39" fillId="5" borderId="28" xfId="0" applyNumberFormat="1" applyFont="1" applyFill="1" applyBorder="1" applyAlignment="1" applyProtection="1">
      <alignment horizontal="left" vertical="center"/>
      <protection locked="0"/>
    </xf>
    <xf numFmtId="38" fontId="39" fillId="5" borderId="29" xfId="0" applyNumberFormat="1" applyFont="1" applyFill="1" applyBorder="1" applyAlignment="1" applyProtection="1">
      <alignment horizontal="left" vertical="center"/>
      <protection locked="0"/>
    </xf>
    <xf numFmtId="38" fontId="39" fillId="5" borderId="20" xfId="0" applyNumberFormat="1" applyFont="1" applyFill="1" applyBorder="1" applyAlignment="1" applyProtection="1">
      <alignment horizontal="left" vertical="center"/>
      <protection locked="0"/>
    </xf>
    <xf numFmtId="38" fontId="39" fillId="5" borderId="30" xfId="0" applyNumberFormat="1" applyFont="1" applyFill="1" applyBorder="1" applyAlignment="1" applyProtection="1">
      <alignment horizontal="left" vertical="center"/>
      <protection locked="0"/>
    </xf>
    <xf numFmtId="167" fontId="39" fillId="5" borderId="27" xfId="0" applyNumberFormat="1" applyFont="1" applyFill="1" applyBorder="1" applyAlignment="1" applyProtection="1">
      <alignment horizontal="left" vertical="center"/>
      <protection locked="0"/>
    </xf>
    <xf numFmtId="167" fontId="39" fillId="5" borderId="28" xfId="0" applyNumberFormat="1" applyFont="1" applyFill="1" applyBorder="1" applyAlignment="1" applyProtection="1">
      <alignment horizontal="left" vertical="center"/>
      <protection locked="0"/>
    </xf>
    <xf numFmtId="0" fontId="39" fillId="0" borderId="33" xfId="0" applyFont="1" applyBorder="1" applyAlignment="1" applyProtection="1">
      <alignment horizontal="left"/>
      <protection locked="0"/>
    </xf>
    <xf numFmtId="0" fontId="39" fillId="5" borderId="25" xfId="0" applyFont="1" applyFill="1" applyBorder="1" applyAlignment="1" applyProtection="1">
      <alignment horizontal="left" vertical="center"/>
      <protection locked="0"/>
    </xf>
    <xf numFmtId="0" fontId="39" fillId="5" borderId="18" xfId="0" applyFont="1" applyFill="1" applyBorder="1" applyAlignment="1" applyProtection="1">
      <alignment horizontal="left" vertical="center"/>
      <protection locked="0"/>
    </xf>
    <xf numFmtId="0" fontId="39" fillId="5" borderId="31" xfId="0" applyFont="1" applyFill="1" applyBorder="1" applyAlignment="1" applyProtection="1">
      <alignment horizontal="left" vertical="center"/>
      <protection locked="0"/>
    </xf>
    <xf numFmtId="169" fontId="39" fillId="5" borderId="35" xfId="0" applyNumberFormat="1" applyFont="1" applyFill="1" applyBorder="1" applyAlignment="1" applyProtection="1">
      <alignment horizontal="left" vertical="center"/>
      <protection locked="0"/>
    </xf>
    <xf numFmtId="169" fontId="39" fillId="5" borderId="36" xfId="0" applyNumberFormat="1" applyFont="1" applyFill="1" applyBorder="1" applyAlignment="1" applyProtection="1">
      <alignment horizontal="left" vertical="center"/>
      <protection locked="0"/>
    </xf>
    <xf numFmtId="0" fontId="39" fillId="5" borderId="69" xfId="0" applyNumberFormat="1" applyFont="1" applyFill="1" applyBorder="1" applyAlignment="1" applyProtection="1">
      <alignment horizontal="left" vertical="center"/>
      <protection locked="0"/>
    </xf>
    <xf numFmtId="0" fontId="39" fillId="5" borderId="12" xfId="0" applyNumberFormat="1" applyFont="1" applyFill="1" applyBorder="1" applyAlignment="1" applyProtection="1">
      <alignment horizontal="left" vertical="center"/>
      <protection locked="0"/>
    </xf>
    <xf numFmtId="0" fontId="39" fillId="5" borderId="13" xfId="0" applyNumberFormat="1" applyFont="1" applyFill="1" applyBorder="1" applyAlignment="1" applyProtection="1">
      <alignment horizontal="left" vertical="center"/>
      <protection locked="0"/>
    </xf>
    <xf numFmtId="169" fontId="39" fillId="5" borderId="32" xfId="0" applyNumberFormat="1" applyFont="1" applyFill="1" applyBorder="1" applyAlignment="1" applyProtection="1">
      <alignment horizontal="center" vertical="center"/>
      <protection locked="0"/>
    </xf>
    <xf numFmtId="0" fontId="39" fillId="0" borderId="33" xfId="0" applyFont="1" applyBorder="1" applyProtection="1">
      <protection locked="0"/>
    </xf>
    <xf numFmtId="0" fontId="48" fillId="8" borderId="35" xfId="0" applyFont="1" applyFill="1" applyBorder="1" applyAlignment="1" applyProtection="1">
      <alignment horizontal="center" vertical="center"/>
    </xf>
    <xf numFmtId="0" fontId="48" fillId="8" borderId="2" xfId="0" applyFont="1" applyFill="1" applyBorder="1" applyAlignment="1" applyProtection="1">
      <alignment horizontal="center" vertical="center"/>
    </xf>
    <xf numFmtId="0" fontId="48" fillId="8" borderId="36" xfId="0" applyFont="1" applyFill="1" applyBorder="1" applyAlignment="1" applyProtection="1">
      <alignment horizontal="center" vertical="center"/>
    </xf>
    <xf numFmtId="0" fontId="39" fillId="0" borderId="28" xfId="0" applyFont="1" applyBorder="1" applyProtection="1">
      <protection locked="0"/>
    </xf>
    <xf numFmtId="0" fontId="39" fillId="0" borderId="18" xfId="0" applyFont="1" applyBorder="1" applyProtection="1">
      <protection locked="0"/>
    </xf>
    <xf numFmtId="0" fontId="39" fillId="0" borderId="54" xfId="0" applyFont="1" applyBorder="1" applyProtection="1">
      <protection locked="0"/>
    </xf>
    <xf numFmtId="0" fontId="39" fillId="0" borderId="31" xfId="0" applyFont="1" applyBorder="1" applyProtection="1">
      <protection locked="0"/>
    </xf>
    <xf numFmtId="167" fontId="39" fillId="5" borderId="20" xfId="0" applyNumberFormat="1" applyFont="1" applyFill="1" applyBorder="1" applyAlignment="1" applyProtection="1">
      <alignment horizontal="left" vertical="center"/>
      <protection locked="0"/>
    </xf>
    <xf numFmtId="169" fontId="39" fillId="5" borderId="69" xfId="0" applyNumberFormat="1" applyFont="1" applyFill="1" applyBorder="1" applyAlignment="1" applyProtection="1">
      <alignment horizontal="center" vertical="center"/>
      <protection locked="0"/>
    </xf>
    <xf numFmtId="0" fontId="39" fillId="10" borderId="29" xfId="0" applyFont="1" applyFill="1" applyBorder="1" applyAlignment="1" applyProtection="1">
      <alignment horizontal="center" vertical="center"/>
      <protection locked="0"/>
    </xf>
    <xf numFmtId="0" fontId="39" fillId="10" borderId="30" xfId="0" applyFont="1" applyFill="1" applyBorder="1" applyAlignment="1" applyProtection="1">
      <alignment horizontal="center" vertical="center"/>
      <protection locked="0"/>
    </xf>
    <xf numFmtId="167" fontId="39" fillId="5" borderId="9" xfId="0" applyNumberFormat="1" applyFont="1" applyFill="1" applyBorder="1" applyAlignment="1" applyProtection="1">
      <alignment horizontal="left" vertical="center"/>
      <protection locked="0"/>
    </xf>
    <xf numFmtId="169" fontId="39" fillId="5" borderId="29" xfId="0" applyNumberFormat="1" applyFont="1" applyFill="1" applyBorder="1" applyAlignment="1" applyProtection="1">
      <alignment horizontal="left" vertical="center"/>
      <protection locked="0"/>
    </xf>
    <xf numFmtId="0" fontId="39" fillId="0" borderId="30" xfId="0" applyFont="1" applyBorder="1" applyAlignment="1" applyProtection="1">
      <alignment horizontal="left"/>
      <protection locked="0"/>
    </xf>
    <xf numFmtId="0" fontId="39" fillId="5" borderId="9" xfId="0" applyNumberFormat="1" applyFont="1" applyFill="1" applyBorder="1" applyAlignment="1" applyProtection="1">
      <alignment horizontal="left" vertical="center"/>
      <protection locked="0"/>
    </xf>
    <xf numFmtId="0" fontId="39" fillId="5" borderId="73" xfId="0" applyNumberFormat="1" applyFont="1" applyFill="1" applyBorder="1" applyAlignment="1" applyProtection="1">
      <alignment horizontal="left" vertical="center"/>
      <protection locked="0"/>
    </xf>
    <xf numFmtId="0" fontId="47" fillId="0" borderId="71" xfId="0" applyFont="1" applyFill="1" applyBorder="1" applyAlignment="1" applyProtection="1">
      <alignment horizontal="center" vertical="top" wrapText="1"/>
    </xf>
    <xf numFmtId="0" fontId="47" fillId="0" borderId="76" xfId="0" applyFont="1" applyFill="1" applyBorder="1" applyAlignment="1" applyProtection="1">
      <alignment horizontal="center" vertical="top" wrapText="1"/>
    </xf>
    <xf numFmtId="0" fontId="47" fillId="0" borderId="72" xfId="0" applyFont="1" applyFill="1" applyBorder="1" applyAlignment="1" applyProtection="1">
      <alignment horizontal="center" vertical="top" wrapText="1"/>
    </xf>
    <xf numFmtId="0" fontId="47" fillId="0" borderId="7" xfId="0" applyFont="1" applyFill="1" applyBorder="1" applyAlignment="1" applyProtection="1">
      <alignment horizontal="center" vertical="top" wrapText="1"/>
    </xf>
    <xf numFmtId="0" fontId="47" fillId="0" borderId="0" xfId="0" applyFont="1" applyFill="1" applyBorder="1" applyAlignment="1" applyProtection="1">
      <alignment horizontal="center" vertical="top" wrapText="1"/>
    </xf>
    <xf numFmtId="0" fontId="47" fillId="0" borderId="8" xfId="0" applyFont="1" applyFill="1" applyBorder="1" applyAlignment="1" applyProtection="1">
      <alignment horizontal="center" vertical="top" wrapText="1"/>
    </xf>
    <xf numFmtId="0" fontId="39" fillId="0" borderId="75" xfId="0" applyFont="1" applyFill="1" applyBorder="1" applyAlignment="1" applyProtection="1">
      <alignment horizontal="center" vertical="top" wrapText="1"/>
    </xf>
    <xf numFmtId="0" fontId="39" fillId="0" borderId="10" xfId="0" applyFont="1" applyFill="1" applyBorder="1" applyAlignment="1" applyProtection="1">
      <alignment horizontal="center" vertical="top" wrapText="1"/>
    </xf>
    <xf numFmtId="0" fontId="39" fillId="0" borderId="11" xfId="0" applyFont="1" applyFill="1" applyBorder="1" applyAlignment="1" applyProtection="1">
      <alignment horizontal="center" vertical="top" wrapText="1"/>
    </xf>
    <xf numFmtId="0" fontId="36" fillId="5" borderId="53" xfId="0" applyFont="1" applyFill="1" applyBorder="1" applyAlignment="1" applyProtection="1">
      <alignment horizontal="left" vertical="top" wrapText="1"/>
      <protection locked="0"/>
    </xf>
    <xf numFmtId="0" fontId="36" fillId="5" borderId="28" xfId="0" applyFont="1" applyFill="1" applyBorder="1" applyAlignment="1" applyProtection="1">
      <alignment horizontal="left" vertical="top" wrapText="1"/>
      <protection locked="0"/>
    </xf>
    <xf numFmtId="167" fontId="39" fillId="0" borderId="53" xfId="0" applyNumberFormat="1" applyFont="1" applyBorder="1" applyProtection="1">
      <protection locked="0"/>
    </xf>
    <xf numFmtId="167" fontId="39" fillId="0" borderId="28" xfId="0" applyNumberFormat="1" applyFont="1" applyBorder="1" applyProtection="1">
      <protection locked="0"/>
    </xf>
    <xf numFmtId="0" fontId="39" fillId="0" borderId="12" xfId="0" applyFont="1" applyBorder="1" applyProtection="1">
      <protection locked="0"/>
    </xf>
    <xf numFmtId="0" fontId="39" fillId="0" borderId="0" xfId="0" applyFont="1" applyBorder="1" applyProtection="1">
      <protection locked="0"/>
    </xf>
    <xf numFmtId="0" fontId="39" fillId="0" borderId="13" xfId="0" applyFont="1" applyBorder="1" applyProtection="1">
      <protection locked="0"/>
    </xf>
    <xf numFmtId="0" fontId="39" fillId="5" borderId="26" xfId="0" applyFont="1" applyFill="1" applyBorder="1" applyAlignment="1" applyProtection="1">
      <alignment horizontal="left" vertical="center"/>
      <protection locked="0"/>
    </xf>
    <xf numFmtId="0" fontId="36" fillId="5" borderId="29" xfId="0" applyFont="1" applyFill="1" applyBorder="1" applyAlignment="1" applyProtection="1">
      <alignment horizontal="left" vertical="top" wrapText="1"/>
      <protection locked="0"/>
    </xf>
    <xf numFmtId="0" fontId="36" fillId="5" borderId="20" xfId="0" applyFont="1" applyFill="1" applyBorder="1" applyAlignment="1" applyProtection="1">
      <alignment horizontal="left" vertical="top" wrapText="1"/>
      <protection locked="0"/>
    </xf>
    <xf numFmtId="0" fontId="36" fillId="5" borderId="32" xfId="0" applyFont="1" applyFill="1" applyBorder="1" applyAlignment="1" applyProtection="1">
      <alignment horizontal="left" vertical="top" wrapText="1"/>
      <protection locked="0"/>
    </xf>
    <xf numFmtId="0" fontId="36" fillId="5" borderId="54" xfId="0" applyFont="1" applyFill="1" applyBorder="1" applyAlignment="1" applyProtection="1">
      <alignment horizontal="left" vertical="top" wrapText="1"/>
      <protection locked="0"/>
    </xf>
    <xf numFmtId="0" fontId="36" fillId="5" borderId="68" xfId="0" applyFont="1" applyFill="1" applyBorder="1" applyAlignment="1" applyProtection="1">
      <alignment horizontal="left" vertical="top" wrapText="1"/>
      <protection locked="0"/>
    </xf>
    <xf numFmtId="0" fontId="36" fillId="5" borderId="30" xfId="0" applyFont="1" applyFill="1" applyBorder="1" applyAlignment="1" applyProtection="1">
      <alignment horizontal="left" vertical="top" wrapText="1"/>
      <protection locked="0"/>
    </xf>
    <xf numFmtId="0" fontId="36" fillId="5" borderId="82" xfId="0" applyFont="1" applyFill="1" applyBorder="1" applyAlignment="1" applyProtection="1">
      <alignment horizontal="left" vertical="top" wrapText="1"/>
      <protection locked="0"/>
    </xf>
    <xf numFmtId="0" fontId="36" fillId="5" borderId="33" xfId="0" applyFont="1" applyFill="1" applyBorder="1" applyAlignment="1" applyProtection="1">
      <alignment horizontal="left" vertical="top" wrapText="1"/>
      <protection locked="0"/>
    </xf>
    <xf numFmtId="0" fontId="36" fillId="5" borderId="27" xfId="0" applyFont="1" applyFill="1" applyBorder="1" applyAlignment="1" applyProtection="1">
      <alignment horizontal="left" vertical="top" wrapText="1"/>
      <protection locked="0"/>
    </xf>
    <xf numFmtId="0" fontId="47" fillId="0" borderId="75" xfId="0" applyFont="1" applyFill="1" applyBorder="1" applyAlignment="1" applyProtection="1">
      <alignment horizontal="center" vertical="top" wrapText="1"/>
    </xf>
    <xf numFmtId="0" fontId="47" fillId="0" borderId="10" xfId="0" applyFont="1" applyFill="1" applyBorder="1" applyAlignment="1" applyProtection="1">
      <alignment horizontal="center" vertical="top" wrapText="1"/>
    </xf>
    <xf numFmtId="0" fontId="47" fillId="0" borderId="11" xfId="0" applyFont="1" applyFill="1" applyBorder="1" applyAlignment="1" applyProtection="1">
      <alignment horizontal="center" vertical="top" wrapText="1"/>
    </xf>
    <xf numFmtId="0" fontId="39" fillId="0" borderId="13" xfId="0" applyFont="1" applyFill="1" applyBorder="1" applyAlignment="1" applyProtection="1">
      <alignment horizontal="center"/>
    </xf>
    <xf numFmtId="0" fontId="36" fillId="5" borderId="85" xfId="0" applyFont="1" applyFill="1" applyBorder="1" applyAlignment="1" applyProtection="1">
      <alignment horizontal="left" vertical="top" wrapText="1"/>
      <protection locked="0"/>
    </xf>
    <xf numFmtId="0" fontId="39" fillId="0" borderId="0" xfId="0" applyFont="1" applyFill="1" applyAlignment="1" applyProtection="1">
      <alignment horizontal="left" vertical="top" wrapText="1"/>
    </xf>
    <xf numFmtId="0" fontId="39" fillId="10" borderId="68" xfId="0" applyFont="1" applyFill="1" applyBorder="1" applyAlignment="1" applyProtection="1">
      <alignment horizontal="left" vertical="top" wrapText="1"/>
      <protection locked="0"/>
    </xf>
    <xf numFmtId="0" fontId="39" fillId="10" borderId="20" xfId="0" applyFont="1" applyFill="1" applyBorder="1" applyAlignment="1" applyProtection="1">
      <alignment horizontal="left" vertical="top" wrapText="1"/>
      <protection locked="0"/>
    </xf>
    <xf numFmtId="0" fontId="39" fillId="0" borderId="71" xfId="0" applyFont="1" applyFill="1" applyBorder="1" applyAlignment="1" applyProtection="1">
      <alignment horizontal="center" vertical="top" wrapText="1"/>
    </xf>
    <xf numFmtId="0" fontId="39" fillId="0" borderId="76" xfId="0" applyFont="1" applyFill="1" applyBorder="1" applyAlignment="1" applyProtection="1">
      <alignment horizontal="center" vertical="top" wrapText="1"/>
    </xf>
    <xf numFmtId="0" fontId="39" fillId="0" borderId="72" xfId="0" applyFont="1" applyFill="1" applyBorder="1" applyAlignment="1" applyProtection="1">
      <alignment horizontal="center" vertical="top" wrapText="1"/>
    </xf>
    <xf numFmtId="0" fontId="39" fillId="0" borderId="7" xfId="0" applyFont="1" applyFill="1" applyBorder="1" applyAlignment="1" applyProtection="1">
      <alignment horizontal="center" vertical="top" wrapText="1"/>
    </xf>
    <xf numFmtId="0" fontId="39" fillId="0" borderId="0" xfId="0" applyFont="1" applyFill="1" applyBorder="1" applyAlignment="1" applyProtection="1">
      <alignment horizontal="center" vertical="top" wrapText="1"/>
    </xf>
    <xf numFmtId="0" fontId="39" fillId="0" borderId="8" xfId="0" applyFont="1" applyFill="1" applyBorder="1" applyAlignment="1" applyProtection="1">
      <alignment horizontal="center" vertical="top" wrapText="1"/>
    </xf>
    <xf numFmtId="0" fontId="39" fillId="0" borderId="0" xfId="0" applyFont="1" applyFill="1" applyAlignment="1" applyProtection="1">
      <alignment horizontal="right" vertical="center" wrapText="1"/>
    </xf>
    <xf numFmtId="0" fontId="39" fillId="0" borderId="8" xfId="0" applyFont="1" applyFill="1" applyBorder="1" applyAlignment="1" applyProtection="1">
      <alignment horizontal="right" vertical="center" wrapText="1"/>
    </xf>
    <xf numFmtId="0" fontId="39" fillId="0" borderId="76" xfId="0" applyFont="1" applyFill="1" applyBorder="1" applyAlignment="1" applyProtection="1">
      <alignment horizontal="left" vertical="top" wrapText="1"/>
    </xf>
    <xf numFmtId="0" fontId="39" fillId="0" borderId="69" xfId="0" applyFont="1" applyFill="1" applyBorder="1" applyAlignment="1" applyProtection="1">
      <alignment horizontal="left" vertical="center" wrapText="1"/>
      <protection locked="0"/>
    </xf>
    <xf numFmtId="0" fontId="39" fillId="0" borderId="73" xfId="0" applyFont="1" applyFill="1" applyBorder="1" applyAlignment="1" applyProtection="1">
      <alignment horizontal="left" vertical="center" wrapText="1"/>
      <protection locked="0"/>
    </xf>
    <xf numFmtId="0" fontId="39" fillId="0" borderId="70" xfId="0" applyFont="1" applyFill="1" applyBorder="1" applyAlignment="1" applyProtection="1">
      <alignment horizontal="left" vertical="center" wrapText="1"/>
      <protection locked="0"/>
    </xf>
    <xf numFmtId="0" fontId="35" fillId="0" borderId="32" xfId="0" applyFont="1" applyFill="1" applyBorder="1" applyAlignment="1" applyProtection="1">
      <alignment horizontal="left" vertical="top" wrapText="1"/>
    </xf>
    <xf numFmtId="0" fontId="35" fillId="0" borderId="54" xfId="0" applyFont="1" applyFill="1" applyBorder="1" applyAlignment="1" applyProtection="1">
      <alignment horizontal="left" vertical="top" wrapText="1"/>
    </xf>
    <xf numFmtId="0" fontId="35" fillId="0" borderId="33" xfId="0" applyFont="1" applyFill="1" applyBorder="1" applyAlignment="1" applyProtection="1">
      <alignment horizontal="left" vertical="top" wrapText="1"/>
    </xf>
    <xf numFmtId="0" fontId="35" fillId="0" borderId="29" xfId="0" applyFont="1" applyFill="1" applyBorder="1" applyAlignment="1" applyProtection="1">
      <alignment horizontal="left" vertical="top" wrapText="1"/>
    </xf>
    <xf numFmtId="0" fontId="35" fillId="0" borderId="20" xfId="0" applyFont="1" applyFill="1" applyBorder="1" applyAlignment="1" applyProtection="1">
      <alignment horizontal="left" vertical="top" wrapText="1"/>
    </xf>
    <xf numFmtId="0" fontId="35" fillId="0" borderId="30" xfId="0" applyFont="1" applyFill="1" applyBorder="1" applyAlignment="1" applyProtection="1">
      <alignment horizontal="left" vertical="top" wrapText="1"/>
    </xf>
    <xf numFmtId="0" fontId="35" fillId="0" borderId="27" xfId="0" applyFont="1" applyFill="1" applyBorder="1" applyAlignment="1" applyProtection="1">
      <alignment horizontal="left" vertical="top" wrapText="1"/>
    </xf>
    <xf numFmtId="0" fontId="35" fillId="0" borderId="53" xfId="0" applyFont="1" applyFill="1" applyBorder="1" applyAlignment="1" applyProtection="1">
      <alignment horizontal="left" vertical="top" wrapText="1"/>
    </xf>
    <xf numFmtId="0" fontId="35" fillId="0" borderId="28" xfId="0" applyFont="1" applyFill="1" applyBorder="1" applyAlignment="1" applyProtection="1">
      <alignment horizontal="left" vertical="top" wrapText="1"/>
    </xf>
    <xf numFmtId="0" fontId="39" fillId="0" borderId="71" xfId="0" applyFont="1" applyFill="1" applyBorder="1" applyAlignment="1" applyProtection="1">
      <alignment horizontal="left" vertical="top" wrapText="1"/>
    </xf>
    <xf numFmtId="0" fontId="39" fillId="0" borderId="7" xfId="0" applyFont="1" applyFill="1" applyBorder="1" applyAlignment="1" applyProtection="1">
      <alignment horizontal="left" vertical="top" wrapText="1"/>
    </xf>
    <xf numFmtId="0" fontId="39" fillId="0" borderId="9" xfId="0" applyFont="1" applyFill="1" applyBorder="1" applyAlignment="1" applyProtection="1">
      <alignment horizontal="left" vertical="top" wrapText="1"/>
    </xf>
    <xf numFmtId="0" fontId="39" fillId="0" borderId="12" xfId="0" applyFont="1" applyFill="1" applyBorder="1" applyAlignment="1" applyProtection="1">
      <alignment horizontal="left" vertical="top" wrapText="1"/>
    </xf>
    <xf numFmtId="0" fontId="36" fillId="0" borderId="25" xfId="0" applyFont="1" applyFill="1" applyBorder="1" applyAlignment="1" applyProtection="1">
      <alignment horizontal="center" wrapText="1"/>
    </xf>
    <xf numFmtId="0" fontId="36" fillId="0" borderId="18" xfId="0" applyFont="1" applyFill="1" applyBorder="1" applyAlignment="1" applyProtection="1">
      <alignment horizontal="center" wrapText="1"/>
    </xf>
    <xf numFmtId="0" fontId="36" fillId="0" borderId="38" xfId="0" applyFont="1" applyFill="1" applyBorder="1" applyAlignment="1" applyProtection="1">
      <alignment horizontal="center" wrapText="1"/>
    </xf>
    <xf numFmtId="0" fontId="36" fillId="0" borderId="9" xfId="0" applyFont="1" applyFill="1" applyBorder="1" applyAlignment="1" applyProtection="1">
      <alignment horizontal="center" wrapText="1"/>
    </xf>
    <xf numFmtId="0" fontId="36" fillId="0" borderId="12" xfId="0" applyFont="1" applyFill="1" applyBorder="1" applyAlignment="1" applyProtection="1">
      <alignment horizontal="center" wrapText="1"/>
    </xf>
    <xf numFmtId="0" fontId="36" fillId="0" borderId="84" xfId="0" applyFont="1" applyFill="1" applyBorder="1" applyAlignment="1" applyProtection="1">
      <alignment horizontal="center" wrapText="1"/>
    </xf>
    <xf numFmtId="0" fontId="34" fillId="0" borderId="0" xfId="0" applyFont="1" applyFill="1" applyBorder="1" applyAlignment="1" applyProtection="1">
      <alignment horizontal="center" vertical="center" wrapText="1"/>
    </xf>
    <xf numFmtId="3" fontId="39" fillId="10" borderId="69" xfId="0" applyNumberFormat="1" applyFont="1" applyFill="1" applyBorder="1" applyAlignment="1" applyProtection="1">
      <alignment horizontal="left" vertical="center"/>
      <protection locked="0"/>
    </xf>
    <xf numFmtId="3" fontId="39" fillId="10" borderId="70" xfId="0" applyNumberFormat="1" applyFont="1" applyFill="1" applyBorder="1" applyAlignment="1" applyProtection="1">
      <alignment horizontal="left" vertical="center"/>
      <protection locked="0"/>
    </xf>
    <xf numFmtId="0" fontId="39" fillId="0" borderId="7" xfId="0" applyFont="1" applyFill="1" applyBorder="1" applyAlignment="1" applyProtection="1">
      <alignment vertical="center"/>
    </xf>
    <xf numFmtId="0" fontId="39" fillId="0" borderId="0" xfId="0" applyFont="1" applyFill="1" applyBorder="1" applyAlignment="1" applyProtection="1">
      <alignment vertical="center"/>
    </xf>
    <xf numFmtId="0" fontId="39" fillId="0" borderId="8" xfId="0" applyFont="1" applyFill="1" applyBorder="1" applyAlignment="1" applyProtection="1">
      <alignment vertical="center"/>
    </xf>
    <xf numFmtId="0" fontId="39" fillId="0" borderId="4" xfId="0" applyFont="1" applyFill="1" applyBorder="1" applyAlignment="1" applyProtection="1">
      <alignment vertical="center"/>
    </xf>
    <xf numFmtId="0" fontId="39" fillId="0" borderId="5" xfId="0" applyFont="1" applyFill="1" applyBorder="1" applyAlignment="1" applyProtection="1">
      <alignment vertical="center"/>
    </xf>
    <xf numFmtId="0" fontId="39" fillId="0" borderId="6" xfId="0" applyFont="1" applyFill="1" applyBorder="1" applyAlignment="1" applyProtection="1">
      <alignment vertical="center"/>
    </xf>
    <xf numFmtId="0" fontId="39" fillId="0" borderId="0" xfId="0" applyFont="1" applyFill="1" applyBorder="1" applyAlignment="1" applyProtection="1">
      <alignment horizontal="center" vertical="center"/>
    </xf>
    <xf numFmtId="37" fontId="35" fillId="13" borderId="68" xfId="0" applyNumberFormat="1" applyFont="1" applyFill="1" applyBorder="1" applyAlignment="1" applyProtection="1">
      <alignment horizontal="center" vertical="center"/>
    </xf>
    <xf numFmtId="0" fontId="35" fillId="13" borderId="67" xfId="0" applyFont="1" applyFill="1" applyBorder="1" applyAlignment="1" applyProtection="1">
      <alignment horizontal="center" vertical="center"/>
    </xf>
    <xf numFmtId="38" fontId="39" fillId="5" borderId="16" xfId="0" applyNumberFormat="1" applyFont="1" applyFill="1" applyBorder="1" applyAlignment="1" applyProtection="1">
      <alignment horizontal="right" vertical="center"/>
      <protection locked="0"/>
    </xf>
    <xf numFmtId="0" fontId="39" fillId="5" borderId="16" xfId="0" applyFont="1" applyFill="1" applyBorder="1" applyAlignment="1" applyProtection="1">
      <alignment vertical="center"/>
      <protection locked="0"/>
    </xf>
    <xf numFmtId="38" fontId="47" fillId="0" borderId="9" xfId="2" applyNumberFormat="1" applyFont="1" applyFill="1" applyBorder="1" applyAlignment="1" applyProtection="1">
      <alignment horizontal="center" vertical="center"/>
    </xf>
    <xf numFmtId="38" fontId="47" fillId="0" borderId="13" xfId="2" applyNumberFormat="1" applyFont="1" applyFill="1" applyBorder="1" applyAlignment="1" applyProtection="1">
      <alignment horizontal="center" vertical="center"/>
    </xf>
    <xf numFmtId="38" fontId="39" fillId="5" borderId="17" xfId="0" applyNumberFormat="1" applyFont="1" applyFill="1" applyBorder="1" applyAlignment="1" applyProtection="1">
      <alignment horizontal="right" vertical="center"/>
      <protection locked="0"/>
    </xf>
    <xf numFmtId="0" fontId="39" fillId="5" borderId="17" xfId="0" applyFont="1" applyFill="1" applyBorder="1" applyAlignment="1" applyProtection="1">
      <alignment horizontal="left" vertical="center"/>
      <protection locked="0"/>
    </xf>
    <xf numFmtId="0" fontId="39" fillId="5" borderId="15" xfId="0" applyFont="1" applyFill="1" applyBorder="1" applyAlignment="1" applyProtection="1">
      <alignment horizontal="left" vertical="center"/>
      <protection locked="0"/>
    </xf>
    <xf numFmtId="0" fontId="39" fillId="5" borderId="16" xfId="0" applyFont="1" applyFill="1" applyBorder="1" applyAlignment="1" applyProtection="1">
      <alignment horizontal="left" vertical="center"/>
      <protection locked="0"/>
    </xf>
    <xf numFmtId="38" fontId="39" fillId="5" borderId="21" xfId="0" applyNumberFormat="1" applyFont="1" applyFill="1" applyBorder="1" applyAlignment="1" applyProtection="1">
      <alignment horizontal="right" vertical="center"/>
      <protection locked="0"/>
    </xf>
    <xf numFmtId="0" fontId="39" fillId="5" borderId="21" xfId="0" applyFont="1" applyFill="1" applyBorder="1" applyAlignment="1" applyProtection="1">
      <alignment vertical="center"/>
      <protection locked="0"/>
    </xf>
    <xf numFmtId="38" fontId="39" fillId="0" borderId="73" xfId="2" applyNumberFormat="1" applyFont="1" applyFill="1" applyBorder="1" applyAlignment="1" applyProtection="1">
      <alignment horizontal="center" vertical="center"/>
    </xf>
    <xf numFmtId="0" fontId="39" fillId="5" borderId="69" xfId="0" applyFont="1" applyFill="1" applyBorder="1" applyAlignment="1" applyProtection="1">
      <alignment horizontal="center" vertical="center"/>
      <protection locked="0"/>
    </xf>
    <xf numFmtId="0" fontId="39" fillId="5" borderId="70" xfId="0" applyFont="1" applyFill="1" applyBorder="1" applyAlignment="1" applyProtection="1">
      <alignment horizontal="center" vertical="center"/>
      <protection locked="0"/>
    </xf>
    <xf numFmtId="0" fontId="39" fillId="5" borderId="17" xfId="0" applyFont="1" applyFill="1" applyBorder="1" applyAlignment="1" applyProtection="1">
      <alignment vertical="center"/>
      <protection locked="0"/>
    </xf>
    <xf numFmtId="38" fontId="39" fillId="6" borderId="69" xfId="2" applyNumberFormat="1" applyFont="1" applyFill="1" applyBorder="1" applyAlignment="1" applyProtection="1">
      <alignment horizontal="center" vertical="center"/>
      <protection locked="0"/>
    </xf>
    <xf numFmtId="38" fontId="39" fillId="6" borderId="70" xfId="2" applyNumberFormat="1" applyFont="1" applyFill="1" applyBorder="1" applyAlignment="1" applyProtection="1">
      <alignment horizontal="center" vertical="center"/>
      <protection locked="0"/>
    </xf>
    <xf numFmtId="0" fontId="39" fillId="5" borderId="15" xfId="0" applyFont="1" applyFill="1" applyBorder="1" applyAlignment="1" applyProtection="1">
      <alignment horizontal="center" vertical="center"/>
      <protection locked="0"/>
    </xf>
    <xf numFmtId="0" fontId="39" fillId="5" borderId="16" xfId="0" applyFont="1" applyFill="1" applyBorder="1" applyAlignment="1" applyProtection="1">
      <alignment horizontal="center" vertical="center"/>
      <protection locked="0"/>
    </xf>
    <xf numFmtId="38" fontId="39" fillId="6" borderId="15" xfId="2" applyNumberFormat="1" applyFont="1" applyFill="1" applyBorder="1" applyAlignment="1" applyProtection="1">
      <alignment horizontal="center" vertical="center"/>
      <protection locked="0"/>
    </xf>
    <xf numFmtId="38" fontId="39" fillId="6" borderId="16" xfId="2" applyNumberFormat="1" applyFont="1" applyFill="1" applyBorder="1" applyAlignment="1" applyProtection="1">
      <alignment horizontal="center" vertical="center"/>
      <protection locked="0"/>
    </xf>
    <xf numFmtId="38" fontId="39" fillId="5" borderId="15" xfId="0" applyNumberFormat="1" applyFont="1" applyFill="1" applyBorder="1" applyAlignment="1" applyProtection="1">
      <alignment horizontal="right" vertical="center"/>
      <protection locked="0"/>
    </xf>
    <xf numFmtId="0" fontId="39" fillId="5" borderId="15" xfId="0" applyFont="1" applyFill="1" applyBorder="1" applyAlignment="1" applyProtection="1">
      <alignment vertical="center"/>
      <protection locked="0"/>
    </xf>
    <xf numFmtId="0" fontId="35" fillId="13" borderId="35" xfId="0" applyFont="1" applyFill="1" applyBorder="1" applyAlignment="1" applyProtection="1">
      <alignment horizontal="left" vertical="top" wrapText="1"/>
      <protection locked="0"/>
    </xf>
    <xf numFmtId="0" fontId="0" fillId="13" borderId="2" xfId="0" applyFill="1" applyBorder="1" applyAlignment="1" applyProtection="1">
      <alignment horizontal="left" vertical="top" wrapText="1"/>
      <protection locked="0"/>
    </xf>
    <xf numFmtId="0" fontId="0" fillId="13" borderId="36" xfId="0" applyFill="1" applyBorder="1" applyAlignment="1" applyProtection="1">
      <alignment horizontal="left" vertical="top" wrapText="1"/>
      <protection locked="0"/>
    </xf>
    <xf numFmtId="0" fontId="8" fillId="0" borderId="0" xfId="0" applyFont="1" applyFill="1" applyAlignment="1" applyProtection="1">
      <alignment horizontal="left"/>
    </xf>
    <xf numFmtId="0" fontId="35" fillId="13" borderId="42" xfId="0" applyFont="1" applyFill="1" applyBorder="1" applyAlignment="1" applyProtection="1">
      <alignment horizontal="left" vertical="top" wrapText="1"/>
      <protection locked="0"/>
    </xf>
    <xf numFmtId="0" fontId="35" fillId="13" borderId="38" xfId="0" applyFont="1" applyFill="1" applyBorder="1" applyAlignment="1" applyProtection="1">
      <alignment horizontal="left" vertical="top" wrapText="1"/>
      <protection locked="0"/>
    </xf>
    <xf numFmtId="0" fontId="35" fillId="13" borderId="39" xfId="0" applyFont="1" applyFill="1" applyBorder="1" applyAlignment="1" applyProtection="1">
      <alignment horizontal="left" vertical="top" wrapText="1"/>
      <protection locked="0"/>
    </xf>
    <xf numFmtId="0" fontId="35" fillId="13" borderId="40" xfId="0" applyFont="1" applyFill="1" applyBorder="1" applyAlignment="1" applyProtection="1">
      <alignment horizontal="left" vertical="top" wrapText="1"/>
      <protection locked="0"/>
    </xf>
    <xf numFmtId="0" fontId="35" fillId="13" borderId="41" xfId="0" applyFont="1" applyFill="1" applyBorder="1" applyAlignment="1" applyProtection="1">
      <alignment horizontal="left" vertical="top" wrapText="1"/>
      <protection locked="0"/>
    </xf>
    <xf numFmtId="0" fontId="35" fillId="13" borderId="55" xfId="0" applyFont="1" applyFill="1" applyBorder="1" applyAlignment="1" applyProtection="1">
      <alignment horizontal="left" vertical="top" wrapText="1"/>
      <protection locked="0"/>
    </xf>
    <xf numFmtId="38" fontId="39" fillId="6" borderId="17" xfId="2" applyNumberFormat="1" applyFont="1" applyFill="1" applyBorder="1" applyAlignment="1" applyProtection="1">
      <alignment horizontal="center" vertical="center"/>
      <protection locked="0"/>
    </xf>
    <xf numFmtId="0" fontId="39" fillId="5" borderId="17" xfId="0" applyFont="1" applyFill="1" applyBorder="1" applyAlignment="1" applyProtection="1">
      <alignment horizontal="center" vertical="center"/>
      <protection locked="0"/>
    </xf>
    <xf numFmtId="0" fontId="39" fillId="0" borderId="0" xfId="0" applyFont="1" applyFill="1" applyBorder="1" applyAlignment="1" applyProtection="1">
      <alignment horizontal="center" wrapText="1"/>
    </xf>
    <xf numFmtId="0" fontId="39" fillId="0" borderId="12" xfId="0" applyFont="1" applyBorder="1" applyAlignment="1">
      <alignment horizontal="center" wrapText="1"/>
    </xf>
    <xf numFmtId="4" fontId="35" fillId="0" borderId="0" xfId="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center" vertical="center"/>
    </xf>
    <xf numFmtId="0" fontId="66" fillId="0" borderId="0" xfId="0" applyFont="1" applyFill="1" applyBorder="1" applyAlignment="1" applyProtection="1">
      <alignment horizontal="center" vertical="center"/>
    </xf>
    <xf numFmtId="0" fontId="39" fillId="0" borderId="73" xfId="0" applyFont="1" applyFill="1" applyBorder="1" applyAlignment="1" applyProtection="1">
      <alignment horizontal="center" vertical="center"/>
    </xf>
    <xf numFmtId="3" fontId="35" fillId="0" borderId="0" xfId="0" applyNumberFormat="1" applyFont="1" applyFill="1" applyBorder="1" applyAlignment="1" applyProtection="1">
      <alignment horizontal="center" vertical="center"/>
    </xf>
    <xf numFmtId="166" fontId="39" fillId="13" borderId="68" xfId="0" applyNumberFormat="1" applyFont="1" applyFill="1" applyBorder="1" applyAlignment="1" applyProtection="1">
      <alignment horizontal="center" vertical="center"/>
    </xf>
    <xf numFmtId="166" fontId="39" fillId="13" borderId="67" xfId="0" applyNumberFormat="1" applyFont="1" applyFill="1" applyBorder="1" applyAlignment="1" applyProtection="1">
      <alignment horizontal="center" vertical="center"/>
    </xf>
    <xf numFmtId="0" fontId="34" fillId="0" borderId="0" xfId="0" applyFont="1" applyFill="1" applyAlignment="1" applyProtection="1">
      <alignment horizontal="left" vertical="center" wrapText="1"/>
    </xf>
    <xf numFmtId="38" fontId="47" fillId="0" borderId="52" xfId="0" applyNumberFormat="1" applyFont="1" applyFill="1" applyBorder="1" applyAlignment="1" applyProtection="1">
      <alignment horizontal="center" vertical="center"/>
    </xf>
    <xf numFmtId="38" fontId="47" fillId="0" borderId="34" xfId="0" applyNumberFormat="1" applyFont="1" applyFill="1" applyBorder="1" applyAlignment="1" applyProtection="1">
      <alignment horizontal="center" vertical="center"/>
    </xf>
    <xf numFmtId="0" fontId="0" fillId="0" borderId="2" xfId="0" applyBorder="1" applyAlignment="1" applyProtection="1">
      <alignment horizontal="left" vertical="top" wrapText="1"/>
      <protection locked="0"/>
    </xf>
    <xf numFmtId="0" fontId="0" fillId="0" borderId="36" xfId="0" applyBorder="1" applyAlignment="1" applyProtection="1">
      <alignment horizontal="left" vertical="top" wrapText="1"/>
      <protection locked="0"/>
    </xf>
    <xf numFmtId="38" fontId="47" fillId="0" borderId="35" xfId="2" applyNumberFormat="1" applyFont="1" applyFill="1" applyBorder="1" applyAlignment="1" applyProtection="1">
      <alignment horizontal="center" vertical="center"/>
    </xf>
    <xf numFmtId="38" fontId="47" fillId="0" borderId="36" xfId="2" applyNumberFormat="1" applyFont="1" applyFill="1" applyBorder="1" applyAlignment="1" applyProtection="1">
      <alignment horizontal="center" vertical="center"/>
    </xf>
    <xf numFmtId="38" fontId="39" fillId="13" borderId="39" xfId="2" applyNumberFormat="1" applyFont="1" applyFill="1" applyBorder="1" applyAlignment="1" applyProtection="1">
      <alignment horizontal="right" vertical="center"/>
      <protection locked="0"/>
    </xf>
    <xf numFmtId="38" fontId="39" fillId="13" borderId="40" xfId="2" applyNumberFormat="1" applyFont="1" applyFill="1" applyBorder="1" applyAlignment="1" applyProtection="1">
      <alignment horizontal="right" vertical="center"/>
      <protection locked="0"/>
    </xf>
    <xf numFmtId="3" fontId="39" fillId="13" borderId="24" xfId="0" applyNumberFormat="1" applyFont="1" applyFill="1" applyBorder="1" applyAlignment="1" applyProtection="1">
      <alignment horizontal="center" vertical="center"/>
    </xf>
    <xf numFmtId="3" fontId="39" fillId="13" borderId="46" xfId="0" applyNumberFormat="1" applyFont="1" applyFill="1" applyBorder="1" applyAlignment="1" applyProtection="1">
      <alignment horizontal="center" vertical="center"/>
    </xf>
    <xf numFmtId="0" fontId="79" fillId="12" borderId="0" xfId="0" applyFont="1" applyFill="1" applyAlignment="1" applyProtection="1">
      <alignment horizontal="center" vertical="center"/>
    </xf>
    <xf numFmtId="37" fontId="39" fillId="5" borderId="69" xfId="0" applyNumberFormat="1" applyFont="1" applyFill="1" applyBorder="1" applyAlignment="1" applyProtection="1">
      <alignment horizontal="left" vertical="center"/>
      <protection locked="0"/>
    </xf>
    <xf numFmtId="0" fontId="0" fillId="0" borderId="70" xfId="0" applyBorder="1" applyAlignment="1" applyProtection="1">
      <alignment horizontal="left"/>
      <protection locked="0"/>
    </xf>
    <xf numFmtId="0" fontId="36" fillId="10" borderId="9" xfId="0" applyFont="1" applyFill="1" applyBorder="1" applyAlignment="1" applyProtection="1">
      <alignment horizontal="left" vertical="center"/>
      <protection locked="0"/>
    </xf>
    <xf numFmtId="0" fontId="36" fillId="10" borderId="12" xfId="0" applyFont="1" applyFill="1" applyBorder="1" applyAlignment="1" applyProtection="1">
      <alignment horizontal="left" vertical="center"/>
      <protection locked="0"/>
    </xf>
    <xf numFmtId="0" fontId="36" fillId="10" borderId="70" xfId="0" applyFont="1" applyFill="1" applyBorder="1" applyAlignment="1" applyProtection="1">
      <alignment horizontal="left" vertical="center"/>
      <protection locked="0"/>
    </xf>
    <xf numFmtId="37" fontId="39" fillId="5" borderId="27" xfId="0" applyNumberFormat="1" applyFont="1" applyFill="1" applyBorder="1" applyAlignment="1" applyProtection="1">
      <alignment horizontal="left" vertical="center"/>
      <protection locked="0"/>
    </xf>
    <xf numFmtId="0" fontId="0" fillId="0" borderId="28" xfId="0" applyBorder="1" applyAlignment="1" applyProtection="1">
      <alignment horizontal="left"/>
      <protection locked="0"/>
    </xf>
    <xf numFmtId="0" fontId="35" fillId="10" borderId="69" xfId="0" applyFont="1" applyFill="1" applyBorder="1" applyAlignment="1" applyProtection="1">
      <alignment horizontal="left" vertical="center"/>
      <protection locked="0"/>
    </xf>
    <xf numFmtId="0" fontId="35" fillId="10" borderId="73" xfId="0" applyFont="1" applyFill="1" applyBorder="1" applyAlignment="1" applyProtection="1">
      <alignment horizontal="left" vertical="center"/>
      <protection locked="0"/>
    </xf>
    <xf numFmtId="0" fontId="35" fillId="10" borderId="70" xfId="0" applyFont="1" applyFill="1" applyBorder="1" applyAlignment="1" applyProtection="1">
      <alignment horizontal="left" vertical="center"/>
      <protection locked="0"/>
    </xf>
    <xf numFmtId="0" fontId="35" fillId="5" borderId="53" xfId="0" applyFont="1" applyFill="1" applyBorder="1" applyAlignment="1" applyProtection="1">
      <alignment horizontal="left" vertical="center"/>
      <protection locked="0"/>
    </xf>
    <xf numFmtId="0" fontId="35" fillId="5" borderId="28" xfId="0" applyFont="1" applyFill="1" applyBorder="1" applyAlignment="1" applyProtection="1">
      <alignment horizontal="left" vertical="center"/>
      <protection locked="0"/>
    </xf>
    <xf numFmtId="0" fontId="35" fillId="10" borderId="32" xfId="0" applyFont="1" applyFill="1" applyBorder="1" applyAlignment="1" applyProtection="1">
      <alignment horizontal="left" vertical="center"/>
      <protection locked="0"/>
    </xf>
    <xf numFmtId="0" fontId="35" fillId="10" borderId="54" xfId="0" applyFont="1" applyFill="1" applyBorder="1" applyAlignment="1" applyProtection="1">
      <alignment horizontal="left" vertical="center"/>
      <protection locked="0"/>
    </xf>
    <xf numFmtId="0" fontId="35" fillId="10" borderId="33" xfId="0" applyFont="1" applyFill="1" applyBorder="1" applyAlignment="1" applyProtection="1">
      <alignment horizontal="left" vertical="center"/>
      <protection locked="0"/>
    </xf>
    <xf numFmtId="0" fontId="36" fillId="5" borderId="53" xfId="0" applyFont="1" applyFill="1" applyBorder="1" applyAlignment="1" applyProtection="1">
      <alignment horizontal="left" vertical="center"/>
      <protection locked="0"/>
    </xf>
    <xf numFmtId="0" fontId="36" fillId="5" borderId="28" xfId="0" applyFont="1" applyFill="1" applyBorder="1" applyAlignment="1" applyProtection="1">
      <alignment horizontal="left" vertical="center"/>
      <protection locked="0"/>
    </xf>
    <xf numFmtId="0" fontId="36" fillId="10" borderId="32" xfId="0" applyFont="1" applyFill="1" applyBorder="1" applyAlignment="1" applyProtection="1">
      <alignment horizontal="left" vertical="center"/>
      <protection locked="0"/>
    </xf>
    <xf numFmtId="0" fontId="36" fillId="10" borderId="54" xfId="0" applyFont="1" applyFill="1" applyBorder="1" applyAlignment="1" applyProtection="1">
      <alignment horizontal="left" vertical="center"/>
      <protection locked="0"/>
    </xf>
    <xf numFmtId="0" fontId="36" fillId="10" borderId="33" xfId="0" applyFont="1" applyFill="1" applyBorder="1" applyAlignment="1" applyProtection="1">
      <alignment horizontal="left" vertical="center"/>
      <protection locked="0"/>
    </xf>
    <xf numFmtId="0" fontId="26" fillId="8" borderId="35" xfId="0" applyFont="1" applyFill="1" applyBorder="1" applyAlignment="1" applyProtection="1">
      <alignment horizontal="center" vertical="center"/>
    </xf>
    <xf numFmtId="0" fontId="26" fillId="8" borderId="2" xfId="0" applyFont="1" applyFill="1" applyBorder="1" applyAlignment="1" applyProtection="1">
      <alignment horizontal="center" vertical="center"/>
    </xf>
    <xf numFmtId="0" fontId="26" fillId="8" borderId="36"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12" fillId="0" borderId="18" xfId="0" applyNumberFormat="1" applyFont="1" applyBorder="1" applyAlignment="1" applyProtection="1">
      <alignment horizontal="center"/>
    </xf>
    <xf numFmtId="0" fontId="8" fillId="0" borderId="12" xfId="0" applyFont="1" applyBorder="1" applyAlignment="1" applyProtection="1">
      <alignment horizontal="center" vertical="center" wrapText="1"/>
    </xf>
    <xf numFmtId="0" fontId="17" fillId="0" borderId="0" xfId="0" applyFont="1" applyAlignment="1" applyProtection="1">
      <alignment horizontal="center" vertical="center"/>
    </xf>
    <xf numFmtId="0" fontId="22" fillId="0" borderId="0" xfId="0" applyFont="1" applyAlignment="1" applyProtection="1">
      <alignment horizontal="center"/>
    </xf>
    <xf numFmtId="0" fontId="22" fillId="0" borderId="0" xfId="0" applyFont="1" applyFill="1" applyAlignment="1" applyProtection="1">
      <alignment horizontal="center"/>
    </xf>
    <xf numFmtId="0" fontId="22"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3"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164" fontId="39" fillId="5" borderId="29" xfId="1" applyNumberFormat="1" applyFont="1" applyFill="1" applyBorder="1" applyAlignment="1" applyProtection="1">
      <alignment horizontal="right" vertical="center"/>
      <protection locked="0"/>
    </xf>
    <xf numFmtId="164" fontId="39" fillId="5" borderId="30" xfId="1" applyNumberFormat="1" applyFont="1" applyFill="1" applyBorder="1" applyAlignment="1" applyProtection="1">
      <alignment horizontal="right" vertical="center"/>
      <protection locked="0"/>
    </xf>
    <xf numFmtId="164" fontId="39" fillId="5" borderId="27" xfId="1" applyNumberFormat="1" applyFont="1" applyFill="1" applyBorder="1" applyAlignment="1" applyProtection="1">
      <alignment horizontal="right" vertical="center"/>
      <protection locked="0"/>
    </xf>
    <xf numFmtId="164" fontId="39" fillId="5" borderId="28" xfId="1" applyNumberFormat="1" applyFont="1" applyFill="1" applyBorder="1" applyAlignment="1" applyProtection="1">
      <alignment horizontal="right" vertical="center"/>
      <protection locked="0"/>
    </xf>
    <xf numFmtId="164" fontId="39" fillId="5" borderId="107" xfId="1" applyNumberFormat="1" applyFont="1" applyFill="1" applyBorder="1" applyAlignment="1" applyProtection="1">
      <alignment horizontal="right" vertical="center"/>
      <protection locked="0"/>
    </xf>
    <xf numFmtId="164" fontId="39" fillId="5" borderId="108" xfId="1" applyNumberFormat="1" applyFont="1" applyFill="1" applyBorder="1" applyAlignment="1" applyProtection="1">
      <alignment horizontal="right" vertical="center"/>
      <protection locked="0"/>
    </xf>
    <xf numFmtId="164" fontId="39" fillId="0" borderId="56" xfId="1" applyNumberFormat="1" applyFont="1" applyFill="1" applyBorder="1" applyAlignment="1" applyProtection="1">
      <alignment horizontal="right" vertical="center"/>
    </xf>
    <xf numFmtId="0" fontId="39" fillId="0" borderId="57" xfId="0" applyFont="1" applyBorder="1" applyProtection="1"/>
    <xf numFmtId="0" fontId="47" fillId="0" borderId="0" xfId="0" applyFont="1" applyFill="1" applyAlignment="1" applyProtection="1">
      <alignment horizontal="left"/>
    </xf>
    <xf numFmtId="0" fontId="13" fillId="13" borderId="42" xfId="0" applyFont="1" applyFill="1" applyBorder="1" applyAlignment="1" applyProtection="1">
      <alignment horizontal="left" vertical="top" wrapText="1"/>
      <protection locked="0"/>
    </xf>
    <xf numFmtId="0" fontId="13" fillId="13" borderId="38"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164" fontId="39" fillId="0" borderId="57" xfId="1" applyNumberFormat="1" applyFont="1" applyFill="1" applyBorder="1" applyAlignment="1" applyProtection="1">
      <alignment horizontal="right" vertical="center"/>
    </xf>
    <xf numFmtId="0" fontId="3" fillId="13" borderId="42" xfId="0" applyFont="1" applyFill="1" applyBorder="1" applyAlignment="1" applyProtection="1">
      <alignment horizontal="left" vertical="top" wrapText="1"/>
      <protection locked="0"/>
    </xf>
    <xf numFmtId="0" fontId="3" fillId="13" borderId="38" xfId="0" applyFont="1" applyFill="1" applyBorder="1" applyAlignment="1" applyProtection="1">
      <alignment horizontal="left" vertical="top" wrapText="1"/>
      <protection locked="0"/>
    </xf>
    <xf numFmtId="0" fontId="3" fillId="13" borderId="39" xfId="0" applyFont="1" applyFill="1" applyBorder="1" applyAlignment="1" applyProtection="1">
      <alignment horizontal="left" vertical="top" wrapText="1"/>
      <protection locked="0"/>
    </xf>
    <xf numFmtId="0" fontId="3" fillId="13" borderId="40" xfId="0" applyFont="1" applyFill="1" applyBorder="1" applyAlignment="1" applyProtection="1">
      <alignment horizontal="left" vertical="top" wrapText="1"/>
      <protection locked="0"/>
    </xf>
    <xf numFmtId="0" fontId="3" fillId="13" borderId="41" xfId="0" applyFont="1" applyFill="1" applyBorder="1" applyAlignment="1" applyProtection="1">
      <alignment horizontal="left" vertical="top" wrapText="1"/>
      <protection locked="0"/>
    </xf>
    <xf numFmtId="0" fontId="3" fillId="13" borderId="55" xfId="0" applyFont="1" applyFill="1" applyBorder="1" applyAlignment="1" applyProtection="1">
      <alignment horizontal="left" vertical="top" wrapText="1"/>
      <protection locked="0"/>
    </xf>
    <xf numFmtId="0" fontId="3" fillId="13" borderId="19" xfId="0" applyFont="1" applyFill="1" applyBorder="1" applyAlignment="1" applyProtection="1">
      <alignment horizontal="left" vertical="top" wrapText="1"/>
      <protection locked="0"/>
    </xf>
    <xf numFmtId="0" fontId="56" fillId="0" borderId="76" xfId="0" applyFont="1" applyFill="1" applyBorder="1" applyAlignment="1" applyProtection="1">
      <alignment horizontal="left" vertical="center"/>
    </xf>
    <xf numFmtId="0" fontId="56" fillId="0" borderId="72" xfId="0" applyFont="1" applyFill="1" applyBorder="1" applyAlignment="1" applyProtection="1">
      <alignment horizontal="left" vertical="center"/>
    </xf>
    <xf numFmtId="164" fontId="39" fillId="5" borderId="35" xfId="1" applyNumberFormat="1" applyFont="1" applyFill="1" applyBorder="1" applyAlignment="1" applyProtection="1">
      <alignment horizontal="right" vertical="center"/>
      <protection locked="0"/>
    </xf>
    <xf numFmtId="164" fontId="39" fillId="5" borderId="36" xfId="1" applyNumberFormat="1" applyFont="1" applyFill="1" applyBorder="1" applyAlignment="1" applyProtection="1">
      <alignment horizontal="right" vertical="center"/>
      <protection locked="0"/>
    </xf>
    <xf numFmtId="0" fontId="47" fillId="0" borderId="58" xfId="0" applyFont="1" applyFill="1" applyBorder="1" applyAlignment="1" applyProtection="1">
      <alignment horizontal="center" vertical="center" wrapText="1"/>
    </xf>
    <xf numFmtId="0" fontId="47" fillId="0" borderId="59" xfId="0" applyFont="1" applyFill="1" applyBorder="1" applyAlignment="1" applyProtection="1">
      <alignment horizontal="center" vertical="center" wrapText="1"/>
    </xf>
    <xf numFmtId="0" fontId="47" fillId="0" borderId="43" xfId="0" applyFont="1" applyFill="1" applyBorder="1" applyAlignment="1" applyProtection="1">
      <alignment horizontal="center" vertical="center" wrapText="1"/>
    </xf>
    <xf numFmtId="0" fontId="47" fillId="0" borderId="60" xfId="0" applyFont="1" applyFill="1" applyBorder="1" applyAlignment="1" applyProtection="1">
      <alignment horizontal="center" vertical="center" wrapText="1"/>
    </xf>
    <xf numFmtId="164" fontId="39" fillId="5" borderId="32" xfId="1" applyNumberFormat="1" applyFont="1" applyFill="1" applyBorder="1" applyAlignment="1" applyProtection="1">
      <alignment horizontal="right" vertical="center"/>
      <protection locked="0"/>
    </xf>
    <xf numFmtId="164" fontId="39" fillId="5" borderId="33" xfId="1" applyNumberFormat="1" applyFont="1" applyFill="1" applyBorder="1" applyAlignment="1" applyProtection="1">
      <alignment horizontal="right" vertical="center"/>
      <protection locked="0"/>
    </xf>
    <xf numFmtId="164" fontId="39" fillId="0" borderId="0" xfId="1" applyNumberFormat="1" applyFont="1" applyFill="1" applyBorder="1" applyAlignment="1" applyProtection="1">
      <alignment horizontal="center" vertical="center"/>
    </xf>
    <xf numFmtId="164" fontId="47" fillId="0" borderId="52" xfId="1" applyNumberFormat="1" applyFont="1" applyFill="1" applyBorder="1" applyAlignment="1" applyProtection="1">
      <alignment horizontal="center" vertical="center"/>
    </xf>
    <xf numFmtId="164" fontId="47" fillId="0" borderId="34" xfId="1" applyNumberFormat="1" applyFont="1" applyFill="1" applyBorder="1" applyAlignment="1" applyProtection="1">
      <alignment horizontal="center" vertical="center"/>
    </xf>
    <xf numFmtId="38" fontId="39" fillId="0" borderId="29" xfId="0" applyNumberFormat="1" applyFont="1" applyFill="1" applyBorder="1" applyAlignment="1" applyProtection="1">
      <alignment horizontal="center" vertical="center"/>
    </xf>
    <xf numFmtId="38" fontId="39" fillId="0" borderId="30" xfId="0" applyNumberFormat="1" applyFont="1" applyFill="1" applyBorder="1" applyAlignment="1" applyProtection="1">
      <alignment horizontal="center" vertical="center"/>
    </xf>
    <xf numFmtId="10" fontId="47" fillId="0" borderId="29" xfId="0" applyNumberFormat="1" applyFont="1" applyFill="1" applyBorder="1" applyAlignment="1" applyProtection="1">
      <alignment horizontal="center" vertical="center"/>
    </xf>
    <xf numFmtId="10" fontId="47" fillId="0" borderId="30" xfId="0" applyNumberFormat="1" applyFont="1" applyFill="1" applyBorder="1" applyAlignment="1" applyProtection="1">
      <alignment horizontal="center" vertical="center"/>
    </xf>
    <xf numFmtId="38" fontId="39" fillId="0" borderId="35" xfId="0" applyNumberFormat="1" applyFont="1" applyFill="1" applyBorder="1" applyAlignment="1" applyProtection="1">
      <alignment horizontal="center" vertical="center"/>
    </xf>
    <xf numFmtId="38" fontId="39" fillId="0" borderId="36" xfId="0" applyNumberFormat="1" applyFont="1" applyFill="1" applyBorder="1" applyAlignment="1" applyProtection="1">
      <alignment horizontal="center" vertical="center"/>
    </xf>
    <xf numFmtId="38" fontId="39" fillId="0" borderId="27" xfId="0" applyNumberFormat="1" applyFont="1" applyFill="1" applyBorder="1" applyAlignment="1" applyProtection="1">
      <alignment horizontal="center" vertical="center"/>
    </xf>
    <xf numFmtId="38" fontId="39" fillId="0" borderId="28" xfId="0" applyNumberFormat="1" applyFont="1" applyFill="1" applyBorder="1" applyAlignment="1" applyProtection="1">
      <alignment horizontal="center" vertical="center"/>
    </xf>
    <xf numFmtId="38" fontId="39" fillId="0" borderId="2" xfId="0" applyNumberFormat="1" applyFont="1" applyFill="1" applyBorder="1" applyAlignment="1" applyProtection="1">
      <alignment horizontal="center" vertical="center"/>
    </xf>
    <xf numFmtId="10" fontId="39" fillId="5" borderId="29" xfId="0" applyNumberFormat="1" applyFont="1" applyFill="1" applyBorder="1" applyAlignment="1" applyProtection="1">
      <alignment horizontal="center" vertical="center"/>
      <protection locked="0"/>
    </xf>
    <xf numFmtId="10" fontId="39" fillId="5" borderId="30" xfId="0" applyNumberFormat="1" applyFont="1" applyFill="1" applyBorder="1" applyAlignment="1" applyProtection="1">
      <alignment horizontal="center" vertical="center"/>
      <protection locked="0"/>
    </xf>
    <xf numFmtId="0" fontId="36" fillId="0" borderId="7" xfId="0" applyFont="1" applyFill="1" applyBorder="1" applyAlignment="1" applyProtection="1">
      <alignment horizontal="center" vertical="center" wrapText="1"/>
    </xf>
    <xf numFmtId="0" fontId="36" fillId="0" borderId="0" xfId="0" applyFont="1" applyFill="1" applyBorder="1" applyAlignment="1" applyProtection="1">
      <alignment horizontal="center" vertical="center" wrapText="1"/>
    </xf>
    <xf numFmtId="0" fontId="36" fillId="10" borderId="71" xfId="0" applyFont="1" applyFill="1" applyBorder="1" applyAlignment="1" applyProtection="1">
      <alignment horizontal="center" vertical="center" wrapText="1"/>
      <protection locked="0"/>
    </xf>
    <xf numFmtId="0" fontId="36" fillId="10" borderId="76" xfId="0" applyFont="1" applyFill="1" applyBorder="1" applyAlignment="1" applyProtection="1">
      <alignment horizontal="center" vertical="center" wrapText="1"/>
      <protection locked="0"/>
    </xf>
    <xf numFmtId="0" fontId="36" fillId="10" borderId="72" xfId="0" applyFont="1" applyFill="1" applyBorder="1" applyAlignment="1" applyProtection="1">
      <alignment horizontal="center" vertical="center" wrapText="1"/>
      <protection locked="0"/>
    </xf>
    <xf numFmtId="0" fontId="36" fillId="10" borderId="7" xfId="0" applyFont="1" applyFill="1" applyBorder="1" applyAlignment="1" applyProtection="1">
      <alignment horizontal="center" vertical="center" wrapText="1"/>
      <protection locked="0"/>
    </xf>
    <xf numFmtId="0" fontId="36" fillId="10" borderId="0" xfId="0" applyFont="1" applyFill="1" applyBorder="1" applyAlignment="1" applyProtection="1">
      <alignment horizontal="center" vertical="center" wrapText="1"/>
      <protection locked="0"/>
    </xf>
    <xf numFmtId="0" fontId="36" fillId="10" borderId="8" xfId="0" applyFont="1" applyFill="1" applyBorder="1" applyAlignment="1" applyProtection="1">
      <alignment horizontal="center" vertical="center" wrapText="1"/>
      <protection locked="0"/>
    </xf>
    <xf numFmtId="0" fontId="36" fillId="10" borderId="9" xfId="0" applyFont="1" applyFill="1" applyBorder="1" applyAlignment="1" applyProtection="1">
      <alignment horizontal="center" vertical="center" wrapText="1"/>
      <protection locked="0"/>
    </xf>
    <xf numFmtId="0" fontId="36" fillId="10" borderId="12" xfId="0" applyFont="1" applyFill="1" applyBorder="1" applyAlignment="1" applyProtection="1">
      <alignment horizontal="center" vertical="center" wrapText="1"/>
      <protection locked="0"/>
    </xf>
    <xf numFmtId="0" fontId="36" fillId="10" borderId="13" xfId="0" applyFont="1" applyFill="1" applyBorder="1" applyAlignment="1" applyProtection="1">
      <alignment horizontal="center" vertical="center" wrapText="1"/>
      <protection locked="0"/>
    </xf>
    <xf numFmtId="38" fontId="47" fillId="5" borderId="29" xfId="0" applyNumberFormat="1" applyFont="1" applyFill="1" applyBorder="1" applyAlignment="1" applyProtection="1">
      <alignment horizontal="center" vertical="center"/>
      <protection locked="0"/>
    </xf>
    <xf numFmtId="38" fontId="47" fillId="5" borderId="30" xfId="0" applyNumberFormat="1" applyFont="1" applyFill="1" applyBorder="1" applyAlignment="1" applyProtection="1">
      <alignment horizontal="center" vertical="center"/>
      <protection locked="0"/>
    </xf>
    <xf numFmtId="0" fontId="39" fillId="0" borderId="73" xfId="1" applyNumberFormat="1" applyFont="1" applyFill="1" applyBorder="1" applyAlignment="1" applyProtection="1">
      <alignment vertical="center"/>
    </xf>
    <xf numFmtId="4" fontId="39" fillId="0" borderId="70" xfId="1" applyNumberFormat="1" applyFont="1" applyFill="1" applyBorder="1" applyAlignment="1" applyProtection="1">
      <alignment vertical="center"/>
    </xf>
    <xf numFmtId="4" fontId="56" fillId="0" borderId="9" xfId="0" applyNumberFormat="1" applyFont="1" applyFill="1" applyBorder="1" applyAlignment="1" applyProtection="1">
      <alignment horizontal="left" vertical="center"/>
    </xf>
    <xf numFmtId="4" fontId="56" fillId="0" borderId="13" xfId="0" applyNumberFormat="1" applyFont="1" applyFill="1" applyBorder="1" applyAlignment="1" applyProtection="1">
      <alignment horizontal="left" vertical="center"/>
    </xf>
    <xf numFmtId="164" fontId="47" fillId="0" borderId="58" xfId="1" applyNumberFormat="1" applyFont="1" applyFill="1" applyBorder="1" applyAlignment="1" applyProtection="1">
      <alignment horizontal="center" vertical="center" wrapText="1"/>
    </xf>
    <xf numFmtId="164" fontId="47" fillId="0" borderId="59" xfId="1" applyNumberFormat="1" applyFont="1" applyFill="1" applyBorder="1" applyAlignment="1" applyProtection="1">
      <alignment horizontal="center" vertical="center" wrapText="1"/>
    </xf>
    <xf numFmtId="164" fontId="47" fillId="0" borderId="43" xfId="1" applyNumberFormat="1" applyFont="1" applyFill="1" applyBorder="1" applyAlignment="1" applyProtection="1">
      <alignment horizontal="center" vertical="center" wrapText="1"/>
    </xf>
    <xf numFmtId="164" fontId="47" fillId="0" borderId="60" xfId="1" applyNumberFormat="1" applyFont="1" applyFill="1" applyBorder="1" applyAlignment="1" applyProtection="1">
      <alignment horizontal="center" vertical="center" wrapText="1"/>
    </xf>
    <xf numFmtId="0" fontId="47" fillId="0" borderId="52" xfId="0" applyFont="1" applyFill="1" applyBorder="1" applyAlignment="1" applyProtection="1">
      <alignment horizontal="center" vertical="center"/>
    </xf>
    <xf numFmtId="0" fontId="47" fillId="0" borderId="34" xfId="0" applyFont="1" applyFill="1" applyBorder="1" applyAlignment="1" applyProtection="1">
      <alignment horizontal="center" vertical="center"/>
    </xf>
    <xf numFmtId="164" fontId="39" fillId="5" borderId="4" xfId="1" applyNumberFormat="1" applyFont="1" applyFill="1" applyBorder="1" applyAlignment="1" applyProtection="1">
      <alignment horizontal="right" vertical="center"/>
      <protection locked="0"/>
    </xf>
    <xf numFmtId="164" fontId="39" fillId="5" borderId="6" xfId="1" applyNumberFormat="1" applyFont="1" applyFill="1" applyBorder="1" applyAlignment="1" applyProtection="1">
      <alignment horizontal="right" vertical="center"/>
      <protection locked="0"/>
    </xf>
    <xf numFmtId="164" fontId="39" fillId="5" borderId="61" xfId="1" applyNumberFormat="1" applyFont="1" applyFill="1" applyBorder="1" applyAlignment="1" applyProtection="1">
      <alignment horizontal="right" vertical="center"/>
      <protection locked="0"/>
    </xf>
    <xf numFmtId="164" fontId="39" fillId="5" borderId="62" xfId="1" applyNumberFormat="1" applyFont="1" applyFill="1" applyBorder="1" applyAlignment="1" applyProtection="1">
      <alignment horizontal="right" vertical="center"/>
      <protection locked="0"/>
    </xf>
    <xf numFmtId="0" fontId="47" fillId="0" borderId="71" xfId="0" applyFont="1" applyFill="1" applyBorder="1" applyAlignment="1" applyProtection="1">
      <alignment horizontal="center" vertical="center" wrapText="1"/>
    </xf>
    <xf numFmtId="0" fontId="47" fillId="0" borderId="9" xfId="0" applyFont="1" applyFill="1" applyBorder="1" applyAlignment="1" applyProtection="1">
      <alignment horizontal="center" vertical="center" wrapText="1"/>
    </xf>
    <xf numFmtId="0" fontId="0" fillId="0" borderId="12" xfId="0" applyBorder="1" applyProtection="1">
      <protection locked="0"/>
    </xf>
    <xf numFmtId="0" fontId="0" fillId="0" borderId="13" xfId="0" applyBorder="1" applyProtection="1">
      <protection locked="0"/>
    </xf>
    <xf numFmtId="4" fontId="56" fillId="0" borderId="12" xfId="1" applyNumberFormat="1" applyFont="1" applyFill="1" applyBorder="1" applyAlignment="1" applyProtection="1">
      <alignment horizontal="right" vertical="center"/>
    </xf>
    <xf numFmtId="0" fontId="56" fillId="0" borderId="12" xfId="0" applyFont="1" applyFill="1" applyBorder="1" applyAlignment="1" applyProtection="1">
      <alignment horizontal="left" vertical="center"/>
    </xf>
    <xf numFmtId="0" fontId="78" fillId="14" borderId="0" xfId="0" applyFont="1" applyFill="1" applyAlignment="1" applyProtection="1">
      <alignment horizontal="center" vertical="center"/>
    </xf>
    <xf numFmtId="0" fontId="48" fillId="8" borderId="7" xfId="0" applyFont="1" applyFill="1" applyBorder="1" applyAlignment="1" applyProtection="1">
      <alignment horizontal="center" vertical="center"/>
    </xf>
    <xf numFmtId="0" fontId="48" fillId="8" borderId="0" xfId="0" applyFont="1" applyFill="1" applyBorder="1" applyAlignment="1" applyProtection="1">
      <alignment horizontal="center" vertical="center"/>
    </xf>
    <xf numFmtId="38" fontId="47" fillId="0" borderId="1" xfId="0" applyNumberFormat="1" applyFont="1" applyFill="1" applyBorder="1" applyAlignment="1" applyProtection="1">
      <alignment horizontal="center" vertical="center"/>
    </xf>
    <xf numFmtId="0" fontId="39" fillId="5" borderId="35" xfId="0" applyFont="1" applyFill="1" applyBorder="1" applyAlignment="1" applyProtection="1">
      <alignment horizontal="center" vertical="center"/>
      <protection locked="0"/>
    </xf>
    <xf numFmtId="0" fontId="39" fillId="5" borderId="36" xfId="0" applyFont="1" applyFill="1" applyBorder="1" applyAlignment="1" applyProtection="1">
      <alignment horizontal="center" vertical="center"/>
      <protection locked="0"/>
    </xf>
    <xf numFmtId="38" fontId="47" fillId="5" borderId="27" xfId="0" applyNumberFormat="1" applyFont="1" applyFill="1" applyBorder="1" applyAlignment="1" applyProtection="1">
      <alignment horizontal="center" vertical="center"/>
      <protection locked="0"/>
    </xf>
    <xf numFmtId="38" fontId="47" fillId="5" borderId="28" xfId="0" applyNumberFormat="1" applyFont="1" applyFill="1" applyBorder="1" applyAlignment="1" applyProtection="1">
      <alignment horizontal="center" vertical="center"/>
      <protection locked="0"/>
    </xf>
    <xf numFmtId="38" fontId="39" fillId="0" borderId="25" xfId="0" applyNumberFormat="1" applyFont="1" applyFill="1" applyBorder="1" applyAlignment="1" applyProtection="1">
      <alignment horizontal="center" vertical="center"/>
    </xf>
    <xf numFmtId="38" fontId="39" fillId="0" borderId="31" xfId="0" applyNumberFormat="1" applyFont="1" applyFill="1" applyBorder="1" applyAlignment="1" applyProtection="1">
      <alignment horizontal="center" vertical="center"/>
    </xf>
    <xf numFmtId="10" fontId="39" fillId="0" borderId="2" xfId="0" applyNumberFormat="1" applyFont="1" applyFill="1" applyBorder="1" applyAlignment="1" applyProtection="1">
      <alignment horizontal="center" vertical="center"/>
    </xf>
    <xf numFmtId="38" fontId="39" fillId="0" borderId="110" xfId="0" applyNumberFormat="1" applyFont="1" applyFill="1" applyBorder="1" applyAlignment="1" applyProtection="1">
      <alignment horizontal="center" vertical="center"/>
    </xf>
    <xf numFmtId="38" fontId="39" fillId="0" borderId="111" xfId="0" applyNumberFormat="1" applyFont="1" applyFill="1" applyBorder="1" applyAlignment="1" applyProtection="1">
      <alignment horizontal="center" vertical="center"/>
    </xf>
    <xf numFmtId="38" fontId="39" fillId="0" borderId="64" xfId="0" applyNumberFormat="1" applyFont="1" applyFill="1" applyBorder="1" applyAlignment="1" applyProtection="1">
      <alignment horizontal="center" vertical="center"/>
    </xf>
    <xf numFmtId="38" fontId="39" fillId="0" borderId="65" xfId="0" applyNumberFormat="1" applyFont="1" applyFill="1" applyBorder="1" applyAlignment="1" applyProtection="1">
      <alignment horizontal="center" vertical="center"/>
    </xf>
    <xf numFmtId="4" fontId="39" fillId="0" borderId="73" xfId="1" applyNumberFormat="1" applyFont="1" applyFill="1" applyBorder="1" applyAlignment="1" applyProtection="1">
      <alignment vertical="center"/>
    </xf>
    <xf numFmtId="38" fontId="47" fillId="0" borderId="35" xfId="0" applyNumberFormat="1" applyFont="1" applyFill="1" applyBorder="1" applyAlignment="1" applyProtection="1">
      <alignment horizontal="center" vertical="center"/>
    </xf>
    <xf numFmtId="38" fontId="47" fillId="0" borderId="2" xfId="0" applyNumberFormat="1" applyFont="1" applyFill="1" applyBorder="1" applyAlignment="1" applyProtection="1">
      <alignment horizontal="center" vertical="center"/>
    </xf>
    <xf numFmtId="38" fontId="47" fillId="0" borderId="36" xfId="0" applyNumberFormat="1" applyFont="1" applyFill="1" applyBorder="1" applyAlignment="1" applyProtection="1">
      <alignment horizontal="center" vertical="center"/>
    </xf>
    <xf numFmtId="38" fontId="39" fillId="11" borderId="27" xfId="0" applyNumberFormat="1" applyFont="1" applyFill="1" applyBorder="1" applyAlignment="1" applyProtection="1">
      <alignment horizontal="center" vertical="center"/>
      <protection locked="0"/>
    </xf>
    <xf numFmtId="38" fontId="39" fillId="11" borderId="53" xfId="0" applyNumberFormat="1" applyFont="1" applyFill="1" applyBorder="1" applyAlignment="1" applyProtection="1">
      <alignment horizontal="center" vertical="center"/>
      <protection locked="0"/>
    </xf>
    <xf numFmtId="38" fontId="39" fillId="11" borderId="28" xfId="0" applyNumberFormat="1" applyFont="1" applyFill="1" applyBorder="1" applyAlignment="1" applyProtection="1">
      <alignment horizontal="center" vertical="center"/>
      <protection locked="0"/>
    </xf>
    <xf numFmtId="38" fontId="39" fillId="0" borderId="20" xfId="0" applyNumberFormat="1" applyFont="1" applyFill="1" applyBorder="1" applyAlignment="1" applyProtection="1">
      <alignment horizontal="center" vertical="center"/>
    </xf>
    <xf numFmtId="170" fontId="39" fillId="5" borderId="35" xfId="0" applyNumberFormat="1" applyFont="1" applyFill="1" applyBorder="1" applyAlignment="1" applyProtection="1">
      <alignment horizontal="center" vertical="center"/>
      <protection locked="0"/>
    </xf>
    <xf numFmtId="170" fontId="39" fillId="5" borderId="36" xfId="0" applyNumberFormat="1" applyFont="1" applyFill="1" applyBorder="1" applyAlignment="1" applyProtection="1">
      <alignment horizontal="center" vertical="center"/>
      <protection locked="0"/>
    </xf>
    <xf numFmtId="38" fontId="39" fillId="0" borderId="53" xfId="0" applyNumberFormat="1" applyFont="1" applyFill="1" applyBorder="1" applyAlignment="1" applyProtection="1">
      <alignment horizontal="center" vertical="center"/>
    </xf>
    <xf numFmtId="168" fontId="39" fillId="0" borderId="112" xfId="0" applyNumberFormat="1" applyFont="1" applyFill="1" applyBorder="1" applyAlignment="1" applyProtection="1">
      <alignment horizontal="center" vertical="center"/>
    </xf>
    <xf numFmtId="168" fontId="39" fillId="0" borderId="113" xfId="0" applyNumberFormat="1" applyFont="1" applyFill="1" applyBorder="1" applyAlignment="1" applyProtection="1">
      <alignment horizontal="center" vertical="center"/>
    </xf>
    <xf numFmtId="168" fontId="39" fillId="0" borderId="114" xfId="0" applyNumberFormat="1" applyFont="1" applyFill="1" applyBorder="1" applyAlignment="1" applyProtection="1">
      <alignment horizontal="center" vertical="center"/>
    </xf>
    <xf numFmtId="164" fontId="56" fillId="0" borderId="0" xfId="1" applyNumberFormat="1" applyFont="1" applyFill="1" applyAlignment="1" applyProtection="1">
      <alignment horizontal="center" vertical="center"/>
    </xf>
    <xf numFmtId="164" fontId="56" fillId="0" borderId="8" xfId="1" applyNumberFormat="1" applyFont="1" applyFill="1" applyBorder="1" applyAlignment="1" applyProtection="1">
      <alignment horizontal="center" vertical="center"/>
    </xf>
    <xf numFmtId="38" fontId="47" fillId="10" borderId="35" xfId="0" applyNumberFormat="1" applyFont="1" applyFill="1" applyBorder="1" applyAlignment="1" applyProtection="1">
      <alignment horizontal="center" vertical="center"/>
      <protection locked="0"/>
    </xf>
    <xf numFmtId="38" fontId="47" fillId="10" borderId="2" xfId="0" applyNumberFormat="1" applyFont="1" applyFill="1" applyBorder="1" applyAlignment="1" applyProtection="1">
      <alignment horizontal="center" vertical="center"/>
      <protection locked="0"/>
    </xf>
    <xf numFmtId="38" fontId="47" fillId="10" borderId="36" xfId="0" applyNumberFormat="1" applyFont="1" applyFill="1" applyBorder="1" applyAlignment="1" applyProtection="1">
      <alignment horizontal="center" vertical="center"/>
      <protection locked="0"/>
    </xf>
    <xf numFmtId="38" fontId="39" fillId="0" borderId="32" xfId="0" applyNumberFormat="1" applyFont="1" applyFill="1" applyBorder="1" applyAlignment="1" applyProtection="1">
      <alignment horizontal="center" vertical="center"/>
    </xf>
    <xf numFmtId="38" fontId="39" fillId="0" borderId="54" xfId="0" applyNumberFormat="1" applyFont="1" applyFill="1" applyBorder="1" applyAlignment="1" applyProtection="1">
      <alignment horizontal="center" vertical="center"/>
    </xf>
    <xf numFmtId="38" fontId="39" fillId="0" borderId="33" xfId="0" applyNumberFormat="1" applyFont="1" applyFill="1" applyBorder="1" applyAlignment="1" applyProtection="1">
      <alignment horizontal="center" vertical="center"/>
    </xf>
    <xf numFmtId="0" fontId="39" fillId="0" borderId="2" xfId="0" applyFont="1" applyFill="1" applyBorder="1" applyAlignment="1" applyProtection="1">
      <alignment horizontal="center" vertical="center"/>
    </xf>
    <xf numFmtId="38" fontId="47" fillId="5" borderId="32" xfId="0" applyNumberFormat="1" applyFont="1" applyFill="1" applyBorder="1" applyAlignment="1" applyProtection="1">
      <alignment horizontal="center" vertical="center"/>
      <protection locked="0"/>
    </xf>
    <xf numFmtId="38" fontId="47" fillId="5" borderId="33" xfId="0" applyNumberFormat="1" applyFont="1" applyFill="1" applyBorder="1" applyAlignment="1" applyProtection="1">
      <alignment horizontal="center" vertical="center"/>
      <protection locked="0"/>
    </xf>
    <xf numFmtId="0" fontId="35" fillId="5" borderId="35" xfId="0" applyFont="1" applyFill="1" applyBorder="1" applyAlignment="1" applyProtection="1">
      <alignment vertical="top" wrapText="1"/>
      <protection locked="0"/>
    </xf>
    <xf numFmtId="0" fontId="35" fillId="0" borderId="2" xfId="0" applyFont="1" applyBorder="1" applyAlignment="1" applyProtection="1">
      <alignment vertical="top" wrapText="1"/>
      <protection locked="0"/>
    </xf>
    <xf numFmtId="0" fontId="35" fillId="0" borderId="36" xfId="0" applyFont="1" applyBorder="1" applyAlignment="1" applyProtection="1">
      <alignment vertical="top" wrapText="1"/>
      <protection locked="0"/>
    </xf>
    <xf numFmtId="0" fontId="35" fillId="13" borderId="35" xfId="0" applyFont="1" applyFill="1" applyBorder="1" applyAlignment="1" applyProtection="1">
      <alignment vertical="top" wrapText="1"/>
      <protection locked="0"/>
    </xf>
    <xf numFmtId="0" fontId="35" fillId="13" borderId="2" xfId="0" applyFont="1" applyFill="1" applyBorder="1" applyAlignment="1" applyProtection="1">
      <alignment vertical="top" wrapText="1"/>
      <protection locked="0"/>
    </xf>
    <xf numFmtId="0" fontId="35" fillId="13" borderId="36" xfId="0" applyFont="1" applyFill="1" applyBorder="1" applyAlignment="1" applyProtection="1">
      <alignment vertical="top" wrapText="1"/>
      <protection locked="0"/>
    </xf>
    <xf numFmtId="171" fontId="47" fillId="0" borderId="0" xfId="0" applyNumberFormat="1" applyFont="1" applyFill="1" applyBorder="1" applyAlignment="1" applyProtection="1">
      <alignment horizontal="center" vertical="center"/>
    </xf>
    <xf numFmtId="164" fontId="39" fillId="0" borderId="63" xfId="1" applyNumberFormat="1" applyFont="1" applyFill="1" applyBorder="1" applyAlignment="1" applyProtection="1">
      <alignment horizontal="right" vertical="center"/>
    </xf>
    <xf numFmtId="4" fontId="56" fillId="0" borderId="76" xfId="1" applyNumberFormat="1" applyFont="1" applyFill="1" applyBorder="1" applyAlignment="1" applyProtection="1">
      <alignment horizontal="right" vertical="center"/>
    </xf>
    <xf numFmtId="171" fontId="56" fillId="0" borderId="76" xfId="0" applyNumberFormat="1" applyFont="1" applyFill="1" applyBorder="1" applyAlignment="1" applyProtection="1">
      <alignment horizontal="left" vertical="center"/>
    </xf>
    <xf numFmtId="0" fontId="136" fillId="0" borderId="0" xfId="28" applyFont="1" applyFill="1" applyAlignment="1" applyProtection="1">
      <alignment horizontal="center" vertical="center" wrapText="1"/>
    </xf>
    <xf numFmtId="0" fontId="3" fillId="5" borderId="29" xfId="28" applyFill="1" applyBorder="1" applyAlignment="1" applyProtection="1">
      <alignment horizontal="left" vertical="center"/>
      <protection locked="0"/>
    </xf>
    <xf numFmtId="0" fontId="3" fillId="5" borderId="30" xfId="28" applyFill="1" applyBorder="1" applyAlignment="1" applyProtection="1">
      <alignment horizontal="left" vertical="center"/>
      <protection locked="0"/>
    </xf>
    <xf numFmtId="0" fontId="4" fillId="10" borderId="69" xfId="28" applyFont="1" applyFill="1" applyBorder="1" applyAlignment="1" applyProtection="1">
      <alignment horizontal="left" vertical="center"/>
      <protection locked="0"/>
    </xf>
    <xf numFmtId="0" fontId="4" fillId="10" borderId="73" xfId="28" applyFont="1" applyFill="1" applyBorder="1" applyAlignment="1" applyProtection="1">
      <alignment horizontal="left" vertical="center"/>
      <protection locked="0"/>
    </xf>
    <xf numFmtId="0" fontId="4" fillId="10" borderId="70" xfId="28" applyFont="1" applyFill="1" applyBorder="1" applyAlignment="1" applyProtection="1">
      <alignment horizontal="left" vertical="center"/>
      <protection locked="0"/>
    </xf>
    <xf numFmtId="0" fontId="13" fillId="5" borderId="69" xfId="28" applyFont="1" applyFill="1" applyBorder="1" applyAlignment="1" applyProtection="1">
      <alignment horizontal="left" vertical="top" wrapText="1"/>
      <protection locked="0"/>
    </xf>
    <xf numFmtId="0" fontId="13" fillId="5" borderId="73" xfId="28" applyFont="1" applyFill="1" applyBorder="1" applyAlignment="1" applyProtection="1">
      <alignment horizontal="left" vertical="top" wrapText="1"/>
      <protection locked="0"/>
    </xf>
    <xf numFmtId="0" fontId="13" fillId="5" borderId="70" xfId="28" applyFont="1" applyFill="1" applyBorder="1" applyAlignment="1" applyProtection="1">
      <alignment horizontal="left" vertical="top" wrapText="1"/>
      <protection locked="0"/>
    </xf>
    <xf numFmtId="0" fontId="34" fillId="0" borderId="0" xfId="28" applyFont="1" applyFill="1" applyAlignment="1" applyProtection="1">
      <alignment horizontal="center" vertical="center" wrapText="1"/>
    </xf>
    <xf numFmtId="0" fontId="13" fillId="13" borderId="69" xfId="28" applyFont="1" applyFill="1" applyBorder="1" applyAlignment="1" applyProtection="1">
      <alignment horizontal="left" vertical="top" wrapText="1"/>
      <protection locked="0"/>
    </xf>
    <xf numFmtId="0" fontId="13" fillId="13" borderId="73" xfId="28" applyFont="1" applyFill="1" applyBorder="1" applyAlignment="1" applyProtection="1">
      <alignment horizontal="left" vertical="top" wrapText="1"/>
      <protection locked="0"/>
    </xf>
    <xf numFmtId="0" fontId="13" fillId="13" borderId="70" xfId="28" applyFont="1" applyFill="1" applyBorder="1" applyAlignment="1" applyProtection="1">
      <alignment horizontal="left" vertical="top" wrapText="1"/>
      <protection locked="0"/>
    </xf>
    <xf numFmtId="175" fontId="3" fillId="5" borderId="69" xfId="28" applyNumberFormat="1" applyFont="1" applyFill="1" applyBorder="1" applyAlignment="1" applyProtection="1">
      <alignment horizontal="left" vertical="center"/>
      <protection locked="0"/>
    </xf>
    <xf numFmtId="175" fontId="3" fillId="5" borderId="70" xfId="28" applyNumberFormat="1" applyFont="1" applyFill="1" applyBorder="1" applyAlignment="1" applyProtection="1">
      <alignment horizontal="left" vertical="center"/>
      <protection locked="0"/>
    </xf>
    <xf numFmtId="0" fontId="3" fillId="5" borderId="69" xfId="28" applyFont="1" applyFill="1" applyBorder="1" applyAlignment="1" applyProtection="1">
      <alignment horizontal="left" vertical="center"/>
      <protection locked="0"/>
    </xf>
    <xf numFmtId="0" fontId="3" fillId="5" borderId="70" xfId="28" applyFont="1" applyFill="1" applyBorder="1" applyAlignment="1" applyProtection="1">
      <alignment horizontal="left" vertical="center"/>
      <protection locked="0"/>
    </xf>
    <xf numFmtId="0" fontId="8" fillId="0" borderId="0" xfId="28" applyFont="1" applyAlignment="1" applyProtection="1">
      <alignment horizontal="center"/>
    </xf>
    <xf numFmtId="0" fontId="8" fillId="0" borderId="0" xfId="28" applyFont="1" applyBorder="1" applyAlignment="1" applyProtection="1">
      <alignment horizontal="center"/>
    </xf>
    <xf numFmtId="0" fontId="3" fillId="5" borderId="27" xfId="28" applyFill="1" applyBorder="1" applyAlignment="1" applyProtection="1">
      <alignment horizontal="left" vertical="center"/>
      <protection locked="0"/>
    </xf>
    <xf numFmtId="0" fontId="3" fillId="5" borderId="28" xfId="28" applyFill="1" applyBorder="1" applyAlignment="1" applyProtection="1">
      <alignment horizontal="left" vertical="center"/>
      <protection locked="0"/>
    </xf>
    <xf numFmtId="0" fontId="3" fillId="5" borderId="69" xfId="28" applyFont="1" applyFill="1" applyBorder="1" applyAlignment="1" applyProtection="1">
      <alignment horizontal="left" vertical="center" wrapText="1"/>
      <protection locked="0"/>
    </xf>
    <xf numFmtId="0" fontId="3" fillId="5" borderId="73" xfId="28" applyFont="1" applyFill="1" applyBorder="1" applyAlignment="1" applyProtection="1">
      <alignment horizontal="left" vertical="center" wrapText="1"/>
      <protection locked="0"/>
    </xf>
    <xf numFmtId="0" fontId="3" fillId="5" borderId="70" xfId="28" applyFont="1" applyFill="1" applyBorder="1" applyAlignment="1" applyProtection="1">
      <alignment horizontal="left" vertical="center" wrapText="1"/>
      <protection locked="0"/>
    </xf>
    <xf numFmtId="0" fontId="26" fillId="8" borderId="7" xfId="28" applyFont="1" applyFill="1" applyBorder="1" applyAlignment="1" applyProtection="1">
      <alignment horizontal="center" vertical="center"/>
    </xf>
    <xf numFmtId="0" fontId="26" fillId="8" borderId="0" xfId="28" applyFont="1" applyFill="1" applyBorder="1" applyAlignment="1" applyProtection="1">
      <alignment horizontal="center" vertical="center"/>
    </xf>
    <xf numFmtId="0" fontId="3" fillId="13" borderId="32" xfId="0" applyFont="1" applyFill="1" applyBorder="1" applyAlignment="1" applyProtection="1">
      <alignment horizontal="left" vertical="top" wrapText="1"/>
      <protection locked="0"/>
    </xf>
    <xf numFmtId="0" fontId="3" fillId="13" borderId="54"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0" borderId="0" xfId="0" applyFont="1" applyAlignment="1">
      <alignment horizontal="left" vertical="center" wrapText="1"/>
    </xf>
    <xf numFmtId="0" fontId="31" fillId="0" borderId="0" xfId="28" applyFont="1" applyFill="1" applyAlignment="1" applyProtection="1">
      <alignment horizontal="center" vertical="top" wrapText="1"/>
    </xf>
    <xf numFmtId="38" fontId="3" fillId="0" borderId="9" xfId="1" applyNumberFormat="1" applyFont="1" applyFill="1" applyBorder="1" applyAlignment="1" applyProtection="1">
      <alignment horizontal="right" vertical="center"/>
    </xf>
    <xf numFmtId="38" fontId="3" fillId="0" borderId="13" xfId="1" applyNumberFormat="1" applyFont="1" applyFill="1" applyBorder="1" applyAlignment="1" applyProtection="1">
      <alignment horizontal="right" vertical="center"/>
    </xf>
    <xf numFmtId="0" fontId="3" fillId="13" borderId="32" xfId="28" applyFont="1" applyFill="1" applyBorder="1" applyAlignment="1" applyProtection="1">
      <alignment horizontal="left" vertical="top" wrapText="1"/>
      <protection locked="0"/>
    </xf>
    <xf numFmtId="0" fontId="3" fillId="13" borderId="54" xfId="28" applyFont="1" applyFill="1" applyBorder="1" applyAlignment="1" applyProtection="1">
      <alignment horizontal="left" vertical="top" wrapText="1"/>
      <protection locked="0"/>
    </xf>
    <xf numFmtId="0" fontId="3" fillId="13" borderId="33" xfId="28" applyFont="1" applyFill="1" applyBorder="1" applyAlignment="1" applyProtection="1">
      <alignment horizontal="left" vertical="top" wrapText="1"/>
      <protection locked="0"/>
    </xf>
    <xf numFmtId="0" fontId="3" fillId="13" borderId="29" xfId="28" applyFont="1" applyFill="1" applyBorder="1" applyAlignment="1" applyProtection="1">
      <alignment horizontal="left" vertical="top" wrapText="1"/>
      <protection locked="0"/>
    </xf>
    <xf numFmtId="0" fontId="3" fillId="13" borderId="20" xfId="28" applyFont="1" applyFill="1" applyBorder="1" applyAlignment="1" applyProtection="1">
      <alignment horizontal="left" vertical="top" wrapText="1"/>
      <protection locked="0"/>
    </xf>
    <xf numFmtId="0" fontId="3" fillId="13" borderId="30" xfId="28" applyFont="1" applyFill="1" applyBorder="1" applyAlignment="1" applyProtection="1">
      <alignment horizontal="left" vertical="top" wrapText="1"/>
      <protection locked="0"/>
    </xf>
    <xf numFmtId="38" fontId="3" fillId="5" borderId="27" xfId="1" applyNumberFormat="1" applyFont="1" applyFill="1" applyBorder="1" applyAlignment="1" applyProtection="1">
      <alignment vertical="center"/>
      <protection locked="0"/>
    </xf>
    <xf numFmtId="38" fontId="3" fillId="5" borderId="28" xfId="1" applyNumberFormat="1" applyFont="1" applyFill="1" applyBorder="1" applyAlignment="1" applyProtection="1">
      <alignment vertical="center"/>
      <protection locked="0"/>
    </xf>
    <xf numFmtId="3" fontId="3" fillId="5" borderId="27" xfId="28" applyNumberFormat="1" applyFont="1" applyFill="1" applyBorder="1" applyAlignment="1" applyProtection="1">
      <alignment horizontal="right" vertical="center"/>
      <protection locked="0"/>
    </xf>
    <xf numFmtId="3" fontId="3" fillId="5" borderId="28" xfId="28" applyNumberFormat="1" applyFont="1" applyFill="1" applyBorder="1" applyAlignment="1" applyProtection="1">
      <alignment horizontal="right" vertical="center"/>
      <protection locked="0"/>
    </xf>
    <xf numFmtId="3" fontId="3" fillId="5" borderId="29" xfId="28" applyNumberFormat="1" applyFont="1" applyFill="1" applyBorder="1" applyAlignment="1" applyProtection="1">
      <alignment horizontal="right" vertical="center"/>
      <protection locked="0"/>
    </xf>
    <xf numFmtId="3" fontId="3" fillId="5" borderId="30" xfId="28" applyNumberFormat="1" applyFont="1" applyFill="1" applyBorder="1" applyAlignment="1" applyProtection="1">
      <alignment horizontal="right" vertical="center"/>
      <protection locked="0"/>
    </xf>
    <xf numFmtId="38" fontId="3" fillId="5" borderId="29" xfId="1" applyNumberFormat="1" applyFont="1" applyFill="1" applyBorder="1" applyAlignment="1" applyProtection="1">
      <alignment horizontal="right" vertical="center"/>
      <protection locked="0"/>
    </xf>
    <xf numFmtId="38" fontId="3" fillId="5" borderId="30" xfId="1" applyNumberFormat="1" applyFont="1" applyFill="1" applyBorder="1" applyAlignment="1" applyProtection="1">
      <alignment horizontal="right" vertical="center"/>
      <protection locked="0"/>
    </xf>
    <xf numFmtId="38" fontId="4" fillId="5" borderId="69" xfId="28" applyNumberFormat="1" applyFont="1" applyFill="1" applyBorder="1" applyAlignment="1" applyProtection="1">
      <alignment horizontal="left" vertical="center" wrapText="1"/>
      <protection locked="0"/>
    </xf>
    <xf numFmtId="38" fontId="4" fillId="5" borderId="70" xfId="28" applyNumberFormat="1" applyFont="1" applyFill="1" applyBorder="1" applyAlignment="1" applyProtection="1">
      <alignment horizontal="left" vertical="center" wrapText="1"/>
      <protection locked="0"/>
    </xf>
    <xf numFmtId="3" fontId="3" fillId="5" borderId="107" xfId="28" applyNumberFormat="1" applyFont="1" applyFill="1" applyBorder="1" applyAlignment="1" applyProtection="1">
      <alignment horizontal="right" vertical="center"/>
      <protection locked="0"/>
    </xf>
    <xf numFmtId="3" fontId="3" fillId="5" borderId="108" xfId="28" applyNumberFormat="1" applyFont="1" applyFill="1" applyBorder="1" applyAlignment="1" applyProtection="1">
      <alignment horizontal="right" vertical="center"/>
      <protection locked="0"/>
    </xf>
    <xf numFmtId="0" fontId="4" fillId="5" borderId="69" xfId="28" applyFont="1" applyFill="1" applyBorder="1" applyAlignment="1" applyProtection="1">
      <alignment horizontal="left" vertical="center"/>
      <protection locked="0"/>
    </xf>
    <xf numFmtId="0" fontId="4" fillId="5" borderId="73" xfId="28" applyFont="1" applyFill="1" applyBorder="1" applyAlignment="1" applyProtection="1">
      <alignment horizontal="left" vertical="center"/>
      <protection locked="0"/>
    </xf>
    <xf numFmtId="0" fontId="4" fillId="5" borderId="70" xfId="28" applyFont="1" applyFill="1" applyBorder="1" applyAlignment="1" applyProtection="1">
      <alignment horizontal="left" vertical="center"/>
      <protection locked="0"/>
    </xf>
    <xf numFmtId="38" fontId="3" fillId="5" borderId="107" xfId="1" applyNumberFormat="1" applyFont="1" applyFill="1" applyBorder="1" applyAlignment="1" applyProtection="1">
      <alignment horizontal="right" vertical="center"/>
      <protection locked="0"/>
    </xf>
    <xf numFmtId="38" fontId="3" fillId="5" borderId="108" xfId="1" applyNumberFormat="1" applyFont="1" applyFill="1" applyBorder="1" applyAlignment="1" applyProtection="1">
      <alignment horizontal="right" vertical="center"/>
      <protection locked="0"/>
    </xf>
    <xf numFmtId="38" fontId="3" fillId="0" borderId="56"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 fontId="3" fillId="5" borderId="69" xfId="28" applyNumberFormat="1" applyFont="1" applyFill="1" applyBorder="1" applyAlignment="1" applyProtection="1">
      <alignment horizontal="center" vertical="center"/>
      <protection locked="0"/>
    </xf>
    <xf numFmtId="3" fontId="3" fillId="5" borderId="70" xfId="28" applyNumberFormat="1" applyFont="1" applyFill="1" applyBorder="1" applyAlignment="1" applyProtection="1">
      <alignment horizontal="center" vertical="center"/>
      <protection locked="0"/>
    </xf>
    <xf numFmtId="0" fontId="3" fillId="13" borderId="69" xfId="28" applyFont="1" applyFill="1" applyBorder="1" applyAlignment="1" applyProtection="1">
      <alignment horizontal="left" vertical="top" wrapText="1"/>
      <protection locked="0"/>
    </xf>
    <xf numFmtId="0" fontId="3" fillId="13" borderId="73" xfId="28" applyFont="1" applyFill="1" applyBorder="1" applyAlignment="1" applyProtection="1">
      <alignment horizontal="left" vertical="top" wrapText="1"/>
      <protection locked="0"/>
    </xf>
    <xf numFmtId="0" fontId="3" fillId="13" borderId="70" xfId="28" applyFont="1" applyFill="1" applyBorder="1" applyAlignment="1" applyProtection="1">
      <alignment horizontal="left" vertical="top" wrapText="1"/>
      <protection locked="0"/>
    </xf>
    <xf numFmtId="0" fontId="35" fillId="5" borderId="77" xfId="28" applyFont="1" applyFill="1" applyBorder="1" applyAlignment="1" applyProtection="1">
      <alignment horizontal="left" vertical="top" wrapText="1"/>
      <protection locked="0"/>
    </xf>
    <xf numFmtId="0" fontId="35" fillId="4" borderId="77" xfId="28" applyFont="1" applyFill="1" applyBorder="1" applyAlignment="1" applyProtection="1">
      <alignment horizontal="left" vertical="top" wrapText="1"/>
      <protection locked="0"/>
    </xf>
    <xf numFmtId="0" fontId="34" fillId="0" borderId="7" xfId="28" applyFont="1" applyFill="1" applyBorder="1" applyAlignment="1" applyProtection="1">
      <alignment horizontal="center" vertical="center" wrapText="1"/>
    </xf>
    <xf numFmtId="3" fontId="3" fillId="0" borderId="56" xfId="28" applyNumberFormat="1" applyFont="1" applyFill="1" applyBorder="1" applyAlignment="1" applyProtection="1">
      <alignment horizontal="right" vertical="center"/>
    </xf>
    <xf numFmtId="3" fontId="3" fillId="0" borderId="57" xfId="28" applyNumberFormat="1" applyFont="1" applyFill="1" applyBorder="1" applyAlignment="1" applyProtection="1">
      <alignment horizontal="right" vertical="center"/>
    </xf>
    <xf numFmtId="0" fontId="96" fillId="0" borderId="40" xfId="28" applyFont="1" applyFill="1" applyBorder="1" applyAlignment="1" applyProtection="1">
      <alignment horizontal="center" vertical="center" wrapText="1"/>
    </xf>
    <xf numFmtId="38" fontId="3" fillId="5" borderId="29" xfId="1" applyNumberFormat="1" applyFont="1" applyFill="1" applyBorder="1" applyAlignment="1" applyProtection="1">
      <alignment vertical="center"/>
      <protection locked="0"/>
    </xf>
    <xf numFmtId="38" fontId="3" fillId="5" borderId="30" xfId="1" applyNumberFormat="1" applyFont="1" applyFill="1" applyBorder="1" applyAlignment="1" applyProtection="1">
      <alignment vertical="center"/>
      <protection locked="0"/>
    </xf>
    <xf numFmtId="1" fontId="172" fillId="0" borderId="39" xfId="28" applyNumberFormat="1" applyFont="1" applyFill="1" applyBorder="1" applyAlignment="1" applyProtection="1">
      <alignment horizontal="center"/>
    </xf>
    <xf numFmtId="1" fontId="172" fillId="0" borderId="0" xfId="28" applyNumberFormat="1" applyFont="1" applyFill="1" applyBorder="1" applyAlignment="1" applyProtection="1">
      <alignment horizontal="center"/>
    </xf>
    <xf numFmtId="1" fontId="172" fillId="0" borderId="40" xfId="28" applyNumberFormat="1" applyFont="1" applyFill="1" applyBorder="1" applyAlignment="1" applyProtection="1">
      <alignment horizontal="center"/>
    </xf>
    <xf numFmtId="0" fontId="96" fillId="0" borderId="0" xfId="28" applyFont="1" applyFill="1" applyAlignment="1" applyProtection="1">
      <alignment horizontal="center" vertical="center" wrapText="1"/>
    </xf>
    <xf numFmtId="38" fontId="3" fillId="5" borderId="27" xfId="1" applyNumberFormat="1" applyFont="1" applyFill="1" applyBorder="1" applyAlignment="1" applyProtection="1">
      <alignment horizontal="right" vertical="center"/>
      <protection locked="0"/>
    </xf>
    <xf numFmtId="38" fontId="3" fillId="5" borderId="28" xfId="1" applyNumberFormat="1" applyFont="1" applyFill="1" applyBorder="1" applyAlignment="1" applyProtection="1">
      <alignment horizontal="right" vertical="center"/>
      <protection locked="0"/>
    </xf>
    <xf numFmtId="0" fontId="3" fillId="13" borderId="27" xfId="28" applyFont="1" applyFill="1" applyBorder="1" applyAlignment="1" applyProtection="1">
      <alignment horizontal="left" vertical="top" wrapText="1"/>
      <protection locked="0"/>
    </xf>
    <xf numFmtId="0" fontId="3" fillId="13" borderId="53" xfId="28" applyFont="1" applyFill="1" applyBorder="1" applyAlignment="1" applyProtection="1">
      <alignment horizontal="left" vertical="top" wrapText="1"/>
      <protection locked="0"/>
    </xf>
    <xf numFmtId="0" fontId="3" fillId="13" borderId="28" xfId="28" applyFont="1" applyFill="1" applyBorder="1" applyAlignment="1" applyProtection="1">
      <alignment horizontal="left" vertical="top" wrapText="1"/>
      <protection locked="0"/>
    </xf>
    <xf numFmtId="0" fontId="13" fillId="5" borderId="69" xfId="28" applyFont="1" applyFill="1" applyBorder="1" applyAlignment="1" applyProtection="1">
      <alignment horizontal="left" vertical="center"/>
      <protection locked="0"/>
    </xf>
    <xf numFmtId="0" fontId="13" fillId="5" borderId="73" xfId="28" applyFont="1" applyFill="1" applyBorder="1" applyAlignment="1" applyProtection="1">
      <alignment horizontal="left" vertical="center"/>
      <protection locked="0"/>
    </xf>
    <xf numFmtId="0" fontId="13" fillId="5" borderId="70" xfId="28" applyFont="1" applyFill="1" applyBorder="1" applyAlignment="1" applyProtection="1">
      <alignment horizontal="left" vertical="center"/>
      <protection locked="0"/>
    </xf>
    <xf numFmtId="164" fontId="13" fillId="11" borderId="69" xfId="28" applyNumberFormat="1" applyFont="1" applyFill="1" applyBorder="1" applyAlignment="1" applyProtection="1">
      <alignment horizontal="center"/>
      <protection locked="0"/>
    </xf>
    <xf numFmtId="164" fontId="13" fillId="11" borderId="70" xfId="28" applyNumberFormat="1" applyFont="1" applyFill="1" applyBorder="1" applyAlignment="1" applyProtection="1">
      <alignment horizontal="center"/>
      <protection locked="0"/>
    </xf>
    <xf numFmtId="0" fontId="3" fillId="0" borderId="0" xfId="28" applyFont="1" applyFill="1" applyAlignment="1" applyProtection="1">
      <alignment horizontal="center" vertical="center" wrapText="1"/>
    </xf>
    <xf numFmtId="0" fontId="39" fillId="0" borderId="12" xfId="28" applyFont="1" applyFill="1" applyBorder="1" applyAlignment="1" applyProtection="1">
      <alignment horizontal="left"/>
    </xf>
    <xf numFmtId="0" fontId="3" fillId="0" borderId="18" xfId="28" applyFont="1" applyFill="1" applyBorder="1" applyAlignment="1" applyProtection="1">
      <alignment horizontal="left" vertical="top" wrapText="1"/>
    </xf>
    <xf numFmtId="0" fontId="3" fillId="0" borderId="0" xfId="28" applyFont="1" applyFill="1" applyBorder="1" applyAlignment="1" applyProtection="1">
      <alignment horizontal="left" vertical="top" wrapText="1"/>
    </xf>
    <xf numFmtId="38" fontId="167" fillId="0" borderId="52" xfId="28" applyNumberFormat="1" applyFont="1" applyFill="1" applyBorder="1" applyAlignment="1" applyProtection="1">
      <alignment horizontal="center" vertical="center"/>
    </xf>
    <xf numFmtId="38" fontId="167" fillId="0" borderId="1" xfId="28" applyNumberFormat="1" applyFont="1" applyFill="1" applyBorder="1" applyAlignment="1" applyProtection="1">
      <alignment horizontal="center" vertical="center"/>
    </xf>
    <xf numFmtId="38" fontId="167" fillId="0" borderId="34" xfId="28" applyNumberFormat="1" applyFont="1" applyFill="1" applyBorder="1" applyAlignment="1" applyProtection="1">
      <alignment horizontal="center" vertical="center"/>
    </xf>
    <xf numFmtId="0" fontId="8" fillId="0" borderId="0" xfId="28" applyFont="1" applyFill="1" applyAlignment="1" applyProtection="1">
      <alignment horizontal="left" vertical="center"/>
    </xf>
    <xf numFmtId="0" fontId="13" fillId="0" borderId="0" xfId="28" applyFont="1" applyFill="1" applyBorder="1" applyAlignment="1" applyProtection="1">
      <alignment horizontal="left" vertical="top" wrapText="1"/>
    </xf>
    <xf numFmtId="0" fontId="166" fillId="0" borderId="0" xfId="28" applyFont="1" applyFill="1" applyAlignment="1" applyProtection="1">
      <alignment horizontal="right"/>
    </xf>
    <xf numFmtId="0" fontId="3" fillId="0" borderId="0" xfId="28" applyFont="1" applyFill="1" applyAlignment="1" applyProtection="1">
      <alignment horizontal="left" vertical="top" wrapText="1"/>
    </xf>
    <xf numFmtId="0" fontId="36" fillId="0" borderId="7" xfId="28" applyFont="1" applyFill="1" applyBorder="1" applyAlignment="1" applyProtection="1">
      <alignment horizontal="left" vertical="center" wrapText="1"/>
    </xf>
    <xf numFmtId="0" fontId="36" fillId="0" borderId="0" xfId="28" applyFont="1" applyFill="1" applyBorder="1" applyAlignment="1" applyProtection="1">
      <alignment horizontal="left" vertical="center" wrapText="1"/>
    </xf>
    <xf numFmtId="0" fontId="3" fillId="13" borderId="29" xfId="0" applyFont="1" applyFill="1" applyBorder="1" applyAlignment="1" applyProtection="1">
      <alignment horizontal="left" vertical="top" wrapText="1"/>
      <protection locked="0"/>
    </xf>
    <xf numFmtId="0" fontId="3" fillId="13" borderId="20" xfId="0" applyFont="1" applyFill="1" applyBorder="1" applyAlignment="1" applyProtection="1">
      <alignment horizontal="left" vertical="top" wrapText="1"/>
      <protection locked="0"/>
    </xf>
    <xf numFmtId="0" fontId="3" fillId="13" borderId="30" xfId="0" applyFont="1" applyFill="1" applyBorder="1" applyAlignment="1" applyProtection="1">
      <alignment horizontal="left" vertical="top" wrapText="1"/>
      <protection locked="0"/>
    </xf>
    <xf numFmtId="0" fontId="8" fillId="0" borderId="0" xfId="0" applyFont="1" applyAlignment="1">
      <alignment horizontal="left" vertical="top" wrapText="1"/>
    </xf>
    <xf numFmtId="0" fontId="164" fillId="0" borderId="71" xfId="28" applyFont="1" applyFill="1" applyBorder="1" applyAlignment="1" applyProtection="1">
      <alignment horizontal="center" vertical="center"/>
    </xf>
    <xf numFmtId="0" fontId="164" fillId="0" borderId="72" xfId="28" applyFont="1" applyFill="1" applyBorder="1" applyAlignment="1" applyProtection="1">
      <alignment horizontal="center" vertical="center"/>
    </xf>
    <xf numFmtId="164" fontId="164" fillId="0" borderId="76" xfId="1" applyNumberFormat="1" applyFont="1" applyFill="1" applyBorder="1" applyAlignment="1" applyProtection="1">
      <alignment horizontal="right" vertical="center" wrapText="1"/>
    </xf>
    <xf numFmtId="164" fontId="164" fillId="0" borderId="0" xfId="1" applyNumberFormat="1" applyFont="1" applyFill="1" applyBorder="1" applyAlignment="1" applyProtection="1">
      <alignment horizontal="right" vertical="center" wrapText="1"/>
    </xf>
    <xf numFmtId="2" fontId="166" fillId="0" borderId="9" xfId="28" applyNumberFormat="1" applyFont="1" applyFill="1" applyBorder="1" applyAlignment="1" applyProtection="1">
      <alignment horizontal="center" vertical="top"/>
    </xf>
    <xf numFmtId="2" fontId="166" fillId="0" borderId="13" xfId="28" applyNumberFormat="1" applyFont="1" applyFill="1" applyBorder="1" applyAlignment="1" applyProtection="1">
      <alignment horizontal="center" vertical="top"/>
    </xf>
    <xf numFmtId="0" fontId="70" fillId="0" borderId="0" xfId="28" applyFont="1" applyFill="1" applyAlignment="1" applyProtection="1">
      <alignment horizontal="left" vertical="center" wrapText="1"/>
    </xf>
    <xf numFmtId="0" fontId="36" fillId="0" borderId="0" xfId="28" applyFont="1" applyAlignment="1">
      <alignment horizontal="left" vertical="center" wrapText="1"/>
    </xf>
    <xf numFmtId="0" fontId="84" fillId="0" borderId="0" xfId="28" applyFont="1" applyFill="1" applyAlignment="1" applyProtection="1">
      <alignment horizontal="center" wrapText="1"/>
    </xf>
    <xf numFmtId="0" fontId="8" fillId="0" borderId="0" xfId="28" applyFont="1" applyFill="1" applyAlignment="1" applyProtection="1">
      <alignment horizontal="left"/>
    </xf>
    <xf numFmtId="0" fontId="10" fillId="0" borderId="0" xfId="28" applyFont="1" applyFill="1" applyAlignment="1" applyProtection="1">
      <alignment horizontal="center" wrapText="1"/>
    </xf>
    <xf numFmtId="3" fontId="75" fillId="0" borderId="0" xfId="28" applyNumberFormat="1" applyFont="1" applyFill="1" applyBorder="1" applyAlignment="1" applyProtection="1">
      <alignment horizontal="left" vertical="top" wrapText="1"/>
    </xf>
    <xf numFmtId="0" fontId="8" fillId="0" borderId="0" xfId="28" applyFont="1" applyFill="1" applyAlignment="1" applyProtection="1">
      <alignment horizontal="center" vertical="center"/>
    </xf>
    <xf numFmtId="0" fontId="102" fillId="0" borderId="0" xfId="28" applyFont="1" applyFill="1" applyAlignment="1" applyProtection="1">
      <alignment horizontal="center" vertical="center" wrapText="1"/>
    </xf>
    <xf numFmtId="0" fontId="102" fillId="0" borderId="12" xfId="28" applyFont="1" applyFill="1" applyBorder="1" applyAlignment="1" applyProtection="1">
      <alignment horizontal="center" vertical="center" wrapText="1"/>
    </xf>
    <xf numFmtId="0" fontId="10" fillId="0" borderId="0" xfId="28" applyFont="1" applyFill="1" applyAlignment="1" applyProtection="1">
      <alignment horizontal="center" vertical="center"/>
    </xf>
    <xf numFmtId="0" fontId="84" fillId="0" borderId="0" xfId="28" applyFont="1" applyFill="1" applyAlignment="1" applyProtection="1">
      <alignment horizontal="center" vertical="center" wrapText="1"/>
    </xf>
    <xf numFmtId="0" fontId="31" fillId="0" borderId="0" xfId="28" applyFont="1" applyFill="1" applyAlignment="1" applyProtection="1">
      <alignment horizontal="center" textRotation="90" wrapText="1"/>
    </xf>
    <xf numFmtId="0" fontId="88" fillId="0" borderId="0" xfId="28" applyFont="1" applyFill="1" applyAlignment="1" applyProtection="1">
      <alignment horizontal="center" wrapText="1"/>
    </xf>
    <xf numFmtId="0" fontId="10" fillId="0" borderId="12" xfId="28" applyFont="1" applyFill="1" applyBorder="1" applyAlignment="1" applyProtection="1">
      <alignment horizontal="center" wrapText="1"/>
    </xf>
    <xf numFmtId="0" fontId="26" fillId="8" borderId="69" xfId="28" applyFont="1" applyFill="1" applyBorder="1" applyAlignment="1" applyProtection="1">
      <alignment horizontal="center" vertical="center"/>
    </xf>
    <xf numFmtId="0" fontId="26" fillId="8" borderId="73" xfId="28" applyFont="1" applyFill="1" applyBorder="1" applyAlignment="1" applyProtection="1">
      <alignment horizontal="center" vertical="center"/>
    </xf>
    <xf numFmtId="0" fontId="26" fillId="8" borderId="70" xfId="28" applyFont="1" applyFill="1" applyBorder="1" applyAlignment="1" applyProtection="1">
      <alignment horizontal="center" vertical="center"/>
    </xf>
    <xf numFmtId="0" fontId="75" fillId="15" borderId="0" xfId="28" applyFont="1" applyFill="1" applyAlignment="1" applyProtection="1">
      <alignment horizontal="center" vertical="center"/>
    </xf>
    <xf numFmtId="0" fontId="4" fillId="13" borderId="35" xfId="0" applyFont="1" applyFill="1" applyBorder="1" applyAlignment="1" applyProtection="1">
      <alignment horizontal="left" vertical="top" wrapText="1"/>
    </xf>
    <xf numFmtId="0" fontId="4" fillId="13" borderId="73"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6" xfId="0" applyFont="1" applyFill="1" applyBorder="1" applyAlignment="1" applyProtection="1">
      <alignment horizontal="left" vertical="top" wrapText="1"/>
    </xf>
    <xf numFmtId="0" fontId="4" fillId="5" borderId="35"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73" xfId="0" applyFont="1" applyFill="1" applyBorder="1" applyAlignment="1" applyProtection="1">
      <alignment horizontal="left" vertical="top" wrapText="1"/>
      <protection locked="0"/>
    </xf>
    <xf numFmtId="0" fontId="4" fillId="5" borderId="36" xfId="0" applyFont="1" applyFill="1" applyBorder="1" applyAlignment="1" applyProtection="1">
      <alignment horizontal="left" vertical="top" wrapText="1"/>
      <protection locked="0"/>
    </xf>
    <xf numFmtId="0" fontId="13" fillId="0" borderId="0" xfId="0" applyFont="1" applyFill="1" applyBorder="1" applyAlignment="1" applyProtection="1">
      <alignment horizontal="center" vertical="center" wrapText="1"/>
    </xf>
    <xf numFmtId="3" fontId="158" fillId="19" borderId="58" xfId="0" applyNumberFormat="1" applyFont="1" applyFill="1" applyBorder="1" applyAlignment="1" applyProtection="1">
      <alignment horizontal="center" vertical="center" wrapText="1"/>
    </xf>
    <xf numFmtId="3" fontId="158" fillId="19" borderId="59" xfId="0" applyNumberFormat="1" applyFont="1" applyFill="1" applyBorder="1" applyAlignment="1" applyProtection="1">
      <alignment horizontal="center" vertical="center" wrapText="1"/>
    </xf>
    <xf numFmtId="3" fontId="158" fillId="19" borderId="43" xfId="0" applyNumberFormat="1" applyFont="1" applyFill="1" applyBorder="1" applyAlignment="1" applyProtection="1">
      <alignment horizontal="center" vertical="center" wrapText="1"/>
    </xf>
    <xf numFmtId="3" fontId="158" fillId="19" borderId="60" xfId="0" applyNumberFormat="1" applyFont="1" applyFill="1" applyBorder="1" applyAlignment="1" applyProtection="1">
      <alignment horizontal="center" vertical="center" wrapText="1"/>
    </xf>
    <xf numFmtId="0" fontId="142" fillId="0" borderId="42" xfId="0" applyNumberFormat="1" applyFont="1" applyFill="1" applyBorder="1" applyAlignment="1" applyProtection="1">
      <alignment horizontal="center" vertical="center" wrapText="1"/>
    </xf>
    <xf numFmtId="0" fontId="142" fillId="0" borderId="38" xfId="0" applyNumberFormat="1" applyFont="1" applyFill="1" applyBorder="1" applyAlignment="1" applyProtection="1">
      <alignment horizontal="center" vertical="center" wrapText="1"/>
    </xf>
    <xf numFmtId="0" fontId="142" fillId="0" borderId="41" xfId="0" applyNumberFormat="1" applyFont="1" applyFill="1" applyBorder="1" applyAlignment="1" applyProtection="1">
      <alignment horizontal="center" vertical="center" wrapText="1"/>
    </xf>
    <xf numFmtId="0" fontId="142" fillId="0" borderId="55"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center"/>
    </xf>
    <xf numFmtId="3" fontId="14" fillId="0" borderId="68" xfId="0" applyNumberFormat="1" applyFont="1" applyFill="1" applyBorder="1" applyAlignment="1" applyProtection="1">
      <alignment horizontal="center" vertical="center" wrapText="1"/>
    </xf>
    <xf numFmtId="3" fontId="14" fillId="0" borderId="67" xfId="0" applyNumberFormat="1" applyFont="1" applyFill="1" applyBorder="1" applyAlignment="1" applyProtection="1">
      <alignment horizontal="center" vertical="center" wrapText="1"/>
    </xf>
    <xf numFmtId="3" fontId="14" fillId="10" borderId="68" xfId="0" applyNumberFormat="1" applyFont="1" applyFill="1" applyBorder="1" applyAlignment="1" applyProtection="1">
      <alignment horizontal="center" vertical="center" wrapText="1"/>
      <protection locked="0"/>
    </xf>
    <xf numFmtId="3" fontId="14" fillId="10" borderId="67" xfId="0" applyNumberFormat="1" applyFont="1" applyFill="1" applyBorder="1" applyAlignment="1" applyProtection="1">
      <alignment horizontal="center" vertical="center" wrapText="1"/>
      <protection locked="0"/>
    </xf>
    <xf numFmtId="0" fontId="101" fillId="0" borderId="0" xfId="0" applyFont="1" applyFill="1" applyBorder="1" applyAlignment="1" applyProtection="1">
      <alignment horizontal="center" wrapText="1"/>
    </xf>
    <xf numFmtId="0" fontId="26" fillId="8" borderId="73" xfId="0" applyFont="1" applyFill="1" applyBorder="1" applyAlignment="1" applyProtection="1">
      <alignment horizontal="center" vertical="center"/>
    </xf>
    <xf numFmtId="0" fontId="145" fillId="0" borderId="0" xfId="0" applyFont="1" applyFill="1" applyAlignment="1" applyProtection="1">
      <alignment horizontal="left" vertical="top" wrapText="1"/>
    </xf>
    <xf numFmtId="0" fontId="4" fillId="0" borderId="0" xfId="0" applyFont="1" applyFill="1" applyBorder="1" applyAlignment="1" applyProtection="1">
      <alignment horizontal="center" vertical="top" wrapText="1"/>
    </xf>
    <xf numFmtId="0" fontId="4" fillId="0" borderId="0" xfId="0" applyFont="1" applyBorder="1" applyAlignment="1" applyProtection="1">
      <alignment horizontal="center" vertical="center"/>
    </xf>
    <xf numFmtId="0" fontId="100" fillId="0" borderId="0" xfId="0" applyFont="1" applyFill="1" applyAlignment="1" applyProtection="1">
      <alignment horizontal="left" vertical="top" wrapText="1"/>
    </xf>
    <xf numFmtId="0" fontId="76" fillId="0" borderId="42" xfId="0" applyFont="1" applyBorder="1" applyAlignment="1" applyProtection="1">
      <alignment horizontal="center" vertical="center"/>
    </xf>
    <xf numFmtId="0" fontId="76" fillId="0" borderId="18" xfId="0" applyFont="1" applyBorder="1" applyAlignment="1" applyProtection="1">
      <alignment horizontal="center" vertical="center"/>
    </xf>
    <xf numFmtId="0" fontId="76" fillId="0" borderId="38" xfId="0" applyFont="1" applyBorder="1" applyAlignment="1" applyProtection="1">
      <alignment horizontal="center" vertical="center"/>
    </xf>
    <xf numFmtId="0" fontId="76" fillId="0" borderId="41" xfId="0" applyFont="1" applyBorder="1" applyAlignment="1" applyProtection="1">
      <alignment horizontal="center" vertical="center"/>
    </xf>
    <xf numFmtId="0" fontId="76" fillId="0" borderId="19" xfId="0" applyFont="1" applyBorder="1" applyAlignment="1" applyProtection="1">
      <alignment horizontal="center" vertical="center"/>
    </xf>
    <xf numFmtId="0" fontId="76" fillId="0" borderId="55" xfId="0" applyFont="1" applyBorder="1" applyAlignment="1" applyProtection="1">
      <alignment horizontal="center" vertical="center"/>
    </xf>
    <xf numFmtId="0" fontId="4" fillId="0" borderId="41" xfId="0" applyFont="1" applyBorder="1" applyAlignment="1" applyProtection="1">
      <alignment horizontal="center" vertical="center"/>
    </xf>
    <xf numFmtId="0" fontId="4" fillId="0" borderId="19" xfId="0" applyFont="1" applyBorder="1" applyAlignment="1" applyProtection="1">
      <alignment horizontal="center" vertical="center"/>
    </xf>
    <xf numFmtId="0" fontId="4" fillId="0" borderId="55" xfId="0" applyFont="1" applyBorder="1" applyAlignment="1" applyProtection="1">
      <alignment horizontal="center" vertical="center"/>
    </xf>
    <xf numFmtId="0" fontId="14" fillId="0" borderId="42" xfId="0" applyFont="1" applyBorder="1" applyAlignment="1" applyProtection="1">
      <alignment horizontal="center" vertical="center"/>
    </xf>
    <xf numFmtId="0" fontId="14" fillId="0" borderId="18" xfId="0" applyFont="1" applyBorder="1" applyAlignment="1" applyProtection="1">
      <alignment horizontal="center" vertical="center"/>
    </xf>
    <xf numFmtId="0" fontId="14" fillId="0" borderId="38" xfId="0" applyFont="1" applyBorder="1" applyAlignment="1" applyProtection="1">
      <alignment horizontal="center" vertical="center"/>
    </xf>
    <xf numFmtId="0" fontId="36" fillId="0" borderId="12" xfId="0" applyFont="1" applyBorder="1" applyAlignment="1" applyProtection="1">
      <alignment horizontal="left" wrapText="1"/>
    </xf>
    <xf numFmtId="0" fontId="3" fillId="0" borderId="0" xfId="0" applyFont="1" applyFill="1" applyAlignment="1" applyProtection="1">
      <alignment horizontal="center" wrapText="1"/>
    </xf>
    <xf numFmtId="0" fontId="3" fillId="13" borderId="27"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8" fillId="0" borderId="0" xfId="0" applyFont="1" applyFill="1" applyAlignment="1" applyProtection="1">
      <alignment horizontal="center"/>
    </xf>
    <xf numFmtId="0" fontId="75" fillId="12" borderId="0" xfId="0" applyFont="1" applyFill="1" applyBorder="1" applyAlignment="1" applyProtection="1">
      <alignment horizontal="center" vertical="center"/>
    </xf>
    <xf numFmtId="0" fontId="26" fillId="9" borderId="69" xfId="0" applyFont="1" applyFill="1" applyBorder="1" applyAlignment="1" applyProtection="1">
      <alignment horizontal="center" vertical="center"/>
    </xf>
    <xf numFmtId="0" fontId="0" fillId="0" borderId="73" xfId="0" applyBorder="1"/>
    <xf numFmtId="0" fontId="0" fillId="0" borderId="70" xfId="0" applyBorder="1"/>
    <xf numFmtId="0" fontId="3" fillId="0" borderId="0" xfId="0" applyFont="1" applyFill="1" applyBorder="1" applyAlignment="1" applyProtection="1">
      <alignment horizontal="left" vertical="top" wrapText="1"/>
    </xf>
    <xf numFmtId="0" fontId="8" fillId="0" borderId="12" xfId="0" applyFont="1" applyFill="1" applyBorder="1" applyAlignment="1" applyProtection="1">
      <alignment horizontal="left"/>
    </xf>
    <xf numFmtId="0" fontId="13" fillId="0" borderId="75" xfId="0" applyFont="1" applyFill="1" applyBorder="1" applyAlignment="1" applyProtection="1">
      <alignment horizontal="center" wrapText="1"/>
    </xf>
    <xf numFmtId="0" fontId="13" fillId="0" borderId="10"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77" xfId="0" applyFont="1" applyFill="1" applyBorder="1" applyAlignment="1" applyProtection="1">
      <alignment horizontal="center" wrapText="1"/>
    </xf>
    <xf numFmtId="0" fontId="35" fillId="5" borderId="69" xfId="0" applyFont="1" applyFill="1" applyBorder="1" applyAlignment="1" applyProtection="1">
      <alignment horizontal="left" vertical="top" wrapText="1"/>
      <protection locked="0"/>
    </xf>
    <xf numFmtId="0" fontId="35" fillId="0" borderId="73" xfId="0" applyFont="1" applyBorder="1" applyAlignment="1" applyProtection="1">
      <alignment horizontal="left" vertical="top" wrapText="1"/>
      <protection locked="0"/>
    </xf>
    <xf numFmtId="0" fontId="35" fillId="0" borderId="70" xfId="0" applyFont="1" applyBorder="1" applyAlignment="1" applyProtection="1">
      <alignment horizontal="left" vertical="top" wrapText="1"/>
      <protection locked="0"/>
    </xf>
    <xf numFmtId="0" fontId="35" fillId="13" borderId="69" xfId="0" applyFont="1" applyFill="1" applyBorder="1" applyAlignment="1" applyProtection="1">
      <alignment horizontal="left" vertical="top" wrapText="1"/>
      <protection locked="0"/>
    </xf>
    <xf numFmtId="0" fontId="35" fillId="13" borderId="73" xfId="0" applyFont="1" applyFill="1" applyBorder="1" applyAlignment="1" applyProtection="1">
      <alignment horizontal="left" vertical="top" wrapText="1"/>
      <protection locked="0"/>
    </xf>
    <xf numFmtId="0" fontId="35" fillId="13" borderId="70" xfId="0" applyFont="1" applyFill="1" applyBorder="1" applyAlignment="1" applyProtection="1">
      <alignment horizontal="left" vertical="top" wrapText="1"/>
      <protection locked="0"/>
    </xf>
    <xf numFmtId="0" fontId="106" fillId="0" borderId="0" xfId="13" applyFont="1" applyAlignment="1" applyProtection="1">
      <alignment horizontal="justify" vertical="top" wrapText="1"/>
    </xf>
    <xf numFmtId="0" fontId="107" fillId="0" borderId="0" xfId="13" applyFont="1" applyAlignment="1" applyProtection="1">
      <alignment horizontal="justify" vertical="top" wrapText="1"/>
    </xf>
    <xf numFmtId="0" fontId="106" fillId="0" borderId="0" xfId="13" applyFont="1" applyAlignment="1" applyProtection="1">
      <alignment horizontal="justify" vertical="top"/>
    </xf>
    <xf numFmtId="0" fontId="106"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07" fillId="0" borderId="0" xfId="13" applyFont="1" applyAlignment="1" applyProtection="1"/>
    <xf numFmtId="0" fontId="106" fillId="0" borderId="0" xfId="13" applyFont="1" applyAlignment="1" applyProtection="1"/>
    <xf numFmtId="0" fontId="121" fillId="10" borderId="39" xfId="13" applyFont="1" applyFill="1" applyBorder="1" applyAlignment="1" applyProtection="1">
      <alignment horizontal="left" vertical="top" wrapText="1"/>
    </xf>
    <xf numFmtId="0" fontId="12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0" borderId="0" xfId="13" applyFont="1" applyAlignment="1" applyProtection="1">
      <alignment horizontal="justify" vertical="top" wrapText="1"/>
    </xf>
    <xf numFmtId="0" fontId="9" fillId="0" borderId="0" xfId="13" applyFont="1" applyAlignment="1" applyProtection="1">
      <alignment horizontal="left"/>
    </xf>
    <xf numFmtId="0" fontId="9" fillId="0" borderId="66" xfId="13" applyFont="1" applyBorder="1" applyAlignment="1" applyProtection="1">
      <alignment horizontal="center"/>
    </xf>
    <xf numFmtId="0" fontId="121" fillId="10" borderId="0" xfId="13" applyFont="1" applyFill="1" applyAlignment="1" applyProtection="1">
      <alignment horizontal="left" vertical="top" wrapText="1"/>
    </xf>
    <xf numFmtId="0" fontId="9" fillId="10" borderId="0" xfId="13" applyFont="1" applyFill="1" applyAlignment="1" applyProtection="1">
      <alignment horizontal="left" vertical="top"/>
    </xf>
    <xf numFmtId="0" fontId="130" fillId="0" borderId="0" xfId="13" applyFont="1" applyAlignment="1" applyProtection="1">
      <alignment horizontal="justify" vertical="top" wrapText="1"/>
    </xf>
    <xf numFmtId="0" fontId="9" fillId="7" borderId="0" xfId="13" applyFont="1" applyFill="1" applyAlignment="1" applyProtection="1">
      <alignment horizontal="justify" vertical="top" wrapText="1"/>
    </xf>
    <xf numFmtId="0" fontId="130" fillId="0" borderId="0" xfId="13" applyFont="1" applyAlignment="1" applyProtection="1">
      <alignment horizontal="left"/>
    </xf>
    <xf numFmtId="0" fontId="130" fillId="0" borderId="0" xfId="13" applyFont="1" applyAlignment="1" applyProtection="1"/>
    <xf numFmtId="0" fontId="132" fillId="0" borderId="0" xfId="13" applyFont="1" applyFill="1" applyAlignment="1" applyProtection="1">
      <alignment horizontal="justify" vertical="top" wrapText="1"/>
    </xf>
    <xf numFmtId="0" fontId="105" fillId="0" borderId="0" xfId="13" applyFont="1" applyFill="1" applyAlignment="1" applyProtection="1">
      <alignment horizontal="justify" vertical="top" wrapText="1"/>
    </xf>
    <xf numFmtId="0" fontId="121" fillId="10" borderId="0" xfId="13" applyFont="1" applyFill="1" applyAlignment="1" applyProtection="1">
      <alignment horizontal="justify" vertical="top" wrapText="1"/>
    </xf>
    <xf numFmtId="0" fontId="130"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06" fillId="0" borderId="0" xfId="13" applyFont="1" applyFill="1" applyAlignment="1" applyProtection="1">
      <alignment horizontal="left"/>
    </xf>
    <xf numFmtId="0" fontId="106" fillId="5" borderId="0" xfId="0" applyFont="1" applyFill="1" applyBorder="1" applyAlignment="1" applyProtection="1">
      <alignment horizontal="left" vertical="center"/>
    </xf>
    <xf numFmtId="0" fontId="117" fillId="0" borderId="39" xfId="13" applyFont="1" applyBorder="1" applyAlignment="1" applyProtection="1">
      <alignment horizontal="right"/>
    </xf>
    <xf numFmtId="0" fontId="117" fillId="0" borderId="0" xfId="13" applyFont="1" applyAlignment="1" applyProtection="1">
      <alignment horizontal="right"/>
    </xf>
    <xf numFmtId="4" fontId="106" fillId="0" borderId="0" xfId="13" applyNumberFormat="1" applyFont="1" applyFill="1" applyAlignment="1" applyProtection="1">
      <alignment horizontal="left"/>
    </xf>
    <xf numFmtId="181" fontId="106" fillId="0" borderId="0" xfId="13" applyNumberFormat="1" applyFont="1" applyFill="1" applyAlignment="1" applyProtection="1">
      <alignment horizontal="left"/>
    </xf>
    <xf numFmtId="3" fontId="106" fillId="0" borderId="0" xfId="13" applyNumberFormat="1" applyFont="1" applyFill="1" applyAlignment="1" applyProtection="1">
      <alignment horizontal="left"/>
    </xf>
    <xf numFmtId="165" fontId="22" fillId="0" borderId="69" xfId="13" applyNumberFormat="1" applyFont="1" applyBorder="1" applyAlignment="1" applyProtection="1">
      <alignment horizontal="center" vertical="center"/>
    </xf>
    <xf numFmtId="165" fontId="22" fillId="0" borderId="70" xfId="13" applyNumberFormat="1" applyFont="1" applyBorder="1" applyAlignment="1" applyProtection="1">
      <alignment horizontal="center" vertical="center"/>
    </xf>
    <xf numFmtId="0" fontId="124" fillId="0" borderId="0" xfId="13" applyFont="1" applyAlignment="1">
      <alignment horizontal="center"/>
    </xf>
    <xf numFmtId="0" fontId="152" fillId="0" borderId="0" xfId="13" applyFont="1" applyAlignment="1">
      <alignment horizontal="center" vertical="center"/>
    </xf>
    <xf numFmtId="0" fontId="127" fillId="0" borderId="0" xfId="13" applyFont="1" applyAlignment="1" applyProtection="1">
      <alignment horizontal="center"/>
    </xf>
    <xf numFmtId="0" fontId="5" fillId="19" borderId="93" xfId="13" applyFont="1" applyFill="1" applyBorder="1" applyAlignment="1" applyProtection="1">
      <alignment horizontal="center" vertical="center"/>
    </xf>
    <xf numFmtId="0" fontId="5" fillId="19" borderId="94" xfId="13" applyFont="1" applyFill="1" applyBorder="1" applyAlignment="1" applyProtection="1">
      <alignment horizontal="center" vertical="center"/>
    </xf>
    <xf numFmtId="0" fontId="5" fillId="0" borderId="68" xfId="13" applyFont="1" applyBorder="1" applyAlignment="1" applyProtection="1">
      <alignment horizontal="center" vertical="center"/>
    </xf>
    <xf numFmtId="0" fontId="5" fillId="0" borderId="20" xfId="13" applyFont="1" applyBorder="1" applyAlignment="1" applyProtection="1">
      <alignment horizontal="center" vertical="center"/>
    </xf>
    <xf numFmtId="0" fontId="5" fillId="0" borderId="67"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19" xfId="13" applyFont="1" applyBorder="1" applyAlignment="1" applyProtection="1">
      <alignment horizontal="center" vertical="center" wrapText="1"/>
    </xf>
    <xf numFmtId="0" fontId="5" fillId="0" borderId="0" xfId="13" applyFont="1" applyAlignment="1" applyProtection="1">
      <alignment horizontal="left" vertical="center" wrapText="1"/>
    </xf>
    <xf numFmtId="37" fontId="13" fillId="0" borderId="48" xfId="13" applyNumberFormat="1" applyFont="1" applyBorder="1" applyAlignment="1" applyProtection="1">
      <alignment horizontal="center" vertical="center"/>
    </xf>
    <xf numFmtId="3" fontId="13" fillId="0" borderId="48" xfId="13" applyNumberFormat="1" applyFont="1" applyBorder="1" applyAlignment="1" applyProtection="1">
      <alignment horizontal="center" vertical="center"/>
    </xf>
    <xf numFmtId="0" fontId="21" fillId="0" borderId="77" xfId="13" applyFont="1" applyBorder="1" applyAlignment="1" applyProtection="1">
      <alignment horizontal="center" vertical="center" wrapText="1"/>
    </xf>
    <xf numFmtId="0" fontId="3" fillId="0" borderId="0" xfId="13" applyFont="1" applyAlignment="1">
      <alignment horizontal="center"/>
    </xf>
    <xf numFmtId="0" fontId="8" fillId="0" borderId="0" xfId="13" applyFont="1" applyAlignment="1">
      <alignment horizontal="center"/>
    </xf>
    <xf numFmtId="0" fontId="3" fillId="10" borderId="0" xfId="13" applyFont="1" applyFill="1" applyAlignment="1">
      <alignment horizontal="left"/>
    </xf>
    <xf numFmtId="0" fontId="22" fillId="0" borderId="0" xfId="13" applyFont="1" applyAlignment="1" applyProtection="1">
      <alignment horizontal="center"/>
    </xf>
    <xf numFmtId="0" fontId="8" fillId="10" borderId="12" xfId="13" applyFont="1" applyFill="1" applyBorder="1" applyAlignment="1" applyProtection="1">
      <alignment horizontal="left"/>
    </xf>
    <xf numFmtId="0" fontId="8" fillId="10" borderId="0" xfId="13" applyFont="1" applyFill="1" applyAlignment="1" applyProtection="1">
      <alignment horizontal="left" vertical="top" wrapText="1"/>
    </xf>
    <xf numFmtId="0" fontId="3" fillId="10" borderId="0" xfId="13" applyFont="1" applyFill="1" applyAlignment="1" applyProtection="1">
      <alignment horizontal="center"/>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19" xfId="13" applyFont="1" applyFill="1" applyBorder="1" applyAlignment="1" applyProtection="1">
      <alignment horizontal="left" vertical="top" wrapText="1"/>
    </xf>
    <xf numFmtId="0" fontId="3" fillId="10" borderId="18" xfId="13" applyFont="1" applyFill="1" applyBorder="1" applyAlignment="1" applyProtection="1">
      <alignment horizontal="left" vertical="top" wrapText="1"/>
    </xf>
    <xf numFmtId="0" fontId="3" fillId="10" borderId="12" xfId="13" applyFont="1" applyFill="1" applyBorder="1" applyAlignment="1" applyProtection="1">
      <alignment horizontal="left" vertical="top"/>
    </xf>
    <xf numFmtId="0" fontId="3" fillId="10" borderId="20" xfId="13" applyFont="1" applyFill="1" applyBorder="1" applyAlignment="1" applyProtection="1">
      <alignment horizontal="left"/>
    </xf>
    <xf numFmtId="167" fontId="3" fillId="10" borderId="20" xfId="13" applyNumberFormat="1" applyFont="1" applyFill="1" applyBorder="1" applyAlignment="1" applyProtection="1">
      <alignment horizontal="left"/>
    </xf>
    <xf numFmtId="0" fontId="3" fillId="10" borderId="19" xfId="13" applyFont="1" applyFill="1" applyBorder="1" applyAlignment="1" applyProtection="1">
      <alignment horizontal="left"/>
    </xf>
    <xf numFmtId="0" fontId="3" fillId="0" borderId="0" xfId="13" applyFont="1" applyFill="1" applyAlignment="1" applyProtection="1">
      <alignment horizontal="justify" vertical="top" wrapText="1"/>
    </xf>
    <xf numFmtId="0" fontId="20"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xf>
    <xf numFmtId="0" fontId="3" fillId="10" borderId="0" xfId="13" applyFont="1" applyFill="1" applyAlignment="1" applyProtection="1">
      <alignment horizontal="left" vertical="top"/>
    </xf>
    <xf numFmtId="0" fontId="3" fillId="0" borderId="0" xfId="13" applyFont="1" applyAlignment="1" applyProtection="1">
      <alignment horizontal="left" vertical="top" wrapText="1"/>
    </xf>
    <xf numFmtId="3" fontId="3" fillId="0" borderId="76" xfId="13" applyNumberFormat="1" applyBorder="1" applyAlignment="1">
      <alignment horizontal="right"/>
    </xf>
    <xf numFmtId="3" fontId="3" fillId="0" borderId="12" xfId="13" applyNumberFormat="1" applyBorder="1" applyAlignment="1">
      <alignment horizontal="right"/>
    </xf>
    <xf numFmtId="3" fontId="3" fillId="10" borderId="20" xfId="13" applyNumberFormat="1" applyFill="1" applyBorder="1" applyAlignment="1">
      <alignment horizontal="right"/>
    </xf>
    <xf numFmtId="3" fontId="3" fillId="0" borderId="12" xfId="13" applyNumberFormat="1" applyFont="1" applyBorder="1" applyAlignment="1">
      <alignment horizontal="right"/>
    </xf>
    <xf numFmtId="3" fontId="3" fillId="10" borderId="19" xfId="13" applyNumberFormat="1" applyFill="1" applyBorder="1" applyAlignment="1">
      <alignment horizontal="right"/>
    </xf>
    <xf numFmtId="3" fontId="3" fillId="10" borderId="12" xfId="13" applyNumberFormat="1" applyFill="1" applyBorder="1" applyAlignment="1">
      <alignment horizontal="right"/>
    </xf>
    <xf numFmtId="0" fontId="3" fillId="0" borderId="7" xfId="13" applyFont="1" applyBorder="1" applyAlignment="1">
      <alignment horizontal="center"/>
    </xf>
    <xf numFmtId="0" fontId="3" fillId="0" borderId="0" xfId="13" applyFont="1" applyBorder="1" applyAlignment="1">
      <alignment horizontal="center"/>
    </xf>
    <xf numFmtId="0" fontId="3" fillId="0" borderId="0" xfId="13" applyFont="1" applyBorder="1" applyAlignment="1">
      <alignment horizontal="left"/>
    </xf>
    <xf numFmtId="0" fontId="3" fillId="0" borderId="8" xfId="13" applyFont="1" applyBorder="1" applyAlignment="1">
      <alignment horizontal="left"/>
    </xf>
    <xf numFmtId="0" fontId="8" fillId="0" borderId="7" xfId="13" applyFont="1" applyBorder="1" applyAlignment="1">
      <alignment horizontal="center"/>
    </xf>
    <xf numFmtId="0" fontId="8" fillId="0" borderId="0" xfId="13" applyFont="1" applyBorder="1" applyAlignment="1">
      <alignment horizontal="center"/>
    </xf>
    <xf numFmtId="0" fontId="8" fillId="0" borderId="8" xfId="13" applyFont="1" applyBorder="1" applyAlignment="1">
      <alignment horizontal="center"/>
    </xf>
    <xf numFmtId="3" fontId="3" fillId="0" borderId="20" xfId="13" applyNumberFormat="1" applyBorder="1" applyAlignment="1">
      <alignment horizontal="right"/>
    </xf>
    <xf numFmtId="3" fontId="3" fillId="0" borderId="20" xfId="13" applyNumberFormat="1" applyBorder="1" applyAlignment="1">
      <alignment horizontal="right" wrapText="1"/>
    </xf>
    <xf numFmtId="3" fontId="3" fillId="0" borderId="0" xfId="13" applyNumberFormat="1" applyBorder="1" applyAlignment="1">
      <alignment horizontal="right"/>
    </xf>
    <xf numFmtId="0" fontId="3" fillId="0" borderId="71" xfId="13" applyFont="1" applyBorder="1" applyAlignment="1">
      <alignment horizontal="left"/>
    </xf>
    <xf numFmtId="0" fontId="3" fillId="0" borderId="76" xfId="13" applyFont="1" applyBorder="1" applyAlignment="1">
      <alignment horizontal="left"/>
    </xf>
    <xf numFmtId="0" fontId="3" fillId="0" borderId="68" xfId="13" applyFont="1" applyBorder="1" applyAlignment="1">
      <alignment horizontal="left"/>
    </xf>
    <xf numFmtId="0" fontId="3" fillId="0" borderId="20" xfId="13" applyBorder="1" applyAlignment="1">
      <alignment horizontal="left"/>
    </xf>
    <xf numFmtId="0" fontId="3" fillId="0" borderId="30" xfId="13" applyBorder="1" applyAlignment="1">
      <alignment horizontal="left"/>
    </xf>
    <xf numFmtId="0" fontId="3" fillId="0" borderId="68" xfId="13" applyFont="1" applyBorder="1" applyAlignment="1">
      <alignment horizontal="center"/>
    </xf>
    <xf numFmtId="0" fontId="3" fillId="0" borderId="67" xfId="13" applyBorder="1" applyAlignment="1">
      <alignment horizontal="center"/>
    </xf>
    <xf numFmtId="1" fontId="3" fillId="0" borderId="68" xfId="13" applyNumberFormat="1" applyBorder="1" applyAlignment="1">
      <alignment horizontal="center"/>
    </xf>
    <xf numFmtId="1" fontId="3" fillId="0" borderId="67" xfId="13" applyNumberFormat="1" applyBorder="1" applyAlignment="1">
      <alignment horizontal="center"/>
    </xf>
    <xf numFmtId="3" fontId="3" fillId="0" borderId="68" xfId="13" applyNumberFormat="1" applyBorder="1" applyAlignment="1">
      <alignment horizontal="center"/>
    </xf>
    <xf numFmtId="3" fontId="3" fillId="0" borderId="67" xfId="13" applyNumberFormat="1" applyBorder="1" applyAlignment="1">
      <alignment horizontal="center"/>
    </xf>
    <xf numFmtId="0" fontId="8" fillId="0" borderId="85" xfId="13" applyFont="1" applyBorder="1" applyAlignment="1">
      <alignment horizontal="left"/>
    </xf>
    <xf numFmtId="0" fontId="8" fillId="0" borderId="28" xfId="13" applyFont="1" applyBorder="1" applyAlignment="1">
      <alignment horizontal="left"/>
    </xf>
    <xf numFmtId="0" fontId="8" fillId="0" borderId="69" xfId="13" applyFont="1" applyBorder="1" applyAlignment="1">
      <alignment horizontal="center"/>
    </xf>
    <xf numFmtId="0" fontId="8" fillId="0" borderId="73" xfId="13" applyFont="1" applyBorder="1" applyAlignment="1">
      <alignment horizontal="center"/>
    </xf>
    <xf numFmtId="0" fontId="8" fillId="0" borderId="70" xfId="13" applyFont="1" applyBorder="1" applyAlignment="1">
      <alignment horizontal="center"/>
    </xf>
    <xf numFmtId="0" fontId="3" fillId="0" borderId="87" xfId="13" applyFont="1" applyBorder="1" applyAlignment="1">
      <alignment horizontal="center"/>
    </xf>
    <xf numFmtId="0" fontId="3" fillId="0" borderId="21" xfId="13" applyFont="1" applyBorder="1" applyAlignment="1">
      <alignment horizontal="center"/>
    </xf>
    <xf numFmtId="0" fontId="3" fillId="0" borderId="88" xfId="13" applyFont="1" applyBorder="1" applyAlignment="1">
      <alignment horizontal="center"/>
    </xf>
    <xf numFmtId="3" fontId="8" fillId="0" borderId="68" xfId="13" applyNumberFormat="1" applyFont="1" applyBorder="1" applyAlignment="1">
      <alignment horizontal="center"/>
    </xf>
    <xf numFmtId="3" fontId="8" fillId="0" borderId="20" xfId="13" applyNumberFormat="1" applyFont="1" applyBorder="1" applyAlignment="1">
      <alignment horizontal="center"/>
    </xf>
    <xf numFmtId="3" fontId="8" fillId="0" borderId="30" xfId="13" applyNumberFormat="1" applyFont="1" applyBorder="1" applyAlignment="1">
      <alignment horizontal="center"/>
    </xf>
    <xf numFmtId="0" fontId="3" fillId="0" borderId="29" xfId="13" applyFont="1" applyBorder="1" applyAlignment="1">
      <alignment horizontal="center"/>
    </xf>
    <xf numFmtId="0" fontId="3" fillId="0" borderId="20" xfId="13" applyFont="1" applyBorder="1" applyAlignment="1">
      <alignment horizontal="center"/>
    </xf>
    <xf numFmtId="0" fontId="3" fillId="0" borderId="30" xfId="13" applyFont="1" applyBorder="1" applyAlignment="1">
      <alignment horizontal="center"/>
    </xf>
    <xf numFmtId="0" fontId="8" fillId="0" borderId="29" xfId="13" applyFont="1" applyBorder="1" applyAlignment="1">
      <alignment horizontal="center"/>
    </xf>
    <xf numFmtId="0" fontId="8" fillId="0" borderId="67" xfId="13" applyFont="1" applyBorder="1" applyAlignment="1">
      <alignment horizontal="center"/>
    </xf>
    <xf numFmtId="0" fontId="36" fillId="5" borderId="29" xfId="28" applyFont="1" applyFill="1" applyBorder="1" applyAlignment="1" applyProtection="1">
      <alignment horizontal="left" vertical="center"/>
      <protection locked="0"/>
    </xf>
    <xf numFmtId="0" fontId="36" fillId="5" borderId="20" xfId="28" applyFont="1" applyFill="1" applyBorder="1" applyAlignment="1" applyProtection="1">
      <alignment horizontal="left" vertical="center"/>
      <protection locked="0"/>
    </xf>
    <xf numFmtId="0" fontId="36" fillId="5" borderId="30" xfId="28" applyFont="1" applyFill="1" applyBorder="1" applyAlignment="1" applyProtection="1">
      <alignment horizontal="left" vertical="center"/>
      <protection locked="0"/>
    </xf>
    <xf numFmtId="0" fontId="36" fillId="5" borderId="32" xfId="28" applyFont="1" applyFill="1" applyBorder="1" applyAlignment="1" applyProtection="1">
      <alignment horizontal="left" vertical="center"/>
      <protection locked="0"/>
    </xf>
    <xf numFmtId="0" fontId="36" fillId="5" borderId="54" xfId="28" applyFont="1" applyFill="1" applyBorder="1" applyAlignment="1" applyProtection="1">
      <alignment horizontal="left" vertical="center"/>
      <protection locked="0"/>
    </xf>
    <xf numFmtId="0" fontId="36" fillId="5" borderId="33" xfId="28" applyFont="1" applyFill="1" applyBorder="1" applyAlignment="1" applyProtection="1">
      <alignment horizontal="left" vertical="center"/>
      <protection locked="0"/>
    </xf>
    <xf numFmtId="183" fontId="96" fillId="0" borderId="0" xfId="28" applyNumberFormat="1" applyFont="1" applyFill="1" applyBorder="1" applyAlignment="1" applyProtection="1">
      <alignment horizontal="left" vertical="center"/>
    </xf>
    <xf numFmtId="0" fontId="96" fillId="0" borderId="0" xfId="28" applyNumberFormat="1" applyFont="1" applyFill="1" applyBorder="1" applyAlignment="1" applyProtection="1">
      <alignment horizontal="left" vertical="center"/>
    </xf>
    <xf numFmtId="0" fontId="36" fillId="5" borderId="71" xfId="28" applyFont="1" applyFill="1" applyBorder="1" applyAlignment="1" applyProtection="1">
      <alignment horizontal="justify" vertical="top" wrapText="1"/>
      <protection locked="0"/>
    </xf>
    <xf numFmtId="0" fontId="36" fillId="5" borderId="76" xfId="28" applyFont="1" applyFill="1" applyBorder="1" applyAlignment="1" applyProtection="1">
      <alignment horizontal="justify" vertical="top" wrapText="1"/>
      <protection locked="0"/>
    </xf>
    <xf numFmtId="0" fontId="36" fillId="5" borderId="72" xfId="28" applyFont="1" applyFill="1" applyBorder="1" applyAlignment="1" applyProtection="1">
      <alignment horizontal="justify" vertical="top" wrapText="1"/>
      <protection locked="0"/>
    </xf>
    <xf numFmtId="0" fontId="36" fillId="5" borderId="7" xfId="28" applyFont="1" applyFill="1" applyBorder="1" applyAlignment="1" applyProtection="1">
      <alignment horizontal="justify" vertical="top" wrapText="1"/>
      <protection locked="0"/>
    </xf>
    <xf numFmtId="0" fontId="36" fillId="5" borderId="0" xfId="28" applyFont="1" applyFill="1" applyBorder="1" applyAlignment="1" applyProtection="1">
      <alignment horizontal="justify" vertical="top" wrapText="1"/>
      <protection locked="0"/>
    </xf>
    <xf numFmtId="0" fontId="36" fillId="5" borderId="8" xfId="28" applyFont="1" applyFill="1" applyBorder="1" applyAlignment="1" applyProtection="1">
      <alignment horizontal="justify" vertical="top" wrapText="1"/>
      <protection locked="0"/>
    </xf>
    <xf numFmtId="0" fontId="36" fillId="5" borderId="9" xfId="28" applyFont="1" applyFill="1" applyBorder="1" applyAlignment="1" applyProtection="1">
      <alignment horizontal="justify" vertical="top" wrapText="1"/>
      <protection locked="0"/>
    </xf>
    <xf numFmtId="0" fontId="36" fillId="5" borderId="12" xfId="28" applyFont="1" applyFill="1" applyBorder="1" applyAlignment="1" applyProtection="1">
      <alignment horizontal="justify" vertical="top" wrapText="1"/>
      <protection locked="0"/>
    </xf>
    <xf numFmtId="0" fontId="36" fillId="5" borderId="13" xfId="28" applyFont="1" applyFill="1" applyBorder="1" applyAlignment="1" applyProtection="1">
      <alignment horizontal="justify" vertical="top" wrapText="1"/>
      <protection locked="0"/>
    </xf>
    <xf numFmtId="0" fontId="36" fillId="5" borderId="27" xfId="28" applyFont="1" applyFill="1" applyBorder="1" applyAlignment="1" applyProtection="1">
      <alignment horizontal="left" vertical="center"/>
      <protection locked="0"/>
    </xf>
    <xf numFmtId="0" fontId="36" fillId="5" borderId="53" xfId="28" applyFont="1" applyFill="1" applyBorder="1" applyAlignment="1" applyProtection="1">
      <alignment horizontal="left" vertical="center"/>
      <protection locked="0"/>
    </xf>
    <xf numFmtId="0" fontId="36" fillId="5" borderId="28" xfId="28" applyFont="1" applyFill="1" applyBorder="1" applyAlignment="1" applyProtection="1">
      <alignment horizontal="left" vertical="center"/>
      <protection locked="0"/>
    </xf>
    <xf numFmtId="0" fontId="26" fillId="9" borderId="7" xfId="28" applyFont="1" applyFill="1" applyBorder="1" applyAlignment="1" applyProtection="1">
      <alignment horizontal="center" vertical="center"/>
    </xf>
    <xf numFmtId="0" fontId="26" fillId="9" borderId="0" xfId="28" applyFont="1" applyFill="1" applyBorder="1" applyAlignment="1" applyProtection="1">
      <alignment horizontal="center" vertical="center"/>
    </xf>
    <xf numFmtId="182" fontId="14" fillId="5" borderId="69" xfId="28" applyNumberFormat="1" applyFont="1" applyFill="1" applyBorder="1" applyAlignment="1" applyProtection="1">
      <alignment horizontal="left" vertical="center"/>
      <protection locked="0"/>
    </xf>
    <xf numFmtId="182" fontId="14" fillId="5" borderId="70" xfId="28" applyNumberFormat="1" applyFont="1" applyFill="1" applyBorder="1" applyAlignment="1" applyProtection="1">
      <alignment horizontal="left" vertical="center"/>
      <protection locked="0"/>
    </xf>
    <xf numFmtId="182" fontId="14" fillId="5" borderId="69" xfId="28" applyNumberFormat="1" applyFont="1" applyFill="1" applyBorder="1" applyAlignment="1" applyProtection="1">
      <alignment horizontal="center" vertical="center"/>
      <protection locked="0"/>
    </xf>
    <xf numFmtId="182" fontId="14" fillId="5" borderId="70" xfId="28" applyNumberFormat="1" applyFont="1" applyFill="1" applyBorder="1" applyAlignment="1" applyProtection="1">
      <alignment horizontal="center" vertical="center"/>
      <protection locked="0"/>
    </xf>
    <xf numFmtId="183" fontId="10" fillId="5" borderId="69" xfId="28" applyNumberFormat="1" applyFont="1" applyFill="1" applyBorder="1" applyAlignment="1" applyProtection="1">
      <alignment horizontal="left" vertical="center"/>
      <protection locked="0"/>
    </xf>
    <xf numFmtId="183" fontId="10" fillId="5" borderId="73" xfId="28" applyNumberFormat="1" applyFont="1" applyFill="1" applyBorder="1" applyAlignment="1" applyProtection="1">
      <alignment horizontal="left" vertical="center"/>
      <protection locked="0"/>
    </xf>
    <xf numFmtId="183" fontId="10" fillId="5" borderId="70" xfId="28" applyNumberFormat="1" applyFont="1" applyFill="1" applyBorder="1" applyAlignment="1" applyProtection="1">
      <alignment horizontal="left" vertical="center"/>
      <protection locked="0"/>
    </xf>
    <xf numFmtId="0" fontId="35" fillId="5" borderId="71" xfId="28" applyFont="1" applyFill="1" applyBorder="1" applyAlignment="1" applyProtection="1">
      <alignment horizontal="justify" vertical="top" wrapText="1"/>
      <protection locked="0"/>
    </xf>
    <xf numFmtId="0" fontId="35" fillId="5" borderId="76" xfId="28" applyFont="1" applyFill="1" applyBorder="1" applyAlignment="1" applyProtection="1">
      <alignment horizontal="justify" vertical="top" wrapText="1"/>
      <protection locked="0"/>
    </xf>
    <xf numFmtId="0" fontId="35" fillId="5" borderId="72" xfId="28" applyFont="1" applyFill="1" applyBorder="1" applyAlignment="1" applyProtection="1">
      <alignment horizontal="justify" vertical="top" wrapText="1"/>
      <protection locked="0"/>
    </xf>
    <xf numFmtId="0" fontId="35" fillId="5" borderId="7" xfId="28" applyFont="1" applyFill="1" applyBorder="1" applyAlignment="1" applyProtection="1">
      <alignment horizontal="justify" vertical="top" wrapText="1"/>
      <protection locked="0"/>
    </xf>
    <xf numFmtId="0" fontId="35" fillId="5" borderId="0" xfId="28" applyFont="1" applyFill="1" applyBorder="1" applyAlignment="1" applyProtection="1">
      <alignment horizontal="justify" vertical="top" wrapText="1"/>
      <protection locked="0"/>
    </xf>
    <xf numFmtId="0" fontId="35" fillId="5" borderId="8" xfId="28" applyFont="1" applyFill="1" applyBorder="1" applyAlignment="1" applyProtection="1">
      <alignment horizontal="justify" vertical="top" wrapText="1"/>
      <protection locked="0"/>
    </xf>
    <xf numFmtId="0" fontId="35" fillId="5" borderId="9" xfId="28" applyFont="1" applyFill="1" applyBorder="1" applyAlignment="1" applyProtection="1">
      <alignment horizontal="justify" vertical="top" wrapText="1"/>
      <protection locked="0"/>
    </xf>
    <xf numFmtId="0" fontId="35" fillId="5" borderId="12" xfId="28" applyFont="1" applyFill="1" applyBorder="1" applyAlignment="1" applyProtection="1">
      <alignment horizontal="justify" vertical="top" wrapText="1"/>
      <protection locked="0"/>
    </xf>
    <xf numFmtId="0" fontId="35" fillId="5" borderId="13" xfId="28" applyFont="1" applyFill="1" applyBorder="1" applyAlignment="1" applyProtection="1">
      <alignment horizontal="justify" vertical="top" wrapText="1"/>
      <protection locked="0"/>
    </xf>
    <xf numFmtId="0" fontId="38" fillId="0" borderId="12" xfId="28" applyFont="1" applyFill="1" applyBorder="1" applyAlignment="1" applyProtection="1">
      <alignment horizontal="left" vertical="center"/>
    </xf>
    <xf numFmtId="0" fontId="38" fillId="0" borderId="71" xfId="28" applyFont="1" applyFill="1" applyBorder="1" applyAlignment="1" applyProtection="1">
      <alignment horizontal="center" wrapText="1"/>
    </xf>
    <xf numFmtId="0" fontId="35" fillId="0" borderId="72" xfId="28" applyFont="1" applyFill="1" applyBorder="1" applyAlignment="1" applyProtection="1">
      <alignment horizontal="center" wrapText="1"/>
    </xf>
    <xf numFmtId="0" fontId="35" fillId="0" borderId="9" xfId="28" applyFont="1" applyFill="1" applyBorder="1" applyAlignment="1" applyProtection="1">
      <alignment horizontal="center" wrapText="1"/>
    </xf>
    <xf numFmtId="0" fontId="35" fillId="0" borderId="13" xfId="28" applyFont="1" applyFill="1" applyBorder="1" applyAlignment="1" applyProtection="1">
      <alignment horizontal="center" wrapText="1"/>
    </xf>
    <xf numFmtId="0" fontId="35" fillId="0" borderId="10" xfId="28" applyFont="1" applyBorder="1" applyAlignment="1" applyProtection="1">
      <alignment horizontal="center" vertical="center" wrapText="1"/>
    </xf>
    <xf numFmtId="0" fontId="10" fillId="0" borderId="0" xfId="28" applyFont="1" applyFill="1" applyBorder="1" applyAlignment="1" applyProtection="1">
      <alignment horizontal="center"/>
    </xf>
    <xf numFmtId="0" fontId="35" fillId="0" borderId="12" xfId="28" applyFont="1" applyFill="1" applyBorder="1" applyAlignment="1" applyProtection="1">
      <alignment horizontal="left"/>
    </xf>
    <xf numFmtId="0" fontId="10" fillId="0" borderId="12" xfId="28" applyNumberFormat="1" applyFont="1" applyBorder="1" applyAlignment="1" applyProtection="1">
      <alignment horizontal="left"/>
      <protection locked="0"/>
    </xf>
    <xf numFmtId="3" fontId="10" fillId="0" borderId="12" xfId="28" applyNumberFormat="1" applyFont="1" applyBorder="1" applyAlignment="1" applyProtection="1">
      <alignment horizontal="center"/>
      <protection locked="0"/>
    </xf>
    <xf numFmtId="0" fontId="4" fillId="0" borderId="0" xfId="28" applyFont="1" applyAlignment="1">
      <alignment horizontal="left" vertical="center" wrapText="1"/>
    </xf>
    <xf numFmtId="0" fontId="4" fillId="0" borderId="12" xfId="28" applyFont="1" applyBorder="1" applyAlignment="1">
      <alignment horizontal="left" vertical="center" wrapText="1"/>
    </xf>
    <xf numFmtId="0" fontId="4" fillId="0" borderId="0" xfId="28" applyFont="1" applyAlignment="1" applyProtection="1">
      <alignment horizontal="center"/>
    </xf>
    <xf numFmtId="0" fontId="3" fillId="0" borderId="12" xfId="28" applyFont="1" applyBorder="1" applyAlignment="1" applyProtection="1">
      <alignment horizontal="left"/>
      <protection locked="0"/>
    </xf>
    <xf numFmtId="0" fontId="3" fillId="0" borderId="73" xfId="28" applyFont="1" applyBorder="1" applyAlignment="1" applyProtection="1">
      <alignment horizontal="center"/>
      <protection locked="0"/>
    </xf>
    <xf numFmtId="0" fontId="3" fillId="0" borderId="73" xfId="28" applyFont="1" applyBorder="1" applyAlignment="1" applyProtection="1">
      <alignment horizontal="left"/>
      <protection locked="0"/>
    </xf>
    <xf numFmtId="0" fontId="4" fillId="0" borderId="76" xfId="28" applyFont="1" applyBorder="1" applyAlignment="1" applyProtection="1">
      <alignment horizontal="center" vertical="top" wrapText="1"/>
    </xf>
    <xf numFmtId="0" fontId="4" fillId="0" borderId="76" xfId="28" applyFont="1" applyBorder="1" applyAlignment="1" applyProtection="1">
      <alignment horizontal="center" vertical="top"/>
    </xf>
    <xf numFmtId="0" fontId="3" fillId="0" borderId="12" xfId="28" applyFont="1" applyBorder="1" applyAlignment="1" applyProtection="1">
      <alignment horizontal="center"/>
      <protection locked="0"/>
    </xf>
    <xf numFmtId="0" fontId="3" fillId="0" borderId="0" xfId="28" applyFont="1" applyAlignment="1" applyProtection="1">
      <alignment horizontal="justify" vertical="top" wrapText="1"/>
    </xf>
    <xf numFmtId="0" fontId="106" fillId="7" borderId="0" xfId="28" applyFont="1" applyFill="1" applyBorder="1" applyAlignment="1" applyProtection="1">
      <alignment horizontal="center" vertical="center"/>
    </xf>
    <xf numFmtId="0" fontId="9" fillId="7" borderId="0" xfId="28" applyFont="1" applyFill="1" applyBorder="1" applyAlignment="1" applyProtection="1">
      <alignment horizontal="center" vertical="center"/>
    </xf>
    <xf numFmtId="0" fontId="3" fillId="7" borderId="0" xfId="28" applyFont="1" applyFill="1" applyBorder="1" applyAlignment="1" applyProtection="1">
      <alignment horizontal="center" vertical="center"/>
    </xf>
    <xf numFmtId="0" fontId="13" fillId="7" borderId="0" xfId="28" applyFont="1" applyFill="1" applyBorder="1" applyAlignment="1" applyProtection="1">
      <alignment horizontal="center" vertical="center"/>
    </xf>
    <xf numFmtId="10" fontId="106" fillId="0" borderId="69" xfId="28" applyNumberFormat="1" applyFont="1" applyFill="1" applyBorder="1" applyAlignment="1" applyProtection="1">
      <alignment horizontal="center" vertical="center"/>
    </xf>
    <xf numFmtId="10" fontId="106" fillId="0" borderId="73" xfId="28" applyNumberFormat="1" applyFont="1" applyFill="1" applyBorder="1" applyAlignment="1" applyProtection="1">
      <alignment horizontal="center" vertical="center"/>
    </xf>
    <xf numFmtId="10" fontId="106" fillId="0" borderId="70" xfId="28" applyNumberFormat="1" applyFont="1" applyFill="1" applyBorder="1" applyAlignment="1" applyProtection="1">
      <alignment horizontal="center" vertical="center"/>
    </xf>
    <xf numFmtId="0" fontId="155" fillId="9" borderId="7" xfId="28" applyFont="1" applyFill="1" applyBorder="1" applyAlignment="1" applyProtection="1">
      <alignment horizontal="center" vertical="center"/>
    </xf>
    <xf numFmtId="0" fontId="155" fillId="9" borderId="0" xfId="28" applyFont="1" applyFill="1" applyBorder="1" applyAlignment="1" applyProtection="1">
      <alignment horizontal="center" vertical="center"/>
    </xf>
    <xf numFmtId="0" fontId="8" fillId="0" borderId="12" xfId="28" applyNumberFormat="1" applyFont="1" applyBorder="1" applyAlignment="1" applyProtection="1">
      <alignment horizontal="left" vertical="center"/>
      <protection locked="0"/>
    </xf>
    <xf numFmtId="3" fontId="8" fillId="0" borderId="12" xfId="28" applyNumberFormat="1" applyFont="1" applyBorder="1" applyAlignment="1" applyProtection="1">
      <alignment horizontal="center" vertical="center"/>
      <protection locked="0"/>
    </xf>
    <xf numFmtId="3" fontId="106" fillId="5" borderId="69" xfId="28" applyNumberFormat="1" applyFont="1" applyFill="1" applyBorder="1" applyAlignment="1" applyProtection="1">
      <alignment horizontal="center" vertical="center"/>
      <protection locked="0"/>
    </xf>
    <xf numFmtId="3" fontId="106" fillId="5" borderId="73" xfId="28" applyNumberFormat="1" applyFont="1" applyFill="1" applyBorder="1" applyAlignment="1" applyProtection="1">
      <alignment horizontal="center" vertical="center"/>
      <protection locked="0"/>
    </xf>
    <xf numFmtId="3" fontId="106" fillId="5" borderId="70" xfId="28" applyNumberFormat="1" applyFont="1" applyFill="1" applyBorder="1" applyAlignment="1" applyProtection="1">
      <alignment horizontal="center" vertical="center"/>
      <protection locked="0"/>
    </xf>
    <xf numFmtId="3" fontId="36" fillId="0" borderId="69" xfId="1" applyNumberFormat="1" applyFont="1" applyFill="1" applyBorder="1" applyAlignment="1" applyProtection="1">
      <alignment horizontal="center" vertical="center"/>
    </xf>
    <xf numFmtId="3" fontId="36" fillId="0" borderId="70" xfId="1" applyNumberFormat="1" applyFont="1" applyFill="1" applyBorder="1" applyAlignment="1" applyProtection="1">
      <alignment horizontal="center" vertical="center"/>
    </xf>
    <xf numFmtId="0" fontId="38" fillId="0" borderId="69" xfId="0" applyFont="1" applyFill="1" applyBorder="1" applyAlignment="1" applyProtection="1">
      <alignment horizontal="center" vertical="center"/>
    </xf>
    <xf numFmtId="0" fontId="38" fillId="0" borderId="73" xfId="0" applyFont="1" applyFill="1" applyBorder="1" applyAlignment="1" applyProtection="1">
      <alignment horizontal="center" vertical="center"/>
    </xf>
    <xf numFmtId="0" fontId="38" fillId="0" borderId="70" xfId="0" applyFont="1" applyFill="1" applyBorder="1" applyAlignment="1" applyProtection="1">
      <alignment horizontal="center" vertical="center"/>
    </xf>
    <xf numFmtId="0" fontId="36" fillId="0" borderId="42" xfId="0" applyFont="1" applyBorder="1" applyAlignment="1" applyProtection="1">
      <alignment horizontal="center" vertical="center"/>
    </xf>
    <xf numFmtId="0" fontId="36" fillId="0" borderId="18" xfId="0" applyFont="1" applyBorder="1" applyAlignment="1" applyProtection="1">
      <alignment horizontal="center" vertical="center"/>
    </xf>
    <xf numFmtId="0" fontId="36" fillId="0" borderId="38" xfId="0" applyFont="1" applyBorder="1" applyAlignment="1" applyProtection="1">
      <alignment horizontal="center" vertical="center"/>
    </xf>
    <xf numFmtId="9" fontId="36" fillId="0" borderId="77" xfId="10" applyFont="1" applyBorder="1" applyAlignment="1" applyProtection="1">
      <alignment horizontal="center" vertical="center"/>
    </xf>
    <xf numFmtId="9" fontId="36" fillId="0" borderId="69" xfId="10" applyFont="1" applyBorder="1" applyAlignment="1" applyProtection="1">
      <alignment horizontal="center" vertical="center"/>
    </xf>
    <xf numFmtId="9" fontId="36" fillId="0" borderId="70" xfId="10" applyFont="1" applyBorder="1" applyAlignment="1" applyProtection="1">
      <alignment horizontal="center" vertical="center"/>
    </xf>
    <xf numFmtId="3" fontId="36" fillId="0" borderId="77" xfId="10" applyNumberFormat="1" applyFont="1" applyBorder="1" applyAlignment="1" applyProtection="1">
      <alignment horizontal="center" vertical="center"/>
    </xf>
    <xf numFmtId="0" fontId="36" fillId="0" borderId="0" xfId="0" applyFont="1" applyAlignment="1" applyProtection="1">
      <alignment horizontal="center" vertical="center" wrapText="1"/>
    </xf>
    <xf numFmtId="3" fontId="36" fillId="5" borderId="47" xfId="28" applyNumberFormat="1" applyFont="1" applyFill="1" applyBorder="1" applyAlignment="1" applyProtection="1">
      <alignment horizontal="center" vertical="center"/>
      <protection locked="0"/>
    </xf>
    <xf numFmtId="3" fontId="36" fillId="5" borderId="22" xfId="28" applyNumberFormat="1" applyFont="1" applyFill="1" applyBorder="1" applyAlignment="1" applyProtection="1">
      <alignment horizontal="center" vertical="center"/>
      <protection locked="0"/>
    </xf>
    <xf numFmtId="3" fontId="36" fillId="5" borderId="46" xfId="28" applyNumberFormat="1" applyFont="1" applyFill="1" applyBorder="1" applyAlignment="1" applyProtection="1">
      <alignment horizontal="center" vertical="center"/>
      <protection locked="0"/>
    </xf>
    <xf numFmtId="3" fontId="36" fillId="5" borderId="24" xfId="28" applyNumberFormat="1" applyFont="1" applyFill="1" applyBorder="1" applyAlignment="1" applyProtection="1">
      <alignment horizontal="center" vertical="center"/>
      <protection locked="0"/>
    </xf>
    <xf numFmtId="3" fontId="36" fillId="5" borderId="44" xfId="28" applyNumberFormat="1" applyFont="1" applyFill="1" applyBorder="1" applyAlignment="1" applyProtection="1">
      <alignment horizontal="center" vertical="center"/>
      <protection locked="0"/>
    </xf>
    <xf numFmtId="3" fontId="36" fillId="5" borderId="23" xfId="28" applyNumberFormat="1" applyFont="1" applyFill="1" applyBorder="1" applyAlignment="1" applyProtection="1">
      <alignment horizontal="center" vertical="center"/>
      <protection locked="0"/>
    </xf>
    <xf numFmtId="0" fontId="36" fillId="0" borderId="18" xfId="28" applyFont="1" applyFill="1" applyBorder="1" applyAlignment="1" applyProtection="1">
      <alignment horizontal="center"/>
    </xf>
    <xf numFmtId="10" fontId="36" fillId="5" borderId="48" xfId="28" applyNumberFormat="1" applyFont="1" applyFill="1" applyBorder="1" applyAlignment="1" applyProtection="1">
      <alignment horizontal="center" vertical="center"/>
      <protection locked="0"/>
    </xf>
    <xf numFmtId="10" fontId="36" fillId="5" borderId="37" xfId="28" applyNumberFormat="1" applyFont="1" applyFill="1" applyBorder="1" applyAlignment="1" applyProtection="1">
      <alignment horizontal="center" vertical="center"/>
      <protection locked="0"/>
    </xf>
    <xf numFmtId="10" fontId="36" fillId="5" borderId="45" xfId="28" applyNumberFormat="1" applyFont="1" applyFill="1" applyBorder="1" applyAlignment="1" applyProtection="1">
      <alignment horizontal="center" vertical="center"/>
      <protection locked="0"/>
    </xf>
    <xf numFmtId="0" fontId="76" fillId="0" borderId="7" xfId="28" applyFont="1" applyFill="1" applyBorder="1" applyAlignment="1" applyProtection="1">
      <alignment horizontal="left"/>
    </xf>
    <xf numFmtId="0" fontId="36" fillId="0" borderId="0" xfId="28" applyFont="1" applyFill="1" applyBorder="1" applyAlignment="1" applyProtection="1"/>
    <xf numFmtId="0" fontId="36" fillId="0" borderId="0" xfId="28" applyFont="1" applyFill="1" applyBorder="1" applyProtection="1"/>
    <xf numFmtId="0" fontId="36" fillId="0" borderId="0" xfId="28" applyFont="1" applyBorder="1" applyAlignment="1" applyProtection="1">
      <alignment horizontal="center"/>
    </xf>
    <xf numFmtId="0" fontId="36" fillId="0" borderId="0" xfId="28" applyFont="1" applyBorder="1" applyAlignment="1" applyProtection="1">
      <alignment horizontal="center" vertical="center" wrapText="1"/>
    </xf>
    <xf numFmtId="14" fontId="36" fillId="0" borderId="0" xfId="28" applyNumberFormat="1" applyFont="1" applyFill="1" applyBorder="1" applyAlignment="1" applyProtection="1">
      <alignment horizontal="center"/>
    </xf>
    <xf numFmtId="0" fontId="36" fillId="0" borderId="12" xfId="28" applyFont="1" applyBorder="1" applyAlignment="1" applyProtection="1">
      <alignment horizontal="center" vertical="center"/>
    </xf>
    <xf numFmtId="0" fontId="76" fillId="0" borderId="42" xfId="28" applyFont="1" applyFill="1" applyBorder="1" applyAlignment="1" applyProtection="1">
      <alignment horizontal="center" wrapText="1"/>
    </xf>
    <xf numFmtId="0" fontId="36" fillId="0" borderId="38" xfId="28" applyFont="1" applyFill="1" applyBorder="1" applyAlignment="1" applyProtection="1">
      <alignment horizontal="center" wrapText="1"/>
    </xf>
    <xf numFmtId="0" fontId="36" fillId="0" borderId="41" xfId="28" applyFont="1" applyFill="1" applyBorder="1" applyAlignment="1" applyProtection="1">
      <alignment horizontal="center" wrapText="1"/>
    </xf>
    <xf numFmtId="0" fontId="36" fillId="0" borderId="55" xfId="28" applyFont="1" applyFill="1" applyBorder="1" applyAlignment="1" applyProtection="1">
      <alignment horizontal="center" wrapText="1"/>
    </xf>
    <xf numFmtId="0" fontId="47" fillId="0" borderId="79" xfId="28" applyFont="1" applyFill="1" applyBorder="1" applyAlignment="1" applyProtection="1">
      <alignment horizontal="center" vertical="center"/>
    </xf>
    <xf numFmtId="0" fontId="47" fillId="0" borderId="80" xfId="28" applyFont="1" applyFill="1" applyBorder="1" applyAlignment="1" applyProtection="1">
      <alignment horizontal="center" vertical="center"/>
    </xf>
    <xf numFmtId="0" fontId="47" fillId="0" borderId="69" xfId="28" applyFont="1" applyFill="1" applyBorder="1" applyAlignment="1" applyProtection="1">
      <alignment horizontal="center" vertical="center" wrapText="1"/>
    </xf>
    <xf numFmtId="0" fontId="47" fillId="0" borderId="73" xfId="28" applyFont="1" applyFill="1" applyBorder="1" applyAlignment="1" applyProtection="1">
      <alignment horizontal="center" vertical="center" wrapText="1"/>
    </xf>
    <xf numFmtId="0" fontId="47" fillId="0" borderId="70" xfId="28" applyFont="1" applyFill="1" applyBorder="1" applyAlignment="1" applyProtection="1">
      <alignment horizontal="center" vertical="center" wrapText="1"/>
    </xf>
    <xf numFmtId="0" fontId="38" fillId="0" borderId="85" xfId="28" applyFont="1" applyFill="1" applyBorder="1" applyAlignment="1" applyProtection="1">
      <alignment horizontal="center" vertical="center" wrapText="1"/>
    </xf>
    <xf numFmtId="0" fontId="38" fillId="0" borderId="127" xfId="28" applyFont="1" applyFill="1" applyBorder="1" applyAlignment="1" applyProtection="1">
      <alignment horizontal="center" vertical="center" wrapText="1"/>
    </xf>
  </cellXfs>
  <cellStyles count="30">
    <cellStyle name="Body" xfId="14" xr:uid="{00000000-0005-0000-0000-000000000000}"/>
    <cellStyle name="Comma" xfId="1" builtinId="3"/>
    <cellStyle name="Comma 2" xfId="15" xr:uid="{00000000-0005-0000-0000-000002000000}"/>
    <cellStyle name="Currency" xfId="2" builtinId="4"/>
    <cellStyle name="Currency 2" xfId="16" xr:uid="{00000000-0005-0000-0000-000004000000}"/>
    <cellStyle name="DATE" xfId="17" xr:uid="{00000000-0005-0000-0000-000005000000}"/>
    <cellStyle name="Euro" xfId="18" xr:uid="{00000000-0005-0000-0000-000006000000}"/>
    <cellStyle name="FORMULA" xfId="19" xr:uid="{00000000-0005-0000-0000-000007000000}"/>
    <cellStyle name="Grey" xfId="3" xr:uid="{00000000-0005-0000-0000-000008000000}"/>
    <cellStyle name="Header1" xfId="4" xr:uid="{00000000-0005-0000-0000-000009000000}"/>
    <cellStyle name="Header2" xfId="5" xr:uid="{00000000-0005-0000-0000-00000A000000}"/>
    <cellStyle name="HIDE" xfId="20" xr:uid="{00000000-0005-0000-0000-00000B000000}"/>
    <cellStyle name="Hyperlink" xfId="6" builtinId="8"/>
    <cellStyle name="Input [yellow]" xfId="7" xr:uid="{00000000-0005-0000-0000-00000D000000}"/>
    <cellStyle name="LINK" xfId="21" xr:uid="{00000000-0005-0000-0000-00000E000000}"/>
    <cellStyle name="no dec" xfId="22" xr:uid="{00000000-0005-0000-0000-00000F000000}"/>
    <cellStyle name="Nor@„l_IRRSENS" xfId="23" xr:uid="{00000000-0005-0000-0000-000010000000}"/>
    <cellStyle name="Normal" xfId="0" builtinId="0"/>
    <cellStyle name="Normal - Style1" xfId="8" xr:uid="{00000000-0005-0000-0000-000012000000}"/>
    <cellStyle name="Normal 2" xfId="12" xr:uid="{00000000-0005-0000-0000-000013000000}"/>
    <cellStyle name="Normal 2 2" xfId="28" xr:uid="{00000000-0005-0000-0000-000014000000}"/>
    <cellStyle name="Normal 3" xfId="13" xr:uid="{00000000-0005-0000-0000-000015000000}"/>
    <cellStyle name="Normal 4" xfId="24" xr:uid="{00000000-0005-0000-0000-000016000000}"/>
    <cellStyle name="Normal 5" xfId="29" xr:uid="{00000000-0005-0000-0000-000017000000}"/>
    <cellStyle name="Normal_'96-'97 Rent Tables" xfId="9" xr:uid="{00000000-0005-0000-0000-000018000000}"/>
    <cellStyle name="Notes" xfId="25" xr:uid="{00000000-0005-0000-0000-000019000000}"/>
    <cellStyle name="OVERWRITE" xfId="26" xr:uid="{00000000-0005-0000-0000-00001A000000}"/>
    <cellStyle name="Percent" xfId="10" builtinId="5"/>
    <cellStyle name="Percent [2]" xfId="11" xr:uid="{00000000-0005-0000-0000-00001C000000}"/>
    <cellStyle name="Percent 2" xfId="27" xr:uid="{00000000-0005-0000-0000-00001D000000}"/>
  </cellStyles>
  <dxfs count="83">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FD938B"/>
      <color rgb="FF0000FF"/>
      <color rgb="FFCC9900"/>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hfdround@dca.ga.gov" TargetMode="External"/><Relationship Id="rId2" Type="http://schemas.openxmlformats.org/officeDocument/2006/relationships/hyperlink" Target="https://www.dca.ga.gov/node/3556" TargetMode="External"/><Relationship Id="rId1" Type="http://schemas.openxmlformats.org/officeDocument/2006/relationships/hyperlink" Target="mailto:OHFFinalAllocationAppSubmit@gadca.onmicrosoft.com." TargetMode="External"/><Relationship Id="rId6" Type="http://schemas.openxmlformats.org/officeDocument/2006/relationships/printerSettings" Target="../printerSettings/printerSettings1.bin"/><Relationship Id="rId5" Type="http://schemas.openxmlformats.org/officeDocument/2006/relationships/hyperlink" Target="mailto:Stephen.Barrett@dca.ga.gov" TargetMode="External"/><Relationship Id="rId4" Type="http://schemas.openxmlformats.org/officeDocument/2006/relationships/hyperlink" Target="mailto:OHFFinalAllocationAppSubmit@gadca.onmicrosoft.com" TargetMode="Externa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9.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2.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3.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4.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40"/>
  <sheetViews>
    <sheetView showGridLines="0" tabSelected="1" zoomScaleNormal="100" workbookViewId="0">
      <selection sqref="A1:S1"/>
    </sheetView>
  </sheetViews>
  <sheetFormatPr defaultColWidth="9.140625" defaultRowHeight="12.75"/>
  <cols>
    <col min="1" max="2" width="3.5703125" style="845" customWidth="1"/>
    <col min="3" max="18" width="4.7109375" style="845" customWidth="1"/>
    <col min="19" max="19" width="1.5703125" style="845" customWidth="1"/>
    <col min="20" max="44" width="4.7109375" style="845" customWidth="1"/>
    <col min="45" max="16384" width="9.140625" style="845"/>
  </cols>
  <sheetData>
    <row r="1" spans="1:38" ht="18">
      <c r="A1" s="1832" t="s">
        <v>3229</v>
      </c>
      <c r="B1" s="1832"/>
      <c r="C1" s="1832"/>
      <c r="D1" s="1832"/>
      <c r="E1" s="1832"/>
      <c r="F1" s="1832"/>
      <c r="G1" s="1832"/>
      <c r="H1" s="1832"/>
      <c r="I1" s="1832"/>
      <c r="J1" s="1832"/>
      <c r="K1" s="1832"/>
      <c r="L1" s="1832"/>
      <c r="M1" s="1832"/>
      <c r="N1" s="1832"/>
      <c r="O1" s="1832"/>
      <c r="P1" s="1832"/>
      <c r="Q1" s="1832"/>
      <c r="R1" s="1832"/>
      <c r="S1" s="1832"/>
      <c r="T1" s="977"/>
      <c r="U1" s="977"/>
      <c r="V1" s="977"/>
      <c r="W1" s="977"/>
      <c r="X1" s="977"/>
      <c r="Y1" s="977"/>
      <c r="Z1" s="977"/>
      <c r="AA1" s="977"/>
      <c r="AB1" s="977"/>
      <c r="AC1" s="977"/>
      <c r="AD1" s="977"/>
      <c r="AE1" s="977"/>
      <c r="AF1" s="977"/>
      <c r="AG1" s="977"/>
      <c r="AH1" s="977"/>
      <c r="AI1" s="977"/>
      <c r="AJ1" s="977"/>
      <c r="AK1" s="977"/>
      <c r="AL1" s="977"/>
    </row>
    <row r="2" spans="1:38" ht="21" customHeight="1">
      <c r="A2" s="1833" t="s">
        <v>3789</v>
      </c>
      <c r="B2" s="1833"/>
      <c r="C2" s="1833"/>
      <c r="D2" s="1833"/>
      <c r="E2" s="1833"/>
      <c r="F2" s="1833"/>
      <c r="G2" s="1833"/>
      <c r="H2" s="1833"/>
      <c r="I2" s="1833"/>
      <c r="J2" s="1833"/>
      <c r="K2" s="1833"/>
      <c r="L2" s="1833"/>
      <c r="M2" s="1833"/>
      <c r="N2" s="1833"/>
      <c r="O2" s="1833"/>
      <c r="P2" s="1833"/>
      <c r="Q2" s="1833"/>
      <c r="R2" s="1833"/>
      <c r="S2" s="1833"/>
    </row>
    <row r="3" spans="1:38" ht="100.5" customHeight="1">
      <c r="A3" s="1828" t="s">
        <v>3230</v>
      </c>
      <c r="B3" s="1828"/>
      <c r="C3" s="1828"/>
      <c r="D3" s="1828"/>
      <c r="E3" s="1828"/>
      <c r="F3" s="1828"/>
      <c r="G3" s="1828"/>
      <c r="H3" s="1828"/>
      <c r="I3" s="1828"/>
      <c r="J3" s="1828"/>
      <c r="K3" s="1828"/>
      <c r="L3" s="1828"/>
      <c r="M3" s="1828"/>
      <c r="N3" s="1828"/>
      <c r="O3" s="1828"/>
      <c r="P3" s="1828"/>
      <c r="Q3" s="1828"/>
      <c r="R3" s="1828"/>
      <c r="S3" s="1828"/>
      <c r="T3" s="978"/>
      <c r="U3" s="978"/>
      <c r="V3" s="978"/>
      <c r="W3" s="978"/>
      <c r="X3" s="978"/>
      <c r="Y3" s="978"/>
      <c r="Z3" s="978"/>
      <c r="AA3" s="978"/>
      <c r="AB3" s="978"/>
      <c r="AC3" s="978"/>
      <c r="AD3" s="978"/>
      <c r="AE3" s="978"/>
      <c r="AF3" s="978"/>
      <c r="AG3" s="978"/>
      <c r="AH3" s="978"/>
      <c r="AI3" s="978"/>
      <c r="AJ3" s="978"/>
      <c r="AK3" s="978"/>
      <c r="AL3" s="978"/>
    </row>
    <row r="4" spans="1:38" ht="12" customHeight="1"/>
    <row r="5" spans="1:38" ht="14.25">
      <c r="A5" s="979" t="s">
        <v>1565</v>
      </c>
      <c r="B5" s="1826" t="s">
        <v>3783</v>
      </c>
      <c r="C5" s="1826"/>
      <c r="D5" s="1826"/>
      <c r="E5" s="1826"/>
      <c r="F5" s="1826"/>
      <c r="G5" s="1826"/>
      <c r="H5" s="1826"/>
      <c r="I5" s="1826"/>
      <c r="J5" s="1826"/>
      <c r="K5" s="1826"/>
      <c r="L5" s="1826"/>
      <c r="M5" s="1826"/>
      <c r="N5" s="1826"/>
      <c r="O5" s="1826"/>
      <c r="P5" s="1826"/>
      <c r="Q5" s="1826"/>
      <c r="R5" s="1826"/>
      <c r="S5" s="1826"/>
    </row>
    <row r="6" spans="1:38" s="927" customFormat="1" ht="15" customHeight="1">
      <c r="A6" s="1820"/>
      <c r="B6" s="1827" t="s">
        <v>3778</v>
      </c>
      <c r="C6" s="1827"/>
      <c r="D6" s="1827"/>
      <c r="E6" s="1827"/>
      <c r="F6" s="1827"/>
      <c r="G6" s="1827"/>
      <c r="H6" s="1827"/>
      <c r="I6" s="1827"/>
      <c r="J6" s="1827"/>
      <c r="K6" s="1827"/>
      <c r="L6" s="1827"/>
      <c r="M6" s="1827"/>
      <c r="N6" s="1827"/>
      <c r="O6" s="1827"/>
      <c r="P6" s="1827"/>
      <c r="Q6" s="1827"/>
      <c r="R6" s="1827"/>
      <c r="S6" s="1821"/>
    </row>
    <row r="7" spans="1:38" ht="30" customHeight="1">
      <c r="B7" s="1826" t="s">
        <v>3784</v>
      </c>
      <c r="C7" s="1826"/>
      <c r="D7" s="1826"/>
      <c r="E7" s="1826"/>
      <c r="F7" s="1826"/>
      <c r="G7" s="1826"/>
      <c r="H7" s="1826"/>
      <c r="I7" s="1826"/>
      <c r="J7" s="1826"/>
      <c r="K7" s="1826"/>
      <c r="L7" s="1826"/>
      <c r="M7" s="1826"/>
      <c r="N7" s="1826"/>
      <c r="O7" s="1826"/>
      <c r="P7" s="1826"/>
      <c r="Q7" s="1826"/>
      <c r="R7" s="1826"/>
      <c r="S7" s="1826"/>
    </row>
    <row r="8" spans="1:38" ht="30" customHeight="1">
      <c r="A8" s="979" t="s">
        <v>1566</v>
      </c>
      <c r="B8" s="1828" t="s">
        <v>3767</v>
      </c>
      <c r="C8" s="1828"/>
      <c r="D8" s="1828"/>
      <c r="E8" s="1828"/>
      <c r="F8" s="1828"/>
      <c r="G8" s="1828"/>
      <c r="H8" s="1828"/>
      <c r="I8" s="1828"/>
      <c r="J8" s="1828"/>
      <c r="K8" s="1828"/>
      <c r="L8" s="1828"/>
      <c r="M8" s="1828"/>
      <c r="N8" s="1828"/>
      <c r="O8" s="1828"/>
      <c r="P8" s="1828"/>
      <c r="Q8" s="1828"/>
      <c r="R8" s="1828"/>
      <c r="S8" s="1828"/>
    </row>
    <row r="9" spans="1:38" s="927" customFormat="1" ht="15" customHeight="1">
      <c r="A9" s="1820"/>
      <c r="B9" s="1827" t="s">
        <v>3751</v>
      </c>
      <c r="C9" s="1829"/>
      <c r="D9" s="1829"/>
      <c r="E9" s="1829"/>
      <c r="F9" s="1829"/>
      <c r="G9" s="1829"/>
      <c r="H9" s="1829"/>
      <c r="I9" s="1829"/>
      <c r="J9" s="1829"/>
      <c r="K9" s="1829"/>
      <c r="L9" s="1829"/>
      <c r="M9" s="1829"/>
      <c r="N9" s="1829"/>
      <c r="O9" s="1829"/>
      <c r="P9" s="1829"/>
      <c r="Q9" s="1829"/>
      <c r="R9" s="1829"/>
      <c r="S9" s="1829"/>
    </row>
    <row r="10" spans="1:38" ht="30.75" customHeight="1">
      <c r="A10" s="979"/>
      <c r="B10" s="1828" t="s">
        <v>3752</v>
      </c>
      <c r="C10" s="1828"/>
      <c r="D10" s="1828"/>
      <c r="E10" s="1828"/>
      <c r="F10" s="1828"/>
      <c r="G10" s="1828"/>
      <c r="H10" s="1828"/>
      <c r="I10" s="1828"/>
      <c r="J10" s="1828"/>
      <c r="K10" s="1828"/>
      <c r="L10" s="1828"/>
      <c r="M10" s="1828"/>
      <c r="N10" s="1828"/>
      <c r="O10" s="1828"/>
      <c r="P10" s="1828"/>
      <c r="Q10" s="1828"/>
      <c r="R10" s="1828"/>
      <c r="S10" s="1828"/>
    </row>
    <row r="11" spans="1:38" ht="14.25">
      <c r="A11" s="979" t="s">
        <v>1567</v>
      </c>
      <c r="B11" s="1826" t="s">
        <v>3753</v>
      </c>
      <c r="C11" s="1826"/>
      <c r="D11" s="1826"/>
      <c r="E11" s="1826"/>
      <c r="F11" s="1826"/>
      <c r="G11" s="1826"/>
      <c r="H11" s="1826"/>
      <c r="I11" s="1826"/>
      <c r="J11" s="1826"/>
      <c r="K11" s="1826"/>
      <c r="L11" s="1826"/>
      <c r="M11" s="1826"/>
      <c r="N11" s="1826"/>
      <c r="O11" s="1826"/>
      <c r="P11" s="1826"/>
      <c r="Q11" s="1826"/>
      <c r="R11" s="1826"/>
      <c r="S11" s="1826"/>
    </row>
    <row r="12" spans="1:38" ht="14.25" customHeight="1">
      <c r="B12" s="1823" t="s">
        <v>1890</v>
      </c>
      <c r="C12" s="1826" t="s">
        <v>3756</v>
      </c>
      <c r="D12" s="1826"/>
      <c r="E12" s="1826"/>
      <c r="F12" s="1826"/>
      <c r="G12" s="1826"/>
      <c r="H12" s="1826"/>
      <c r="I12" s="1826"/>
      <c r="J12" s="1826"/>
      <c r="K12" s="1826"/>
      <c r="L12" s="1826"/>
      <c r="M12" s="1826"/>
      <c r="N12" s="1826"/>
      <c r="O12" s="1826"/>
      <c r="P12" s="1826"/>
      <c r="Q12" s="1826"/>
      <c r="R12" s="1826"/>
      <c r="S12" s="1822"/>
      <c r="T12" s="978"/>
      <c r="U12" s="978"/>
      <c r="V12" s="978"/>
      <c r="W12" s="978"/>
      <c r="X12" s="978"/>
      <c r="Y12" s="978"/>
      <c r="Z12" s="978"/>
      <c r="AA12" s="978"/>
      <c r="AB12" s="978"/>
      <c r="AC12" s="978"/>
      <c r="AD12" s="978"/>
      <c r="AE12" s="978"/>
      <c r="AF12" s="978"/>
      <c r="AG12" s="978"/>
      <c r="AH12" s="978"/>
      <c r="AI12" s="978"/>
      <c r="AJ12" s="978"/>
      <c r="AK12" s="978"/>
      <c r="AL12" s="978"/>
    </row>
    <row r="13" spans="1:38" s="843" customFormat="1" ht="14.25">
      <c r="B13" s="1823" t="s">
        <v>1891</v>
      </c>
      <c r="C13" s="1826" t="s">
        <v>3759</v>
      </c>
      <c r="D13" s="1826"/>
      <c r="E13" s="1826"/>
      <c r="F13" s="1826"/>
      <c r="G13" s="1826"/>
      <c r="H13" s="1826"/>
      <c r="I13" s="1826"/>
      <c r="J13" s="1826"/>
      <c r="K13" s="1826"/>
      <c r="L13" s="1826"/>
      <c r="M13" s="1826"/>
      <c r="N13" s="1826"/>
      <c r="O13" s="1826"/>
      <c r="P13" s="1826"/>
      <c r="Q13" s="1826"/>
      <c r="R13" s="1826"/>
      <c r="S13" s="1822"/>
    </row>
    <row r="14" spans="1:38" s="843" customFormat="1" ht="14.25">
      <c r="B14" s="1823" t="s">
        <v>1562</v>
      </c>
      <c r="C14" s="1826" t="s">
        <v>3760</v>
      </c>
      <c r="D14" s="1826"/>
      <c r="E14" s="1826"/>
      <c r="F14" s="1826"/>
      <c r="G14" s="1826"/>
      <c r="H14" s="1826"/>
      <c r="I14" s="1826"/>
      <c r="J14" s="1826"/>
      <c r="K14" s="1826"/>
      <c r="L14" s="1826"/>
      <c r="M14" s="1826"/>
      <c r="N14" s="1826"/>
      <c r="O14" s="1826"/>
      <c r="P14" s="1826"/>
      <c r="Q14" s="1826"/>
      <c r="R14" s="1826"/>
      <c r="S14" s="1822"/>
    </row>
    <row r="15" spans="1:38" ht="14.25">
      <c r="B15" s="1823" t="s">
        <v>3754</v>
      </c>
      <c r="C15" s="1826" t="s">
        <v>3761</v>
      </c>
      <c r="D15" s="1826"/>
      <c r="E15" s="1826"/>
      <c r="F15" s="1826"/>
      <c r="G15" s="1826"/>
      <c r="H15" s="1826"/>
      <c r="I15" s="1826"/>
      <c r="J15" s="1826"/>
      <c r="K15" s="1826"/>
      <c r="L15" s="1826"/>
      <c r="M15" s="1826"/>
      <c r="N15" s="1826"/>
      <c r="O15" s="1826"/>
      <c r="P15" s="1826"/>
      <c r="Q15" s="1826"/>
      <c r="R15" s="1826"/>
      <c r="S15" s="1822"/>
      <c r="T15" s="978"/>
      <c r="U15" s="978"/>
      <c r="V15" s="978"/>
      <c r="W15" s="978"/>
      <c r="X15" s="978"/>
      <c r="Y15" s="978"/>
      <c r="Z15" s="978"/>
      <c r="AA15" s="978"/>
      <c r="AB15" s="978"/>
      <c r="AC15" s="978"/>
      <c r="AD15" s="978"/>
      <c r="AE15" s="978"/>
      <c r="AF15" s="978"/>
      <c r="AG15" s="978"/>
      <c r="AH15" s="978"/>
      <c r="AI15" s="978"/>
      <c r="AJ15" s="978"/>
      <c r="AK15" s="978"/>
      <c r="AL15" s="978"/>
    </row>
    <row r="16" spans="1:38" s="843" customFormat="1" ht="29.25" customHeight="1">
      <c r="B16" s="1823" t="s">
        <v>3755</v>
      </c>
      <c r="C16" s="1828" t="s">
        <v>3762</v>
      </c>
      <c r="D16" s="1828"/>
      <c r="E16" s="1828"/>
      <c r="F16" s="1828"/>
      <c r="G16" s="1828"/>
      <c r="H16" s="1828"/>
      <c r="I16" s="1828"/>
      <c r="J16" s="1828"/>
      <c r="K16" s="1828"/>
      <c r="L16" s="1828"/>
      <c r="M16" s="1828"/>
      <c r="N16" s="1828"/>
      <c r="O16" s="1828"/>
      <c r="P16" s="1828"/>
      <c r="Q16" s="1828"/>
      <c r="R16" s="1828"/>
      <c r="S16" s="1822"/>
    </row>
    <row r="17" spans="1:38" s="843" customFormat="1" ht="30" customHeight="1">
      <c r="B17" s="1823" t="s">
        <v>3757</v>
      </c>
      <c r="C17" s="1828" t="s">
        <v>3763</v>
      </c>
      <c r="D17" s="1828"/>
      <c r="E17" s="1828"/>
      <c r="F17" s="1828"/>
      <c r="G17" s="1828"/>
      <c r="H17" s="1828"/>
      <c r="I17" s="1828"/>
      <c r="J17" s="1828"/>
      <c r="K17" s="1828"/>
      <c r="L17" s="1828"/>
      <c r="M17" s="1828"/>
      <c r="N17" s="1828"/>
      <c r="O17" s="1828"/>
      <c r="P17" s="1828"/>
      <c r="Q17" s="1828"/>
      <c r="R17" s="1828"/>
      <c r="S17" s="1822"/>
    </row>
    <row r="18" spans="1:38" ht="30" customHeight="1">
      <c r="B18" s="1823" t="s">
        <v>3758</v>
      </c>
      <c r="C18" s="1828" t="s">
        <v>3764</v>
      </c>
      <c r="D18" s="1828"/>
      <c r="E18" s="1828"/>
      <c r="F18" s="1828"/>
      <c r="G18" s="1828"/>
      <c r="H18" s="1828"/>
      <c r="I18" s="1828"/>
      <c r="J18" s="1828"/>
      <c r="K18" s="1828"/>
      <c r="L18" s="1828"/>
      <c r="M18" s="1828"/>
      <c r="N18" s="1828"/>
      <c r="O18" s="1828"/>
      <c r="P18" s="1828"/>
      <c r="Q18" s="1828"/>
      <c r="R18" s="1828"/>
      <c r="S18" s="1822"/>
      <c r="T18" s="978"/>
      <c r="U18" s="978"/>
      <c r="V18" s="978"/>
      <c r="W18" s="978"/>
      <c r="X18" s="978"/>
      <c r="Y18" s="978"/>
      <c r="Z18" s="978"/>
      <c r="AA18" s="978"/>
      <c r="AB18" s="978"/>
      <c r="AC18" s="978"/>
      <c r="AD18" s="978"/>
      <c r="AE18" s="978"/>
      <c r="AF18" s="978"/>
      <c r="AG18" s="978"/>
      <c r="AH18" s="978"/>
      <c r="AI18" s="978"/>
      <c r="AJ18" s="978"/>
      <c r="AK18" s="978"/>
      <c r="AL18" s="978"/>
    </row>
    <row r="19" spans="1:38" ht="14.25">
      <c r="A19" s="979" t="s">
        <v>3765</v>
      </c>
      <c r="B19" s="1828" t="s">
        <v>3766</v>
      </c>
      <c r="C19" s="1828"/>
      <c r="D19" s="1828"/>
      <c r="E19" s="1828"/>
      <c r="F19" s="1828"/>
      <c r="G19" s="1828"/>
      <c r="H19" s="1828"/>
      <c r="I19" s="1828"/>
      <c r="J19" s="1828"/>
      <c r="K19" s="1828"/>
      <c r="L19" s="1828"/>
      <c r="M19" s="1828"/>
      <c r="N19" s="1828"/>
      <c r="O19" s="1828"/>
      <c r="P19" s="1828"/>
      <c r="Q19" s="1828"/>
      <c r="R19" s="1828"/>
      <c r="S19" s="1828"/>
    </row>
    <row r="20" spans="1:38" s="843" customFormat="1" ht="14.25">
      <c r="B20" s="1823" t="s">
        <v>1890</v>
      </c>
      <c r="C20" s="1826" t="s">
        <v>3768</v>
      </c>
      <c r="D20" s="1826"/>
      <c r="E20" s="1826"/>
      <c r="F20" s="1826"/>
      <c r="G20" s="1826"/>
      <c r="H20" s="1826"/>
      <c r="I20" s="1826"/>
      <c r="J20" s="1826"/>
      <c r="K20" s="1826"/>
      <c r="L20" s="1826"/>
      <c r="M20" s="1826"/>
      <c r="N20" s="1826"/>
      <c r="O20" s="1826"/>
      <c r="P20" s="1826"/>
      <c r="Q20" s="1826"/>
      <c r="R20" s="1826"/>
      <c r="S20" s="1822"/>
    </row>
    <row r="21" spans="1:38" s="843" customFormat="1" ht="29.25" customHeight="1">
      <c r="B21" s="1823" t="s">
        <v>1891</v>
      </c>
      <c r="C21" s="1828" t="s">
        <v>3785</v>
      </c>
      <c r="D21" s="1828"/>
      <c r="E21" s="1828"/>
      <c r="F21" s="1828"/>
      <c r="G21" s="1828"/>
      <c r="H21" s="1828"/>
      <c r="I21" s="1828"/>
      <c r="J21" s="1828"/>
      <c r="K21" s="1828"/>
      <c r="L21" s="1828"/>
      <c r="M21" s="1828"/>
      <c r="N21" s="1828"/>
      <c r="O21" s="1828"/>
      <c r="P21" s="1828"/>
      <c r="Q21" s="1828"/>
      <c r="R21" s="1828"/>
      <c r="S21" s="1822"/>
    </row>
    <row r="22" spans="1:38" ht="18.75" customHeight="1">
      <c r="B22" s="1823" t="s">
        <v>1562</v>
      </c>
      <c r="C22" s="1826" t="s">
        <v>3771</v>
      </c>
      <c r="D22" s="1826"/>
      <c r="E22" s="1826"/>
      <c r="F22" s="1826"/>
      <c r="G22" s="1826"/>
      <c r="H22" s="1826"/>
      <c r="I22" s="1826"/>
      <c r="J22" s="1826"/>
      <c r="K22" s="1826"/>
      <c r="L22" s="1826"/>
      <c r="M22" s="1826"/>
      <c r="N22" s="1826"/>
      <c r="O22" s="1826"/>
      <c r="P22" s="1826"/>
      <c r="Q22" s="1826"/>
      <c r="R22" s="1826"/>
      <c r="S22" s="1822"/>
      <c r="T22" s="978"/>
      <c r="U22" s="978"/>
      <c r="V22" s="978"/>
      <c r="W22" s="978"/>
      <c r="X22" s="978"/>
      <c r="Y22" s="978"/>
      <c r="Z22" s="978"/>
      <c r="AA22" s="978"/>
      <c r="AB22" s="978"/>
      <c r="AC22" s="978"/>
      <c r="AD22" s="978"/>
      <c r="AE22" s="978"/>
      <c r="AF22" s="978"/>
      <c r="AG22" s="978"/>
      <c r="AH22" s="978"/>
      <c r="AI22" s="978"/>
      <c r="AJ22" s="978"/>
      <c r="AK22" s="978"/>
      <c r="AL22" s="978"/>
    </row>
    <row r="23" spans="1:38" ht="12" customHeight="1">
      <c r="B23" s="982"/>
      <c r="E23" s="983" t="s">
        <v>3114</v>
      </c>
    </row>
    <row r="24" spans="1:38" ht="12" customHeight="1">
      <c r="A24" s="982"/>
      <c r="E24" s="983" t="s">
        <v>3772</v>
      </c>
    </row>
    <row r="25" spans="1:38" ht="12" customHeight="1">
      <c r="A25" s="982"/>
      <c r="E25" s="983" t="s">
        <v>3770</v>
      </c>
    </row>
    <row r="26" spans="1:38" ht="12" customHeight="1">
      <c r="A26" s="982"/>
      <c r="E26" s="983" t="s">
        <v>3769</v>
      </c>
    </row>
    <row r="27" spans="1:38" ht="12" customHeight="1">
      <c r="A27" s="982"/>
      <c r="E27" s="983" t="s">
        <v>3231</v>
      </c>
    </row>
    <row r="28" spans="1:38" ht="6.75" customHeight="1"/>
    <row r="29" spans="1:38" ht="76.5" customHeight="1">
      <c r="A29" s="1828" t="s">
        <v>3232</v>
      </c>
      <c r="B29" s="1828"/>
      <c r="C29" s="1828"/>
      <c r="D29" s="1828"/>
      <c r="E29" s="1828"/>
      <c r="F29" s="1828"/>
      <c r="G29" s="1828"/>
      <c r="H29" s="1828"/>
      <c r="I29" s="1828"/>
      <c r="J29" s="1828"/>
      <c r="K29" s="1828"/>
      <c r="L29" s="1828"/>
      <c r="M29" s="1828"/>
      <c r="N29" s="1828"/>
      <c r="O29" s="1828"/>
      <c r="P29" s="1828"/>
      <c r="Q29" s="1828"/>
      <c r="R29" s="1828"/>
      <c r="S29" s="1828"/>
      <c r="T29" s="978"/>
      <c r="U29" s="978"/>
      <c r="V29" s="978"/>
      <c r="W29" s="978"/>
      <c r="X29" s="978"/>
      <c r="Y29" s="978"/>
      <c r="Z29" s="978"/>
      <c r="AA29" s="978"/>
      <c r="AB29" s="978"/>
      <c r="AC29" s="978"/>
      <c r="AD29" s="978"/>
      <c r="AE29" s="978"/>
      <c r="AF29" s="978"/>
      <c r="AG29" s="978"/>
      <c r="AH29" s="978"/>
      <c r="AI29" s="978"/>
      <c r="AJ29" s="978"/>
      <c r="AK29" s="978"/>
      <c r="AL29" s="978"/>
    </row>
    <row r="30" spans="1:38" ht="12" customHeight="1">
      <c r="A30" s="981"/>
      <c r="B30" s="981"/>
      <c r="C30" s="981"/>
      <c r="D30" s="981"/>
      <c r="E30" s="981"/>
      <c r="F30" s="981"/>
      <c r="G30" s="981"/>
      <c r="H30" s="981"/>
      <c r="I30" s="981"/>
      <c r="J30" s="981"/>
      <c r="K30" s="981"/>
      <c r="L30" s="981"/>
      <c r="M30" s="981"/>
      <c r="N30" s="981"/>
      <c r="O30" s="981"/>
      <c r="P30" s="981"/>
      <c r="Q30" s="981"/>
      <c r="R30" s="981"/>
      <c r="S30" s="981"/>
      <c r="T30" s="978"/>
      <c r="U30" s="978"/>
      <c r="V30" s="978"/>
      <c r="W30" s="978"/>
      <c r="X30" s="978"/>
      <c r="Y30" s="978"/>
      <c r="Z30" s="978"/>
      <c r="AA30" s="978"/>
      <c r="AB30" s="978"/>
      <c r="AC30" s="978"/>
      <c r="AD30" s="978"/>
      <c r="AE30" s="978"/>
      <c r="AF30" s="978"/>
      <c r="AG30" s="978"/>
      <c r="AH30" s="978"/>
      <c r="AI30" s="978"/>
      <c r="AJ30" s="978"/>
      <c r="AK30" s="978"/>
      <c r="AL30" s="978"/>
    </row>
    <row r="31" spans="1:38" ht="39.75" customHeight="1">
      <c r="A31" s="1831" t="s">
        <v>3773</v>
      </c>
      <c r="B31" s="1831"/>
      <c r="C31" s="1831"/>
      <c r="D31" s="1831"/>
      <c r="E31" s="1831"/>
      <c r="F31" s="1831"/>
      <c r="G31" s="1831"/>
      <c r="H31" s="1831"/>
      <c r="I31" s="1831"/>
      <c r="J31" s="1831"/>
      <c r="K31" s="1831"/>
      <c r="L31" s="1831"/>
      <c r="M31" s="1831"/>
      <c r="N31" s="1831"/>
      <c r="O31" s="1831"/>
      <c r="P31" s="1831"/>
      <c r="Q31" s="1831"/>
      <c r="R31" s="1831"/>
      <c r="S31" s="1831"/>
    </row>
    <row r="32" spans="1:38" ht="79.5" customHeight="1">
      <c r="A32" s="1828" t="s">
        <v>3774</v>
      </c>
      <c r="B32" s="1828"/>
      <c r="C32" s="1828"/>
      <c r="D32" s="1828"/>
      <c r="E32" s="1828"/>
      <c r="F32" s="1828"/>
      <c r="G32" s="1828"/>
      <c r="H32" s="1828"/>
      <c r="I32" s="1828"/>
      <c r="J32" s="1828"/>
      <c r="K32" s="1828"/>
      <c r="L32" s="1828"/>
      <c r="M32" s="1828"/>
      <c r="N32" s="1828"/>
      <c r="O32" s="1828"/>
      <c r="P32" s="1828"/>
      <c r="Q32" s="1828"/>
      <c r="R32" s="1828"/>
      <c r="S32" s="1828"/>
      <c r="T32" s="978"/>
      <c r="U32" s="978"/>
      <c r="V32" s="978"/>
      <c r="W32" s="978"/>
      <c r="X32" s="978"/>
      <c r="Y32" s="978"/>
      <c r="Z32" s="978"/>
      <c r="AA32" s="978"/>
      <c r="AB32" s="978"/>
      <c r="AC32" s="978"/>
      <c r="AD32" s="978"/>
      <c r="AE32" s="978"/>
      <c r="AF32" s="978"/>
      <c r="AG32" s="978"/>
      <c r="AH32" s="978"/>
      <c r="AI32" s="978"/>
      <c r="AJ32" s="978"/>
      <c r="AK32" s="978"/>
      <c r="AL32" s="978"/>
    </row>
    <row r="33" spans="1:38" ht="6.75" customHeight="1"/>
    <row r="34" spans="1:38" ht="30" customHeight="1">
      <c r="A34" s="1828" t="s">
        <v>3776</v>
      </c>
      <c r="B34" s="1828"/>
      <c r="C34" s="1828"/>
      <c r="D34" s="1828"/>
      <c r="E34" s="1828"/>
      <c r="F34" s="1828"/>
      <c r="G34" s="1828"/>
      <c r="H34" s="1828"/>
      <c r="I34" s="1828"/>
      <c r="J34" s="1828"/>
      <c r="K34" s="1828"/>
      <c r="L34" s="1828"/>
      <c r="M34" s="1828"/>
      <c r="N34" s="1828"/>
      <c r="O34" s="1828"/>
      <c r="P34" s="1828"/>
      <c r="Q34" s="1828"/>
      <c r="R34" s="1828"/>
      <c r="S34" s="1828"/>
    </row>
    <row r="35" spans="1:38" s="927" customFormat="1" ht="15" customHeight="1">
      <c r="A35" s="1824" t="s">
        <v>3775</v>
      </c>
      <c r="B35" s="1825"/>
      <c r="C35" s="1825"/>
      <c r="D35" s="1825"/>
      <c r="E35" s="1825"/>
      <c r="F35" s="1825"/>
      <c r="G35" s="1825"/>
      <c r="H35" s="1825"/>
      <c r="I35" s="1825"/>
      <c r="J35" s="1825"/>
      <c r="K35" s="1825"/>
      <c r="L35" s="1825"/>
      <c r="M35" s="1825"/>
      <c r="N35" s="1825"/>
      <c r="O35" s="1825"/>
      <c r="P35" s="1825"/>
      <c r="Q35" s="1825"/>
      <c r="R35" s="1825"/>
      <c r="S35" s="1825"/>
    </row>
    <row r="36" spans="1:38" ht="12.75" customHeight="1">
      <c r="A36" s="1830" t="s">
        <v>3777</v>
      </c>
      <c r="B36" s="1830"/>
      <c r="C36" s="1830"/>
      <c r="D36" s="1830"/>
      <c r="E36" s="1830"/>
      <c r="F36" s="1830"/>
      <c r="G36" s="1830"/>
      <c r="H36" s="1830"/>
      <c r="I36" s="1830"/>
      <c r="J36" s="1830"/>
      <c r="K36" s="1830"/>
      <c r="L36" s="1830"/>
      <c r="M36" s="1830"/>
      <c r="N36" s="1830"/>
      <c r="O36" s="1830"/>
      <c r="P36" s="1830"/>
      <c r="Q36" s="1830"/>
      <c r="R36" s="1830"/>
    </row>
    <row r="37" spans="1:38" ht="12" customHeight="1">
      <c r="A37" s="1818"/>
      <c r="B37" s="1818"/>
      <c r="C37" s="1818"/>
      <c r="D37" s="1818"/>
      <c r="E37" s="1818"/>
      <c r="F37" s="1818"/>
      <c r="G37" s="1818"/>
      <c r="H37" s="1818"/>
      <c r="I37" s="1818"/>
      <c r="J37" s="1818"/>
      <c r="K37" s="1818"/>
      <c r="L37" s="1818"/>
      <c r="M37" s="1818"/>
      <c r="N37" s="1818"/>
      <c r="O37" s="1818"/>
      <c r="P37" s="1818"/>
      <c r="Q37" s="1818"/>
      <c r="R37" s="1818"/>
      <c r="S37" s="1818"/>
      <c r="T37" s="978"/>
      <c r="U37" s="978"/>
      <c r="V37" s="978"/>
      <c r="W37" s="978"/>
      <c r="X37" s="978"/>
      <c r="Y37" s="978"/>
      <c r="Z37" s="978"/>
      <c r="AA37" s="978"/>
      <c r="AB37" s="978"/>
      <c r="AC37" s="978"/>
      <c r="AD37" s="978"/>
      <c r="AE37" s="978"/>
      <c r="AF37" s="978"/>
      <c r="AG37" s="978"/>
      <c r="AH37" s="978"/>
      <c r="AI37" s="978"/>
      <c r="AJ37" s="978"/>
      <c r="AK37" s="978"/>
      <c r="AL37" s="978"/>
    </row>
    <row r="38" spans="1:38" ht="33" customHeight="1">
      <c r="A38" s="1828" t="s">
        <v>3779</v>
      </c>
      <c r="B38" s="1828"/>
      <c r="C38" s="1828"/>
      <c r="D38" s="1828"/>
      <c r="E38" s="1828"/>
      <c r="F38" s="1828"/>
      <c r="G38" s="1828"/>
      <c r="H38" s="1828"/>
      <c r="I38" s="1828"/>
      <c r="J38" s="1828"/>
      <c r="K38" s="1828"/>
      <c r="L38" s="1828"/>
      <c r="M38" s="1828"/>
      <c r="N38" s="1828"/>
      <c r="O38" s="1828"/>
      <c r="P38" s="1828"/>
      <c r="Q38" s="1828"/>
      <c r="R38" s="1828"/>
      <c r="S38" s="1828"/>
      <c r="T38" s="978"/>
      <c r="U38" s="978"/>
      <c r="V38" s="978"/>
      <c r="W38" s="978"/>
      <c r="X38" s="978"/>
      <c r="Y38" s="978"/>
      <c r="Z38" s="978"/>
      <c r="AA38" s="978"/>
      <c r="AB38" s="978"/>
      <c r="AC38" s="978"/>
      <c r="AD38" s="978"/>
      <c r="AE38" s="978"/>
      <c r="AF38" s="978"/>
      <c r="AG38" s="978"/>
      <c r="AH38" s="978"/>
      <c r="AI38" s="978"/>
      <c r="AJ38" s="978"/>
      <c r="AK38" s="978"/>
      <c r="AL38" s="978"/>
    </row>
    <row r="39" spans="1:38" ht="33" customHeight="1">
      <c r="A39" s="1828" t="s">
        <v>3781</v>
      </c>
      <c r="B39" s="1828"/>
      <c r="C39" s="1828"/>
      <c r="D39" s="1828"/>
      <c r="E39" s="1828"/>
      <c r="F39" s="1828"/>
      <c r="G39" s="1828"/>
      <c r="H39" s="1828"/>
      <c r="I39" s="1828"/>
      <c r="J39" s="1828"/>
      <c r="K39" s="1828"/>
      <c r="L39" s="1828"/>
      <c r="M39" s="1828"/>
      <c r="N39" s="1828"/>
      <c r="O39" s="1828"/>
      <c r="P39" s="1828"/>
      <c r="Q39" s="1828"/>
      <c r="R39" s="1828"/>
      <c r="S39" s="1828"/>
    </row>
    <row r="40" spans="1:38" s="927" customFormat="1" ht="14.25">
      <c r="A40" s="1824" t="s">
        <v>3782</v>
      </c>
      <c r="B40" s="1825"/>
      <c r="C40" s="1825"/>
      <c r="D40" s="1825"/>
      <c r="E40" s="1825"/>
      <c r="F40" s="1825"/>
      <c r="G40" s="1825"/>
      <c r="H40" s="1825"/>
      <c r="I40" s="1825"/>
      <c r="J40" s="1825"/>
      <c r="K40" s="1825"/>
      <c r="L40" s="1825"/>
      <c r="M40" s="1825"/>
      <c r="N40" s="1825"/>
      <c r="O40" s="1825"/>
      <c r="P40" s="1825"/>
      <c r="Q40" s="1825"/>
      <c r="R40" s="1825"/>
    </row>
  </sheetData>
  <sheetProtection algorithmName="SHA-512" hashValue="pTyMs/tgMhkZCB8GUJOEwPPSQJ6x8AiV1gSkQmKYUBw1tEKCN8Fhr2iiDdFJEuG0RbhpFHp5gGjgFQ3d/vT9ow==" saltValue="iE1UhAiqSfkmOWi7CVl4SA==" spinCount="100000" sheet="1" objects="1" scenarios="1" formatRows="0"/>
  <mergeCells count="30">
    <mergeCell ref="C21:R21"/>
    <mergeCell ref="C22:R22"/>
    <mergeCell ref="A39:S39"/>
    <mergeCell ref="A1:S1"/>
    <mergeCell ref="A3:S3"/>
    <mergeCell ref="B5:S5"/>
    <mergeCell ref="B8:S8"/>
    <mergeCell ref="A2:S2"/>
    <mergeCell ref="C15:R15"/>
    <mergeCell ref="C16:R16"/>
    <mergeCell ref="C17:R17"/>
    <mergeCell ref="C18:R18"/>
    <mergeCell ref="C20:R20"/>
    <mergeCell ref="B7:S7"/>
    <mergeCell ref="A40:R40"/>
    <mergeCell ref="B11:S11"/>
    <mergeCell ref="B6:R6"/>
    <mergeCell ref="B10:S10"/>
    <mergeCell ref="B9:S9"/>
    <mergeCell ref="B19:S19"/>
    <mergeCell ref="C13:R13"/>
    <mergeCell ref="C12:R12"/>
    <mergeCell ref="A32:S32"/>
    <mergeCell ref="A34:S34"/>
    <mergeCell ref="A38:S38"/>
    <mergeCell ref="A29:S29"/>
    <mergeCell ref="A35:S35"/>
    <mergeCell ref="A36:R36"/>
    <mergeCell ref="A31:S31"/>
    <mergeCell ref="C14:R14"/>
  </mergeCells>
  <hyperlinks>
    <hyperlink ref="B6" r:id="rId1" display="OHFFinalAllocationAppSubmit@gadca.onmicrosoft.com." xr:uid="{8F2AAB68-665C-46DC-BF32-1FFA416E557F}"/>
    <hyperlink ref="B9" r:id="rId2" xr:uid="{9A7E149F-8AA7-4042-B11D-913DB0B2195C}"/>
    <hyperlink ref="A35" r:id="rId3" xr:uid="{A06E9298-CF86-482C-816C-D8C408DC3079}"/>
    <hyperlink ref="B6:R6" r:id="rId4" display="OHFFinalAllocationAppSubmit@gadca.onmicrosoft.com" xr:uid="{F27151E0-2746-4032-A626-CEB745ACEC64}"/>
    <hyperlink ref="A40" r:id="rId5" xr:uid="{0BD9651D-F39A-45CC-9984-59A41E60F343}"/>
  </hyperlinks>
  <printOptions horizontalCentered="1"/>
  <pageMargins left="0.75" right="0.75" top="1" bottom="0.5" header="0.3" footer="0.3"/>
  <pageSetup orientation="portrait" r:id="rId6"/>
  <headerFooter alignWithMargins="0">
    <oddHeader>&amp;C&amp;12Georgia Department of Community Affairs&amp;10
&amp;11Office of Housing Finance&amp;10
Low Income Housing Tax Credit Program</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SH292"/>
  <sheetViews>
    <sheetView showGridLines="0" zoomScaleNormal="100" workbookViewId="0">
      <selection activeCell="G5" sqref="G5"/>
    </sheetView>
  </sheetViews>
  <sheetFormatPr defaultColWidth="9.140625" defaultRowHeight="12.75"/>
  <cols>
    <col min="1" max="1" width="2.85546875" style="886" customWidth="1"/>
    <col min="2" max="2" width="10" style="886" customWidth="1"/>
    <col min="3" max="3" width="7.5703125" style="886" customWidth="1"/>
    <col min="4" max="4" width="6.42578125" style="886" customWidth="1"/>
    <col min="5" max="5" width="6.85546875" style="886" customWidth="1"/>
    <col min="6" max="6" width="8.140625" style="886" customWidth="1"/>
    <col min="7" max="8" width="9.85546875" style="886" customWidth="1"/>
    <col min="9" max="9" width="11.85546875" style="886" customWidth="1"/>
    <col min="10" max="10" width="10.140625" style="886" customWidth="1"/>
    <col min="11" max="11" width="9.85546875" style="886" customWidth="1"/>
    <col min="12" max="13" width="11" style="886" customWidth="1"/>
    <col min="14" max="14" width="13" style="886" customWidth="1"/>
    <col min="15" max="15" width="15.42578125" style="886" customWidth="1"/>
    <col min="16" max="16" width="12.42578125" style="1061" customWidth="1"/>
    <col min="17" max="17" width="9.85546875" style="1061" hidden="1" customWidth="1"/>
    <col min="18" max="20" width="7.85546875" style="1061" hidden="1" customWidth="1"/>
    <col min="21" max="21" width="59.140625" style="1061" hidden="1" customWidth="1"/>
    <col min="22" max="22" width="47.85546875" style="1061" hidden="1" customWidth="1"/>
    <col min="23" max="136" width="9.140625" style="1064" customWidth="1"/>
    <col min="137" max="137" width="12.5703125" style="1064" customWidth="1"/>
    <col min="138" max="138" width="8.140625" style="1064" customWidth="1"/>
    <col min="139" max="142" width="7.140625" style="1064" customWidth="1"/>
    <col min="143" max="143" width="8.140625" style="1064" customWidth="1"/>
    <col min="144" max="147" width="7.140625" style="1064" customWidth="1"/>
    <col min="148" max="157" width="9.140625" style="1064" customWidth="1"/>
    <col min="158" max="158" width="8.140625" style="1064" customWidth="1"/>
    <col min="159" max="162" width="7.140625" style="1064" customWidth="1"/>
    <col min="163" max="167" width="9.140625" style="1064" customWidth="1"/>
    <col min="168" max="168" width="8.140625" style="1064" customWidth="1"/>
    <col min="169" max="172" width="7.140625" style="1064" customWidth="1"/>
    <col min="173" max="252" width="9.140625" style="1064" customWidth="1"/>
    <col min="253" max="257" width="11.140625" style="1064" customWidth="1"/>
    <col min="258" max="272" width="9.140625" style="1064" customWidth="1"/>
    <col min="273" max="273" width="10.140625" style="1064" customWidth="1"/>
    <col min="274" max="277" width="10" style="1064" customWidth="1"/>
    <col min="278" max="281" width="9.140625" style="1064" customWidth="1"/>
    <col min="282" max="282" width="9.140625" style="1081" customWidth="1"/>
    <col min="283" max="286" width="9.140625" style="1064" customWidth="1"/>
    <col min="287" max="297" width="9.140625" style="1081" customWidth="1"/>
    <col min="298" max="307" width="11.5703125" style="1081" customWidth="1"/>
    <col min="308" max="318" width="9.140625" style="1081" customWidth="1"/>
    <col min="319" max="324" width="9.140625" style="1064" customWidth="1"/>
    <col min="325" max="325" width="9.140625" style="1155" customWidth="1"/>
    <col min="326" max="340" width="9.140625" style="1064" customWidth="1"/>
    <col min="341" max="342" width="9.140625" style="1155" customWidth="1"/>
    <col min="343" max="349" width="10.140625" style="1064" customWidth="1"/>
    <col min="350" max="352" width="9.140625" style="1064"/>
    <col min="353" max="353" width="10.42578125" style="1064" customWidth="1"/>
    <col min="354" max="357" width="10.140625" style="1064" customWidth="1"/>
    <col min="358" max="393" width="9.140625" style="1064"/>
    <col min="394" max="492" width="9.140625" style="886"/>
    <col min="493" max="16384" width="9.140625" style="1061"/>
  </cols>
  <sheetData>
    <row r="1" spans="1:492" s="1057" customFormat="1" ht="14.1" customHeight="1">
      <c r="A1" s="2400" t="str">
        <f>CONCATENATE("PART SIX - PROJECTED REVENUES &amp; EXPENSES","  -  ",'Part I-Project Information'!$O$4," ",'Part I-Project Information'!$F$24,", ",'Part I-Project Information'!F27,", ",'Part I-Project Information'!J28," County")</f>
        <v>PART SIX - PROJECTED REVENUES &amp; EXPENSES  -  20##-### SB OHF Test Villas, Peachtree Corners, Gwinnett County</v>
      </c>
      <c r="B1" s="2401"/>
      <c r="C1" s="2401"/>
      <c r="D1" s="2401"/>
      <c r="E1" s="2401"/>
      <c r="F1" s="2401"/>
      <c r="G1" s="2401"/>
      <c r="H1" s="2401"/>
      <c r="I1" s="2401"/>
      <c r="J1" s="2401"/>
      <c r="K1" s="2401"/>
      <c r="L1" s="2401"/>
      <c r="M1" s="2401"/>
      <c r="N1" s="2401"/>
      <c r="O1" s="2401"/>
      <c r="P1" s="2402"/>
      <c r="U1" s="2403" t="str">
        <f>A1</f>
        <v>PART SIX - PROJECTED REVENUES &amp; EXPENSES  -  20##-### SB OHF Test Villas, Peachtree Corners, Gwinnett County</v>
      </c>
      <c r="V1" s="2403"/>
      <c r="W1" s="1058"/>
      <c r="X1" s="1058"/>
      <c r="Y1" s="1058"/>
      <c r="Z1" s="1058"/>
      <c r="AA1" s="1058"/>
      <c r="AB1" s="1058"/>
      <c r="AC1" s="1058"/>
      <c r="AD1" s="1058"/>
      <c r="AE1" s="1058"/>
      <c r="AF1" s="1058"/>
      <c r="AG1" s="1058"/>
      <c r="AH1" s="1058"/>
      <c r="AI1" s="1058"/>
      <c r="AJ1" s="1058"/>
      <c r="AK1" s="1058"/>
      <c r="AL1" s="1058"/>
      <c r="AM1" s="1058"/>
      <c r="AN1" s="1058"/>
      <c r="AO1" s="1058"/>
      <c r="AP1" s="1058"/>
      <c r="AQ1" s="1058"/>
      <c r="AR1" s="1058"/>
      <c r="AS1" s="1058"/>
      <c r="AT1" s="1058"/>
      <c r="AU1" s="1058"/>
      <c r="AV1" s="1058"/>
      <c r="AW1" s="1058"/>
      <c r="AX1" s="1058"/>
      <c r="AY1" s="1058"/>
      <c r="AZ1" s="1058"/>
      <c r="BA1" s="1058"/>
      <c r="BB1" s="1058"/>
      <c r="BC1" s="1058"/>
      <c r="BD1" s="1058"/>
      <c r="BE1" s="1058"/>
      <c r="BF1" s="1058"/>
      <c r="BG1" s="1058"/>
      <c r="BH1" s="1058"/>
      <c r="BI1" s="1058"/>
      <c r="BJ1" s="1058"/>
      <c r="BK1" s="1058"/>
      <c r="BL1" s="1058"/>
      <c r="BM1" s="1058"/>
      <c r="BN1" s="1058"/>
      <c r="BO1" s="1058"/>
      <c r="BP1" s="1058"/>
      <c r="BQ1" s="1058"/>
      <c r="BR1" s="1058"/>
      <c r="BS1" s="1058"/>
      <c r="BT1" s="1058"/>
      <c r="BU1" s="1058"/>
      <c r="BV1" s="1058"/>
      <c r="BW1" s="1058"/>
      <c r="BX1" s="1058"/>
      <c r="BY1" s="1058"/>
      <c r="BZ1" s="1058"/>
      <c r="CA1" s="1058"/>
      <c r="CB1" s="1058"/>
      <c r="CC1" s="1058"/>
      <c r="CD1" s="1058"/>
      <c r="CE1" s="1058"/>
      <c r="CF1" s="1058"/>
      <c r="CG1" s="1058"/>
      <c r="CH1" s="1058"/>
      <c r="CI1" s="1058"/>
      <c r="CJ1" s="1058"/>
      <c r="CK1" s="1058"/>
      <c r="CL1" s="1058"/>
      <c r="CM1" s="1058"/>
      <c r="CN1" s="1058"/>
      <c r="CO1" s="1058"/>
      <c r="CP1" s="1058"/>
      <c r="CQ1" s="1058"/>
      <c r="CR1" s="1058"/>
      <c r="CS1" s="1058"/>
      <c r="CT1" s="1058"/>
      <c r="CU1" s="1058"/>
      <c r="CV1" s="1058"/>
      <c r="CW1" s="1058"/>
      <c r="CX1" s="1058"/>
      <c r="CY1" s="1058"/>
      <c r="CZ1" s="1058"/>
      <c r="DA1" s="1058"/>
      <c r="DB1" s="1058"/>
      <c r="DC1" s="1058"/>
      <c r="DD1" s="1058"/>
      <c r="DE1" s="1058"/>
      <c r="DF1" s="1058"/>
      <c r="DG1" s="1058"/>
      <c r="DH1" s="1058"/>
      <c r="DI1" s="1058"/>
      <c r="DJ1" s="1058"/>
      <c r="DK1" s="1058"/>
      <c r="DL1" s="1058"/>
      <c r="DM1" s="1058"/>
      <c r="DN1" s="1058"/>
      <c r="DO1" s="1058"/>
      <c r="DP1" s="1058"/>
      <c r="DQ1" s="1058"/>
      <c r="DR1" s="1058"/>
      <c r="DS1" s="1058"/>
      <c r="DT1" s="1058"/>
      <c r="DU1" s="1058"/>
      <c r="DV1" s="1058"/>
      <c r="DW1" s="1058"/>
      <c r="DX1" s="1058"/>
      <c r="DY1" s="1058"/>
      <c r="DZ1" s="1058"/>
      <c r="EA1" s="1058"/>
      <c r="EB1" s="1058"/>
      <c r="EC1" s="1058"/>
      <c r="ED1" s="1058"/>
      <c r="EE1" s="1058"/>
      <c r="EF1" s="1058"/>
      <c r="EG1" s="1058"/>
      <c r="EH1" s="1058"/>
      <c r="EI1" s="1058"/>
      <c r="EJ1" s="1058"/>
      <c r="EK1" s="1058"/>
      <c r="EL1" s="1058"/>
      <c r="EM1" s="1058"/>
      <c r="EN1" s="1058"/>
      <c r="EO1" s="1058"/>
      <c r="EP1" s="1058"/>
      <c r="EQ1" s="1058"/>
      <c r="ER1" s="1058"/>
      <c r="ES1" s="1058"/>
      <c r="ET1" s="1058"/>
      <c r="EU1" s="1058"/>
      <c r="EV1" s="1058"/>
      <c r="EW1" s="1058"/>
      <c r="EX1" s="1058"/>
      <c r="EY1" s="1058"/>
      <c r="EZ1" s="1058"/>
      <c r="FA1" s="1058"/>
      <c r="FB1" s="1058"/>
      <c r="FC1" s="1058"/>
      <c r="FD1" s="1058"/>
      <c r="FE1" s="1058"/>
      <c r="FF1" s="1058"/>
      <c r="FG1" s="1058"/>
      <c r="FH1" s="1058"/>
      <c r="FI1" s="1058"/>
      <c r="FJ1" s="1058"/>
      <c r="FK1" s="1058"/>
      <c r="FL1" s="1058"/>
      <c r="FM1" s="1058"/>
      <c r="FN1" s="1058"/>
      <c r="FO1" s="1058"/>
      <c r="FP1" s="1058"/>
      <c r="FQ1" s="1058"/>
      <c r="FR1" s="1058"/>
      <c r="FS1" s="1058"/>
      <c r="FT1" s="1058"/>
      <c r="FU1" s="1058"/>
      <c r="FV1" s="1058"/>
      <c r="FW1" s="1058"/>
      <c r="FX1" s="1058"/>
      <c r="FY1" s="1058"/>
      <c r="FZ1" s="1058"/>
      <c r="GA1" s="1058"/>
      <c r="GB1" s="1058"/>
      <c r="GC1" s="1058"/>
      <c r="GD1" s="1058"/>
      <c r="GE1" s="1058"/>
      <c r="GF1" s="1058"/>
      <c r="GG1" s="1058"/>
      <c r="GH1" s="1058"/>
      <c r="GI1" s="1058"/>
      <c r="GJ1" s="1058"/>
      <c r="GK1" s="1058"/>
      <c r="GL1" s="1058"/>
      <c r="GM1" s="1058"/>
      <c r="GN1" s="1058"/>
      <c r="GO1" s="1058"/>
      <c r="GP1" s="1058"/>
      <c r="GQ1" s="1058"/>
      <c r="GR1" s="1058"/>
      <c r="GS1" s="1058"/>
      <c r="GT1" s="1058"/>
      <c r="GU1" s="1058"/>
      <c r="GV1" s="1058"/>
      <c r="GW1" s="1058"/>
      <c r="GX1" s="1058"/>
      <c r="GY1" s="1058"/>
      <c r="GZ1" s="1058"/>
      <c r="HA1" s="1058"/>
      <c r="HB1" s="1058"/>
      <c r="HC1" s="1058"/>
      <c r="HD1" s="1058"/>
      <c r="HE1" s="1058"/>
      <c r="HF1" s="1058"/>
      <c r="HG1" s="1058"/>
      <c r="HH1" s="1058"/>
      <c r="HI1" s="1058"/>
      <c r="HJ1" s="1058"/>
      <c r="HK1" s="1058"/>
      <c r="HL1" s="1058"/>
      <c r="HM1" s="1058"/>
      <c r="HN1" s="1058"/>
      <c r="HO1" s="1058"/>
      <c r="HP1" s="1058"/>
      <c r="HQ1" s="1058"/>
      <c r="HR1" s="1058"/>
      <c r="HS1" s="1058"/>
      <c r="HT1" s="1058"/>
      <c r="HU1" s="1058"/>
      <c r="HV1" s="1058"/>
      <c r="HW1" s="1059"/>
      <c r="HX1" s="1059"/>
      <c r="HY1" s="1059"/>
      <c r="HZ1" s="1059"/>
      <c r="IA1" s="1059"/>
      <c r="IB1" s="1059"/>
      <c r="IC1" s="1059"/>
      <c r="ID1" s="1059"/>
      <c r="IE1" s="1059"/>
      <c r="IF1" s="1059"/>
      <c r="IG1" s="1059"/>
      <c r="IH1" s="1059"/>
      <c r="II1" s="1059"/>
      <c r="IJ1" s="1059"/>
      <c r="IK1" s="1059"/>
      <c r="IL1" s="1059"/>
      <c r="IM1" s="1059"/>
      <c r="IN1" s="1059"/>
      <c r="IO1" s="1059"/>
      <c r="IP1" s="1059"/>
      <c r="IQ1" s="1059"/>
      <c r="IR1" s="1059"/>
      <c r="IS1" s="1059"/>
      <c r="IT1" s="1059"/>
      <c r="IU1" s="1059"/>
      <c r="IV1" s="1059"/>
      <c r="IW1" s="1059"/>
      <c r="IX1" s="1059"/>
      <c r="IY1" s="1059"/>
      <c r="IZ1" s="1059"/>
      <c r="JA1" s="1059"/>
      <c r="JB1" s="1059"/>
      <c r="JC1" s="1059"/>
      <c r="JD1" s="1059"/>
      <c r="JE1" s="1059"/>
      <c r="JF1" s="1059"/>
      <c r="JG1" s="1059"/>
      <c r="JH1" s="1059"/>
      <c r="JI1" s="1059"/>
      <c r="JJ1" s="1059"/>
      <c r="JK1" s="1059"/>
      <c r="JL1" s="1059"/>
      <c r="JM1" s="1059"/>
      <c r="JN1" s="1059"/>
      <c r="JO1" s="1059"/>
      <c r="JP1" s="1059"/>
      <c r="JQ1" s="1059"/>
      <c r="JR1" s="1059"/>
      <c r="JS1" s="1059"/>
      <c r="JT1" s="1059"/>
      <c r="JU1" s="1059"/>
      <c r="JV1" s="1059"/>
      <c r="JW1" s="1059"/>
      <c r="JX1" s="1059"/>
      <c r="JY1" s="1059"/>
      <c r="JZ1" s="1059"/>
      <c r="KA1" s="1059"/>
      <c r="KB1" s="1059"/>
      <c r="KC1" s="1059"/>
      <c r="KD1" s="1059"/>
      <c r="KE1" s="1059"/>
      <c r="KF1" s="1059"/>
      <c r="KG1" s="1059"/>
      <c r="KH1" s="1059"/>
      <c r="KI1" s="1059"/>
      <c r="KJ1" s="1059"/>
      <c r="KK1" s="1059"/>
      <c r="KL1" s="1059"/>
      <c r="KM1" s="1059"/>
      <c r="KN1" s="1059"/>
      <c r="KO1" s="1058"/>
      <c r="KP1" s="1058"/>
      <c r="KQ1" s="1059"/>
      <c r="KR1" s="1059"/>
      <c r="KS1" s="1059"/>
      <c r="KT1" s="1058"/>
      <c r="KU1" s="1058"/>
      <c r="KV1" s="1058"/>
      <c r="KW1" s="1058"/>
      <c r="KX1" s="1060"/>
      <c r="KY1" s="1058"/>
      <c r="KZ1" s="1058"/>
      <c r="LA1" s="1058"/>
      <c r="LB1" s="1058"/>
      <c r="LC1" s="1060"/>
      <c r="LD1" s="1058"/>
      <c r="LE1" s="1058"/>
      <c r="LF1" s="1058"/>
      <c r="LG1" s="1058"/>
      <c r="LH1" s="1058"/>
      <c r="LI1" s="1058"/>
      <c r="LJ1" s="1058"/>
      <c r="LK1" s="1058"/>
      <c r="LL1" s="1058"/>
      <c r="LM1" s="1058"/>
      <c r="LN1" s="1058"/>
      <c r="LO1" s="1058"/>
      <c r="LP1" s="1058"/>
      <c r="LQ1" s="1058"/>
      <c r="LR1" s="1058"/>
      <c r="LS1" s="1058"/>
      <c r="LT1" s="1058"/>
      <c r="LU1" s="1058"/>
      <c r="LV1" s="1058"/>
      <c r="LW1" s="1058"/>
      <c r="LX1" s="1058"/>
      <c r="LY1" s="1058"/>
      <c r="LZ1" s="1058"/>
      <c r="MA1" s="1058"/>
      <c r="MB1" s="1058"/>
      <c r="MC1" s="1058"/>
      <c r="MD1" s="1058"/>
      <c r="ME1" s="1058"/>
      <c r="MF1" s="1058"/>
      <c r="MG1" s="1058"/>
      <c r="MH1" s="1058"/>
      <c r="MI1" s="1058"/>
      <c r="MJ1" s="1058"/>
      <c r="MK1" s="1058"/>
      <c r="ML1" s="1058"/>
      <c r="MM1" s="1058"/>
      <c r="MN1" s="1058"/>
      <c r="MO1" s="1058"/>
      <c r="MP1" s="1058"/>
      <c r="MQ1" s="1058"/>
      <c r="MR1" s="1058"/>
      <c r="MS1" s="1058"/>
      <c r="MT1" s="1058"/>
      <c r="MU1" s="1058"/>
      <c r="MV1" s="1058"/>
      <c r="MW1" s="1058"/>
      <c r="MX1" s="1058"/>
      <c r="MY1" s="1058"/>
      <c r="MZ1" s="1058"/>
      <c r="NA1" s="1058"/>
      <c r="NB1" s="1058"/>
      <c r="NC1" s="1058"/>
      <c r="ND1" s="1058"/>
      <c r="NE1" s="1058"/>
      <c r="NF1" s="1058"/>
      <c r="NG1" s="1058"/>
      <c r="NH1" s="1058"/>
      <c r="NI1" s="1058"/>
      <c r="NJ1" s="1058"/>
      <c r="NK1" s="1058"/>
      <c r="NL1" s="1058"/>
      <c r="NM1" s="1058"/>
      <c r="NN1" s="1058"/>
      <c r="NO1" s="1058"/>
      <c r="NP1" s="1058"/>
      <c r="NQ1" s="1058"/>
      <c r="NR1" s="1058"/>
      <c r="NS1" s="1058"/>
      <c r="NT1" s="1058"/>
      <c r="NU1" s="1058"/>
      <c r="NV1" s="1058"/>
      <c r="NW1" s="1058"/>
      <c r="NX1" s="1058"/>
      <c r="NY1" s="1058"/>
      <c r="NZ1" s="1058"/>
      <c r="OA1" s="1058"/>
      <c r="OB1" s="1058"/>
      <c r="OC1" s="1058"/>
      <c r="OD1" s="1018"/>
      <c r="OE1" s="1018"/>
      <c r="OF1" s="1018"/>
      <c r="OG1" s="1018"/>
      <c r="OH1" s="1018"/>
      <c r="OI1" s="1018"/>
      <c r="OJ1" s="1018"/>
      <c r="OK1" s="1018"/>
      <c r="OL1" s="1018"/>
      <c r="OM1" s="1018"/>
      <c r="ON1" s="1018"/>
      <c r="OO1" s="1018"/>
      <c r="OP1" s="1018"/>
      <c r="OQ1" s="1018"/>
      <c r="OR1" s="1018"/>
      <c r="OS1" s="1018"/>
      <c r="OT1" s="1018"/>
      <c r="OU1" s="1018"/>
      <c r="OV1" s="1018"/>
      <c r="OW1" s="1018"/>
      <c r="OX1" s="1018"/>
      <c r="OY1" s="1018"/>
      <c r="OZ1" s="1018"/>
      <c r="PA1" s="1018"/>
      <c r="PB1" s="1018"/>
      <c r="PC1" s="1018"/>
      <c r="PD1" s="1018"/>
      <c r="PE1" s="1018"/>
      <c r="PF1" s="1018"/>
      <c r="PG1" s="1018"/>
      <c r="PH1" s="1018"/>
      <c r="PI1" s="1018"/>
      <c r="PJ1" s="1018"/>
      <c r="PK1" s="1018"/>
      <c r="PL1" s="1018"/>
      <c r="PM1" s="1018"/>
      <c r="PN1" s="1018"/>
      <c r="PO1" s="1018"/>
      <c r="PP1" s="1018"/>
      <c r="PQ1" s="1018"/>
      <c r="PR1" s="1018"/>
      <c r="PS1" s="1018"/>
      <c r="PT1" s="1018"/>
      <c r="PU1" s="1018"/>
      <c r="PV1" s="1018"/>
      <c r="PW1" s="1018"/>
      <c r="PX1" s="1018"/>
      <c r="PY1" s="1018"/>
      <c r="PZ1" s="1018"/>
      <c r="QA1" s="1018"/>
      <c r="QB1" s="1018"/>
      <c r="QC1" s="1018"/>
      <c r="QD1" s="1018"/>
      <c r="QE1" s="1018"/>
      <c r="QF1" s="1018"/>
      <c r="QG1" s="1018"/>
      <c r="QH1" s="1018"/>
      <c r="QI1" s="1018"/>
      <c r="QJ1" s="1018"/>
      <c r="QK1" s="1018"/>
      <c r="QL1" s="1018"/>
      <c r="QM1" s="1018"/>
      <c r="QN1" s="1018"/>
      <c r="QO1" s="1018"/>
      <c r="QP1" s="1018"/>
      <c r="QQ1" s="1018"/>
      <c r="QR1" s="1018"/>
      <c r="QS1" s="1018"/>
      <c r="QT1" s="1018"/>
      <c r="QU1" s="1018"/>
      <c r="QV1" s="1018"/>
      <c r="QW1" s="1018"/>
      <c r="QX1" s="1018"/>
      <c r="QY1" s="1018"/>
      <c r="QZ1" s="1018"/>
      <c r="RA1" s="1018"/>
      <c r="RB1" s="1018"/>
      <c r="RC1" s="1018"/>
      <c r="RD1" s="1018"/>
      <c r="RE1" s="1018"/>
      <c r="RF1" s="1018"/>
      <c r="RG1" s="1018"/>
      <c r="RH1" s="1018"/>
      <c r="RI1" s="1018"/>
      <c r="RJ1" s="1018"/>
      <c r="RK1" s="1018"/>
      <c r="RL1" s="1018"/>
      <c r="RM1" s="1018"/>
      <c r="RN1" s="1018"/>
      <c r="RO1" s="1018"/>
      <c r="RP1" s="1018"/>
      <c r="RQ1" s="1018"/>
      <c r="RR1" s="1018"/>
      <c r="RS1" s="1018"/>
      <c r="RT1" s="1018"/>
      <c r="RU1" s="1018"/>
      <c r="RV1" s="1018"/>
      <c r="RW1" s="1018"/>
      <c r="RX1" s="1018"/>
    </row>
    <row r="2" spans="1:492" ht="6" customHeight="1">
      <c r="W2" s="1062"/>
      <c r="X2" s="1062"/>
      <c r="Y2" s="1062"/>
      <c r="Z2" s="1062"/>
      <c r="AA2" s="1062"/>
      <c r="AB2" s="1062"/>
      <c r="AC2" s="1062"/>
      <c r="AD2" s="1062"/>
      <c r="AE2" s="1062"/>
      <c r="AF2" s="1062"/>
      <c r="AG2" s="1062"/>
      <c r="AH2" s="1062"/>
      <c r="AI2" s="1062"/>
      <c r="AJ2" s="1062"/>
      <c r="AK2" s="1062"/>
      <c r="AL2" s="1062"/>
      <c r="AM2" s="1062"/>
      <c r="AN2" s="1062"/>
      <c r="AO2" s="1062"/>
      <c r="AP2" s="1062"/>
      <c r="AQ2" s="1062"/>
      <c r="AR2" s="1062"/>
      <c r="AS2" s="1062"/>
      <c r="AT2" s="1062"/>
      <c r="AU2" s="1062"/>
      <c r="AV2" s="1062"/>
      <c r="AW2" s="1062"/>
      <c r="AX2" s="1062"/>
      <c r="AY2" s="1062"/>
      <c r="AZ2" s="1062"/>
      <c r="BA2" s="1062"/>
      <c r="BB2" s="1062"/>
      <c r="BC2" s="1062"/>
      <c r="BD2" s="1062"/>
      <c r="BE2" s="1062"/>
      <c r="BF2" s="1062"/>
      <c r="BG2" s="1062"/>
      <c r="BH2" s="1062"/>
      <c r="BI2" s="1062"/>
      <c r="BJ2" s="1062"/>
      <c r="BK2" s="1062"/>
      <c r="BL2" s="1062"/>
      <c r="BM2" s="1062"/>
      <c r="BN2" s="1062"/>
      <c r="BO2" s="1062"/>
      <c r="BP2" s="1062"/>
      <c r="BQ2" s="1062"/>
      <c r="BR2" s="1062"/>
      <c r="BS2" s="1062"/>
      <c r="BT2" s="1062"/>
      <c r="BU2" s="1062"/>
      <c r="BV2" s="1062"/>
      <c r="BW2" s="1062"/>
      <c r="BX2" s="1062"/>
      <c r="BY2" s="1062"/>
      <c r="BZ2" s="1062"/>
      <c r="CA2" s="1062"/>
      <c r="CB2" s="1062"/>
      <c r="CC2" s="1062"/>
      <c r="CD2" s="1062"/>
      <c r="CE2" s="1062"/>
      <c r="CF2" s="1062"/>
      <c r="CG2" s="1062"/>
      <c r="CH2" s="1062"/>
      <c r="CI2" s="1062"/>
      <c r="CJ2" s="1062"/>
      <c r="CK2" s="1062"/>
      <c r="CL2" s="1062"/>
      <c r="CM2" s="1062"/>
      <c r="CN2" s="1062"/>
      <c r="CO2" s="1062"/>
      <c r="CP2" s="1062"/>
      <c r="CQ2" s="1062"/>
      <c r="CR2" s="1062"/>
      <c r="CS2" s="1062"/>
      <c r="CT2" s="1062"/>
      <c r="CU2" s="1062"/>
      <c r="CV2" s="1062"/>
      <c r="CW2" s="1062"/>
      <c r="CX2" s="1062"/>
      <c r="CY2" s="1062"/>
      <c r="CZ2" s="1062"/>
      <c r="DA2" s="1062"/>
      <c r="DB2" s="1062"/>
      <c r="DC2" s="1062"/>
      <c r="DD2" s="1062"/>
      <c r="DE2" s="1062"/>
      <c r="DF2" s="1062"/>
      <c r="DG2" s="1062"/>
      <c r="DH2" s="1062"/>
      <c r="DI2" s="1062"/>
      <c r="DJ2" s="1062"/>
      <c r="DK2" s="1062"/>
      <c r="DL2" s="1062"/>
      <c r="DM2" s="1062"/>
      <c r="DN2" s="1062"/>
      <c r="DO2" s="1062"/>
      <c r="DP2" s="1062"/>
      <c r="DQ2" s="1062"/>
      <c r="DR2" s="1062"/>
      <c r="DS2" s="1062"/>
      <c r="DT2" s="1062"/>
      <c r="DU2" s="1062"/>
      <c r="DV2" s="1062"/>
      <c r="DW2" s="1062"/>
      <c r="DX2" s="1062"/>
      <c r="DY2" s="1062"/>
      <c r="DZ2" s="1062"/>
      <c r="EA2" s="1062"/>
      <c r="EB2" s="1062"/>
      <c r="EC2" s="1062"/>
      <c r="ED2" s="1062"/>
      <c r="EE2" s="1062"/>
      <c r="EF2" s="1062"/>
      <c r="EG2" s="1062"/>
      <c r="EH2" s="1062"/>
      <c r="EI2" s="1062"/>
      <c r="EJ2" s="1062"/>
      <c r="EK2" s="1062"/>
      <c r="EL2" s="1062"/>
      <c r="EM2" s="1062"/>
      <c r="EN2" s="1062"/>
      <c r="EO2" s="1062"/>
      <c r="EP2" s="1062"/>
      <c r="EQ2" s="1062"/>
      <c r="ER2" s="1062"/>
      <c r="ES2" s="1062"/>
      <c r="ET2" s="1062"/>
      <c r="EU2" s="1062"/>
      <c r="EV2" s="1062"/>
      <c r="EW2" s="1062"/>
      <c r="EX2" s="1062"/>
      <c r="EY2" s="1062"/>
      <c r="EZ2" s="1062"/>
      <c r="FA2" s="1062"/>
      <c r="FB2" s="1062"/>
      <c r="FC2" s="1062"/>
      <c r="FD2" s="1062"/>
      <c r="FE2" s="1062"/>
      <c r="FF2" s="1062"/>
      <c r="FG2" s="1062"/>
      <c r="FH2" s="1062"/>
      <c r="FI2" s="1062"/>
      <c r="FJ2" s="1062"/>
      <c r="FK2" s="1062"/>
      <c r="FL2" s="1062"/>
      <c r="FM2" s="1062"/>
      <c r="FN2" s="1062"/>
      <c r="FO2" s="1062"/>
      <c r="FP2" s="1062"/>
      <c r="FQ2" s="1062"/>
      <c r="FR2" s="1062"/>
      <c r="FS2" s="1062"/>
      <c r="FT2" s="1062"/>
      <c r="FU2" s="1062"/>
      <c r="FV2" s="1062"/>
      <c r="FW2" s="1062"/>
      <c r="FX2" s="1062"/>
      <c r="FY2" s="1062"/>
      <c r="FZ2" s="1062"/>
      <c r="GA2" s="1062"/>
      <c r="GB2" s="1062"/>
      <c r="GC2" s="1062"/>
      <c r="GD2" s="1062"/>
      <c r="GE2" s="1062"/>
      <c r="GF2" s="1062"/>
      <c r="GG2" s="1062"/>
      <c r="GH2" s="1062"/>
      <c r="GI2" s="1062"/>
      <c r="GJ2" s="1062"/>
      <c r="GK2" s="1062"/>
      <c r="GL2" s="1062"/>
      <c r="GM2" s="1062"/>
      <c r="GN2" s="1062"/>
      <c r="GO2" s="1062"/>
      <c r="GP2" s="1062"/>
      <c r="GQ2" s="1062"/>
      <c r="GR2" s="1062"/>
      <c r="GS2" s="1062"/>
      <c r="GT2" s="1062"/>
      <c r="GU2" s="1062"/>
      <c r="GV2" s="1062"/>
      <c r="GW2" s="1062"/>
      <c r="GX2" s="1062"/>
      <c r="GY2" s="1062"/>
      <c r="GZ2" s="1062"/>
      <c r="HA2" s="1062"/>
      <c r="HB2" s="1062"/>
      <c r="HC2" s="1062"/>
      <c r="HD2" s="1062"/>
      <c r="HE2" s="1062"/>
      <c r="HF2" s="1062"/>
      <c r="HG2" s="1062"/>
      <c r="HH2" s="1062"/>
      <c r="HI2" s="1062"/>
      <c r="HJ2" s="1062"/>
      <c r="HK2" s="1062"/>
      <c r="HL2" s="1062"/>
      <c r="HM2" s="1062"/>
      <c r="HN2" s="1062"/>
      <c r="HO2" s="1062"/>
      <c r="HP2" s="1062"/>
      <c r="HQ2" s="1062"/>
      <c r="HR2" s="1062"/>
      <c r="HS2" s="1062"/>
      <c r="HT2" s="1062"/>
      <c r="HU2" s="1062"/>
      <c r="HV2" s="1062"/>
      <c r="HW2" s="1062"/>
      <c r="HX2" s="1062"/>
      <c r="HY2" s="1063"/>
      <c r="HZ2" s="1063"/>
      <c r="IA2" s="1063"/>
      <c r="IB2" s="1063"/>
      <c r="IC2" s="1063"/>
      <c r="ID2" s="1063"/>
      <c r="IE2" s="1063"/>
      <c r="IF2" s="1063"/>
      <c r="IG2" s="1063"/>
      <c r="IH2" s="1063"/>
      <c r="II2" s="1063"/>
      <c r="IJ2" s="1063"/>
      <c r="IK2" s="1063"/>
      <c r="IL2" s="1063"/>
      <c r="IM2" s="1063"/>
      <c r="IN2" s="1063"/>
      <c r="IO2" s="1063"/>
      <c r="IP2" s="1063"/>
      <c r="IQ2" s="1063"/>
      <c r="IR2" s="1063"/>
      <c r="IS2" s="1063"/>
      <c r="IT2" s="1063"/>
      <c r="IU2" s="1063"/>
      <c r="IV2" s="1063"/>
      <c r="IW2" s="1063"/>
      <c r="IX2" s="1063"/>
      <c r="IY2" s="1063"/>
      <c r="IZ2" s="1063"/>
      <c r="JA2" s="1063"/>
      <c r="JB2" s="1063"/>
      <c r="JC2" s="1063"/>
      <c r="JD2" s="1063"/>
      <c r="JE2" s="1063"/>
      <c r="JF2" s="1063"/>
      <c r="JG2" s="1063"/>
      <c r="JH2" s="1063"/>
      <c r="JI2" s="1063"/>
      <c r="JJ2" s="1063"/>
      <c r="JK2" s="1063"/>
      <c r="JL2" s="1063"/>
      <c r="JM2" s="1063"/>
      <c r="JN2" s="1063"/>
      <c r="JO2" s="1063"/>
      <c r="JP2" s="1063"/>
      <c r="JQ2" s="1063"/>
      <c r="JR2" s="1063"/>
      <c r="JS2" s="1063"/>
      <c r="JT2" s="1063"/>
      <c r="JU2" s="1063"/>
      <c r="JV2" s="1063"/>
      <c r="JW2" s="1063"/>
      <c r="JX2" s="1063"/>
      <c r="JY2" s="1063"/>
      <c r="JZ2" s="1063"/>
      <c r="KA2" s="1063"/>
      <c r="KB2" s="1063"/>
      <c r="KC2" s="1063"/>
      <c r="KD2" s="1063"/>
      <c r="KE2" s="1063"/>
      <c r="KF2" s="1063"/>
      <c r="KG2" s="1063"/>
      <c r="KH2" s="1063"/>
      <c r="KI2" s="1063"/>
      <c r="KJ2" s="1063"/>
      <c r="KK2" s="1063"/>
      <c r="KL2" s="1063"/>
      <c r="KM2" s="1063"/>
      <c r="KN2" s="1063"/>
      <c r="KO2" s="1063"/>
      <c r="KP2" s="1063"/>
      <c r="KQ2" s="1063"/>
      <c r="KR2" s="1063"/>
      <c r="KS2" s="1063"/>
      <c r="KT2" s="1063"/>
      <c r="KU2" s="1063"/>
      <c r="KV2" s="1062"/>
      <c r="KW2" s="1062"/>
      <c r="KX2" s="1062"/>
      <c r="KY2" s="1062"/>
      <c r="KZ2" s="1062"/>
      <c r="LA2" s="1062"/>
      <c r="LB2" s="1062"/>
      <c r="LC2" s="1062"/>
      <c r="LD2" s="1062"/>
      <c r="LE2" s="1062"/>
      <c r="LF2" s="1064"/>
      <c r="LK2" s="1062"/>
      <c r="LL2" s="1062"/>
      <c r="LM2" s="1062"/>
      <c r="LN2" s="1062"/>
      <c r="LO2" s="1062"/>
      <c r="LP2" s="1062"/>
      <c r="LQ2" s="1062"/>
      <c r="LR2" s="1062"/>
      <c r="LS2" s="1062"/>
      <c r="LT2" s="1062"/>
      <c r="LU2" s="1062"/>
      <c r="LV2" s="1062"/>
      <c r="LW2" s="1062"/>
      <c r="LX2" s="1062"/>
      <c r="LY2" s="1062"/>
      <c r="LZ2" s="1062"/>
      <c r="MA2" s="1062"/>
      <c r="MB2" s="1062"/>
      <c r="MC2" s="1062"/>
      <c r="MD2" s="1062"/>
    </row>
    <row r="3" spans="1:492" s="1057" customFormat="1" ht="12.6" customHeight="1">
      <c r="A3" s="1015" t="s">
        <v>572</v>
      </c>
      <c r="B3" s="1015" t="s">
        <v>2103</v>
      </c>
      <c r="C3" s="1018"/>
      <c r="D3" s="1065" t="s">
        <v>3108</v>
      </c>
      <c r="F3" s="1018"/>
      <c r="G3" s="1066"/>
      <c r="H3" s="1066"/>
      <c r="I3" s="1066"/>
      <c r="J3" s="1066"/>
      <c r="K3" s="1066"/>
      <c r="L3" s="1066"/>
      <c r="S3" s="1067"/>
      <c r="T3" s="1067"/>
      <c r="U3" s="1015" t="str">
        <f>B3</f>
        <v>RENT SCHEDULE</v>
      </c>
      <c r="W3" s="1068"/>
      <c r="X3" s="1068"/>
      <c r="Y3" s="1068"/>
      <c r="Z3" s="1068"/>
      <c r="AA3" s="1068"/>
      <c r="AB3" s="1068"/>
      <c r="AC3" s="1068"/>
      <c r="AD3" s="1068"/>
      <c r="AE3" s="1068"/>
      <c r="AF3" s="1068"/>
      <c r="AG3" s="1068"/>
      <c r="AH3" s="1068"/>
      <c r="AI3" s="1068"/>
      <c r="AJ3" s="1068"/>
      <c r="AK3" s="1068"/>
      <c r="AL3" s="1068"/>
      <c r="AM3" s="1068"/>
      <c r="AN3" s="1068"/>
      <c r="AO3" s="1068"/>
      <c r="AP3" s="1068"/>
      <c r="AQ3" s="1068"/>
      <c r="AR3" s="1068"/>
      <c r="AS3" s="1068"/>
      <c r="AT3" s="1068"/>
      <c r="AU3" s="1068"/>
      <c r="AV3" s="1068"/>
      <c r="AW3" s="1068"/>
      <c r="AX3" s="1068"/>
      <c r="AY3" s="1068"/>
      <c r="AZ3" s="1068"/>
      <c r="BA3" s="1068"/>
      <c r="BB3" s="1068"/>
      <c r="BC3" s="1068"/>
      <c r="BD3" s="1068"/>
      <c r="BE3" s="1068"/>
      <c r="BF3" s="1068"/>
      <c r="BG3" s="1068"/>
      <c r="BH3" s="1068"/>
      <c r="BI3" s="1068"/>
      <c r="BJ3" s="1068"/>
      <c r="BK3" s="1068"/>
      <c r="BL3" s="1068"/>
      <c r="BM3" s="1068"/>
      <c r="BN3" s="1068"/>
      <c r="BO3" s="1068"/>
      <c r="BP3" s="1068"/>
      <c r="BQ3" s="1068"/>
      <c r="BR3" s="1068"/>
      <c r="BS3" s="1068"/>
      <c r="BT3" s="1068"/>
      <c r="BU3" s="1068"/>
      <c r="BV3" s="1068"/>
      <c r="BW3" s="1068"/>
      <c r="BX3" s="1068"/>
      <c r="BY3" s="1068"/>
      <c r="BZ3" s="1068"/>
      <c r="CA3" s="1068"/>
      <c r="CB3" s="1068"/>
      <c r="CC3" s="1068"/>
      <c r="CD3" s="1068"/>
      <c r="CE3" s="1068"/>
      <c r="CF3" s="1068"/>
      <c r="CG3" s="1068"/>
      <c r="CH3" s="1068"/>
      <c r="CI3" s="1068"/>
      <c r="CJ3" s="1068"/>
      <c r="CK3" s="1068"/>
      <c r="CL3" s="1068"/>
      <c r="CM3" s="1068"/>
      <c r="CN3" s="1068"/>
      <c r="CO3" s="1068"/>
      <c r="CP3" s="1068"/>
      <c r="CQ3" s="1068"/>
      <c r="CR3" s="1068"/>
      <c r="CS3" s="1068"/>
      <c r="CT3" s="1068"/>
      <c r="CU3" s="1068"/>
      <c r="CV3" s="1068"/>
      <c r="CW3" s="1068"/>
      <c r="CX3" s="1068"/>
      <c r="CY3" s="1068"/>
      <c r="CZ3" s="1068"/>
      <c r="DA3" s="1068"/>
      <c r="DB3" s="1068"/>
      <c r="DC3" s="1068"/>
      <c r="DD3" s="1068"/>
      <c r="DE3" s="1068"/>
      <c r="DF3" s="1068"/>
      <c r="DG3" s="1068"/>
      <c r="DH3" s="1068"/>
      <c r="DI3" s="1068"/>
      <c r="DJ3" s="1068"/>
      <c r="DK3" s="1068"/>
      <c r="DL3" s="1068"/>
      <c r="DM3" s="1068"/>
      <c r="DN3" s="1068"/>
      <c r="DO3" s="1068"/>
      <c r="DP3" s="1068"/>
      <c r="DQ3" s="1068"/>
      <c r="DR3" s="1068"/>
      <c r="DS3" s="1068"/>
      <c r="DT3" s="1068"/>
      <c r="DU3" s="1068"/>
      <c r="DV3" s="1068"/>
      <c r="DW3" s="1068"/>
      <c r="DX3" s="1068"/>
      <c r="DY3" s="1068"/>
      <c r="DZ3" s="1068"/>
      <c r="EA3" s="1068"/>
      <c r="EB3" s="1068"/>
      <c r="EC3" s="1068"/>
      <c r="ED3" s="1068"/>
      <c r="EE3" s="1068"/>
      <c r="EF3" s="1068"/>
      <c r="EG3" s="1068"/>
      <c r="EH3" s="1068"/>
      <c r="EI3" s="1068"/>
      <c r="EJ3" s="1068"/>
      <c r="EK3" s="1068"/>
      <c r="EL3" s="1068"/>
      <c r="EM3" s="1068"/>
      <c r="EN3" s="1068"/>
      <c r="EO3" s="1068"/>
      <c r="EP3" s="1068"/>
      <c r="EQ3" s="1068"/>
      <c r="ER3" s="1068"/>
      <c r="ES3" s="1068"/>
      <c r="ET3" s="1068"/>
      <c r="EU3" s="1068"/>
      <c r="EV3" s="1068"/>
      <c r="EW3" s="1068"/>
      <c r="EX3" s="1068"/>
      <c r="EY3" s="1068"/>
      <c r="EZ3" s="1068"/>
      <c r="FA3" s="1068"/>
      <c r="FB3" s="1068"/>
      <c r="FC3" s="1068"/>
      <c r="FD3" s="1068"/>
      <c r="FE3" s="1068"/>
      <c r="FF3" s="1068"/>
      <c r="FG3" s="1068"/>
      <c r="FH3" s="1068"/>
      <c r="FI3" s="1068"/>
      <c r="FJ3" s="1068"/>
      <c r="FK3" s="1068"/>
      <c r="FL3" s="1068"/>
      <c r="FM3" s="1068"/>
      <c r="FN3" s="1068"/>
      <c r="FO3" s="1068"/>
      <c r="FP3" s="1068"/>
      <c r="FQ3" s="1068"/>
      <c r="FR3" s="1068"/>
      <c r="FS3" s="1068"/>
      <c r="FT3" s="1068"/>
      <c r="FU3" s="1068"/>
      <c r="FV3" s="1068"/>
      <c r="FW3" s="1068"/>
      <c r="FX3" s="1068"/>
      <c r="FY3" s="1068"/>
      <c r="FZ3" s="1068"/>
      <c r="GA3" s="1068"/>
      <c r="GB3" s="1068"/>
      <c r="GC3" s="1068"/>
      <c r="GD3" s="1068"/>
      <c r="GE3" s="1068"/>
      <c r="GF3" s="1068"/>
      <c r="GG3" s="1068"/>
      <c r="GH3" s="1068"/>
      <c r="GI3" s="1068"/>
      <c r="GJ3" s="1068"/>
      <c r="GK3" s="1068"/>
      <c r="GL3" s="1068"/>
      <c r="GM3" s="1068"/>
      <c r="GN3" s="1068"/>
      <c r="GO3" s="1068"/>
      <c r="GP3" s="1068"/>
      <c r="GQ3" s="1068"/>
      <c r="GR3" s="1068"/>
      <c r="GS3" s="1068"/>
      <c r="GT3" s="1068"/>
      <c r="GU3" s="1068"/>
      <c r="GV3" s="1068"/>
      <c r="GW3" s="1068"/>
      <c r="GX3" s="1068"/>
      <c r="GY3" s="1068"/>
      <c r="GZ3" s="1068"/>
      <c r="HA3" s="1068"/>
      <c r="HB3" s="1068"/>
      <c r="HC3" s="1068"/>
      <c r="HD3" s="1068"/>
      <c r="HE3" s="1068"/>
      <c r="HF3" s="1068"/>
      <c r="HG3" s="1068"/>
      <c r="HH3" s="1068"/>
      <c r="HI3" s="1068"/>
      <c r="HJ3" s="1068"/>
      <c r="HK3" s="1068"/>
      <c r="HL3" s="1068"/>
      <c r="HM3" s="1068"/>
      <c r="HN3" s="1068"/>
      <c r="HO3" s="1068"/>
      <c r="HP3" s="1068"/>
      <c r="HQ3" s="1068"/>
      <c r="HR3" s="1068"/>
      <c r="HS3" s="1068"/>
      <c r="HT3" s="1068"/>
      <c r="HU3" s="1068"/>
      <c r="HV3" s="1068"/>
      <c r="HW3" s="1068"/>
      <c r="HX3" s="1068"/>
      <c r="HY3" s="1069"/>
      <c r="HZ3" s="1069"/>
      <c r="IA3" s="1069"/>
      <c r="IB3" s="1069"/>
      <c r="IC3" s="1069"/>
      <c r="ID3" s="1063" t="s">
        <v>456</v>
      </c>
      <c r="IE3" s="1063" t="s">
        <v>2165</v>
      </c>
      <c r="IF3" s="1063" t="s">
        <v>2166</v>
      </c>
      <c r="IG3" s="1063" t="s">
        <v>2167</v>
      </c>
      <c r="IH3" s="1063" t="s">
        <v>2168</v>
      </c>
      <c r="II3" s="1063" t="s">
        <v>456</v>
      </c>
      <c r="IJ3" s="1063" t="s">
        <v>2165</v>
      </c>
      <c r="IK3" s="1063" t="s">
        <v>2166</v>
      </c>
      <c r="IL3" s="1063" t="s">
        <v>2167</v>
      </c>
      <c r="IM3" s="1063" t="s">
        <v>2168</v>
      </c>
      <c r="IN3" s="1069"/>
      <c r="IO3" s="1069"/>
      <c r="IP3" s="1069"/>
      <c r="IQ3" s="1069"/>
      <c r="IR3" s="1069"/>
      <c r="IS3" s="1069"/>
      <c r="IT3" s="1069"/>
      <c r="IU3" s="1069"/>
      <c r="IV3" s="1069"/>
      <c r="IW3" s="1069"/>
      <c r="IX3" s="1063" t="s">
        <v>456</v>
      </c>
      <c r="IY3" s="1063" t="s">
        <v>2165</v>
      </c>
      <c r="IZ3" s="1063" t="s">
        <v>2166</v>
      </c>
      <c r="JA3" s="1063" t="s">
        <v>2167</v>
      </c>
      <c r="JB3" s="1063" t="s">
        <v>2168</v>
      </c>
      <c r="JC3" s="1063" t="s">
        <v>456</v>
      </c>
      <c r="JD3" s="1063" t="s">
        <v>2165</v>
      </c>
      <c r="JE3" s="1063" t="s">
        <v>2166</v>
      </c>
      <c r="JF3" s="1063" t="s">
        <v>2167</v>
      </c>
      <c r="JG3" s="1063" t="s">
        <v>2168</v>
      </c>
      <c r="JH3" s="1063" t="s">
        <v>456</v>
      </c>
      <c r="JI3" s="1063" t="s">
        <v>2165</v>
      </c>
      <c r="JJ3" s="1063" t="s">
        <v>2166</v>
      </c>
      <c r="JK3" s="1063" t="s">
        <v>2167</v>
      </c>
      <c r="JL3" s="1063" t="s">
        <v>2168</v>
      </c>
      <c r="JM3" s="1063" t="s">
        <v>456</v>
      </c>
      <c r="JN3" s="1063" t="s">
        <v>2165</v>
      </c>
      <c r="JO3" s="1063" t="s">
        <v>2166</v>
      </c>
      <c r="JP3" s="1063" t="s">
        <v>2167</v>
      </c>
      <c r="JQ3" s="1063" t="s">
        <v>2168</v>
      </c>
      <c r="JR3" s="1063" t="s">
        <v>456</v>
      </c>
      <c r="JS3" s="1063" t="s">
        <v>2165</v>
      </c>
      <c r="JT3" s="1063" t="s">
        <v>2166</v>
      </c>
      <c r="JU3" s="1063" t="s">
        <v>2167</v>
      </c>
      <c r="JV3" s="1063" t="s">
        <v>2168</v>
      </c>
      <c r="JW3" s="1063" t="s">
        <v>456</v>
      </c>
      <c r="JX3" s="1063" t="s">
        <v>2165</v>
      </c>
      <c r="JY3" s="1063" t="s">
        <v>2166</v>
      </c>
      <c r="JZ3" s="1063" t="s">
        <v>2167</v>
      </c>
      <c r="KA3" s="1063" t="s">
        <v>2168</v>
      </c>
      <c r="KB3" s="1063" t="s">
        <v>456</v>
      </c>
      <c r="KC3" s="1063" t="s">
        <v>2165</v>
      </c>
      <c r="KD3" s="1063" t="s">
        <v>2166</v>
      </c>
      <c r="KE3" s="1063" t="s">
        <v>2167</v>
      </c>
      <c r="KF3" s="1063" t="s">
        <v>2168</v>
      </c>
      <c r="KG3" s="1063" t="s">
        <v>456</v>
      </c>
      <c r="KH3" s="1063" t="s">
        <v>2165</v>
      </c>
      <c r="KI3" s="1063" t="s">
        <v>2166</v>
      </c>
      <c r="KJ3" s="1063" t="s">
        <v>2167</v>
      </c>
      <c r="KK3" s="1063" t="s">
        <v>2168</v>
      </c>
      <c r="KL3" s="1063" t="s">
        <v>456</v>
      </c>
      <c r="KM3" s="1063" t="s">
        <v>2165</v>
      </c>
      <c r="KN3" s="1063" t="s">
        <v>2166</v>
      </c>
      <c r="KO3" s="1063" t="s">
        <v>2167</v>
      </c>
      <c r="KP3" s="1063" t="s">
        <v>2168</v>
      </c>
      <c r="KQ3" s="1063" t="s">
        <v>456</v>
      </c>
      <c r="KR3" s="1063" t="s">
        <v>2165</v>
      </c>
      <c r="KS3" s="1063" t="s">
        <v>2166</v>
      </c>
      <c r="KT3" s="1063" t="s">
        <v>2167</v>
      </c>
      <c r="KU3" s="1063" t="s">
        <v>2168</v>
      </c>
      <c r="KV3" s="1063" t="s">
        <v>456</v>
      </c>
      <c r="KW3" s="1063" t="s">
        <v>2165</v>
      </c>
      <c r="KX3" s="1063" t="s">
        <v>2166</v>
      </c>
      <c r="KY3" s="1063" t="s">
        <v>2167</v>
      </c>
      <c r="KZ3" s="1063" t="s">
        <v>2168</v>
      </c>
      <c r="LA3" s="1063" t="s">
        <v>456</v>
      </c>
      <c r="LB3" s="1063" t="s">
        <v>2165</v>
      </c>
      <c r="LC3" s="1063" t="s">
        <v>2166</v>
      </c>
      <c r="LD3" s="1063" t="s">
        <v>2167</v>
      </c>
      <c r="LE3" s="1063" t="s">
        <v>2168</v>
      </c>
      <c r="LF3" s="1058"/>
      <c r="LG3" s="1058"/>
      <c r="LH3" s="1058"/>
      <c r="LI3" s="1058"/>
      <c r="LJ3" s="1058"/>
      <c r="LK3" s="1068"/>
      <c r="LL3" s="1068"/>
      <c r="LM3" s="1068"/>
      <c r="LN3" s="1068"/>
      <c r="LO3" s="1068"/>
      <c r="LP3" s="1068"/>
      <c r="LQ3" s="1068"/>
      <c r="LR3" s="1068"/>
      <c r="LS3" s="1068"/>
      <c r="LT3" s="1068"/>
      <c r="LU3" s="1068"/>
      <c r="LV3" s="1068"/>
      <c r="LW3" s="1068"/>
      <c r="LX3" s="1068"/>
      <c r="LY3" s="1068"/>
      <c r="LZ3" s="1068"/>
      <c r="MA3" s="1068"/>
      <c r="MB3" s="1068"/>
      <c r="MC3" s="1068"/>
      <c r="MD3" s="1068"/>
      <c r="ME3" s="2388" t="s">
        <v>2978</v>
      </c>
      <c r="MF3" s="2388" t="s">
        <v>2979</v>
      </c>
      <c r="MG3" s="2388" t="s">
        <v>2980</v>
      </c>
      <c r="MH3" s="2388" t="s">
        <v>2981</v>
      </c>
      <c r="MI3" s="2388" t="s">
        <v>2982</v>
      </c>
      <c r="MJ3" s="1058"/>
      <c r="MK3" s="1058"/>
      <c r="ML3" s="1058"/>
      <c r="MM3" s="1058"/>
      <c r="MN3" s="1058"/>
      <c r="MO3" s="1058"/>
      <c r="MP3" s="1058"/>
      <c r="MQ3" s="1058"/>
      <c r="MR3" s="1058"/>
      <c r="MS3" s="1058"/>
      <c r="MT3" s="1058"/>
      <c r="MU3" s="1058"/>
      <c r="MV3" s="1058"/>
      <c r="MW3" s="1058"/>
      <c r="MX3" s="1058"/>
      <c r="MY3" s="1058"/>
      <c r="MZ3" s="1058"/>
      <c r="NA3" s="1058"/>
      <c r="NB3" s="1058"/>
      <c r="NC3" s="1058"/>
      <c r="ND3" s="1058"/>
      <c r="NE3" s="1058"/>
      <c r="NF3" s="1058"/>
      <c r="NG3" s="1058"/>
      <c r="NH3" s="1058"/>
      <c r="NI3" s="1058"/>
      <c r="NJ3" s="1058"/>
      <c r="NK3" s="1058"/>
      <c r="NL3" s="1058"/>
      <c r="NM3" s="1058"/>
      <c r="NN3" s="1058"/>
      <c r="NO3" s="1058"/>
      <c r="NP3" s="1058"/>
      <c r="NQ3" s="1058"/>
      <c r="NR3" s="1058"/>
      <c r="NS3" s="1058"/>
      <c r="NT3" s="1058"/>
      <c r="NU3" s="1058"/>
      <c r="NV3" s="1058"/>
      <c r="NW3" s="1058"/>
      <c r="NX3" s="1058"/>
      <c r="NY3" s="1058"/>
      <c r="NZ3" s="1058"/>
      <c r="OA3" s="1058"/>
      <c r="OB3" s="1058"/>
      <c r="OC3" s="1058"/>
      <c r="OD3" s="1018"/>
      <c r="OE3" s="1018"/>
      <c r="OF3" s="1018"/>
      <c r="OG3" s="1018"/>
      <c r="OH3" s="1018"/>
      <c r="OI3" s="1018"/>
      <c r="OJ3" s="1018"/>
      <c r="OK3" s="1018"/>
      <c r="OL3" s="1018"/>
      <c r="OM3" s="1018"/>
      <c r="ON3" s="1018"/>
      <c r="OO3" s="1018"/>
      <c r="OP3" s="1018"/>
      <c r="OQ3" s="1018"/>
      <c r="OR3" s="1018"/>
      <c r="OS3" s="1018"/>
      <c r="OT3" s="1018"/>
      <c r="OU3" s="1018"/>
      <c r="OV3" s="1018"/>
      <c r="OW3" s="1018"/>
      <c r="OX3" s="1018"/>
      <c r="OY3" s="1018"/>
      <c r="OZ3" s="1018"/>
      <c r="PA3" s="1018"/>
      <c r="PB3" s="1018"/>
      <c r="PC3" s="1018"/>
      <c r="PD3" s="1018"/>
      <c r="PE3" s="1018"/>
      <c r="PF3" s="1018"/>
      <c r="PG3" s="1018"/>
      <c r="PH3" s="1018"/>
      <c r="PI3" s="1018"/>
      <c r="PJ3" s="1018"/>
      <c r="PK3" s="1018"/>
      <c r="PL3" s="1018"/>
      <c r="PM3" s="1018"/>
      <c r="PN3" s="1018"/>
      <c r="PO3" s="1018"/>
      <c r="PP3" s="1018"/>
      <c r="PQ3" s="1018"/>
      <c r="PR3" s="1018"/>
      <c r="PS3" s="1018"/>
      <c r="PT3" s="1018"/>
      <c r="PU3" s="1018"/>
      <c r="PV3" s="1018"/>
      <c r="PW3" s="1018"/>
      <c r="PX3" s="1018"/>
      <c r="PY3" s="1018"/>
      <c r="PZ3" s="1018"/>
      <c r="QA3" s="1018"/>
      <c r="QB3" s="1018"/>
      <c r="QC3" s="1018"/>
      <c r="QD3" s="1018"/>
      <c r="QE3" s="1018"/>
      <c r="QF3" s="1018"/>
      <c r="QG3" s="1018"/>
      <c r="QH3" s="1018"/>
      <c r="QI3" s="1018"/>
      <c r="QJ3" s="1018"/>
      <c r="QK3" s="1018"/>
      <c r="QL3" s="1018"/>
      <c r="QM3" s="1018"/>
      <c r="QN3" s="1018"/>
      <c r="QO3" s="1018"/>
      <c r="QP3" s="1018"/>
      <c r="QQ3" s="1018"/>
      <c r="QR3" s="1018"/>
      <c r="QS3" s="1018"/>
      <c r="QT3" s="1018"/>
      <c r="QU3" s="1018"/>
      <c r="QV3" s="1018"/>
      <c r="QW3" s="1018"/>
      <c r="QX3" s="1018"/>
      <c r="QY3" s="1018"/>
      <c r="QZ3" s="1018"/>
      <c r="RA3" s="1018"/>
      <c r="RB3" s="1018"/>
      <c r="RC3" s="1018"/>
      <c r="RD3" s="1018"/>
      <c r="RE3" s="1018"/>
      <c r="RF3" s="1018"/>
      <c r="RG3" s="1018"/>
      <c r="RH3" s="1018"/>
      <c r="RI3" s="1018"/>
      <c r="RJ3" s="1018"/>
      <c r="RK3" s="1018"/>
      <c r="RL3" s="1018"/>
      <c r="RM3" s="1018"/>
      <c r="RN3" s="1018"/>
      <c r="RO3" s="1018"/>
      <c r="RP3" s="1018"/>
      <c r="RQ3" s="1018"/>
      <c r="RR3" s="1018"/>
      <c r="RS3" s="1018"/>
      <c r="RT3" s="1018"/>
      <c r="RU3" s="1018"/>
      <c r="RV3" s="1018"/>
      <c r="RW3" s="1018"/>
      <c r="RX3" s="1018"/>
    </row>
    <row r="4" spans="1:492" s="1057" customFormat="1" ht="3" customHeight="1">
      <c r="B4" s="1015"/>
      <c r="C4" s="1018"/>
      <c r="D4" s="1015"/>
      <c r="E4" s="1018"/>
      <c r="F4" s="1018"/>
      <c r="G4" s="1018"/>
      <c r="I4" s="1018"/>
      <c r="J4" s="1018"/>
      <c r="K4" s="1018"/>
      <c r="L4" s="1018"/>
      <c r="M4" s="1018"/>
      <c r="P4" s="2390" t="s">
        <v>3286</v>
      </c>
      <c r="Q4" s="1070"/>
      <c r="R4" s="1071"/>
      <c r="S4" s="1071"/>
      <c r="T4" s="1071"/>
      <c r="U4" s="1071"/>
      <c r="V4" s="1072"/>
      <c r="W4" s="2398" t="s">
        <v>3287</v>
      </c>
      <c r="X4" s="2398" t="s">
        <v>3288</v>
      </c>
      <c r="Y4" s="2398" t="s">
        <v>3289</v>
      </c>
      <c r="Z4" s="2398" t="s">
        <v>3290</v>
      </c>
      <c r="AA4" s="2398" t="s">
        <v>3291</v>
      </c>
      <c r="AB4" s="2398" t="s">
        <v>3292</v>
      </c>
      <c r="AC4" s="2398" t="s">
        <v>3293</v>
      </c>
      <c r="AD4" s="2398" t="s">
        <v>3294</v>
      </c>
      <c r="AE4" s="2398" t="s">
        <v>3295</v>
      </c>
      <c r="AF4" s="2398" t="s">
        <v>3296</v>
      </c>
      <c r="AG4" s="2398" t="s">
        <v>858</v>
      </c>
      <c r="AH4" s="2398" t="s">
        <v>700</v>
      </c>
      <c r="AI4" s="2398" t="s">
        <v>701</v>
      </c>
      <c r="AJ4" s="2398" t="s">
        <v>702</v>
      </c>
      <c r="AK4" s="2398" t="s">
        <v>703</v>
      </c>
      <c r="AL4" s="2398" t="s">
        <v>859</v>
      </c>
      <c r="AM4" s="2398" t="s">
        <v>2053</v>
      </c>
      <c r="AN4" s="2398" t="s">
        <v>2054</v>
      </c>
      <c r="AO4" s="2398" t="s">
        <v>2055</v>
      </c>
      <c r="AP4" s="2398" t="s">
        <v>2056</v>
      </c>
      <c r="AQ4" s="2398" t="s">
        <v>3297</v>
      </c>
      <c r="AR4" s="2398" t="s">
        <v>3298</v>
      </c>
      <c r="AS4" s="2398" t="s">
        <v>3299</v>
      </c>
      <c r="AT4" s="2398" t="s">
        <v>3300</v>
      </c>
      <c r="AU4" s="2398" t="s">
        <v>3301</v>
      </c>
      <c r="AV4" s="2398" t="s">
        <v>860</v>
      </c>
      <c r="AW4" s="2398" t="s">
        <v>2057</v>
      </c>
      <c r="AX4" s="2398" t="s">
        <v>2058</v>
      </c>
      <c r="AY4" s="2398" t="s">
        <v>2059</v>
      </c>
      <c r="AZ4" s="2398" t="s">
        <v>2060</v>
      </c>
      <c r="BA4" s="2398" t="s">
        <v>3302</v>
      </c>
      <c r="BB4" s="2398" t="s">
        <v>3303</v>
      </c>
      <c r="BC4" s="2398" t="s">
        <v>3304</v>
      </c>
      <c r="BD4" s="2398" t="s">
        <v>3305</v>
      </c>
      <c r="BE4" s="2398" t="s">
        <v>3306</v>
      </c>
      <c r="BF4" s="2398" t="s">
        <v>116</v>
      </c>
      <c r="BG4" s="2398" t="s">
        <v>2061</v>
      </c>
      <c r="BH4" s="2398" t="s">
        <v>2062</v>
      </c>
      <c r="BI4" s="2398" t="s">
        <v>2063</v>
      </c>
      <c r="BJ4" s="2398" t="s">
        <v>1064</v>
      </c>
      <c r="BK4" s="2398" t="s">
        <v>3307</v>
      </c>
      <c r="BL4" s="2398" t="s">
        <v>3308</v>
      </c>
      <c r="BM4" s="2398" t="s">
        <v>3309</v>
      </c>
      <c r="BN4" s="2398" t="s">
        <v>3310</v>
      </c>
      <c r="BO4" s="2398" t="s">
        <v>3311</v>
      </c>
      <c r="BP4" s="2398" t="s">
        <v>517</v>
      </c>
      <c r="BQ4" s="2398" t="s">
        <v>518</v>
      </c>
      <c r="BR4" s="2398" t="s">
        <v>536</v>
      </c>
      <c r="BS4" s="2398" t="s">
        <v>537</v>
      </c>
      <c r="BT4" s="2398" t="s">
        <v>538</v>
      </c>
      <c r="BU4" s="2398" t="s">
        <v>3312</v>
      </c>
      <c r="BV4" s="2398" t="s">
        <v>3313</v>
      </c>
      <c r="BW4" s="2398" t="s">
        <v>3314</v>
      </c>
      <c r="BX4" s="2398" t="s">
        <v>3315</v>
      </c>
      <c r="BY4" s="2398" t="s">
        <v>3316</v>
      </c>
      <c r="BZ4" s="2398" t="s">
        <v>539</v>
      </c>
      <c r="CA4" s="2398" t="s">
        <v>540</v>
      </c>
      <c r="CB4" s="2398" t="s">
        <v>541</v>
      </c>
      <c r="CC4" s="2398" t="s">
        <v>542</v>
      </c>
      <c r="CD4" s="2398" t="s">
        <v>543</v>
      </c>
      <c r="CE4" s="2398" t="s">
        <v>544</v>
      </c>
      <c r="CF4" s="2398" t="s">
        <v>545</v>
      </c>
      <c r="CG4" s="2398" t="s">
        <v>865</v>
      </c>
      <c r="CH4" s="2398" t="s">
        <v>866</v>
      </c>
      <c r="CI4" s="2398" t="s">
        <v>867</v>
      </c>
      <c r="CJ4" s="2398" t="s">
        <v>3317</v>
      </c>
      <c r="CK4" s="2398" t="s">
        <v>3318</v>
      </c>
      <c r="CL4" s="2398" t="s">
        <v>3319</v>
      </c>
      <c r="CM4" s="2398" t="s">
        <v>3320</v>
      </c>
      <c r="CN4" s="2398" t="s">
        <v>3321</v>
      </c>
      <c r="CO4" s="2398" t="s">
        <v>3322</v>
      </c>
      <c r="CP4" s="2398" t="s">
        <v>3323</v>
      </c>
      <c r="CQ4" s="2398" t="s">
        <v>3324</v>
      </c>
      <c r="CR4" s="2398" t="s">
        <v>3325</v>
      </c>
      <c r="CS4" s="2398" t="s">
        <v>3326</v>
      </c>
      <c r="CT4" s="2398" t="s">
        <v>3327</v>
      </c>
      <c r="CU4" s="2398" t="s">
        <v>3328</v>
      </c>
      <c r="CV4" s="2398" t="s">
        <v>3329</v>
      </c>
      <c r="CW4" s="2398" t="s">
        <v>3330</v>
      </c>
      <c r="CX4" s="2398" t="s">
        <v>3331</v>
      </c>
      <c r="CY4" s="2398" t="s">
        <v>465</v>
      </c>
      <c r="CZ4" s="2398" t="s">
        <v>466</v>
      </c>
      <c r="DA4" s="2398" t="s">
        <v>467</v>
      </c>
      <c r="DB4" s="2398" t="s">
        <v>468</v>
      </c>
      <c r="DC4" s="2398" t="s">
        <v>469</v>
      </c>
      <c r="DD4" s="2398" t="s">
        <v>3332</v>
      </c>
      <c r="DE4" s="2398" t="s">
        <v>3333</v>
      </c>
      <c r="DF4" s="2398" t="s">
        <v>3334</v>
      </c>
      <c r="DG4" s="2398" t="s">
        <v>3335</v>
      </c>
      <c r="DH4" s="2398" t="s">
        <v>3336</v>
      </c>
      <c r="DI4" s="2398" t="s">
        <v>819</v>
      </c>
      <c r="DJ4" s="2398" t="s">
        <v>820</v>
      </c>
      <c r="DK4" s="2398" t="s">
        <v>821</v>
      </c>
      <c r="DL4" s="2398" t="s">
        <v>822</v>
      </c>
      <c r="DM4" s="2398" t="s">
        <v>823</v>
      </c>
      <c r="DN4" s="2398" t="s">
        <v>824</v>
      </c>
      <c r="DO4" s="2398" t="s">
        <v>825</v>
      </c>
      <c r="DP4" s="2398" t="s">
        <v>826</v>
      </c>
      <c r="DQ4" s="2398" t="s">
        <v>827</v>
      </c>
      <c r="DR4" s="2398" t="s">
        <v>828</v>
      </c>
      <c r="DS4" s="2398" t="s">
        <v>3337</v>
      </c>
      <c r="DT4" s="2398" t="s">
        <v>3338</v>
      </c>
      <c r="DU4" s="2398" t="s">
        <v>3339</v>
      </c>
      <c r="DV4" s="2398" t="s">
        <v>3340</v>
      </c>
      <c r="DW4" s="2398" t="s">
        <v>3341</v>
      </c>
      <c r="DX4" s="2398" t="s">
        <v>3342</v>
      </c>
      <c r="DY4" s="2398" t="s">
        <v>3343</v>
      </c>
      <c r="DZ4" s="2398" t="s">
        <v>3344</v>
      </c>
      <c r="EA4" s="2398" t="s">
        <v>3345</v>
      </c>
      <c r="EB4" s="2398" t="s">
        <v>3346</v>
      </c>
      <c r="EC4" s="2398" t="s">
        <v>2158</v>
      </c>
      <c r="ED4" s="2398" t="s">
        <v>2159</v>
      </c>
      <c r="EE4" s="2398" t="s">
        <v>2160</v>
      </c>
      <c r="EF4" s="2398" t="s">
        <v>2161</v>
      </c>
      <c r="EG4" s="2398" t="s">
        <v>2162</v>
      </c>
      <c r="EH4" s="2398" t="s">
        <v>3347</v>
      </c>
      <c r="EI4" s="2398" t="s">
        <v>3348</v>
      </c>
      <c r="EJ4" s="2398" t="s">
        <v>3349</v>
      </c>
      <c r="EK4" s="2398" t="s">
        <v>3350</v>
      </c>
      <c r="EL4" s="2398" t="s">
        <v>3351</v>
      </c>
      <c r="EM4" s="2398" t="s">
        <v>3352</v>
      </c>
      <c r="EN4" s="2398" t="s">
        <v>3353</v>
      </c>
      <c r="EO4" s="2398" t="s">
        <v>3354</v>
      </c>
      <c r="EP4" s="2398" t="s">
        <v>3355</v>
      </c>
      <c r="EQ4" s="2398" t="s">
        <v>3356</v>
      </c>
      <c r="ER4" s="2388" t="s">
        <v>108</v>
      </c>
      <c r="ES4" s="2388" t="s">
        <v>1067</v>
      </c>
      <c r="ET4" s="2388" t="s">
        <v>1068</v>
      </c>
      <c r="EU4" s="2388" t="s">
        <v>1121</v>
      </c>
      <c r="EV4" s="2388" t="s">
        <v>1122</v>
      </c>
      <c r="EW4" s="2388" t="s">
        <v>119</v>
      </c>
      <c r="EX4" s="2388" t="s">
        <v>1123</v>
      </c>
      <c r="EY4" s="2388" t="s">
        <v>1124</v>
      </c>
      <c r="EZ4" s="2388" t="s">
        <v>1125</v>
      </c>
      <c r="FA4" s="2388" t="s">
        <v>1126</v>
      </c>
      <c r="FB4" s="2398" t="s">
        <v>3357</v>
      </c>
      <c r="FC4" s="2398" t="s">
        <v>3358</v>
      </c>
      <c r="FD4" s="2398" t="s">
        <v>3359</v>
      </c>
      <c r="FE4" s="2398" t="s">
        <v>3360</v>
      </c>
      <c r="FF4" s="2398" t="s">
        <v>3361</v>
      </c>
      <c r="FG4" s="2388" t="s">
        <v>118</v>
      </c>
      <c r="FH4" s="2388" t="s">
        <v>850</v>
      </c>
      <c r="FI4" s="2388" t="s">
        <v>851</v>
      </c>
      <c r="FJ4" s="2388" t="s">
        <v>852</v>
      </c>
      <c r="FK4" s="2388" t="s">
        <v>853</v>
      </c>
      <c r="FL4" s="2398" t="s">
        <v>3362</v>
      </c>
      <c r="FM4" s="2398" t="s">
        <v>3363</v>
      </c>
      <c r="FN4" s="2398" t="s">
        <v>3364</v>
      </c>
      <c r="FO4" s="2398" t="s">
        <v>3365</v>
      </c>
      <c r="FP4" s="2398" t="s">
        <v>3366</v>
      </c>
      <c r="FQ4" s="2388" t="s">
        <v>117</v>
      </c>
      <c r="FR4" s="2388" t="s">
        <v>854</v>
      </c>
      <c r="FS4" s="2388" t="s">
        <v>855</v>
      </c>
      <c r="FT4" s="2388" t="s">
        <v>856</v>
      </c>
      <c r="FU4" s="2388" t="s">
        <v>857</v>
      </c>
      <c r="FV4" s="2388" t="s">
        <v>748</v>
      </c>
      <c r="FW4" s="2388" t="s">
        <v>749</v>
      </c>
      <c r="FX4" s="2388" t="s">
        <v>750</v>
      </c>
      <c r="FY4" s="2388" t="s">
        <v>751</v>
      </c>
      <c r="FZ4" s="2388" t="s">
        <v>752</v>
      </c>
      <c r="GA4" s="2388" t="s">
        <v>888</v>
      </c>
      <c r="GB4" s="2388" t="s">
        <v>889</v>
      </c>
      <c r="GC4" s="2388" t="s">
        <v>890</v>
      </c>
      <c r="GD4" s="2388" t="s">
        <v>891</v>
      </c>
      <c r="GE4" s="2388" t="s">
        <v>2157</v>
      </c>
      <c r="GF4" s="2388" t="s">
        <v>1315</v>
      </c>
      <c r="GG4" s="2388" t="s">
        <v>1316</v>
      </c>
      <c r="GH4" s="2388" t="s">
        <v>1317</v>
      </c>
      <c r="GI4" s="2388" t="s">
        <v>1318</v>
      </c>
      <c r="GJ4" s="2388" t="s">
        <v>1319</v>
      </c>
      <c r="GK4" s="2388" t="s">
        <v>410</v>
      </c>
      <c r="GL4" s="2388" t="s">
        <v>411</v>
      </c>
      <c r="GM4" s="2388" t="s">
        <v>412</v>
      </c>
      <c r="GN4" s="2388" t="s">
        <v>413</v>
      </c>
      <c r="GO4" s="2388" t="s">
        <v>414</v>
      </c>
      <c r="GP4" s="2388" t="s">
        <v>14</v>
      </c>
      <c r="GQ4" s="2388" t="s">
        <v>15</v>
      </c>
      <c r="GR4" s="2388" t="s">
        <v>16</v>
      </c>
      <c r="GS4" s="2388" t="s">
        <v>17</v>
      </c>
      <c r="GT4" s="2388" t="s">
        <v>18</v>
      </c>
      <c r="GU4" s="2388" t="s">
        <v>204</v>
      </c>
      <c r="GV4" s="2388" t="s">
        <v>205</v>
      </c>
      <c r="GW4" s="2388" t="s">
        <v>206</v>
      </c>
      <c r="GX4" s="2388" t="s">
        <v>1630</v>
      </c>
      <c r="GY4" s="2388" t="s">
        <v>1631</v>
      </c>
      <c r="GZ4" s="2388" t="s">
        <v>1632</v>
      </c>
      <c r="HA4" s="2388" t="s">
        <v>549</v>
      </c>
      <c r="HB4" s="2388" t="s">
        <v>550</v>
      </c>
      <c r="HC4" s="2388" t="s">
        <v>551</v>
      </c>
      <c r="HD4" s="2388" t="s">
        <v>552</v>
      </c>
      <c r="HE4" s="2388" t="s">
        <v>19</v>
      </c>
      <c r="HF4" s="2388" t="s">
        <v>20</v>
      </c>
      <c r="HG4" s="2388" t="s">
        <v>21</v>
      </c>
      <c r="HH4" s="2388" t="s">
        <v>22</v>
      </c>
      <c r="HI4" s="2388" t="s">
        <v>23</v>
      </c>
      <c r="HJ4" s="2388" t="s">
        <v>464</v>
      </c>
      <c r="HK4" s="2388" t="s">
        <v>406</v>
      </c>
      <c r="HL4" s="2388" t="s">
        <v>407</v>
      </c>
      <c r="HM4" s="2388" t="s">
        <v>408</v>
      </c>
      <c r="HN4" s="2388" t="s">
        <v>409</v>
      </c>
      <c r="HO4" s="2388" t="s">
        <v>1963</v>
      </c>
      <c r="HP4" s="2388" t="s">
        <v>1964</v>
      </c>
      <c r="HQ4" s="2388" t="s">
        <v>1965</v>
      </c>
      <c r="HR4" s="2388" t="s">
        <v>1357</v>
      </c>
      <c r="HS4" s="2388" t="s">
        <v>1358</v>
      </c>
      <c r="HT4" s="2388" t="s">
        <v>24</v>
      </c>
      <c r="HU4" s="2388" t="s">
        <v>25</v>
      </c>
      <c r="HV4" s="2388" t="s">
        <v>26</v>
      </c>
      <c r="HW4" s="2388" t="s">
        <v>27</v>
      </c>
      <c r="HX4" s="2388" t="s">
        <v>28</v>
      </c>
      <c r="HY4" s="1059"/>
      <c r="HZ4" s="1059"/>
      <c r="IA4" s="1059"/>
      <c r="IB4" s="1059"/>
      <c r="IC4" s="1059"/>
      <c r="ID4" s="1059"/>
      <c r="IE4" s="1059"/>
      <c r="IF4" s="1059"/>
      <c r="IG4" s="1059"/>
      <c r="IH4" s="1059"/>
      <c r="II4" s="1059"/>
      <c r="IJ4" s="1059"/>
      <c r="IK4" s="1059"/>
      <c r="IL4" s="1059"/>
      <c r="IM4" s="1059"/>
      <c r="IN4" s="1059"/>
      <c r="IO4" s="1059"/>
      <c r="IP4" s="1059"/>
      <c r="IQ4" s="1059"/>
      <c r="IR4" s="1059"/>
      <c r="IS4" s="1059"/>
      <c r="IT4" s="1059"/>
      <c r="IU4" s="1059"/>
      <c r="IV4" s="1059"/>
      <c r="IW4" s="1059"/>
      <c r="IX4" s="1059"/>
      <c r="IY4" s="1059"/>
      <c r="IZ4" s="1059"/>
      <c r="JA4" s="1059"/>
      <c r="JB4" s="1059"/>
      <c r="JC4" s="1059"/>
      <c r="JD4" s="1059"/>
      <c r="JE4" s="1059"/>
      <c r="JF4" s="1059"/>
      <c r="JG4" s="1059"/>
      <c r="JH4" s="1059"/>
      <c r="JI4" s="1059"/>
      <c r="JJ4" s="1059"/>
      <c r="JK4" s="1059"/>
      <c r="JL4" s="1059"/>
      <c r="JM4" s="1059"/>
      <c r="JN4" s="1059"/>
      <c r="JO4" s="1059"/>
      <c r="JP4" s="1059"/>
      <c r="JQ4" s="1059"/>
      <c r="JR4" s="1059"/>
      <c r="JS4" s="1059"/>
      <c r="JT4" s="1059"/>
      <c r="JU4" s="1059"/>
      <c r="JV4" s="1059"/>
      <c r="JW4" s="1059"/>
      <c r="JX4" s="1059"/>
      <c r="JY4" s="1059"/>
      <c r="JZ4" s="1059"/>
      <c r="KA4" s="1059"/>
      <c r="KB4" s="1059"/>
      <c r="KC4" s="1059"/>
      <c r="KD4" s="1059"/>
      <c r="KE4" s="1059"/>
      <c r="KF4" s="1059"/>
      <c r="KG4" s="1059"/>
      <c r="KH4" s="1059"/>
      <c r="KI4" s="1059"/>
      <c r="KJ4" s="1059"/>
      <c r="KK4" s="1059"/>
      <c r="KL4" s="1059"/>
      <c r="KM4" s="1059"/>
      <c r="KN4" s="1059"/>
      <c r="KO4" s="1059"/>
      <c r="KP4" s="1059"/>
      <c r="KQ4" s="1059"/>
      <c r="KR4" s="1059"/>
      <c r="KS4" s="1059"/>
      <c r="KT4" s="1059"/>
      <c r="KU4" s="1059"/>
      <c r="KV4" s="1058"/>
      <c r="KW4" s="1058"/>
      <c r="KX4" s="1058"/>
      <c r="KY4" s="1058"/>
      <c r="KZ4" s="1058"/>
      <c r="LA4" s="1058"/>
      <c r="LB4" s="1058"/>
      <c r="LC4" s="1058"/>
      <c r="LD4" s="1058"/>
      <c r="LE4" s="1058"/>
      <c r="LF4" s="2388" t="s">
        <v>1476</v>
      </c>
      <c r="LG4" s="2388" t="s">
        <v>2235</v>
      </c>
      <c r="LH4" s="2388" t="s">
        <v>2236</v>
      </c>
      <c r="LI4" s="2388" t="s">
        <v>363</v>
      </c>
      <c r="LJ4" s="2388" t="s">
        <v>364</v>
      </c>
      <c r="LK4" s="2388" t="s">
        <v>365</v>
      </c>
      <c r="LL4" s="2388" t="s">
        <v>366</v>
      </c>
      <c r="LM4" s="2388" t="s">
        <v>367</v>
      </c>
      <c r="LN4" s="2388" t="s">
        <v>368</v>
      </c>
      <c r="LO4" s="2388" t="s">
        <v>369</v>
      </c>
      <c r="LP4" s="2388" t="s">
        <v>182</v>
      </c>
      <c r="LQ4" s="2388" t="s">
        <v>183</v>
      </c>
      <c r="LR4" s="2388" t="s">
        <v>184</v>
      </c>
      <c r="LS4" s="2388" t="s">
        <v>185</v>
      </c>
      <c r="LT4" s="2388" t="s">
        <v>186</v>
      </c>
      <c r="LU4" s="2388" t="s">
        <v>187</v>
      </c>
      <c r="LV4" s="2388" t="s">
        <v>188</v>
      </c>
      <c r="LW4" s="2388" t="s">
        <v>189</v>
      </c>
      <c r="LX4" s="2388" t="s">
        <v>190</v>
      </c>
      <c r="LY4" s="2388" t="s">
        <v>191</v>
      </c>
      <c r="LZ4" s="2388" t="s">
        <v>192</v>
      </c>
      <c r="MA4" s="2388" t="s">
        <v>193</v>
      </c>
      <c r="MB4" s="2388" t="s">
        <v>194</v>
      </c>
      <c r="MC4" s="2388" t="s">
        <v>195</v>
      </c>
      <c r="MD4" s="2388" t="s">
        <v>196</v>
      </c>
      <c r="ME4" s="2388"/>
      <c r="MF4" s="2388"/>
      <c r="MG4" s="2388"/>
      <c r="MH4" s="2388"/>
      <c r="MI4" s="2388"/>
      <c r="MJ4" s="1058"/>
      <c r="MK4" s="1058"/>
      <c r="ML4" s="1058"/>
      <c r="MM4" s="1058"/>
      <c r="MN4" s="1058"/>
      <c r="MO4" s="1058"/>
      <c r="MP4" s="1058"/>
      <c r="MQ4" s="1058"/>
      <c r="MR4" s="1058"/>
      <c r="MS4" s="1058"/>
      <c r="MT4" s="1058"/>
      <c r="MU4" s="1058"/>
      <c r="MV4" s="1058"/>
      <c r="MW4" s="1058"/>
      <c r="MX4" s="1058"/>
      <c r="MY4" s="1058"/>
      <c r="MZ4" s="1058"/>
      <c r="NA4" s="1058"/>
      <c r="NB4" s="1058"/>
      <c r="NC4" s="1058"/>
      <c r="ND4" s="1058"/>
      <c r="NE4" s="1058"/>
      <c r="NF4" s="1058"/>
      <c r="NG4" s="1058"/>
      <c r="NH4" s="1058"/>
      <c r="NI4" s="1058"/>
      <c r="NJ4" s="1058"/>
      <c r="NK4" s="1058"/>
      <c r="NL4" s="1058"/>
      <c r="NM4" s="1058"/>
      <c r="NN4" s="1058"/>
      <c r="NO4" s="1058"/>
      <c r="NP4" s="1058"/>
      <c r="NQ4" s="1058"/>
      <c r="NR4" s="1058"/>
      <c r="NS4" s="1058"/>
      <c r="NT4" s="1058"/>
      <c r="NU4" s="1058"/>
      <c r="NV4" s="1058"/>
      <c r="NW4" s="1058"/>
      <c r="NX4" s="1058"/>
      <c r="NY4" s="1058"/>
      <c r="NZ4" s="1058"/>
      <c r="OA4" s="1058"/>
      <c r="OB4" s="1058"/>
      <c r="OC4" s="1058"/>
      <c r="OD4" s="1018"/>
      <c r="OE4" s="1018"/>
      <c r="OF4" s="1018"/>
      <c r="OG4" s="1018"/>
      <c r="OH4" s="1018"/>
      <c r="OI4" s="1018"/>
      <c r="OJ4" s="1018"/>
      <c r="OK4" s="1018"/>
      <c r="OL4" s="1018"/>
      <c r="OM4" s="1018"/>
      <c r="ON4" s="1018"/>
      <c r="OO4" s="1018"/>
      <c r="OP4" s="1018"/>
      <c r="OQ4" s="1018"/>
      <c r="OR4" s="1018"/>
      <c r="OS4" s="1018"/>
      <c r="OT4" s="1018"/>
      <c r="OU4" s="1018"/>
      <c r="OV4" s="1018"/>
      <c r="OW4" s="1018"/>
      <c r="OX4" s="1018"/>
      <c r="OY4" s="1018"/>
      <c r="OZ4" s="1018"/>
      <c r="PA4" s="1018"/>
      <c r="PB4" s="1018"/>
      <c r="PC4" s="1018"/>
      <c r="PD4" s="1018"/>
      <c r="PE4" s="1018"/>
      <c r="PF4" s="1018"/>
      <c r="PG4" s="1018"/>
      <c r="PH4" s="1018"/>
      <c r="PI4" s="1018"/>
      <c r="PJ4" s="1018"/>
      <c r="PK4" s="1018"/>
      <c r="PL4" s="1018"/>
      <c r="PM4" s="1018"/>
      <c r="PN4" s="1018"/>
      <c r="PO4" s="1018"/>
      <c r="PP4" s="1018"/>
      <c r="PQ4" s="1018"/>
      <c r="PR4" s="1018"/>
      <c r="PS4" s="1018"/>
      <c r="PT4" s="1018"/>
      <c r="PU4" s="1018"/>
      <c r="PV4" s="1018"/>
      <c r="PW4" s="1018"/>
      <c r="PX4" s="1018"/>
      <c r="PY4" s="1018"/>
      <c r="PZ4" s="1018"/>
      <c r="QA4" s="1018"/>
      <c r="QB4" s="1018"/>
      <c r="QC4" s="1018"/>
      <c r="QD4" s="1018"/>
      <c r="QE4" s="1018"/>
      <c r="QF4" s="1018"/>
      <c r="QG4" s="1018"/>
      <c r="QH4" s="1018"/>
      <c r="QI4" s="1018"/>
      <c r="QJ4" s="1018"/>
      <c r="QK4" s="1018"/>
      <c r="QL4" s="1018"/>
      <c r="QM4" s="1018"/>
      <c r="QN4" s="1018"/>
      <c r="QO4" s="1018"/>
      <c r="QP4" s="1018"/>
      <c r="QQ4" s="1018"/>
      <c r="QR4" s="1018"/>
      <c r="QS4" s="1018"/>
      <c r="QT4" s="1018"/>
      <c r="QU4" s="1018"/>
      <c r="QV4" s="1018"/>
      <c r="QW4" s="1018"/>
      <c r="QX4" s="1018"/>
      <c r="QY4" s="1018"/>
      <c r="QZ4" s="1018"/>
      <c r="RA4" s="1018"/>
      <c r="RB4" s="1018"/>
      <c r="RC4" s="1018"/>
      <c r="RD4" s="1018"/>
      <c r="RE4" s="1018"/>
      <c r="RF4" s="1018"/>
      <c r="RG4" s="1018"/>
      <c r="RH4" s="1018"/>
      <c r="RI4" s="1018"/>
      <c r="RJ4" s="1018"/>
      <c r="RK4" s="1018"/>
      <c r="RL4" s="1018"/>
      <c r="RM4" s="1018"/>
      <c r="RN4" s="1018"/>
      <c r="RO4" s="1018"/>
      <c r="RP4" s="1018"/>
      <c r="RQ4" s="1018"/>
      <c r="RR4" s="1018"/>
      <c r="RS4" s="1018"/>
      <c r="RT4" s="1018"/>
      <c r="RU4" s="1018"/>
      <c r="RV4" s="1018"/>
      <c r="RW4" s="1018"/>
      <c r="RX4" s="1018"/>
    </row>
    <row r="5" spans="1:492" s="1057" customFormat="1" ht="13.35" customHeight="1">
      <c r="A5" s="2397" t="str">
        <f>IF(A48&gt;0,"Finish Row!","")</f>
        <v/>
      </c>
      <c r="B5" s="1015" t="s">
        <v>1662</v>
      </c>
      <c r="D5" s="1018"/>
      <c r="E5" s="1015"/>
      <c r="F5" s="1018"/>
      <c r="G5" s="1046" t="s">
        <v>181</v>
      </c>
      <c r="J5" s="1073" t="s">
        <v>3104</v>
      </c>
      <c r="K5" s="1018"/>
      <c r="L5" s="1018"/>
      <c r="M5" s="1463" t="s">
        <v>535</v>
      </c>
      <c r="N5" s="1167"/>
      <c r="O5" s="1464" t="s">
        <v>3681</v>
      </c>
      <c r="P5" s="2390"/>
      <c r="Q5" s="1070"/>
      <c r="R5" s="1018"/>
      <c r="S5" s="1018"/>
      <c r="T5" s="1018"/>
      <c r="W5" s="2398"/>
      <c r="X5" s="2398"/>
      <c r="Y5" s="2398"/>
      <c r="Z5" s="2398"/>
      <c r="AA5" s="2398"/>
      <c r="AB5" s="2398"/>
      <c r="AC5" s="2398"/>
      <c r="AD5" s="2398"/>
      <c r="AE5" s="2398"/>
      <c r="AF5" s="2398"/>
      <c r="AG5" s="2398"/>
      <c r="AH5" s="2398"/>
      <c r="AI5" s="2398"/>
      <c r="AJ5" s="2398"/>
      <c r="AK5" s="2398"/>
      <c r="AL5" s="2398"/>
      <c r="AM5" s="2398"/>
      <c r="AN5" s="2398"/>
      <c r="AO5" s="2398"/>
      <c r="AP5" s="2398"/>
      <c r="AQ5" s="2398"/>
      <c r="AR5" s="2398"/>
      <c r="AS5" s="2398"/>
      <c r="AT5" s="2398"/>
      <c r="AU5" s="2398"/>
      <c r="AV5" s="2398"/>
      <c r="AW5" s="2398"/>
      <c r="AX5" s="2398"/>
      <c r="AY5" s="2398"/>
      <c r="AZ5" s="2398"/>
      <c r="BA5" s="2398"/>
      <c r="BB5" s="2398"/>
      <c r="BC5" s="2398"/>
      <c r="BD5" s="2398"/>
      <c r="BE5" s="2398"/>
      <c r="BF5" s="2398"/>
      <c r="BG5" s="2398"/>
      <c r="BH5" s="2398"/>
      <c r="BI5" s="2398"/>
      <c r="BJ5" s="2398"/>
      <c r="BK5" s="2398"/>
      <c r="BL5" s="2398"/>
      <c r="BM5" s="2398"/>
      <c r="BN5" s="2398"/>
      <c r="BO5" s="2398"/>
      <c r="BP5" s="2398"/>
      <c r="BQ5" s="2398"/>
      <c r="BR5" s="2398"/>
      <c r="BS5" s="2398"/>
      <c r="BT5" s="2398"/>
      <c r="BU5" s="2398"/>
      <c r="BV5" s="2398"/>
      <c r="BW5" s="2398"/>
      <c r="BX5" s="2398"/>
      <c r="BY5" s="2398"/>
      <c r="BZ5" s="2398"/>
      <c r="CA5" s="2398"/>
      <c r="CB5" s="2398"/>
      <c r="CC5" s="2398"/>
      <c r="CD5" s="2398"/>
      <c r="CE5" s="2398"/>
      <c r="CF5" s="2398"/>
      <c r="CG5" s="2398"/>
      <c r="CH5" s="2398"/>
      <c r="CI5" s="2398"/>
      <c r="CJ5" s="2398"/>
      <c r="CK5" s="2398"/>
      <c r="CL5" s="2398"/>
      <c r="CM5" s="2398"/>
      <c r="CN5" s="2398"/>
      <c r="CO5" s="2398"/>
      <c r="CP5" s="2398"/>
      <c r="CQ5" s="2398"/>
      <c r="CR5" s="2398"/>
      <c r="CS5" s="2398"/>
      <c r="CT5" s="2398"/>
      <c r="CU5" s="2398"/>
      <c r="CV5" s="2398"/>
      <c r="CW5" s="2398"/>
      <c r="CX5" s="2398"/>
      <c r="CY5" s="2398"/>
      <c r="CZ5" s="2398"/>
      <c r="DA5" s="2398"/>
      <c r="DB5" s="2398"/>
      <c r="DC5" s="2398"/>
      <c r="DD5" s="2398"/>
      <c r="DE5" s="2398"/>
      <c r="DF5" s="2398"/>
      <c r="DG5" s="2398"/>
      <c r="DH5" s="2398"/>
      <c r="DI5" s="2398"/>
      <c r="DJ5" s="2398"/>
      <c r="DK5" s="2398"/>
      <c r="DL5" s="2398"/>
      <c r="DM5" s="2398"/>
      <c r="DN5" s="2398"/>
      <c r="DO5" s="2398"/>
      <c r="DP5" s="2398"/>
      <c r="DQ5" s="2398"/>
      <c r="DR5" s="2398"/>
      <c r="DS5" s="2398"/>
      <c r="DT5" s="2398"/>
      <c r="DU5" s="2398"/>
      <c r="DV5" s="2398"/>
      <c r="DW5" s="2398"/>
      <c r="DX5" s="2398"/>
      <c r="DY5" s="2398"/>
      <c r="DZ5" s="2398"/>
      <c r="EA5" s="2398"/>
      <c r="EB5" s="2398"/>
      <c r="EC5" s="2398"/>
      <c r="ED5" s="2398"/>
      <c r="EE5" s="2398"/>
      <c r="EF5" s="2398"/>
      <c r="EG5" s="2398"/>
      <c r="EH5" s="2398"/>
      <c r="EI5" s="2398"/>
      <c r="EJ5" s="2398"/>
      <c r="EK5" s="2398"/>
      <c r="EL5" s="2398"/>
      <c r="EM5" s="2398"/>
      <c r="EN5" s="2398"/>
      <c r="EO5" s="2398"/>
      <c r="EP5" s="2398"/>
      <c r="EQ5" s="2398"/>
      <c r="ER5" s="2388"/>
      <c r="ES5" s="2388"/>
      <c r="ET5" s="2388"/>
      <c r="EU5" s="2388"/>
      <c r="EV5" s="2388"/>
      <c r="EW5" s="2388"/>
      <c r="EX5" s="2388"/>
      <c r="EY5" s="2388"/>
      <c r="EZ5" s="2388"/>
      <c r="FA5" s="2388"/>
      <c r="FB5" s="2398"/>
      <c r="FC5" s="2398"/>
      <c r="FD5" s="2398"/>
      <c r="FE5" s="2398"/>
      <c r="FF5" s="2398"/>
      <c r="FG5" s="2388"/>
      <c r="FH5" s="2388"/>
      <c r="FI5" s="2388"/>
      <c r="FJ5" s="2388"/>
      <c r="FK5" s="2388"/>
      <c r="FL5" s="2398"/>
      <c r="FM5" s="2398"/>
      <c r="FN5" s="2398"/>
      <c r="FO5" s="2398"/>
      <c r="FP5" s="2398"/>
      <c r="FQ5" s="2388"/>
      <c r="FR5" s="2388"/>
      <c r="FS5" s="2388"/>
      <c r="FT5" s="2388"/>
      <c r="FU5" s="2388"/>
      <c r="FV5" s="2388"/>
      <c r="FW5" s="2388"/>
      <c r="FX5" s="2388"/>
      <c r="FY5" s="2388"/>
      <c r="FZ5" s="2388"/>
      <c r="GA5" s="2388"/>
      <c r="GB5" s="2388"/>
      <c r="GC5" s="2388"/>
      <c r="GD5" s="2388"/>
      <c r="GE5" s="2388"/>
      <c r="GF5" s="2388"/>
      <c r="GG5" s="2388"/>
      <c r="GH5" s="2388"/>
      <c r="GI5" s="2388"/>
      <c r="GJ5" s="2388"/>
      <c r="GK5" s="2388"/>
      <c r="GL5" s="2388"/>
      <c r="GM5" s="2388"/>
      <c r="GN5" s="2388"/>
      <c r="GO5" s="2388"/>
      <c r="GP5" s="2388"/>
      <c r="GQ5" s="2388"/>
      <c r="GR5" s="2388"/>
      <c r="GS5" s="2388"/>
      <c r="GT5" s="2388"/>
      <c r="GU5" s="2388"/>
      <c r="GV5" s="2388"/>
      <c r="GW5" s="2388"/>
      <c r="GX5" s="2388"/>
      <c r="GY5" s="2388"/>
      <c r="GZ5" s="2388"/>
      <c r="HA5" s="2388"/>
      <c r="HB5" s="2388"/>
      <c r="HC5" s="2388"/>
      <c r="HD5" s="2388"/>
      <c r="HE5" s="2388"/>
      <c r="HF5" s="2388"/>
      <c r="HG5" s="2388"/>
      <c r="HH5" s="2388"/>
      <c r="HI5" s="2388"/>
      <c r="HJ5" s="2388"/>
      <c r="HK5" s="2388"/>
      <c r="HL5" s="2388"/>
      <c r="HM5" s="2388"/>
      <c r="HN5" s="2388"/>
      <c r="HO5" s="2388"/>
      <c r="HP5" s="2388"/>
      <c r="HQ5" s="2388"/>
      <c r="HR5" s="2388"/>
      <c r="HS5" s="2388"/>
      <c r="HT5" s="2388"/>
      <c r="HU5" s="2388"/>
      <c r="HV5" s="2388"/>
      <c r="HW5" s="2388"/>
      <c r="HX5" s="2388"/>
      <c r="HY5" s="1059"/>
      <c r="HZ5" s="1059"/>
      <c r="IA5" s="1059"/>
      <c r="IB5" s="1059"/>
      <c r="IC5" s="1059"/>
      <c r="ID5" s="1059"/>
      <c r="IE5" s="1059"/>
      <c r="IF5" s="1059"/>
      <c r="IG5" s="1059"/>
      <c r="IH5" s="1059"/>
      <c r="II5" s="1059"/>
      <c r="IJ5" s="1059"/>
      <c r="IK5" s="1059"/>
      <c r="IL5" s="1059"/>
      <c r="IM5" s="1059"/>
      <c r="IN5" s="1059"/>
      <c r="IO5" s="1059"/>
      <c r="IP5" s="1059"/>
      <c r="IQ5" s="1059"/>
      <c r="IR5" s="1059"/>
      <c r="IS5" s="1059"/>
      <c r="IT5" s="1059"/>
      <c r="IU5" s="1059"/>
      <c r="IV5" s="1059"/>
      <c r="IW5" s="1059"/>
      <c r="IX5" s="1059"/>
      <c r="IY5" s="1059"/>
      <c r="IZ5" s="1059"/>
      <c r="JA5" s="1059"/>
      <c r="JB5" s="1059"/>
      <c r="JC5" s="1059"/>
      <c r="JD5" s="1059"/>
      <c r="JE5" s="1059"/>
      <c r="JF5" s="1059"/>
      <c r="JG5" s="1059"/>
      <c r="JH5" s="1059"/>
      <c r="JI5" s="1059"/>
      <c r="JJ5" s="1059"/>
      <c r="JK5" s="1059"/>
      <c r="JL5" s="1059"/>
      <c r="JM5" s="1059"/>
      <c r="JN5" s="1059"/>
      <c r="JO5" s="1059"/>
      <c r="JP5" s="1059"/>
      <c r="JQ5" s="1059"/>
      <c r="JR5" s="1059"/>
      <c r="JS5" s="1059"/>
      <c r="JT5" s="1059"/>
      <c r="JU5" s="1059"/>
      <c r="JV5" s="1059"/>
      <c r="JW5" s="1059"/>
      <c r="JX5" s="1059"/>
      <c r="JY5" s="1059"/>
      <c r="JZ5" s="1059"/>
      <c r="KA5" s="1059"/>
      <c r="KB5" s="1059"/>
      <c r="KC5" s="1059"/>
      <c r="KD5" s="1059"/>
      <c r="KE5" s="1059"/>
      <c r="KF5" s="1059"/>
      <c r="KG5" s="1059"/>
      <c r="KH5" s="1059"/>
      <c r="KI5" s="1059"/>
      <c r="KJ5" s="1059"/>
      <c r="KK5" s="1059"/>
      <c r="KL5" s="1059"/>
      <c r="KM5" s="1059"/>
      <c r="KN5" s="1059"/>
      <c r="KO5" s="1059"/>
      <c r="KP5" s="1059"/>
      <c r="KQ5" s="1059"/>
      <c r="KR5" s="1059"/>
      <c r="KS5" s="1059"/>
      <c r="KT5" s="1059"/>
      <c r="KU5" s="1059"/>
      <c r="KV5" s="1058"/>
      <c r="KW5" s="1058"/>
      <c r="KX5" s="1058"/>
      <c r="KY5" s="1058"/>
      <c r="KZ5" s="1058"/>
      <c r="LA5" s="1058"/>
      <c r="LB5" s="1058"/>
      <c r="LC5" s="1058"/>
      <c r="LD5" s="1058"/>
      <c r="LE5" s="1058"/>
      <c r="LF5" s="2388"/>
      <c r="LG5" s="2388"/>
      <c r="LH5" s="2388"/>
      <c r="LI5" s="2388"/>
      <c r="LJ5" s="2388"/>
      <c r="LK5" s="2388"/>
      <c r="LL5" s="2388"/>
      <c r="LM5" s="2388"/>
      <c r="LN5" s="2388"/>
      <c r="LO5" s="2388"/>
      <c r="LP5" s="2388"/>
      <c r="LQ5" s="2388"/>
      <c r="LR5" s="2388"/>
      <c r="LS5" s="2388"/>
      <c r="LT5" s="2388"/>
      <c r="LU5" s="2388"/>
      <c r="LV5" s="2388"/>
      <c r="LW5" s="2388"/>
      <c r="LX5" s="2388"/>
      <c r="LY5" s="2388"/>
      <c r="LZ5" s="2388"/>
      <c r="MA5" s="2388"/>
      <c r="MB5" s="2388"/>
      <c r="MC5" s="2388"/>
      <c r="MD5" s="2388"/>
      <c r="ME5" s="2388"/>
      <c r="MF5" s="2388"/>
      <c r="MG5" s="2388"/>
      <c r="MH5" s="2388"/>
      <c r="MI5" s="2388"/>
      <c r="MJ5" s="2396" t="s">
        <v>2973</v>
      </c>
      <c r="MK5" s="2396" t="s">
        <v>2974</v>
      </c>
      <c r="ML5" s="2396" t="s">
        <v>2975</v>
      </c>
      <c r="MM5" s="2396" t="s">
        <v>2976</v>
      </c>
      <c r="MN5" s="2396" t="s">
        <v>2977</v>
      </c>
      <c r="MO5" s="2388" t="s">
        <v>2987</v>
      </c>
      <c r="MP5" s="2388" t="s">
        <v>2989</v>
      </c>
      <c r="MQ5" s="2388" t="s">
        <v>2990</v>
      </c>
      <c r="MR5" s="2388" t="s">
        <v>2991</v>
      </c>
      <c r="MS5" s="2388" t="s">
        <v>2992</v>
      </c>
      <c r="MT5" s="1058"/>
      <c r="MU5" s="1058"/>
      <c r="MV5" s="1058"/>
      <c r="MW5" s="1058"/>
      <c r="MX5" s="1058"/>
      <c r="MY5" s="1058"/>
      <c r="MZ5" s="1058"/>
      <c r="NA5" s="1058"/>
      <c r="NB5" s="1058"/>
      <c r="NC5" s="1058"/>
      <c r="ND5" s="1058"/>
      <c r="NE5" s="1058"/>
      <c r="NF5" s="1058"/>
      <c r="NG5" s="1058"/>
      <c r="NH5" s="1058"/>
      <c r="NI5" s="1058"/>
      <c r="NJ5" s="1058"/>
      <c r="NK5" s="1058"/>
      <c r="NL5" s="1058"/>
      <c r="NM5" s="1058"/>
      <c r="NN5" s="1058"/>
      <c r="NO5" s="1058"/>
      <c r="NP5" s="1058"/>
      <c r="NQ5" s="1058"/>
      <c r="NR5" s="1058"/>
      <c r="NS5" s="1058"/>
      <c r="NT5" s="1058"/>
      <c r="NU5" s="1058"/>
      <c r="NV5" s="1058"/>
      <c r="NW5" s="1058"/>
      <c r="NX5" s="1058"/>
      <c r="NY5" s="1058"/>
      <c r="NZ5" s="1058"/>
      <c r="OA5" s="1058"/>
      <c r="OB5" s="1058"/>
      <c r="OC5" s="1058"/>
      <c r="OD5" s="1018"/>
      <c r="OE5" s="1018"/>
      <c r="OF5" s="1018"/>
      <c r="OG5" s="1018"/>
      <c r="OH5" s="1018"/>
      <c r="OI5" s="1018"/>
      <c r="OJ5" s="1018"/>
      <c r="OK5" s="1018"/>
      <c r="OL5" s="1018"/>
      <c r="OM5" s="1018"/>
      <c r="ON5" s="1018"/>
      <c r="OO5" s="1018"/>
      <c r="OP5" s="1018"/>
      <c r="OQ5" s="1018"/>
      <c r="OR5" s="1018"/>
      <c r="OS5" s="1018"/>
      <c r="OT5" s="1018"/>
      <c r="OU5" s="1018"/>
      <c r="OV5" s="1018"/>
      <c r="OW5" s="1018"/>
      <c r="OX5" s="1018"/>
      <c r="OY5" s="1018"/>
      <c r="OZ5" s="1018"/>
      <c r="PA5" s="1018"/>
      <c r="PB5" s="1018"/>
      <c r="PC5" s="1018"/>
      <c r="PD5" s="1018"/>
      <c r="PE5" s="1018"/>
      <c r="PF5" s="1018"/>
      <c r="PG5" s="1018"/>
      <c r="PH5" s="1018"/>
      <c r="PI5" s="1018"/>
      <c r="PJ5" s="1018"/>
      <c r="PK5" s="1018"/>
      <c r="PL5" s="1018"/>
      <c r="PM5" s="1018"/>
      <c r="PN5" s="1018"/>
      <c r="PO5" s="1018"/>
      <c r="PP5" s="1018"/>
      <c r="PQ5" s="1018"/>
      <c r="PR5" s="1018"/>
      <c r="PS5" s="1018"/>
      <c r="PT5" s="1018"/>
      <c r="PU5" s="1018"/>
      <c r="PV5" s="1018"/>
      <c r="PW5" s="1018"/>
      <c r="PX5" s="1018"/>
      <c r="PY5" s="1018"/>
      <c r="PZ5" s="1018"/>
      <c r="QA5" s="1018"/>
      <c r="QB5" s="1018"/>
      <c r="QC5" s="1018"/>
      <c r="QD5" s="1018"/>
      <c r="QE5" s="1018"/>
      <c r="QF5" s="1018"/>
      <c r="QG5" s="1018"/>
      <c r="QH5" s="1018"/>
      <c r="QI5" s="1018"/>
      <c r="QJ5" s="1018"/>
      <c r="QK5" s="1018"/>
      <c r="QL5" s="1018"/>
      <c r="QM5" s="1018"/>
      <c r="QN5" s="1018"/>
      <c r="QO5" s="1018"/>
      <c r="QP5" s="1018"/>
      <c r="QQ5" s="1018"/>
      <c r="QR5" s="1018"/>
      <c r="QS5" s="1018"/>
      <c r="QT5" s="1018"/>
      <c r="QU5" s="1018"/>
      <c r="QV5" s="1018"/>
      <c r="QW5" s="1018"/>
      <c r="QX5" s="1018"/>
      <c r="QY5" s="1018"/>
      <c r="QZ5" s="1018"/>
      <c r="RA5" s="1018"/>
      <c r="RB5" s="1018"/>
      <c r="RC5" s="1018"/>
      <c r="RD5" s="1018"/>
      <c r="RE5" s="1018"/>
      <c r="RF5" s="1018"/>
      <c r="RG5" s="1018"/>
      <c r="RH5" s="1018"/>
      <c r="RI5" s="1018"/>
      <c r="RJ5" s="1018"/>
      <c r="RK5" s="1018"/>
      <c r="RL5" s="1018"/>
      <c r="RM5" s="1018"/>
      <c r="RN5" s="1018"/>
      <c r="RO5" s="1018"/>
      <c r="RP5" s="1018"/>
      <c r="RQ5" s="1018"/>
      <c r="RR5" s="1018"/>
      <c r="RS5" s="1018"/>
      <c r="RT5" s="1018"/>
      <c r="RU5" s="1018"/>
      <c r="RV5" s="1018"/>
      <c r="RW5" s="1018"/>
      <c r="RX5" s="1018"/>
    </row>
    <row r="6" spans="1:492" s="1057" customFormat="1" ht="13.35" customHeight="1">
      <c r="A6" s="2397"/>
      <c r="B6" s="1075" t="s">
        <v>1625</v>
      </c>
      <c r="D6" s="1018"/>
      <c r="E6" s="1015"/>
      <c r="F6" s="1076" t="s">
        <v>181</v>
      </c>
      <c r="G6" s="1073" t="s">
        <v>3367</v>
      </c>
      <c r="H6" s="2390" t="s">
        <v>2118</v>
      </c>
      <c r="I6" s="1073" t="s">
        <v>737</v>
      </c>
      <c r="J6" s="1073" t="s">
        <v>3368</v>
      </c>
      <c r="K6" s="1018"/>
      <c r="L6" s="1018"/>
      <c r="M6" s="2391">
        <f>'Part I-Project Information'!$O$40</f>
        <v>0</v>
      </c>
      <c r="N6" s="2391"/>
      <c r="O6" s="1465"/>
      <c r="P6" s="2390"/>
      <c r="Q6" s="1070"/>
      <c r="R6" s="1018"/>
      <c r="S6" s="2392" t="s">
        <v>2347</v>
      </c>
      <c r="T6" s="2392"/>
      <c r="W6" s="2398"/>
      <c r="X6" s="2398"/>
      <c r="Y6" s="2398"/>
      <c r="Z6" s="2398"/>
      <c r="AA6" s="2398"/>
      <c r="AB6" s="2398"/>
      <c r="AC6" s="2398"/>
      <c r="AD6" s="2398"/>
      <c r="AE6" s="2398"/>
      <c r="AF6" s="2398"/>
      <c r="AG6" s="2398"/>
      <c r="AH6" s="2398"/>
      <c r="AI6" s="2398"/>
      <c r="AJ6" s="2398"/>
      <c r="AK6" s="2398"/>
      <c r="AL6" s="2398"/>
      <c r="AM6" s="2398"/>
      <c r="AN6" s="2398"/>
      <c r="AO6" s="2398"/>
      <c r="AP6" s="2398"/>
      <c r="AQ6" s="2398"/>
      <c r="AR6" s="2398"/>
      <c r="AS6" s="2398"/>
      <c r="AT6" s="2398"/>
      <c r="AU6" s="2398"/>
      <c r="AV6" s="2398"/>
      <c r="AW6" s="2398"/>
      <c r="AX6" s="2398"/>
      <c r="AY6" s="2398"/>
      <c r="AZ6" s="2398"/>
      <c r="BA6" s="2398"/>
      <c r="BB6" s="2398"/>
      <c r="BC6" s="2398"/>
      <c r="BD6" s="2398"/>
      <c r="BE6" s="2398"/>
      <c r="BF6" s="2398"/>
      <c r="BG6" s="2398"/>
      <c r="BH6" s="2398"/>
      <c r="BI6" s="2398"/>
      <c r="BJ6" s="2398"/>
      <c r="BK6" s="2398"/>
      <c r="BL6" s="2398"/>
      <c r="BM6" s="2398"/>
      <c r="BN6" s="2398"/>
      <c r="BO6" s="2398"/>
      <c r="BP6" s="2398"/>
      <c r="BQ6" s="2398"/>
      <c r="BR6" s="2398"/>
      <c r="BS6" s="2398"/>
      <c r="BT6" s="2398"/>
      <c r="BU6" s="2398"/>
      <c r="BV6" s="2398"/>
      <c r="BW6" s="2398"/>
      <c r="BX6" s="2398"/>
      <c r="BY6" s="2398"/>
      <c r="BZ6" s="2398"/>
      <c r="CA6" s="2398"/>
      <c r="CB6" s="2398"/>
      <c r="CC6" s="2398"/>
      <c r="CD6" s="2398"/>
      <c r="CE6" s="2398"/>
      <c r="CF6" s="2398"/>
      <c r="CG6" s="2398"/>
      <c r="CH6" s="2398"/>
      <c r="CI6" s="2398"/>
      <c r="CJ6" s="2398"/>
      <c r="CK6" s="2398"/>
      <c r="CL6" s="2398"/>
      <c r="CM6" s="2398"/>
      <c r="CN6" s="2398"/>
      <c r="CO6" s="2398"/>
      <c r="CP6" s="2398"/>
      <c r="CQ6" s="2398"/>
      <c r="CR6" s="2398"/>
      <c r="CS6" s="2398"/>
      <c r="CT6" s="2398"/>
      <c r="CU6" s="2398"/>
      <c r="CV6" s="2398"/>
      <c r="CW6" s="2398"/>
      <c r="CX6" s="2398"/>
      <c r="CY6" s="2398"/>
      <c r="CZ6" s="2398"/>
      <c r="DA6" s="2398"/>
      <c r="DB6" s="2398"/>
      <c r="DC6" s="2398"/>
      <c r="DD6" s="2398"/>
      <c r="DE6" s="2398"/>
      <c r="DF6" s="2398"/>
      <c r="DG6" s="2398"/>
      <c r="DH6" s="2398"/>
      <c r="DI6" s="2398"/>
      <c r="DJ6" s="2398"/>
      <c r="DK6" s="2398"/>
      <c r="DL6" s="2398"/>
      <c r="DM6" s="2398"/>
      <c r="DN6" s="2398"/>
      <c r="DO6" s="2398"/>
      <c r="DP6" s="2398"/>
      <c r="DQ6" s="2398"/>
      <c r="DR6" s="2398"/>
      <c r="DS6" s="2398"/>
      <c r="DT6" s="2398"/>
      <c r="DU6" s="2398"/>
      <c r="DV6" s="2398"/>
      <c r="DW6" s="2398"/>
      <c r="DX6" s="2398"/>
      <c r="DY6" s="2398"/>
      <c r="DZ6" s="2398"/>
      <c r="EA6" s="2398"/>
      <c r="EB6" s="2398"/>
      <c r="EC6" s="2398"/>
      <c r="ED6" s="2398"/>
      <c r="EE6" s="2398"/>
      <c r="EF6" s="2398"/>
      <c r="EG6" s="2398"/>
      <c r="EH6" s="2398"/>
      <c r="EI6" s="2398"/>
      <c r="EJ6" s="2398"/>
      <c r="EK6" s="2398"/>
      <c r="EL6" s="2398"/>
      <c r="EM6" s="2398"/>
      <c r="EN6" s="2398"/>
      <c r="EO6" s="2398"/>
      <c r="EP6" s="2398"/>
      <c r="EQ6" s="2398"/>
      <c r="ER6" s="2388"/>
      <c r="ES6" s="2388"/>
      <c r="ET6" s="2388"/>
      <c r="EU6" s="2388"/>
      <c r="EV6" s="2388"/>
      <c r="EW6" s="2388"/>
      <c r="EX6" s="2388"/>
      <c r="EY6" s="2388"/>
      <c r="EZ6" s="2388"/>
      <c r="FA6" s="2388"/>
      <c r="FB6" s="2398"/>
      <c r="FC6" s="2398"/>
      <c r="FD6" s="2398"/>
      <c r="FE6" s="2398"/>
      <c r="FF6" s="2398"/>
      <c r="FG6" s="2388"/>
      <c r="FH6" s="2388"/>
      <c r="FI6" s="2388"/>
      <c r="FJ6" s="2388"/>
      <c r="FK6" s="2388"/>
      <c r="FL6" s="2398"/>
      <c r="FM6" s="2398"/>
      <c r="FN6" s="2398"/>
      <c r="FO6" s="2398"/>
      <c r="FP6" s="2398"/>
      <c r="FQ6" s="2388"/>
      <c r="FR6" s="2388"/>
      <c r="FS6" s="2388"/>
      <c r="FT6" s="2388"/>
      <c r="FU6" s="2388"/>
      <c r="FV6" s="2388"/>
      <c r="FW6" s="2388"/>
      <c r="FX6" s="2388"/>
      <c r="FY6" s="2388"/>
      <c r="FZ6" s="2388"/>
      <c r="GA6" s="2388"/>
      <c r="GB6" s="2388"/>
      <c r="GC6" s="2388"/>
      <c r="GD6" s="2388"/>
      <c r="GE6" s="2388"/>
      <c r="GF6" s="2388"/>
      <c r="GG6" s="2388"/>
      <c r="GH6" s="2388"/>
      <c r="GI6" s="2388"/>
      <c r="GJ6" s="2388"/>
      <c r="GK6" s="2388"/>
      <c r="GL6" s="2388"/>
      <c r="GM6" s="2388"/>
      <c r="GN6" s="2388"/>
      <c r="GO6" s="2388"/>
      <c r="GP6" s="2388"/>
      <c r="GQ6" s="2388"/>
      <c r="GR6" s="2388"/>
      <c r="GS6" s="2388"/>
      <c r="GT6" s="2388"/>
      <c r="GU6" s="2388"/>
      <c r="GV6" s="2388"/>
      <c r="GW6" s="2388"/>
      <c r="GX6" s="2388"/>
      <c r="GY6" s="2388"/>
      <c r="GZ6" s="2388"/>
      <c r="HA6" s="2388"/>
      <c r="HB6" s="2388"/>
      <c r="HC6" s="2388"/>
      <c r="HD6" s="2388"/>
      <c r="HE6" s="2388"/>
      <c r="HF6" s="2388"/>
      <c r="HG6" s="2388"/>
      <c r="HH6" s="2388"/>
      <c r="HI6" s="2388"/>
      <c r="HJ6" s="2388"/>
      <c r="HK6" s="2388"/>
      <c r="HL6" s="2388"/>
      <c r="HM6" s="2388"/>
      <c r="HN6" s="2388"/>
      <c r="HO6" s="2388"/>
      <c r="HP6" s="2388"/>
      <c r="HQ6" s="2388"/>
      <c r="HR6" s="2388"/>
      <c r="HS6" s="2388"/>
      <c r="HT6" s="2388"/>
      <c r="HU6" s="2388"/>
      <c r="HV6" s="2388"/>
      <c r="HW6" s="2388"/>
      <c r="HX6" s="2388"/>
      <c r="HY6" s="1059"/>
      <c r="HZ6" s="1059"/>
      <c r="IA6" s="1059"/>
      <c r="IB6" s="1059"/>
      <c r="IC6" s="1059"/>
      <c r="ID6" s="1059"/>
      <c r="IE6" s="1059"/>
      <c r="IF6" s="1059"/>
      <c r="IG6" s="1059"/>
      <c r="IH6" s="1059"/>
      <c r="II6" s="1059"/>
      <c r="IJ6" s="1059"/>
      <c r="IK6" s="1059"/>
      <c r="IL6" s="1059"/>
      <c r="IM6" s="1059"/>
      <c r="IN6" s="1059"/>
      <c r="IO6" s="1059"/>
      <c r="IP6" s="1059"/>
      <c r="IQ6" s="1059"/>
      <c r="IR6" s="1059"/>
      <c r="IS6" s="1059"/>
      <c r="IT6" s="1059"/>
      <c r="IU6" s="1059"/>
      <c r="IV6" s="1059"/>
      <c r="IW6" s="1059"/>
      <c r="IX6" s="1059"/>
      <c r="IY6" s="1059"/>
      <c r="IZ6" s="1059"/>
      <c r="JA6" s="1059"/>
      <c r="JB6" s="1059"/>
      <c r="JC6" s="1059"/>
      <c r="JD6" s="1059"/>
      <c r="JE6" s="1059"/>
      <c r="JF6" s="1059"/>
      <c r="JG6" s="1059"/>
      <c r="JH6" s="1059"/>
      <c r="JI6" s="1059"/>
      <c r="JJ6" s="1059"/>
      <c r="JK6" s="1059"/>
      <c r="JL6" s="1059"/>
      <c r="JM6" s="1059"/>
      <c r="JN6" s="1059"/>
      <c r="JO6" s="1059"/>
      <c r="JP6" s="1059"/>
      <c r="JQ6" s="1059"/>
      <c r="JR6" s="1059"/>
      <c r="JS6" s="1059"/>
      <c r="JT6" s="1059"/>
      <c r="JU6" s="1059"/>
      <c r="JV6" s="1059"/>
      <c r="JW6" s="1059"/>
      <c r="JX6" s="1059"/>
      <c r="JY6" s="1059"/>
      <c r="JZ6" s="1059"/>
      <c r="KA6" s="1059"/>
      <c r="KB6" s="1059"/>
      <c r="KC6" s="1059"/>
      <c r="KD6" s="1059"/>
      <c r="KE6" s="1059"/>
      <c r="KF6" s="1059"/>
      <c r="KG6" s="1059"/>
      <c r="KH6" s="1059"/>
      <c r="KI6" s="1059"/>
      <c r="KJ6" s="1059"/>
      <c r="KK6" s="1059"/>
      <c r="KL6" s="1059"/>
      <c r="KM6" s="1059"/>
      <c r="KN6" s="1059"/>
      <c r="KO6" s="1059"/>
      <c r="KP6" s="1059"/>
      <c r="KQ6" s="1059"/>
      <c r="KR6" s="1059"/>
      <c r="KS6" s="1059"/>
      <c r="KT6" s="1059"/>
      <c r="KU6" s="1059"/>
      <c r="KV6" s="1058"/>
      <c r="KW6" s="1058"/>
      <c r="KX6" s="1058"/>
      <c r="KY6" s="1058"/>
      <c r="KZ6" s="1058"/>
      <c r="LA6" s="1058"/>
      <c r="LB6" s="1058"/>
      <c r="LC6" s="1058"/>
      <c r="LD6" s="1058"/>
      <c r="LE6" s="1058"/>
      <c r="LF6" s="2388"/>
      <c r="LG6" s="2388"/>
      <c r="LH6" s="2388"/>
      <c r="LI6" s="2388"/>
      <c r="LJ6" s="2388"/>
      <c r="LK6" s="2388"/>
      <c r="LL6" s="2388"/>
      <c r="LM6" s="2388"/>
      <c r="LN6" s="2388"/>
      <c r="LO6" s="2388"/>
      <c r="LP6" s="2388"/>
      <c r="LQ6" s="2388"/>
      <c r="LR6" s="2388"/>
      <c r="LS6" s="2388"/>
      <c r="LT6" s="2388"/>
      <c r="LU6" s="2388"/>
      <c r="LV6" s="2388"/>
      <c r="LW6" s="2388"/>
      <c r="LX6" s="2388"/>
      <c r="LY6" s="2388"/>
      <c r="LZ6" s="2388"/>
      <c r="MA6" s="2388"/>
      <c r="MB6" s="2388"/>
      <c r="MC6" s="2388"/>
      <c r="MD6" s="2388"/>
      <c r="ME6" s="2388"/>
      <c r="MF6" s="2388"/>
      <c r="MG6" s="2388"/>
      <c r="MH6" s="2388"/>
      <c r="MI6" s="2388"/>
      <c r="MJ6" s="2396"/>
      <c r="MK6" s="2396"/>
      <c r="ML6" s="2396"/>
      <c r="MM6" s="2396"/>
      <c r="MN6" s="2396"/>
      <c r="MO6" s="2388"/>
      <c r="MP6" s="2388"/>
      <c r="MQ6" s="2388"/>
      <c r="MR6" s="2388"/>
      <c r="MS6" s="2388"/>
      <c r="MT6" s="1058"/>
      <c r="MU6" s="1058"/>
      <c r="MV6" s="1058"/>
      <c r="MW6" s="1058"/>
      <c r="MX6" s="1058"/>
      <c r="MY6" s="1058"/>
      <c r="MZ6" s="1058"/>
      <c r="NA6" s="1058"/>
      <c r="NB6" s="1058"/>
      <c r="NC6" s="1058"/>
      <c r="ND6" s="1058"/>
      <c r="NE6" s="1058"/>
      <c r="NF6" s="1058"/>
      <c r="NG6" s="1058"/>
      <c r="NH6" s="1058"/>
      <c r="NI6" s="1058"/>
      <c r="NJ6" s="1058"/>
      <c r="NK6" s="1058"/>
      <c r="NL6" s="1058"/>
      <c r="NM6" s="1058"/>
      <c r="NN6" s="1058"/>
      <c r="NO6" s="1058"/>
      <c r="NP6" s="1058"/>
      <c r="NQ6" s="1058"/>
      <c r="NR6" s="1058"/>
      <c r="NS6" s="1058"/>
      <c r="NT6" s="1058"/>
      <c r="NU6" s="1058"/>
      <c r="NV6" s="1058"/>
      <c r="NW6" s="1058"/>
      <c r="NX6" s="1058"/>
      <c r="NY6" s="1058"/>
      <c r="NZ6" s="1058"/>
      <c r="OA6" s="1058"/>
      <c r="OB6" s="1058"/>
      <c r="OC6" s="1058"/>
      <c r="OD6" s="1018"/>
      <c r="OE6" s="1018"/>
      <c r="OF6" s="1018"/>
      <c r="OG6" s="1018"/>
      <c r="OH6" s="1018"/>
      <c r="OI6" s="1018"/>
      <c r="OJ6" s="1018"/>
      <c r="OK6" s="1018"/>
      <c r="OL6" s="1018"/>
      <c r="OM6" s="1018"/>
      <c r="ON6" s="1018"/>
      <c r="OO6" s="1018"/>
      <c r="OP6" s="1018"/>
      <c r="OQ6" s="1018"/>
      <c r="OR6" s="1018"/>
      <c r="OS6" s="1018"/>
      <c r="OT6" s="1018"/>
      <c r="OU6" s="1018"/>
      <c r="OV6" s="1018"/>
      <c r="OW6" s="1018"/>
      <c r="OX6" s="1018"/>
      <c r="OY6" s="1018"/>
      <c r="OZ6" s="1018"/>
      <c r="PA6" s="1018"/>
      <c r="PB6" s="1018"/>
      <c r="PC6" s="1018"/>
      <c r="PD6" s="1018"/>
      <c r="PE6" s="1018"/>
      <c r="PF6" s="1018"/>
      <c r="PG6" s="1018"/>
      <c r="PH6" s="1018"/>
      <c r="PI6" s="1018"/>
      <c r="PJ6" s="1018"/>
      <c r="PK6" s="1018"/>
      <c r="PL6" s="1018"/>
      <c r="PM6" s="1018"/>
      <c r="PN6" s="1018"/>
      <c r="PO6" s="1018"/>
      <c r="PP6" s="1018"/>
      <c r="PQ6" s="1018"/>
      <c r="PR6" s="1018"/>
      <c r="PS6" s="1018"/>
      <c r="PT6" s="1018"/>
      <c r="PU6" s="1018"/>
      <c r="PV6" s="1018"/>
      <c r="PW6" s="1018"/>
      <c r="PX6" s="1018"/>
      <c r="PY6" s="1018"/>
      <c r="PZ6" s="1018"/>
      <c r="QA6" s="1018"/>
      <c r="QB6" s="1018"/>
      <c r="QC6" s="1018"/>
      <c r="QD6" s="1018"/>
      <c r="QE6" s="1018"/>
      <c r="QF6" s="1018"/>
      <c r="QG6" s="1018"/>
      <c r="QH6" s="1018"/>
      <c r="QI6" s="1018"/>
      <c r="QJ6" s="1018"/>
      <c r="QK6" s="1018"/>
      <c r="QL6" s="1018"/>
      <c r="QM6" s="1018"/>
      <c r="QN6" s="1018"/>
      <c r="QO6" s="1018"/>
      <c r="QP6" s="1018"/>
      <c r="QQ6" s="1018"/>
      <c r="QR6" s="1018"/>
      <c r="QS6" s="1018"/>
      <c r="QT6" s="1018"/>
      <c r="QU6" s="1018"/>
      <c r="QV6" s="1018"/>
      <c r="QW6" s="1018"/>
      <c r="QX6" s="1018"/>
      <c r="QY6" s="1018"/>
      <c r="QZ6" s="1018"/>
      <c r="RA6" s="1018"/>
      <c r="RB6" s="1018"/>
      <c r="RC6" s="1018"/>
      <c r="RD6" s="1018"/>
      <c r="RE6" s="1018"/>
      <c r="RF6" s="1018"/>
      <c r="RG6" s="1018"/>
      <c r="RH6" s="1018"/>
      <c r="RI6" s="1018"/>
      <c r="RJ6" s="1018"/>
      <c r="RK6" s="1018"/>
      <c r="RL6" s="1018"/>
      <c r="RM6" s="1018"/>
      <c r="RN6" s="1018"/>
      <c r="RO6" s="1018"/>
      <c r="RP6" s="1018"/>
      <c r="RQ6" s="1018"/>
      <c r="RR6" s="1018"/>
      <c r="RS6" s="1018"/>
      <c r="RT6" s="1018"/>
      <c r="RU6" s="1018"/>
      <c r="RV6" s="1018"/>
      <c r="RW6" s="1018"/>
      <c r="RX6" s="1018"/>
    </row>
    <row r="7" spans="1:492" s="1057" customFormat="1" ht="11.25" customHeight="1">
      <c r="A7" s="2397"/>
      <c r="B7" s="1077" t="s">
        <v>3369</v>
      </c>
      <c r="C7" s="1018"/>
      <c r="D7" s="1015"/>
      <c r="E7" s="1018"/>
      <c r="F7" s="1018"/>
      <c r="G7" s="1073" t="s">
        <v>3370</v>
      </c>
      <c r="H7" s="2390"/>
      <c r="I7" s="1073" t="s">
        <v>738</v>
      </c>
      <c r="J7" s="1073" t="s">
        <v>3371</v>
      </c>
      <c r="K7" s="1078"/>
      <c r="L7" s="1078"/>
      <c r="M7" s="2391"/>
      <c r="N7" s="2391"/>
      <c r="O7" s="1167"/>
      <c r="P7" s="2390"/>
      <c r="Q7" s="1070"/>
      <c r="R7" s="1078"/>
      <c r="S7" s="1079"/>
      <c r="T7" s="1080" t="s">
        <v>2344</v>
      </c>
      <c r="U7" s="1071"/>
      <c r="V7" s="1072"/>
      <c r="W7" s="2398"/>
      <c r="X7" s="2398"/>
      <c r="Y7" s="2398"/>
      <c r="Z7" s="2398"/>
      <c r="AA7" s="2398"/>
      <c r="AB7" s="2398"/>
      <c r="AC7" s="2398"/>
      <c r="AD7" s="2398"/>
      <c r="AE7" s="2398"/>
      <c r="AF7" s="2398"/>
      <c r="AG7" s="2398"/>
      <c r="AH7" s="2398"/>
      <c r="AI7" s="2398"/>
      <c r="AJ7" s="2398"/>
      <c r="AK7" s="2398"/>
      <c r="AL7" s="2398"/>
      <c r="AM7" s="2398"/>
      <c r="AN7" s="2398"/>
      <c r="AO7" s="2398"/>
      <c r="AP7" s="2398"/>
      <c r="AQ7" s="2398"/>
      <c r="AR7" s="2398"/>
      <c r="AS7" s="2398"/>
      <c r="AT7" s="2398"/>
      <c r="AU7" s="2398"/>
      <c r="AV7" s="2398"/>
      <c r="AW7" s="2398"/>
      <c r="AX7" s="2398"/>
      <c r="AY7" s="2398"/>
      <c r="AZ7" s="2398"/>
      <c r="BA7" s="2398"/>
      <c r="BB7" s="2398"/>
      <c r="BC7" s="2398"/>
      <c r="BD7" s="2398"/>
      <c r="BE7" s="2398"/>
      <c r="BF7" s="2398"/>
      <c r="BG7" s="2398"/>
      <c r="BH7" s="2398"/>
      <c r="BI7" s="2398"/>
      <c r="BJ7" s="2398"/>
      <c r="BK7" s="2398"/>
      <c r="BL7" s="2398"/>
      <c r="BM7" s="2398"/>
      <c r="BN7" s="2398"/>
      <c r="BO7" s="2398"/>
      <c r="BP7" s="2398"/>
      <c r="BQ7" s="2398"/>
      <c r="BR7" s="2398"/>
      <c r="BS7" s="2398"/>
      <c r="BT7" s="2398"/>
      <c r="BU7" s="2398"/>
      <c r="BV7" s="2398"/>
      <c r="BW7" s="2398"/>
      <c r="BX7" s="2398"/>
      <c r="BY7" s="2398"/>
      <c r="BZ7" s="2398"/>
      <c r="CA7" s="2398"/>
      <c r="CB7" s="2398"/>
      <c r="CC7" s="2398"/>
      <c r="CD7" s="2398"/>
      <c r="CE7" s="2398"/>
      <c r="CF7" s="2398"/>
      <c r="CG7" s="2398"/>
      <c r="CH7" s="2398"/>
      <c r="CI7" s="2398"/>
      <c r="CJ7" s="2398"/>
      <c r="CK7" s="2398"/>
      <c r="CL7" s="2398"/>
      <c r="CM7" s="2398"/>
      <c r="CN7" s="2398"/>
      <c r="CO7" s="2398"/>
      <c r="CP7" s="2398"/>
      <c r="CQ7" s="2398"/>
      <c r="CR7" s="2398"/>
      <c r="CS7" s="2398"/>
      <c r="CT7" s="2398"/>
      <c r="CU7" s="2398"/>
      <c r="CV7" s="2398"/>
      <c r="CW7" s="2398"/>
      <c r="CX7" s="2398"/>
      <c r="CY7" s="2398"/>
      <c r="CZ7" s="2398"/>
      <c r="DA7" s="2398"/>
      <c r="DB7" s="2398"/>
      <c r="DC7" s="2398"/>
      <c r="DD7" s="2398"/>
      <c r="DE7" s="2398"/>
      <c r="DF7" s="2398"/>
      <c r="DG7" s="2398"/>
      <c r="DH7" s="2398"/>
      <c r="DI7" s="2398"/>
      <c r="DJ7" s="2398"/>
      <c r="DK7" s="2398"/>
      <c r="DL7" s="2398"/>
      <c r="DM7" s="2398"/>
      <c r="DN7" s="2398"/>
      <c r="DO7" s="2398"/>
      <c r="DP7" s="2398"/>
      <c r="DQ7" s="2398"/>
      <c r="DR7" s="2398"/>
      <c r="DS7" s="2398"/>
      <c r="DT7" s="2398"/>
      <c r="DU7" s="2398"/>
      <c r="DV7" s="2398"/>
      <c r="DW7" s="2398"/>
      <c r="DX7" s="2398"/>
      <c r="DY7" s="2398"/>
      <c r="DZ7" s="2398"/>
      <c r="EA7" s="2398"/>
      <c r="EB7" s="2398"/>
      <c r="EC7" s="2398"/>
      <c r="ED7" s="2398"/>
      <c r="EE7" s="2398"/>
      <c r="EF7" s="2398"/>
      <c r="EG7" s="2398"/>
      <c r="EH7" s="2398"/>
      <c r="EI7" s="2398"/>
      <c r="EJ7" s="2398"/>
      <c r="EK7" s="2398"/>
      <c r="EL7" s="2398"/>
      <c r="EM7" s="2398"/>
      <c r="EN7" s="2398"/>
      <c r="EO7" s="2398"/>
      <c r="EP7" s="2398"/>
      <c r="EQ7" s="2398"/>
      <c r="ER7" s="2388"/>
      <c r="ES7" s="2388"/>
      <c r="ET7" s="2388"/>
      <c r="EU7" s="2388"/>
      <c r="EV7" s="2388"/>
      <c r="EW7" s="2388"/>
      <c r="EX7" s="2388"/>
      <c r="EY7" s="2388"/>
      <c r="EZ7" s="2388"/>
      <c r="FA7" s="2388"/>
      <c r="FB7" s="2398"/>
      <c r="FC7" s="2398"/>
      <c r="FD7" s="2398"/>
      <c r="FE7" s="2398"/>
      <c r="FF7" s="2398"/>
      <c r="FG7" s="2388"/>
      <c r="FH7" s="2388"/>
      <c r="FI7" s="2388"/>
      <c r="FJ7" s="2388"/>
      <c r="FK7" s="2388"/>
      <c r="FL7" s="2398"/>
      <c r="FM7" s="2398"/>
      <c r="FN7" s="2398"/>
      <c r="FO7" s="2398"/>
      <c r="FP7" s="2398"/>
      <c r="FQ7" s="2388"/>
      <c r="FR7" s="2388"/>
      <c r="FS7" s="2388"/>
      <c r="FT7" s="2388"/>
      <c r="FU7" s="2388"/>
      <c r="FV7" s="2388"/>
      <c r="FW7" s="2388"/>
      <c r="FX7" s="2388"/>
      <c r="FY7" s="2388"/>
      <c r="FZ7" s="2388"/>
      <c r="GA7" s="2388"/>
      <c r="GB7" s="2388"/>
      <c r="GC7" s="2388"/>
      <c r="GD7" s="2388"/>
      <c r="GE7" s="2388"/>
      <c r="GF7" s="2388"/>
      <c r="GG7" s="2388"/>
      <c r="GH7" s="2388"/>
      <c r="GI7" s="2388"/>
      <c r="GJ7" s="2388"/>
      <c r="GK7" s="2388"/>
      <c r="GL7" s="2388"/>
      <c r="GM7" s="2388"/>
      <c r="GN7" s="2388"/>
      <c r="GO7" s="2388"/>
      <c r="GP7" s="2388"/>
      <c r="GQ7" s="2388"/>
      <c r="GR7" s="2388"/>
      <c r="GS7" s="2388"/>
      <c r="GT7" s="2388"/>
      <c r="GU7" s="2388"/>
      <c r="GV7" s="2388"/>
      <c r="GW7" s="2388"/>
      <c r="GX7" s="2388"/>
      <c r="GY7" s="2388"/>
      <c r="GZ7" s="2388"/>
      <c r="HA7" s="2388"/>
      <c r="HB7" s="2388"/>
      <c r="HC7" s="2388"/>
      <c r="HD7" s="2388"/>
      <c r="HE7" s="2388"/>
      <c r="HF7" s="2388"/>
      <c r="HG7" s="2388"/>
      <c r="HH7" s="2388"/>
      <c r="HI7" s="2388"/>
      <c r="HJ7" s="2388"/>
      <c r="HK7" s="2388"/>
      <c r="HL7" s="2388"/>
      <c r="HM7" s="2388"/>
      <c r="HN7" s="2388"/>
      <c r="HO7" s="2388"/>
      <c r="HP7" s="2388"/>
      <c r="HQ7" s="2388"/>
      <c r="HR7" s="2388"/>
      <c r="HS7" s="2388"/>
      <c r="HT7" s="2388"/>
      <c r="HU7" s="2388"/>
      <c r="HV7" s="2388"/>
      <c r="HW7" s="2388"/>
      <c r="HX7" s="2388"/>
      <c r="HY7" s="1059"/>
      <c r="HZ7" s="1059"/>
      <c r="IA7" s="1059"/>
      <c r="IB7" s="1059"/>
      <c r="IC7" s="1059"/>
      <c r="ID7" s="1059"/>
      <c r="IE7" s="1059"/>
      <c r="IF7" s="1059"/>
      <c r="IG7" s="1059"/>
      <c r="IH7" s="1059"/>
      <c r="II7" s="1059"/>
      <c r="IJ7" s="1059"/>
      <c r="IK7" s="1059"/>
      <c r="IL7" s="1059"/>
      <c r="IM7" s="1059"/>
      <c r="IN7" s="1059"/>
      <c r="IO7" s="1059"/>
      <c r="IP7" s="1059"/>
      <c r="IQ7" s="1059"/>
      <c r="IR7" s="1059"/>
      <c r="IS7" s="1059"/>
      <c r="IT7" s="1059"/>
      <c r="IU7" s="1059"/>
      <c r="IV7" s="1059"/>
      <c r="IW7" s="1059"/>
      <c r="IX7" s="1081"/>
      <c r="IY7" s="1081"/>
      <c r="IZ7" s="1081"/>
      <c r="JA7" s="1081"/>
      <c r="JB7" s="1081"/>
      <c r="JC7" s="1081"/>
      <c r="JD7" s="1081"/>
      <c r="JE7" s="1081"/>
      <c r="JF7" s="1081"/>
      <c r="JG7" s="1081"/>
      <c r="JH7" s="1081"/>
      <c r="JI7" s="1081"/>
      <c r="JJ7" s="1081"/>
      <c r="JK7" s="1081"/>
      <c r="JL7" s="1081"/>
      <c r="JM7" s="1081"/>
      <c r="JN7" s="1081"/>
      <c r="JO7" s="1081"/>
      <c r="JP7" s="1081"/>
      <c r="JQ7" s="1081"/>
      <c r="JR7" s="1081"/>
      <c r="JS7" s="1081"/>
      <c r="JT7" s="1081"/>
      <c r="JU7" s="1081"/>
      <c r="JV7" s="1081"/>
      <c r="JW7" s="1081"/>
      <c r="JX7" s="1081"/>
      <c r="JY7" s="1081"/>
      <c r="JZ7" s="1081"/>
      <c r="KA7" s="1081"/>
      <c r="KB7" s="1081"/>
      <c r="KC7" s="1081"/>
      <c r="KD7" s="1081"/>
      <c r="KE7" s="1081"/>
      <c r="KF7" s="1081"/>
      <c r="KG7" s="1081"/>
      <c r="KH7" s="1081"/>
      <c r="KI7" s="1081"/>
      <c r="KJ7" s="1081"/>
      <c r="KK7" s="1081"/>
      <c r="KL7" s="1081"/>
      <c r="KM7" s="1081"/>
      <c r="KN7" s="1081"/>
      <c r="KO7" s="1081"/>
      <c r="KP7" s="1081"/>
      <c r="KQ7" s="1081"/>
      <c r="KR7" s="1081"/>
      <c r="KS7" s="1081"/>
      <c r="KT7" s="1081"/>
      <c r="KU7" s="1081"/>
      <c r="KV7" s="1081"/>
      <c r="KW7" s="1081"/>
      <c r="KX7" s="1081"/>
      <c r="KY7" s="1081"/>
      <c r="KZ7" s="1081"/>
      <c r="LA7" s="1081"/>
      <c r="LB7" s="1081"/>
      <c r="LC7" s="1081"/>
      <c r="LD7" s="1081"/>
      <c r="LE7" s="1081"/>
      <c r="LF7" s="2388"/>
      <c r="LG7" s="2388"/>
      <c r="LH7" s="2388"/>
      <c r="LI7" s="2388"/>
      <c r="LJ7" s="2388"/>
      <c r="LK7" s="2388"/>
      <c r="LL7" s="2388"/>
      <c r="LM7" s="2388"/>
      <c r="LN7" s="2388"/>
      <c r="LO7" s="2388"/>
      <c r="LP7" s="2388"/>
      <c r="LQ7" s="2388"/>
      <c r="LR7" s="2388"/>
      <c r="LS7" s="2388"/>
      <c r="LT7" s="2388"/>
      <c r="LU7" s="2388"/>
      <c r="LV7" s="2388"/>
      <c r="LW7" s="2388"/>
      <c r="LX7" s="2388"/>
      <c r="LY7" s="2388"/>
      <c r="LZ7" s="2388"/>
      <c r="MA7" s="2388"/>
      <c r="MB7" s="2388"/>
      <c r="MC7" s="2388"/>
      <c r="MD7" s="2388"/>
      <c r="ME7" s="2388"/>
      <c r="MF7" s="2388"/>
      <c r="MG7" s="2388"/>
      <c r="MH7" s="2388"/>
      <c r="MI7" s="2388"/>
      <c r="MJ7" s="2396"/>
      <c r="MK7" s="2396"/>
      <c r="ML7" s="2396"/>
      <c r="MM7" s="2396"/>
      <c r="MN7" s="2396"/>
      <c r="MO7" s="2388"/>
      <c r="MP7" s="2388"/>
      <c r="MQ7" s="2388"/>
      <c r="MR7" s="2388"/>
      <c r="MS7" s="2388"/>
      <c r="MT7" s="1058"/>
      <c r="MU7" s="1058"/>
      <c r="MV7" s="1058"/>
      <c r="MW7" s="1058"/>
      <c r="MX7" s="1058"/>
      <c r="MY7" s="1058"/>
      <c r="MZ7" s="1058"/>
      <c r="NA7" s="1058"/>
      <c r="NB7" s="1058"/>
      <c r="NC7" s="1058"/>
      <c r="ND7" s="1058"/>
      <c r="NE7" s="1058"/>
      <c r="NF7" s="1058"/>
      <c r="NG7" s="1058"/>
      <c r="NH7" s="1058"/>
      <c r="NI7" s="1058"/>
      <c r="NJ7" s="1058"/>
      <c r="NK7" s="1058"/>
      <c r="NL7" s="1058"/>
      <c r="NM7" s="1058"/>
      <c r="NN7" s="1058"/>
      <c r="NO7" s="1058"/>
      <c r="NP7" s="1058"/>
      <c r="NQ7" s="1058"/>
      <c r="NR7" s="1058"/>
      <c r="NS7" s="1058"/>
      <c r="NT7" s="1058"/>
      <c r="NU7" s="1058"/>
      <c r="NV7" s="1058"/>
      <c r="NW7" s="1058"/>
      <c r="NX7" s="1058"/>
      <c r="NY7" s="1058"/>
      <c r="NZ7" s="1058"/>
      <c r="OA7" s="1058"/>
      <c r="OB7" s="1058"/>
      <c r="OC7" s="1058"/>
      <c r="OD7" s="1018"/>
      <c r="OE7" s="1018"/>
      <c r="OF7" s="1018"/>
      <c r="OG7" s="1018"/>
      <c r="OH7" s="1018"/>
      <c r="OI7" s="1018"/>
      <c r="OJ7" s="1018"/>
      <c r="OK7" s="1018"/>
      <c r="OL7" s="1018"/>
      <c r="OM7" s="1018"/>
      <c r="ON7" s="1018"/>
      <c r="OO7" s="1018"/>
      <c r="OP7" s="1018"/>
      <c r="OQ7" s="1018"/>
      <c r="OR7" s="1018"/>
      <c r="OS7" s="1018"/>
      <c r="OT7" s="1018"/>
      <c r="OU7" s="1018"/>
      <c r="OV7" s="1018"/>
      <c r="OW7" s="1018"/>
      <c r="OX7" s="1018"/>
      <c r="OY7" s="1018"/>
      <c r="OZ7" s="1018"/>
      <c r="PA7" s="1018"/>
      <c r="PB7" s="1018"/>
      <c r="PC7" s="1018"/>
      <c r="PD7" s="1018"/>
      <c r="PE7" s="1018"/>
      <c r="PF7" s="1018"/>
      <c r="PG7" s="1018"/>
      <c r="PH7" s="1018"/>
      <c r="PI7" s="1018"/>
      <c r="PJ7" s="1018"/>
      <c r="PK7" s="1018"/>
      <c r="PL7" s="1018"/>
      <c r="PM7" s="1018"/>
      <c r="PN7" s="1018"/>
      <c r="PO7" s="1018"/>
      <c r="PP7" s="1018"/>
      <c r="PQ7" s="1018"/>
      <c r="PR7" s="1018"/>
      <c r="PS7" s="1018"/>
      <c r="PT7" s="1018"/>
      <c r="PU7" s="1018"/>
      <c r="PV7" s="1018"/>
      <c r="PW7" s="1018"/>
      <c r="PX7" s="1018"/>
      <c r="PY7" s="1018"/>
      <c r="PZ7" s="1018"/>
      <c r="QA7" s="1018"/>
      <c r="QB7" s="1018"/>
      <c r="QC7" s="1018"/>
      <c r="QD7" s="1018"/>
      <c r="QE7" s="1018"/>
      <c r="QF7" s="1018"/>
      <c r="QG7" s="1018"/>
      <c r="QH7" s="1018"/>
      <c r="QI7" s="1018"/>
      <c r="QJ7" s="1018"/>
      <c r="QK7" s="1018"/>
      <c r="QL7" s="1018"/>
      <c r="QM7" s="1018"/>
      <c r="QN7" s="1018"/>
      <c r="QO7" s="1018"/>
      <c r="QP7" s="1018"/>
      <c r="QQ7" s="1018"/>
      <c r="QR7" s="1018"/>
      <c r="QS7" s="1018"/>
      <c r="QT7" s="1018"/>
      <c r="QU7" s="1018"/>
      <c r="QV7" s="1018"/>
      <c r="QW7" s="1018"/>
      <c r="QX7" s="1018"/>
      <c r="QY7" s="1018"/>
      <c r="QZ7" s="1018"/>
      <c r="RA7" s="1018"/>
      <c r="RB7" s="1018"/>
      <c r="RC7" s="1018"/>
      <c r="RD7" s="1018"/>
      <c r="RE7" s="1018"/>
      <c r="RF7" s="1018"/>
      <c r="RG7" s="1018"/>
      <c r="RH7" s="1018"/>
      <c r="RI7" s="1018"/>
      <c r="RJ7" s="1018"/>
      <c r="RK7" s="1018"/>
      <c r="RL7" s="1018"/>
      <c r="RM7" s="1018"/>
      <c r="RN7" s="1018"/>
      <c r="RO7" s="1018"/>
      <c r="RP7" s="1018"/>
      <c r="RQ7" s="1018"/>
      <c r="RR7" s="1018"/>
      <c r="RS7" s="1018"/>
      <c r="RT7" s="1018"/>
      <c r="RU7" s="1018"/>
      <c r="RV7" s="1018"/>
      <c r="RW7" s="1018"/>
      <c r="RX7" s="1018"/>
    </row>
    <row r="8" spans="1:492" s="1085" customFormat="1" ht="11.25" customHeight="1">
      <c r="A8" s="2397"/>
      <c r="B8" s="1082" t="s">
        <v>3372</v>
      </c>
      <c r="C8" s="1073" t="s">
        <v>152</v>
      </c>
      <c r="D8" s="1073" t="s">
        <v>509</v>
      </c>
      <c r="E8" s="1073" t="s">
        <v>1354</v>
      </c>
      <c r="F8" s="1073" t="s">
        <v>1354</v>
      </c>
      <c r="G8" s="1073" t="s">
        <v>1356</v>
      </c>
      <c r="H8" s="1073" t="s">
        <v>3370</v>
      </c>
      <c r="I8" s="2393" t="s">
        <v>3373</v>
      </c>
      <c r="J8" s="1073" t="s">
        <v>2135</v>
      </c>
      <c r="K8" s="2395" t="s">
        <v>132</v>
      </c>
      <c r="L8" s="2395"/>
      <c r="M8" s="1073" t="s">
        <v>2104</v>
      </c>
      <c r="N8" s="1073" t="s">
        <v>496</v>
      </c>
      <c r="O8" s="1073" t="s">
        <v>361</v>
      </c>
      <c r="P8" s="2390"/>
      <c r="Q8" s="2395" t="s">
        <v>3374</v>
      </c>
      <c r="R8" s="2395"/>
      <c r="S8" s="1073" t="s">
        <v>2343</v>
      </c>
      <c r="T8" s="1073" t="s">
        <v>2345</v>
      </c>
      <c r="U8" s="1083"/>
      <c r="V8" s="1084"/>
      <c r="W8" s="2398"/>
      <c r="X8" s="2398"/>
      <c r="Y8" s="2398"/>
      <c r="Z8" s="2398"/>
      <c r="AA8" s="2398"/>
      <c r="AB8" s="2398"/>
      <c r="AC8" s="2398"/>
      <c r="AD8" s="2398"/>
      <c r="AE8" s="2398"/>
      <c r="AF8" s="2398"/>
      <c r="AG8" s="2398"/>
      <c r="AH8" s="2398"/>
      <c r="AI8" s="2398"/>
      <c r="AJ8" s="2398"/>
      <c r="AK8" s="2398"/>
      <c r="AL8" s="2398"/>
      <c r="AM8" s="2398"/>
      <c r="AN8" s="2398"/>
      <c r="AO8" s="2398"/>
      <c r="AP8" s="2398"/>
      <c r="AQ8" s="2398"/>
      <c r="AR8" s="2398"/>
      <c r="AS8" s="2398"/>
      <c r="AT8" s="2398"/>
      <c r="AU8" s="2398"/>
      <c r="AV8" s="2398"/>
      <c r="AW8" s="2398"/>
      <c r="AX8" s="2398"/>
      <c r="AY8" s="2398"/>
      <c r="AZ8" s="2398"/>
      <c r="BA8" s="2398"/>
      <c r="BB8" s="2398"/>
      <c r="BC8" s="2398"/>
      <c r="BD8" s="2398"/>
      <c r="BE8" s="2398"/>
      <c r="BF8" s="2398"/>
      <c r="BG8" s="2398"/>
      <c r="BH8" s="2398"/>
      <c r="BI8" s="2398"/>
      <c r="BJ8" s="2398"/>
      <c r="BK8" s="2398"/>
      <c r="BL8" s="2398"/>
      <c r="BM8" s="2398"/>
      <c r="BN8" s="2398"/>
      <c r="BO8" s="2398"/>
      <c r="BP8" s="2398"/>
      <c r="BQ8" s="2398"/>
      <c r="BR8" s="2398"/>
      <c r="BS8" s="2398"/>
      <c r="BT8" s="2398"/>
      <c r="BU8" s="2398"/>
      <c r="BV8" s="2398"/>
      <c r="BW8" s="2398"/>
      <c r="BX8" s="2398"/>
      <c r="BY8" s="2398"/>
      <c r="BZ8" s="2398"/>
      <c r="CA8" s="2398"/>
      <c r="CB8" s="2398"/>
      <c r="CC8" s="2398"/>
      <c r="CD8" s="2398"/>
      <c r="CE8" s="2398"/>
      <c r="CF8" s="2398"/>
      <c r="CG8" s="2398"/>
      <c r="CH8" s="2398"/>
      <c r="CI8" s="2398"/>
      <c r="CJ8" s="2398"/>
      <c r="CK8" s="2398"/>
      <c r="CL8" s="2398"/>
      <c r="CM8" s="2398"/>
      <c r="CN8" s="2398"/>
      <c r="CO8" s="2398"/>
      <c r="CP8" s="2398"/>
      <c r="CQ8" s="2398"/>
      <c r="CR8" s="2398"/>
      <c r="CS8" s="2398"/>
      <c r="CT8" s="2398"/>
      <c r="CU8" s="2398"/>
      <c r="CV8" s="2398"/>
      <c r="CW8" s="2398"/>
      <c r="CX8" s="2398"/>
      <c r="CY8" s="2398"/>
      <c r="CZ8" s="2398"/>
      <c r="DA8" s="2398"/>
      <c r="DB8" s="2398"/>
      <c r="DC8" s="2398"/>
      <c r="DD8" s="2398"/>
      <c r="DE8" s="2398"/>
      <c r="DF8" s="2398"/>
      <c r="DG8" s="2398"/>
      <c r="DH8" s="2398"/>
      <c r="DI8" s="2398"/>
      <c r="DJ8" s="2398"/>
      <c r="DK8" s="2398"/>
      <c r="DL8" s="2398"/>
      <c r="DM8" s="2398"/>
      <c r="DN8" s="2398"/>
      <c r="DO8" s="2398"/>
      <c r="DP8" s="2398"/>
      <c r="DQ8" s="2398"/>
      <c r="DR8" s="2398"/>
      <c r="DS8" s="2398"/>
      <c r="DT8" s="2398"/>
      <c r="DU8" s="2398"/>
      <c r="DV8" s="2398"/>
      <c r="DW8" s="2398"/>
      <c r="DX8" s="2398"/>
      <c r="DY8" s="2398"/>
      <c r="DZ8" s="2398"/>
      <c r="EA8" s="2398"/>
      <c r="EB8" s="2398"/>
      <c r="EC8" s="2398"/>
      <c r="ED8" s="2398"/>
      <c r="EE8" s="2398"/>
      <c r="EF8" s="2398"/>
      <c r="EG8" s="2398"/>
      <c r="EH8" s="2398"/>
      <c r="EI8" s="2398"/>
      <c r="EJ8" s="2398"/>
      <c r="EK8" s="2398"/>
      <c r="EL8" s="2398"/>
      <c r="EM8" s="2398"/>
      <c r="EN8" s="2398"/>
      <c r="EO8" s="2398"/>
      <c r="EP8" s="2398"/>
      <c r="EQ8" s="2398"/>
      <c r="ER8" s="2388"/>
      <c r="ES8" s="2388"/>
      <c r="ET8" s="2388"/>
      <c r="EU8" s="2388"/>
      <c r="EV8" s="2388"/>
      <c r="EW8" s="2388"/>
      <c r="EX8" s="2388"/>
      <c r="EY8" s="2388"/>
      <c r="EZ8" s="2388"/>
      <c r="FA8" s="2388"/>
      <c r="FB8" s="2398"/>
      <c r="FC8" s="2398"/>
      <c r="FD8" s="2398"/>
      <c r="FE8" s="2398"/>
      <c r="FF8" s="2398"/>
      <c r="FG8" s="2388"/>
      <c r="FH8" s="2388"/>
      <c r="FI8" s="2388"/>
      <c r="FJ8" s="2388"/>
      <c r="FK8" s="2388"/>
      <c r="FL8" s="2398"/>
      <c r="FM8" s="2398"/>
      <c r="FN8" s="2398"/>
      <c r="FO8" s="2398"/>
      <c r="FP8" s="2398"/>
      <c r="FQ8" s="2388"/>
      <c r="FR8" s="2388"/>
      <c r="FS8" s="2388"/>
      <c r="FT8" s="2388"/>
      <c r="FU8" s="2388"/>
      <c r="FV8" s="2388"/>
      <c r="FW8" s="2388"/>
      <c r="FX8" s="2388"/>
      <c r="FY8" s="2388"/>
      <c r="FZ8" s="2388"/>
      <c r="GA8" s="2388"/>
      <c r="GB8" s="2388"/>
      <c r="GC8" s="2388"/>
      <c r="GD8" s="2388"/>
      <c r="GE8" s="2388"/>
      <c r="GF8" s="2388"/>
      <c r="GG8" s="2388"/>
      <c r="GH8" s="2388"/>
      <c r="GI8" s="2388"/>
      <c r="GJ8" s="2388"/>
      <c r="GK8" s="2388"/>
      <c r="GL8" s="2388"/>
      <c r="GM8" s="2388"/>
      <c r="GN8" s="2388"/>
      <c r="GO8" s="2388"/>
      <c r="GP8" s="2388"/>
      <c r="GQ8" s="2388"/>
      <c r="GR8" s="2388"/>
      <c r="GS8" s="2388"/>
      <c r="GT8" s="2388"/>
      <c r="GU8" s="2388"/>
      <c r="GV8" s="2388"/>
      <c r="GW8" s="2388"/>
      <c r="GX8" s="2388"/>
      <c r="GY8" s="2388"/>
      <c r="GZ8" s="2388"/>
      <c r="HA8" s="2388"/>
      <c r="HB8" s="2388"/>
      <c r="HC8" s="2388"/>
      <c r="HD8" s="2388"/>
      <c r="HE8" s="2388"/>
      <c r="HF8" s="2388"/>
      <c r="HG8" s="2388"/>
      <c r="HH8" s="2388"/>
      <c r="HI8" s="2388"/>
      <c r="HJ8" s="2388"/>
      <c r="HK8" s="2388"/>
      <c r="HL8" s="2388"/>
      <c r="HM8" s="2388"/>
      <c r="HN8" s="2388"/>
      <c r="HO8" s="2388"/>
      <c r="HP8" s="2388"/>
      <c r="HQ8" s="2388"/>
      <c r="HR8" s="2388"/>
      <c r="HS8" s="2388"/>
      <c r="HT8" s="2388"/>
      <c r="HU8" s="2388"/>
      <c r="HV8" s="2388"/>
      <c r="HW8" s="2388"/>
      <c r="HX8" s="2388"/>
      <c r="HY8" s="2388" t="s">
        <v>1343</v>
      </c>
      <c r="HZ8" s="1081" t="s">
        <v>2165</v>
      </c>
      <c r="IA8" s="1081" t="s">
        <v>2166</v>
      </c>
      <c r="IB8" s="1081" t="s">
        <v>2167</v>
      </c>
      <c r="IC8" s="1081" t="s">
        <v>2168</v>
      </c>
      <c r="ID8" s="2388" t="s">
        <v>2214</v>
      </c>
      <c r="IE8" s="2388" t="s">
        <v>2214</v>
      </c>
      <c r="IF8" s="2388" t="s">
        <v>2214</v>
      </c>
      <c r="IG8" s="2388" t="s">
        <v>2214</v>
      </c>
      <c r="IH8" s="2388" t="s">
        <v>2214</v>
      </c>
      <c r="II8" s="2388" t="s">
        <v>2949</v>
      </c>
      <c r="IJ8" s="2388" t="s">
        <v>2949</v>
      </c>
      <c r="IK8" s="2388" t="s">
        <v>2949</v>
      </c>
      <c r="IL8" s="2388" t="s">
        <v>2949</v>
      </c>
      <c r="IM8" s="2388" t="s">
        <v>2949</v>
      </c>
      <c r="IN8" s="1081" t="s">
        <v>527</v>
      </c>
      <c r="IO8" s="1081" t="s">
        <v>2165</v>
      </c>
      <c r="IP8" s="1081" t="s">
        <v>2166</v>
      </c>
      <c r="IQ8" s="1081" t="s">
        <v>2167</v>
      </c>
      <c r="IR8" s="1081" t="s">
        <v>2168</v>
      </c>
      <c r="IS8" s="1081" t="s">
        <v>527</v>
      </c>
      <c r="IT8" s="1081" t="s">
        <v>2165</v>
      </c>
      <c r="IU8" s="1081" t="s">
        <v>2166</v>
      </c>
      <c r="IV8" s="1081" t="s">
        <v>2167</v>
      </c>
      <c r="IW8" s="1081" t="s">
        <v>2168</v>
      </c>
      <c r="IX8" s="2388" t="s">
        <v>2216</v>
      </c>
      <c r="IY8" s="2388" t="s">
        <v>2216</v>
      </c>
      <c r="IZ8" s="2388" t="s">
        <v>2216</v>
      </c>
      <c r="JA8" s="2388" t="s">
        <v>2216</v>
      </c>
      <c r="JB8" s="2388" t="s">
        <v>2216</v>
      </c>
      <c r="JC8" s="2388" t="s">
        <v>2945</v>
      </c>
      <c r="JD8" s="2388" t="s">
        <v>2945</v>
      </c>
      <c r="JE8" s="2388" t="s">
        <v>2945</v>
      </c>
      <c r="JF8" s="2388" t="s">
        <v>2945</v>
      </c>
      <c r="JG8" s="2388" t="s">
        <v>2945</v>
      </c>
      <c r="JH8" s="2388" t="s">
        <v>336</v>
      </c>
      <c r="JI8" s="2388" t="s">
        <v>336</v>
      </c>
      <c r="JJ8" s="2388" t="s">
        <v>336</v>
      </c>
      <c r="JK8" s="2388" t="s">
        <v>336</v>
      </c>
      <c r="JL8" s="2388" t="s">
        <v>336</v>
      </c>
      <c r="JM8" s="2388" t="s">
        <v>2944</v>
      </c>
      <c r="JN8" s="2388" t="s">
        <v>2944</v>
      </c>
      <c r="JO8" s="2388" t="s">
        <v>2944</v>
      </c>
      <c r="JP8" s="2388" t="s">
        <v>2944</v>
      </c>
      <c r="JQ8" s="2388" t="s">
        <v>2944</v>
      </c>
      <c r="JR8" s="2388" t="s">
        <v>337</v>
      </c>
      <c r="JS8" s="2388" t="s">
        <v>337</v>
      </c>
      <c r="JT8" s="2388" t="s">
        <v>337</v>
      </c>
      <c r="JU8" s="2388" t="s">
        <v>337</v>
      </c>
      <c r="JV8" s="2388" t="s">
        <v>337</v>
      </c>
      <c r="JW8" s="2388" t="s">
        <v>2943</v>
      </c>
      <c r="JX8" s="2388" t="s">
        <v>2943</v>
      </c>
      <c r="JY8" s="2388" t="s">
        <v>2943</v>
      </c>
      <c r="JZ8" s="2388" t="s">
        <v>2943</v>
      </c>
      <c r="KA8" s="2388" t="s">
        <v>2943</v>
      </c>
      <c r="KB8" s="2388" t="s">
        <v>338</v>
      </c>
      <c r="KC8" s="2388" t="s">
        <v>338</v>
      </c>
      <c r="KD8" s="2388" t="s">
        <v>338</v>
      </c>
      <c r="KE8" s="2388" t="s">
        <v>338</v>
      </c>
      <c r="KF8" s="2388" t="s">
        <v>338</v>
      </c>
      <c r="KG8" s="2388" t="s">
        <v>2946</v>
      </c>
      <c r="KH8" s="2388" t="s">
        <v>2946</v>
      </c>
      <c r="KI8" s="2388" t="s">
        <v>2946</v>
      </c>
      <c r="KJ8" s="2388" t="s">
        <v>2946</v>
      </c>
      <c r="KK8" s="2388" t="s">
        <v>2946</v>
      </c>
      <c r="KL8" s="2388" t="s">
        <v>339</v>
      </c>
      <c r="KM8" s="2388" t="s">
        <v>339</v>
      </c>
      <c r="KN8" s="2388" t="s">
        <v>339</v>
      </c>
      <c r="KO8" s="2388" t="s">
        <v>339</v>
      </c>
      <c r="KP8" s="2388" t="s">
        <v>339</v>
      </c>
      <c r="KQ8" s="2388" t="s">
        <v>2947</v>
      </c>
      <c r="KR8" s="2388" t="s">
        <v>2947</v>
      </c>
      <c r="KS8" s="2388" t="s">
        <v>2947</v>
      </c>
      <c r="KT8" s="2388" t="s">
        <v>2947</v>
      </c>
      <c r="KU8" s="2388" t="s">
        <v>2947</v>
      </c>
      <c r="KV8" s="2388" t="s">
        <v>1342</v>
      </c>
      <c r="KW8" s="2388" t="s">
        <v>1342</v>
      </c>
      <c r="KX8" s="2388" t="s">
        <v>1342</v>
      </c>
      <c r="KY8" s="2388" t="s">
        <v>1342</v>
      </c>
      <c r="KZ8" s="2388" t="s">
        <v>1342</v>
      </c>
      <c r="LA8" s="2388" t="s">
        <v>2948</v>
      </c>
      <c r="LB8" s="2388" t="s">
        <v>2948</v>
      </c>
      <c r="LC8" s="2388" t="s">
        <v>2948</v>
      </c>
      <c r="LD8" s="2388" t="s">
        <v>2948</v>
      </c>
      <c r="LE8" s="2388" t="s">
        <v>2948</v>
      </c>
      <c r="LF8" s="2388"/>
      <c r="LG8" s="2388"/>
      <c r="LH8" s="2388"/>
      <c r="LI8" s="2388"/>
      <c r="LJ8" s="2388"/>
      <c r="LK8" s="2388"/>
      <c r="LL8" s="2388"/>
      <c r="LM8" s="2388"/>
      <c r="LN8" s="2388"/>
      <c r="LO8" s="2388"/>
      <c r="LP8" s="2388"/>
      <c r="LQ8" s="2388"/>
      <c r="LR8" s="2388"/>
      <c r="LS8" s="2388"/>
      <c r="LT8" s="2388"/>
      <c r="LU8" s="2388"/>
      <c r="LV8" s="2388"/>
      <c r="LW8" s="2388"/>
      <c r="LX8" s="2388"/>
      <c r="LY8" s="2388"/>
      <c r="LZ8" s="2388"/>
      <c r="MA8" s="2388"/>
      <c r="MB8" s="2388"/>
      <c r="MC8" s="2388"/>
      <c r="MD8" s="2388"/>
      <c r="ME8" s="2388"/>
      <c r="MF8" s="2388"/>
      <c r="MG8" s="2388"/>
      <c r="MH8" s="2388"/>
      <c r="MI8" s="2388"/>
      <c r="MJ8" s="2396"/>
      <c r="MK8" s="2396"/>
      <c r="ML8" s="2396"/>
      <c r="MM8" s="2396"/>
      <c r="MN8" s="2396"/>
      <c r="MO8" s="2388"/>
      <c r="MP8" s="2388"/>
      <c r="MQ8" s="2388"/>
      <c r="MR8" s="2388"/>
      <c r="MS8" s="2388"/>
      <c r="MT8" s="1062"/>
      <c r="MU8" s="1062"/>
      <c r="MV8" s="1062"/>
      <c r="MW8" s="1062"/>
      <c r="MX8" s="1062"/>
      <c r="MY8" s="1062"/>
      <c r="MZ8" s="1062"/>
      <c r="NA8" s="1062"/>
      <c r="NB8" s="1062"/>
      <c r="NC8" s="1062"/>
      <c r="ND8" s="1062"/>
      <c r="NE8" s="1062"/>
      <c r="NF8" s="1062"/>
      <c r="NG8" s="1062"/>
      <c r="NH8" s="1062"/>
      <c r="NI8" s="1062"/>
      <c r="NJ8" s="1062"/>
      <c r="NK8" s="1062"/>
      <c r="NL8" s="1062"/>
      <c r="NM8" s="1062"/>
      <c r="NN8" s="1062"/>
      <c r="NO8" s="1062"/>
      <c r="NP8" s="1062"/>
      <c r="NQ8" s="1062"/>
      <c r="NR8" s="1062"/>
      <c r="NS8" s="1062"/>
      <c r="NT8" s="1062"/>
      <c r="NU8" s="1062"/>
      <c r="NV8" s="1062"/>
      <c r="NW8" s="1062"/>
      <c r="NX8" s="1062"/>
      <c r="NY8" s="1062"/>
      <c r="NZ8" s="1062"/>
      <c r="OA8" s="1062"/>
      <c r="OB8" s="1062"/>
      <c r="OC8" s="1062"/>
      <c r="OD8" s="849"/>
      <c r="OE8" s="849"/>
      <c r="OF8" s="849"/>
      <c r="OG8" s="849"/>
      <c r="OH8" s="849"/>
      <c r="OI8" s="849"/>
      <c r="OJ8" s="849"/>
      <c r="OK8" s="849"/>
      <c r="OL8" s="849"/>
      <c r="OM8" s="849"/>
      <c r="ON8" s="849"/>
      <c r="OO8" s="849"/>
      <c r="OP8" s="849"/>
      <c r="OQ8" s="849"/>
      <c r="OR8" s="849"/>
      <c r="OS8" s="849"/>
      <c r="OT8" s="849"/>
      <c r="OU8" s="849"/>
      <c r="OV8" s="849"/>
      <c r="OW8" s="849"/>
      <c r="OX8" s="849"/>
      <c r="OY8" s="849"/>
      <c r="OZ8" s="849"/>
      <c r="PA8" s="849"/>
      <c r="PB8" s="849"/>
      <c r="PC8" s="849"/>
      <c r="PD8" s="849"/>
      <c r="PE8" s="849"/>
      <c r="PF8" s="849"/>
      <c r="PG8" s="849"/>
      <c r="PH8" s="849"/>
      <c r="PI8" s="849"/>
      <c r="PJ8" s="849"/>
      <c r="PK8" s="849"/>
      <c r="PL8" s="849"/>
      <c r="PM8" s="849"/>
      <c r="PN8" s="849"/>
      <c r="PO8" s="849"/>
      <c r="PP8" s="849"/>
      <c r="PQ8" s="849"/>
      <c r="PR8" s="849"/>
      <c r="PS8" s="849"/>
      <c r="PT8" s="849"/>
      <c r="PU8" s="849"/>
      <c r="PV8" s="849"/>
      <c r="PW8" s="849"/>
      <c r="PX8" s="849"/>
      <c r="PY8" s="849"/>
      <c r="PZ8" s="849"/>
      <c r="QA8" s="849"/>
      <c r="QB8" s="849"/>
      <c r="QC8" s="849"/>
      <c r="QD8" s="849"/>
      <c r="QE8" s="849"/>
      <c r="QF8" s="849"/>
      <c r="QG8" s="849"/>
      <c r="QH8" s="849"/>
      <c r="QI8" s="849"/>
      <c r="QJ8" s="849"/>
      <c r="QK8" s="849"/>
      <c r="QL8" s="849"/>
      <c r="QM8" s="849"/>
      <c r="QN8" s="849"/>
      <c r="QO8" s="849"/>
      <c r="QP8" s="849"/>
      <c r="QQ8" s="849"/>
      <c r="QR8" s="849"/>
      <c r="QS8" s="849"/>
      <c r="QT8" s="849"/>
      <c r="QU8" s="849"/>
      <c r="QV8" s="849"/>
      <c r="QW8" s="849"/>
      <c r="QX8" s="849"/>
      <c r="QY8" s="849"/>
      <c r="QZ8" s="849"/>
      <c r="RA8" s="849"/>
      <c r="RB8" s="849"/>
      <c r="RC8" s="849"/>
      <c r="RD8" s="849"/>
      <c r="RE8" s="849"/>
      <c r="RF8" s="849"/>
      <c r="RG8" s="849"/>
      <c r="RH8" s="849"/>
      <c r="RI8" s="849"/>
      <c r="RJ8" s="849"/>
      <c r="RK8" s="849"/>
      <c r="RL8" s="849"/>
      <c r="RM8" s="849"/>
      <c r="RN8" s="849"/>
      <c r="RO8" s="849"/>
      <c r="RP8" s="849"/>
      <c r="RQ8" s="849"/>
      <c r="RR8" s="849"/>
      <c r="RS8" s="849"/>
      <c r="RT8" s="849"/>
      <c r="RU8" s="849"/>
      <c r="RV8" s="849"/>
      <c r="RW8" s="849"/>
      <c r="RX8" s="849"/>
    </row>
    <row r="9" spans="1:492" s="1085" customFormat="1" ht="11.25" customHeight="1">
      <c r="A9" s="2397"/>
      <c r="B9" s="1086" t="s">
        <v>3375</v>
      </c>
      <c r="C9" s="1073" t="s">
        <v>151</v>
      </c>
      <c r="D9" s="1073" t="s">
        <v>153</v>
      </c>
      <c r="E9" s="1073" t="s">
        <v>1355</v>
      </c>
      <c r="F9" s="1073" t="s">
        <v>1181</v>
      </c>
      <c r="G9" s="1073" t="s">
        <v>3376</v>
      </c>
      <c r="H9" s="1073" t="s">
        <v>1356</v>
      </c>
      <c r="I9" s="2394"/>
      <c r="J9" s="1087" t="s">
        <v>328</v>
      </c>
      <c r="K9" s="1073" t="s">
        <v>1393</v>
      </c>
      <c r="L9" s="1073" t="s">
        <v>503</v>
      </c>
      <c r="M9" s="1073" t="s">
        <v>1354</v>
      </c>
      <c r="N9" s="1073" t="s">
        <v>2895</v>
      </c>
      <c r="O9" s="1073" t="s">
        <v>362</v>
      </c>
      <c r="P9" s="2399"/>
      <c r="Q9" s="1073" t="s">
        <v>3134</v>
      </c>
      <c r="R9" s="1073" t="s">
        <v>963</v>
      </c>
      <c r="S9" s="1073" t="s">
        <v>1356</v>
      </c>
      <c r="T9" s="1073" t="s">
        <v>2346</v>
      </c>
      <c r="U9" s="2389" t="s">
        <v>1661</v>
      </c>
      <c r="V9" s="2389"/>
      <c r="W9" s="2398"/>
      <c r="X9" s="2398"/>
      <c r="Y9" s="2398"/>
      <c r="Z9" s="2398"/>
      <c r="AA9" s="2398"/>
      <c r="AB9" s="2398"/>
      <c r="AC9" s="2398"/>
      <c r="AD9" s="2398"/>
      <c r="AE9" s="2398"/>
      <c r="AF9" s="2398"/>
      <c r="AG9" s="2398"/>
      <c r="AH9" s="2398"/>
      <c r="AI9" s="2398"/>
      <c r="AJ9" s="2398"/>
      <c r="AK9" s="2398"/>
      <c r="AL9" s="2398"/>
      <c r="AM9" s="2398"/>
      <c r="AN9" s="2398"/>
      <c r="AO9" s="2398"/>
      <c r="AP9" s="2398"/>
      <c r="AQ9" s="2398"/>
      <c r="AR9" s="2398"/>
      <c r="AS9" s="2398"/>
      <c r="AT9" s="2398"/>
      <c r="AU9" s="2398"/>
      <c r="AV9" s="2398"/>
      <c r="AW9" s="2398"/>
      <c r="AX9" s="2398"/>
      <c r="AY9" s="2398"/>
      <c r="AZ9" s="2398"/>
      <c r="BA9" s="2398"/>
      <c r="BB9" s="2398"/>
      <c r="BC9" s="2398"/>
      <c r="BD9" s="2398"/>
      <c r="BE9" s="2398"/>
      <c r="BF9" s="2398"/>
      <c r="BG9" s="2398"/>
      <c r="BH9" s="2398"/>
      <c r="BI9" s="2398"/>
      <c r="BJ9" s="2398"/>
      <c r="BK9" s="2398"/>
      <c r="BL9" s="2398"/>
      <c r="BM9" s="2398"/>
      <c r="BN9" s="2398"/>
      <c r="BO9" s="2398"/>
      <c r="BP9" s="2398"/>
      <c r="BQ9" s="2398"/>
      <c r="BR9" s="2398"/>
      <c r="BS9" s="2398"/>
      <c r="BT9" s="2398"/>
      <c r="BU9" s="2398"/>
      <c r="BV9" s="2398"/>
      <c r="BW9" s="2398"/>
      <c r="BX9" s="2398"/>
      <c r="BY9" s="2398"/>
      <c r="BZ9" s="2398"/>
      <c r="CA9" s="2398"/>
      <c r="CB9" s="2398"/>
      <c r="CC9" s="2398"/>
      <c r="CD9" s="2398"/>
      <c r="CE9" s="2398"/>
      <c r="CF9" s="2398"/>
      <c r="CG9" s="2398"/>
      <c r="CH9" s="2398"/>
      <c r="CI9" s="2398"/>
      <c r="CJ9" s="2398"/>
      <c r="CK9" s="2398"/>
      <c r="CL9" s="2398"/>
      <c r="CM9" s="2398"/>
      <c r="CN9" s="2398"/>
      <c r="CO9" s="2398"/>
      <c r="CP9" s="2398"/>
      <c r="CQ9" s="2398"/>
      <c r="CR9" s="2398"/>
      <c r="CS9" s="2398"/>
      <c r="CT9" s="2398"/>
      <c r="CU9" s="2398"/>
      <c r="CV9" s="2398"/>
      <c r="CW9" s="2398"/>
      <c r="CX9" s="2398"/>
      <c r="CY9" s="2398"/>
      <c r="CZ9" s="2398"/>
      <c r="DA9" s="2398"/>
      <c r="DB9" s="2398"/>
      <c r="DC9" s="2398"/>
      <c r="DD9" s="2398"/>
      <c r="DE9" s="2398"/>
      <c r="DF9" s="2398"/>
      <c r="DG9" s="2398"/>
      <c r="DH9" s="2398"/>
      <c r="DI9" s="2398"/>
      <c r="DJ9" s="2398"/>
      <c r="DK9" s="2398"/>
      <c r="DL9" s="2398"/>
      <c r="DM9" s="2398"/>
      <c r="DN9" s="2398"/>
      <c r="DO9" s="2398"/>
      <c r="DP9" s="2398"/>
      <c r="DQ9" s="2398"/>
      <c r="DR9" s="2398"/>
      <c r="DS9" s="2398"/>
      <c r="DT9" s="2398"/>
      <c r="DU9" s="2398"/>
      <c r="DV9" s="2398"/>
      <c r="DW9" s="2398"/>
      <c r="DX9" s="2398"/>
      <c r="DY9" s="2398"/>
      <c r="DZ9" s="2398"/>
      <c r="EA9" s="2398"/>
      <c r="EB9" s="2398"/>
      <c r="EC9" s="2398"/>
      <c r="ED9" s="2398"/>
      <c r="EE9" s="2398"/>
      <c r="EF9" s="2398"/>
      <c r="EG9" s="2398"/>
      <c r="EH9" s="2398"/>
      <c r="EI9" s="2398"/>
      <c r="EJ9" s="2398"/>
      <c r="EK9" s="2398"/>
      <c r="EL9" s="2398"/>
      <c r="EM9" s="2398"/>
      <c r="EN9" s="2398"/>
      <c r="EO9" s="2398"/>
      <c r="EP9" s="2398"/>
      <c r="EQ9" s="2398"/>
      <c r="ER9" s="2388"/>
      <c r="ES9" s="2388"/>
      <c r="ET9" s="2388"/>
      <c r="EU9" s="2388"/>
      <c r="EV9" s="2388"/>
      <c r="EW9" s="2388"/>
      <c r="EX9" s="2388"/>
      <c r="EY9" s="2388"/>
      <c r="EZ9" s="2388"/>
      <c r="FA9" s="2388"/>
      <c r="FB9" s="2398"/>
      <c r="FC9" s="2398"/>
      <c r="FD9" s="2398"/>
      <c r="FE9" s="2398"/>
      <c r="FF9" s="2398"/>
      <c r="FG9" s="2388"/>
      <c r="FH9" s="2388"/>
      <c r="FI9" s="2388"/>
      <c r="FJ9" s="2388"/>
      <c r="FK9" s="2388"/>
      <c r="FL9" s="2398"/>
      <c r="FM9" s="2398"/>
      <c r="FN9" s="2398"/>
      <c r="FO9" s="2398"/>
      <c r="FP9" s="2398"/>
      <c r="FQ9" s="2388"/>
      <c r="FR9" s="2388"/>
      <c r="FS9" s="2388"/>
      <c r="FT9" s="2388"/>
      <c r="FU9" s="2388"/>
      <c r="FV9" s="2388"/>
      <c r="FW9" s="2388"/>
      <c r="FX9" s="2388"/>
      <c r="FY9" s="2388"/>
      <c r="FZ9" s="2388"/>
      <c r="GA9" s="2388"/>
      <c r="GB9" s="2388"/>
      <c r="GC9" s="2388"/>
      <c r="GD9" s="2388"/>
      <c r="GE9" s="2388"/>
      <c r="GF9" s="2388"/>
      <c r="GG9" s="2388"/>
      <c r="GH9" s="2388"/>
      <c r="GI9" s="2388"/>
      <c r="GJ9" s="2388"/>
      <c r="GK9" s="2388"/>
      <c r="GL9" s="2388"/>
      <c r="GM9" s="2388"/>
      <c r="GN9" s="2388"/>
      <c r="GO9" s="2388"/>
      <c r="GP9" s="2388"/>
      <c r="GQ9" s="2388"/>
      <c r="GR9" s="2388"/>
      <c r="GS9" s="2388"/>
      <c r="GT9" s="2388"/>
      <c r="GU9" s="2388"/>
      <c r="GV9" s="2388"/>
      <c r="GW9" s="2388"/>
      <c r="GX9" s="2388"/>
      <c r="GY9" s="2388"/>
      <c r="GZ9" s="2388"/>
      <c r="HA9" s="2388"/>
      <c r="HB9" s="2388"/>
      <c r="HC9" s="2388"/>
      <c r="HD9" s="2388"/>
      <c r="HE9" s="2388"/>
      <c r="HF9" s="2388"/>
      <c r="HG9" s="2388"/>
      <c r="HH9" s="2388"/>
      <c r="HI9" s="2388"/>
      <c r="HJ9" s="2388"/>
      <c r="HK9" s="2388"/>
      <c r="HL9" s="2388"/>
      <c r="HM9" s="2388"/>
      <c r="HN9" s="2388"/>
      <c r="HO9" s="2388"/>
      <c r="HP9" s="2388"/>
      <c r="HQ9" s="2388"/>
      <c r="HR9" s="2388"/>
      <c r="HS9" s="2388"/>
      <c r="HT9" s="2388"/>
      <c r="HU9" s="2388"/>
      <c r="HV9" s="2388"/>
      <c r="HW9" s="2388"/>
      <c r="HX9" s="2388"/>
      <c r="HY9" s="2388"/>
      <c r="HZ9" s="1081" t="s">
        <v>2213</v>
      </c>
      <c r="IA9" s="1081" t="s">
        <v>2213</v>
      </c>
      <c r="IB9" s="1081" t="s">
        <v>2213</v>
      </c>
      <c r="IC9" s="1081" t="s">
        <v>2213</v>
      </c>
      <c r="ID9" s="2388"/>
      <c r="IE9" s="2388"/>
      <c r="IF9" s="2388"/>
      <c r="IG9" s="2388"/>
      <c r="IH9" s="2388"/>
      <c r="II9" s="2388"/>
      <c r="IJ9" s="2388"/>
      <c r="IK9" s="2388"/>
      <c r="IL9" s="2388"/>
      <c r="IM9" s="2388"/>
      <c r="IN9" s="1081" t="s">
        <v>2215</v>
      </c>
      <c r="IO9" s="1081" t="s">
        <v>2215</v>
      </c>
      <c r="IP9" s="1081" t="s">
        <v>2215</v>
      </c>
      <c r="IQ9" s="1081" t="s">
        <v>2215</v>
      </c>
      <c r="IR9" s="1081" t="s">
        <v>2215</v>
      </c>
      <c r="IS9" s="1081" t="s">
        <v>2950</v>
      </c>
      <c r="IT9" s="1081" t="s">
        <v>2950</v>
      </c>
      <c r="IU9" s="1081" t="s">
        <v>2950</v>
      </c>
      <c r="IV9" s="1081" t="s">
        <v>2950</v>
      </c>
      <c r="IW9" s="1081" t="s">
        <v>2950</v>
      </c>
      <c r="IX9" s="2388"/>
      <c r="IY9" s="2388"/>
      <c r="IZ9" s="2388"/>
      <c r="JA9" s="2388"/>
      <c r="JB9" s="2388"/>
      <c r="JC9" s="2388"/>
      <c r="JD9" s="2388"/>
      <c r="JE9" s="2388"/>
      <c r="JF9" s="2388"/>
      <c r="JG9" s="2388"/>
      <c r="JH9" s="2388"/>
      <c r="JI9" s="2388"/>
      <c r="JJ9" s="2388"/>
      <c r="JK9" s="2388"/>
      <c r="JL9" s="2388"/>
      <c r="JM9" s="2388"/>
      <c r="JN9" s="2388"/>
      <c r="JO9" s="2388"/>
      <c r="JP9" s="2388"/>
      <c r="JQ9" s="2388"/>
      <c r="JR9" s="2388"/>
      <c r="JS9" s="2388"/>
      <c r="JT9" s="2388"/>
      <c r="JU9" s="2388"/>
      <c r="JV9" s="2388"/>
      <c r="JW9" s="2388"/>
      <c r="JX9" s="2388"/>
      <c r="JY9" s="2388"/>
      <c r="JZ9" s="2388"/>
      <c r="KA9" s="2388"/>
      <c r="KB9" s="2388"/>
      <c r="KC9" s="2388"/>
      <c r="KD9" s="2388"/>
      <c r="KE9" s="2388"/>
      <c r="KF9" s="2388"/>
      <c r="KG9" s="2388"/>
      <c r="KH9" s="2388"/>
      <c r="KI9" s="2388"/>
      <c r="KJ9" s="2388"/>
      <c r="KK9" s="2388"/>
      <c r="KL9" s="2388"/>
      <c r="KM9" s="2388"/>
      <c r="KN9" s="2388"/>
      <c r="KO9" s="2388"/>
      <c r="KP9" s="2388"/>
      <c r="KQ9" s="2388"/>
      <c r="KR9" s="2388"/>
      <c r="KS9" s="2388"/>
      <c r="KT9" s="2388"/>
      <c r="KU9" s="2388"/>
      <c r="KV9" s="2388"/>
      <c r="KW9" s="2388"/>
      <c r="KX9" s="2388"/>
      <c r="KY9" s="2388"/>
      <c r="KZ9" s="2388"/>
      <c r="LA9" s="2388"/>
      <c r="LB9" s="2388"/>
      <c r="LC9" s="2388"/>
      <c r="LD9" s="2388"/>
      <c r="LE9" s="2388"/>
      <c r="LF9" s="2388"/>
      <c r="LG9" s="2388"/>
      <c r="LH9" s="2388"/>
      <c r="LI9" s="2388"/>
      <c r="LJ9" s="2388"/>
      <c r="LK9" s="2388"/>
      <c r="LL9" s="2388"/>
      <c r="LM9" s="2388"/>
      <c r="LN9" s="2388"/>
      <c r="LO9" s="2388"/>
      <c r="LP9" s="2388"/>
      <c r="LQ9" s="2388"/>
      <c r="LR9" s="2388"/>
      <c r="LS9" s="2388"/>
      <c r="LT9" s="2388"/>
      <c r="LU9" s="2388"/>
      <c r="LV9" s="2388"/>
      <c r="LW9" s="2388"/>
      <c r="LX9" s="2388"/>
      <c r="LY9" s="2388"/>
      <c r="LZ9" s="2388"/>
      <c r="MA9" s="2388"/>
      <c r="MB9" s="2388"/>
      <c r="MC9" s="2388"/>
      <c r="MD9" s="2388"/>
      <c r="ME9" s="2388"/>
      <c r="MF9" s="2388"/>
      <c r="MG9" s="2388"/>
      <c r="MH9" s="2388"/>
      <c r="MI9" s="2388"/>
      <c r="MJ9" s="2396"/>
      <c r="MK9" s="2396"/>
      <c r="ML9" s="2396"/>
      <c r="MM9" s="2396"/>
      <c r="MN9" s="2396"/>
      <c r="MO9" s="2388"/>
      <c r="MP9" s="2388"/>
      <c r="MQ9" s="2388"/>
      <c r="MR9" s="2388"/>
      <c r="MS9" s="2388"/>
      <c r="MT9" s="1062"/>
      <c r="MU9" s="1062"/>
      <c r="MV9" s="1062"/>
      <c r="MW9" s="1062"/>
      <c r="MX9" s="1062"/>
      <c r="MY9" s="1062"/>
      <c r="MZ9" s="1062"/>
      <c r="NA9" s="1062"/>
      <c r="NB9" s="1062"/>
      <c r="NC9" s="1062"/>
      <c r="ND9" s="1062"/>
      <c r="NE9" s="1062"/>
      <c r="NF9" s="1062"/>
      <c r="NG9" s="1062"/>
      <c r="NH9" s="1062"/>
      <c r="NI9" s="1062"/>
      <c r="NJ9" s="1062"/>
      <c r="NK9" s="1062"/>
      <c r="NL9" s="1062"/>
      <c r="NM9" s="1062"/>
      <c r="NN9" s="1062"/>
      <c r="NO9" s="1062"/>
      <c r="NP9" s="1062"/>
      <c r="NQ9" s="1062"/>
      <c r="NR9" s="1062"/>
      <c r="NS9" s="1062"/>
      <c r="NT9" s="1062"/>
      <c r="NU9" s="1062"/>
      <c r="NV9" s="1062"/>
      <c r="NW9" s="1062"/>
      <c r="NX9" s="1062"/>
      <c r="NY9" s="1062"/>
      <c r="NZ9" s="1062"/>
      <c r="OA9" s="1062"/>
      <c r="OB9" s="1062"/>
      <c r="OC9" s="1062"/>
      <c r="OD9" s="849"/>
      <c r="OE9" s="849"/>
      <c r="OF9" s="849"/>
      <c r="OG9" s="849"/>
      <c r="OH9" s="849"/>
      <c r="OI9" s="849"/>
      <c r="OJ9" s="849"/>
      <c r="OK9" s="849"/>
      <c r="OL9" s="849"/>
      <c r="OM9" s="849"/>
      <c r="ON9" s="849"/>
      <c r="OO9" s="849"/>
      <c r="OP9" s="849"/>
      <c r="OQ9" s="849"/>
      <c r="OR9" s="849"/>
      <c r="OS9" s="849"/>
      <c r="OT9" s="849"/>
      <c r="OU9" s="849"/>
      <c r="OV9" s="849"/>
      <c r="OW9" s="849"/>
      <c r="OX9" s="849"/>
      <c r="OY9" s="849"/>
      <c r="OZ9" s="849"/>
      <c r="PA9" s="849"/>
      <c r="PB9" s="849"/>
      <c r="PC9" s="849"/>
      <c r="PD9" s="849"/>
      <c r="PE9" s="849"/>
      <c r="PF9" s="849"/>
      <c r="PG9" s="849"/>
      <c r="PH9" s="849"/>
      <c r="PI9" s="849"/>
      <c r="PJ9" s="849"/>
      <c r="PK9" s="849"/>
      <c r="PL9" s="849"/>
      <c r="PM9" s="849"/>
      <c r="PN9" s="849"/>
      <c r="PO9" s="849"/>
      <c r="PP9" s="849"/>
      <c r="PQ9" s="849"/>
      <c r="PR9" s="849"/>
      <c r="PS9" s="849"/>
      <c r="PT9" s="849"/>
      <c r="PU9" s="849"/>
      <c r="PV9" s="849"/>
      <c r="PW9" s="849"/>
      <c r="PX9" s="849"/>
      <c r="PY9" s="849"/>
      <c r="PZ9" s="849"/>
      <c r="QA9" s="849"/>
      <c r="QB9" s="849"/>
      <c r="QC9" s="849"/>
      <c r="QD9" s="849"/>
      <c r="QE9" s="849"/>
      <c r="QF9" s="849"/>
      <c r="QG9" s="849"/>
      <c r="QH9" s="849"/>
      <c r="QI9" s="849"/>
      <c r="QJ9" s="849"/>
      <c r="QK9" s="849"/>
      <c r="QL9" s="849"/>
      <c r="QM9" s="849"/>
      <c r="QN9" s="849"/>
      <c r="QO9" s="849"/>
      <c r="QP9" s="849"/>
      <c r="QQ9" s="849"/>
      <c r="QR9" s="849"/>
      <c r="QS9" s="849"/>
      <c r="QT9" s="849"/>
      <c r="QU9" s="849"/>
      <c r="QV9" s="849"/>
      <c r="QW9" s="849"/>
      <c r="QX9" s="849"/>
      <c r="QY9" s="849"/>
      <c r="QZ9" s="849"/>
      <c r="RA9" s="849"/>
      <c r="RB9" s="849"/>
      <c r="RC9" s="849"/>
      <c r="RD9" s="849"/>
      <c r="RE9" s="849"/>
      <c r="RF9" s="849"/>
      <c r="RG9" s="849"/>
      <c r="RH9" s="849"/>
      <c r="RI9" s="849"/>
      <c r="RJ9" s="849"/>
      <c r="RK9" s="849"/>
      <c r="RL9" s="849"/>
      <c r="RM9" s="849"/>
      <c r="RN9" s="849"/>
      <c r="RO9" s="849"/>
      <c r="RP9" s="849"/>
      <c r="RQ9" s="849"/>
      <c r="RR9" s="849"/>
      <c r="RS9" s="849"/>
      <c r="RT9" s="849"/>
      <c r="RU9" s="849"/>
      <c r="RV9" s="849"/>
      <c r="RW9" s="849"/>
      <c r="RX9" s="849"/>
    </row>
    <row r="10" spans="1:492" ht="12" customHeight="1">
      <c r="A10" s="1088" t="str">
        <f t="shared" ref="A10:A47" si="0">IF(AND(E10&gt;0,OR(B10="",C10="",D10="",F10="",G10="", H10="",M10="",N10="",O10="",P10="")),1,"")</f>
        <v/>
      </c>
      <c r="B10" s="1089" t="s">
        <v>3377</v>
      </c>
      <c r="C10" s="38"/>
      <c r="D10" s="39"/>
      <c r="E10" s="40"/>
      <c r="F10" s="40"/>
      <c r="G10" s="40"/>
      <c r="H10" s="40"/>
      <c r="I10" s="1090">
        <f>IF(C10="",0,HLOOKUP(C10,'Part V-Utility Allowances'!$I$11:$M$22,12))</f>
        <v>0</v>
      </c>
      <c r="J10" s="809"/>
      <c r="K10" s="511">
        <f t="shared" ref="K10:K47" si="1">MAX(0,H10-I10)</f>
        <v>0</v>
      </c>
      <c r="L10" s="511">
        <f t="shared" ref="L10:L47" si="2">MAX(0,E10*K10)</f>
        <v>0</v>
      </c>
      <c r="M10" s="1091"/>
      <c r="N10" s="1091"/>
      <c r="O10" s="1091"/>
      <c r="P10" s="1092"/>
      <c r="Q10" s="1093" t="str">
        <f t="shared" ref="Q10:Q47" si="3">IF(H10="","",H10*12/0.3)</f>
        <v/>
      </c>
      <c r="R10" s="1094" t="str">
        <f>IF(H10="","",IF(C10="Efficiency",Q10/($O$6*VLOOKUP(0,'DCA Underwriting Assumptions'!$J$146:$K$151,2,FALSE)),Q10/($O$6*VLOOKUP(C10,'DCA Underwriting Assumptions'!$J$146:$K$151,2,FALSE))))</f>
        <v/>
      </c>
      <c r="S10" s="1095"/>
      <c r="T10" s="1096"/>
      <c r="U10" s="2355"/>
      <c r="V10" s="2357"/>
      <c r="W10" s="1064" t="str">
        <f t="shared" ref="W10:W47" si="4">IF(AND(C10="Efficiency",B10=80,NOT(M10="Common Space")),E10,"")</f>
        <v/>
      </c>
      <c r="X10" s="1064" t="str">
        <f t="shared" ref="X10:X47" si="5">IF(AND(C10=1,B10=80,NOT(M10="Common Space")),E10,"")</f>
        <v/>
      </c>
      <c r="Y10" s="1064" t="str">
        <f t="shared" ref="Y10:Y47" si="6">IF(AND(C10=2,B10=80,NOT(M10="Common Space")),E10,"")</f>
        <v/>
      </c>
      <c r="Z10" s="1064" t="str">
        <f t="shared" ref="Z10:Z47" si="7">IF(AND(C10=3,B10=80,NOT(M10="Common Space")),E10,"")</f>
        <v/>
      </c>
      <c r="AA10" s="1064" t="str">
        <f t="shared" ref="AA10:AA47" si="8">IF(AND(C10=4,B10=80,NOT(M10="Common Space")),E10,"")</f>
        <v/>
      </c>
      <c r="AB10" s="1064" t="str">
        <f t="shared" ref="AB10:AB47" si="9">IF(AND(C10="Efficiency",B10=70,NOT(M10="Common Space")),E10,"")</f>
        <v/>
      </c>
      <c r="AC10" s="1064" t="str">
        <f t="shared" ref="AC10:AC47" si="10">IF(AND(C10=1,B10=70,NOT(M10="Common Space")),E10,"")</f>
        <v/>
      </c>
      <c r="AD10" s="1064" t="str">
        <f t="shared" ref="AD10:AD47" si="11">IF(AND(C10=2,B10=70,NOT(M10="Common Space")),E10,"")</f>
        <v/>
      </c>
      <c r="AE10" s="1064" t="str">
        <f t="shared" ref="AE10:AE47" si="12">IF(AND(C10=3,B10=70,NOT(M10="Common Space")),E10,"")</f>
        <v/>
      </c>
      <c r="AF10" s="1064" t="str">
        <f t="shared" ref="AF10:AF47" si="13">IF(AND(C10=4,B10=70,NOT(M10="Common Space")),E10,"")</f>
        <v/>
      </c>
      <c r="AG10" s="1064" t="str">
        <f t="shared" ref="AG10:AG47" si="14">IF(AND(C10="Efficiency",B10=60,NOT(M10="Common Space")),E10,"")</f>
        <v/>
      </c>
      <c r="AH10" s="1064" t="str">
        <f t="shared" ref="AH10:AH47" si="15">IF(AND(C10=1,B10=60,NOT(M10="Common Space")),E10,"")</f>
        <v/>
      </c>
      <c r="AI10" s="1064" t="str">
        <f t="shared" ref="AI10:AI47" si="16">IF(AND(C10=2,B10=60,NOT(M10="Common Space")),E10,"")</f>
        <v/>
      </c>
      <c r="AJ10" s="1064" t="str">
        <f t="shared" ref="AJ10:AJ47" si="17">IF(AND(C10=3,B10=60,NOT(M10="Common Space")),E10,"")</f>
        <v/>
      </c>
      <c r="AK10" s="1064" t="str">
        <f t="shared" ref="AK10:AK47" si="18">IF(AND(C10=4,B10=60,NOT(M10="Common Space")),E10,"")</f>
        <v/>
      </c>
      <c r="AL10" s="1064" t="str">
        <f t="shared" ref="AL10:AL47" si="19">IF(AND(C10="Efficiency",B10=50,NOT(M10="Common Space")),E10,"")</f>
        <v/>
      </c>
      <c r="AM10" s="1064" t="str">
        <f t="shared" ref="AM10:AM47" si="20">IF(AND(C10=1,B10=50,NOT(M10="Common Space")),E10,"")</f>
        <v/>
      </c>
      <c r="AN10" s="1064" t="str">
        <f t="shared" ref="AN10:AN47" si="21">IF(AND(C10=2,B10=50,NOT(M10="Common Space")),E10,"")</f>
        <v/>
      </c>
      <c r="AO10" s="1064" t="str">
        <f t="shared" ref="AO10:AO47" si="22">IF(AND(C10=3,B10=50,NOT(M10="Common Space")),E10,"")</f>
        <v/>
      </c>
      <c r="AP10" s="1064" t="str">
        <f t="shared" ref="AP10:AP47" si="23">IF(AND(C10=4,B10=50,NOT(M10="Common Space")),E10,"")</f>
        <v/>
      </c>
      <c r="AQ10" s="1064" t="str">
        <f t="shared" ref="AQ10:AQ47" si="24">IF(AND(C10="Efficiency",B10=40,NOT(M10="Common Space")),E10,"")</f>
        <v/>
      </c>
      <c r="AR10" s="1064" t="str">
        <f t="shared" ref="AR10:AR47" si="25">IF(AND(C10=1,B10=40,NOT(M10="Common Space")),E10,"")</f>
        <v/>
      </c>
      <c r="AS10" s="1064" t="str">
        <f t="shared" ref="AS10:AS47" si="26">IF(AND(C10=2,B10=40,NOT(M10="Common Space")),E10,"")</f>
        <v/>
      </c>
      <c r="AT10" s="1064" t="str">
        <f t="shared" ref="AT10:AT47" si="27">IF(AND(C10=3,B10=40,NOT(M10="Common Space")),E10,"")</f>
        <v/>
      </c>
      <c r="AU10" s="1064" t="str">
        <f t="shared" ref="AU10:AU47" si="28">IF(AND(C10=4,B10=40,NOT(M10="Common Space")),E10,"")</f>
        <v/>
      </c>
      <c r="AV10" s="1064" t="str">
        <f t="shared" ref="AV10:AV47" si="29">IF(AND(C10="Efficiency",B10=30,NOT(M10="Common Space")),E10,"")</f>
        <v/>
      </c>
      <c r="AW10" s="1064" t="str">
        <f t="shared" ref="AW10:AW47" si="30">IF(AND(C10=1,B10=30,NOT(M10="Common Space")),E10,"")</f>
        <v/>
      </c>
      <c r="AX10" s="1064" t="str">
        <f t="shared" ref="AX10:AX47" si="31">IF(AND(C10=2,B10=30,NOT(M10="Common Space")),E10,"")</f>
        <v/>
      </c>
      <c r="AY10" s="1064" t="str">
        <f t="shared" ref="AY10:AY47" si="32">IF(AND(C10=3,B10=30,NOT(M10="Common Space")),E10,"")</f>
        <v/>
      </c>
      <c r="AZ10" s="1064" t="str">
        <f t="shared" ref="AZ10:AZ47" si="33">IF(AND(C10=4,B10=30,NOT(M10="Common Space")),E10,"")</f>
        <v/>
      </c>
      <c r="BA10" s="1064" t="str">
        <f t="shared" ref="BA10:BA47" si="34">IF(AND(C10="Efficiency",B10=20,NOT(M10="Common Space")),E10,"")</f>
        <v/>
      </c>
      <c r="BB10" s="1064" t="str">
        <f t="shared" ref="BB10:BB47" si="35">IF(AND(C10=1,B10=20,NOT(M10="Common Space")),E10,"")</f>
        <v/>
      </c>
      <c r="BC10" s="1064" t="str">
        <f t="shared" ref="BC10:BC47" si="36">IF(AND(C10=2,B10=20,NOT(M10="Common Space")),E10,"")</f>
        <v/>
      </c>
      <c r="BD10" s="1064" t="str">
        <f t="shared" ref="BD10:BD47" si="37">IF(AND(C10=3,B10=20,NOT(M10="Common Space")),E10,"")</f>
        <v/>
      </c>
      <c r="BE10" s="1064" t="str">
        <f t="shared" ref="BE10:BE47" si="38">IF(AND(C10=4,B10=20,NOT(M10="Common Space")),E10,"")</f>
        <v/>
      </c>
      <c r="BF10" s="1064" t="str">
        <f t="shared" ref="BF10:BF47" si="39">IF(AND(C10="Efficiency",B10="Unrestricted",NOT(M10="Common Space")),E10,"")</f>
        <v/>
      </c>
      <c r="BG10" s="1064" t="str">
        <f t="shared" ref="BG10:BG47" si="40">IF(AND(C10=1,B10="Unrestricted",NOT(M10="Common Space")),E10,"")</f>
        <v/>
      </c>
      <c r="BH10" s="1064" t="str">
        <f t="shared" ref="BH10:BH47" si="41">IF(AND(C10=2,B10="Unrestricted",NOT(M10="Common Space")),E10,"")</f>
        <v/>
      </c>
      <c r="BI10" s="1064" t="str">
        <f t="shared" ref="BI10:BI47" si="42">IF(AND(C10=3,B10="Unrestricted",NOT(M10="Common Space")),E10,"")</f>
        <v/>
      </c>
      <c r="BJ10" s="1064" t="str">
        <f t="shared" ref="BJ10:BJ47" si="43">IF(AND(C10=4,B10="Unrestricted",NOT(M10="Common Space")),E10,"")</f>
        <v/>
      </c>
      <c r="BK10" s="1064" t="str">
        <f t="shared" ref="BK10:BK47" si="44">IF(OR(AND($C10="Efficiency",NOT($J10=""),NOT($J10="PHA Oper Sub"),$B10=20,NOT($M10="Common Space")),AND($C10="Efficiency",NOT($J10=""),NOT($J10="PHA Oper Sub"),$B10="HOME 20",NOT($M10="Common Space"))),$E10,"")</f>
        <v/>
      </c>
      <c r="BL10" s="1064" t="str">
        <f t="shared" ref="BL10:BL47" si="45">IF(OR(AND($C10=1,NOT($J10=""),NOT($J10="PHA Oper Sub"),$B10=20,NOT($M10="Common Space")),AND($C10=1,NOT($J10=""),NOT($J10="PHA Oper Sub"),$B10="HOME 20",NOT($M10="Common Space"))),$E10,"")</f>
        <v/>
      </c>
      <c r="BM10" s="1064" t="str">
        <f t="shared" ref="BM10:BM47" si="46">IF(OR(AND($C10=2,NOT($J10=""),NOT($J10="PHA Oper Sub"),$B10=20,NOT($M10="Common Space")),AND($C10=2,NOT($J10=""),NOT($J10="PHA Oper Sub"),$B10="HOME 20",NOT($M10="Common Space"))),$E10,"")</f>
        <v/>
      </c>
      <c r="BN10" s="1064" t="str">
        <f t="shared" ref="BN10:BN47" si="47">IF(OR(AND($C10=3,NOT($J10=""),NOT($J10="PHA Oper Sub"),$B10=20,NOT($M10="Common Space")),AND($C10=3,NOT($J10=""),NOT($J10="PHA Oper Sub"),$B10="HOME 20",NOT($M10="Common Space"))),$E10,"")</f>
        <v/>
      </c>
      <c r="BO10" s="1064" t="str">
        <f t="shared" ref="BO10:BO47" si="48">IF(OR(AND($C10=4,NOT($J10=""),NOT($J10="PHA Oper Sub"),$B10=20,NOT($M10="Common Space")),AND($C10=4,NOT($J10=""),NOT($J10="PHA Oper Sub"),$B10="HOME 20",NOT($M10="Common Space"))),$E10,"")</f>
        <v/>
      </c>
      <c r="BP10" s="1064" t="str">
        <f t="shared" ref="BP10:BP47" si="49">IF(OR(AND($C10="Efficiency",NOT($J10=""),NOT($J10="PHA Oper Sub"),$B10=30,NOT($M10="Common Space")),AND($C10="Efficiency",NOT($J10=""),NOT($J10="PHA Oper Sub"),$B10="HOME 30",NOT($M10="Common Space"))),$E10,"")</f>
        <v/>
      </c>
      <c r="BQ10" s="1064" t="str">
        <f t="shared" ref="BQ10:BQ47" si="50">IF(OR(AND($C10=1,NOT($J10=""),NOT($J10="PHA Oper Sub"),$B10=30,NOT($M10="Common Space")),AND($C10=1,NOT($J10=""),NOT($J10="PHA Oper Sub"),$B10="HOME 30",NOT($M10="Common Space"))),$E10,"")</f>
        <v/>
      </c>
      <c r="BR10" s="1064" t="str">
        <f t="shared" ref="BR10:BR47" si="51">IF(OR(AND($C10=2,NOT($J10=""),NOT($J10="PHA Oper Sub"),$B10=30,NOT($M10="Common Space")),AND($C10=2,NOT($J10=""),NOT($J10="PHA Oper Sub"),$B10="HOME 30",NOT($M10="Common Space"))),$E10,"")</f>
        <v/>
      </c>
      <c r="BS10" s="1064" t="str">
        <f t="shared" ref="BS10:BS47" si="52">IF(OR(AND($C10=3,NOT($J10=""),NOT($J10="PHA Oper Sub"),$B10=30,NOT($M10="Common Space")),AND($C10=3,NOT($J10=""),NOT($J10="PHA Oper Sub"),$B10="HOME 30",NOT($M10="Common Space"))),$E10,"")</f>
        <v/>
      </c>
      <c r="BT10" s="1064" t="str">
        <f t="shared" ref="BT10:BT47" si="53">IF(OR(AND($C10=4,NOT($J10=""),NOT($J10="PHA Oper Sub"),$B10=30,NOT($M10="Common Space")),AND($C10=4,NOT($J10=""),NOT($J10="PHA Oper Sub"),$B10="HOME 30",NOT($M10="Common Space"))),$E10,"")</f>
        <v/>
      </c>
      <c r="BU10" s="1064" t="str">
        <f t="shared" ref="BU10:BU47" si="54">IF(OR(AND($C10="Efficiency",NOT($J10=""),NOT($J10="PHA Oper Sub"),$B10=40,NOT($M10="Common Space")),AND($C10="Efficiency",NOT($J10=""),NOT($J10="PHA Oper Sub"),$B10="HOME 40",NOT($M10="Common Space"))),$E10,"")</f>
        <v/>
      </c>
      <c r="BV10" s="1064" t="str">
        <f t="shared" ref="BV10:BV47" si="55">IF(OR(AND($C10=1,NOT($J10=""),NOT($J10="PHA Oper Sub"),$B10=40,NOT($M10="Common Space")),AND($C10=1,NOT($J10=""),NOT($J10="PHA Oper Sub"),$B10="HOME 40",NOT($M10="Common Space"))),$E10,"")</f>
        <v/>
      </c>
      <c r="BW10" s="1064" t="str">
        <f t="shared" ref="BW10:BW47" si="56">IF(OR(AND($C10=2,NOT($J10=""),NOT($J10="PHA Oper Sub"),$B10=40,NOT($M10="Common Space")),AND($C10=2,NOT($J10=""),NOT($J10="PHA Oper Sub"),$B10="HOME 40",NOT($M10="Common Space"))),$E10,"")</f>
        <v/>
      </c>
      <c r="BX10" s="1064" t="str">
        <f t="shared" ref="BX10:BX47" si="57">IF(OR(AND($C10=3,NOT($J10=""),NOT($J10="PHA Oper Sub"),$B10=40,NOT($M10="Common Space")),AND($C10=3,NOT($J10=""),NOT($J10="PHA Oper Sub"),$B10="HOME 40",NOT($M10="Common Space"))),$E10,"")</f>
        <v/>
      </c>
      <c r="BY10" s="1064" t="str">
        <f t="shared" ref="BY10:BY47" si="58">IF(OR(AND($C10=4,NOT($J10=""),NOT($J10="PHA Oper Sub"),$B10=40,NOT($M10="Common Space")),AND($C10=4,NOT($J10=""),NOT($J10="PHA Oper Sub"),$B10="HOME 40",NOT($M10="Common Space"))),$E10,"")</f>
        <v/>
      </c>
      <c r="BZ10" s="1064" t="str">
        <f t="shared" ref="BZ10:BZ47" si="59">IF(OR(AND($C10="Efficiency",NOT($J10=""),NOT($J10="PHA Oper Sub"),NOT($J10=0),$B10=50,NOT($M10="Common Space")),AND($C10="Efficiency",NOT($J10=""),NOT($J10=0),NOT($J10="PHA Oper Sub"),$B10="HOME 50",NOT($M10="Common Space"))),$E10,"")</f>
        <v/>
      </c>
      <c r="CA10" s="1064" t="str">
        <f t="shared" ref="CA10:CA47" si="60">IF(OR(AND($C10=1,NOT($J10=""),NOT($J10=0),NOT($J10="PHA Oper Sub"),$B10=50,NOT($M10="Common Space")),AND($C10=1,NOT($J10=""),NOT($J10=0),NOT($J10="PHA Oper Sub"),$B10="HOME 50",NOT($M10="Common Space"))),$E10,"")</f>
        <v/>
      </c>
      <c r="CB10" s="1064" t="str">
        <f t="shared" ref="CB10:CB47" si="61">IF(OR(AND($C10=2,NOT($J10=""),NOT($J10=0),NOT($J10="PHA Oper Sub"),$B10=50,NOT($M10="Common Space")),AND($C10=2,NOT($J10=""),NOT($J10=0),NOT($J10="PHA Oper Sub"),$B10="HOME 50",NOT($M10="Common Space"))),$E10,"")</f>
        <v/>
      </c>
      <c r="CC10" s="1064" t="str">
        <f t="shared" ref="CC10:CC47" si="62">IF(OR(AND($C10=3,NOT($J10=""),NOT($J10=0),NOT($J10="PHA Oper Sub"),$B10=50,NOT($M10="Common Space")),AND($C10=3,NOT($J10=""),NOT($J10=0),NOT($J10="PHA Oper Sub"),$B10="HOME 50",NOT($M10="Common Space"))),$E10,"")</f>
        <v/>
      </c>
      <c r="CD10" s="1064" t="str">
        <f t="shared" ref="CD10:CD47" si="63">IF(OR(AND($C10=4,NOT($J10=""),NOT($J10=0),NOT($J10="PHA Oper Sub"),$B10=50,NOT($M10="Common Space")),AND($C10=4,NOT($J10=""),NOT($J10=0),NOT($J10="PHA Oper Sub"),$B10="HOME 50",NOT($M10="Common Space"))),$E10,"")</f>
        <v/>
      </c>
      <c r="CE10" s="1064" t="str">
        <f t="shared" ref="CE10:CE47" si="64">IF(OR(AND($C10="Efficiency",NOT($J10=""),NOT($J10=0),NOT($J10="PHA Oper Sub"),$B10=60,NOT($M10="Common Space")),AND($C10="Efficiency",NOT($J10=""),NOT($J10=0),NOT($J10="PHA Oper Sub"),$B10="HOME 60",NOT($M10="Common Space"))),$E10,"")</f>
        <v/>
      </c>
      <c r="CF10" s="1064" t="str">
        <f t="shared" ref="CF10:CF47" si="65">IF(OR(AND($C10=1,NOT($J10=""),NOT($J10=0),NOT($J10="PHA Oper Sub"),$B10=60,NOT($M10="Common Space")),AND($C10=1,NOT($J10=""),NOT($J10=0),NOT($J10="PHA Oper Sub"),$B10="HOME 60",NOT($M10="Common Space"))),$E10,"")</f>
        <v/>
      </c>
      <c r="CG10" s="1064" t="str">
        <f t="shared" ref="CG10:CG47" si="66">IF(OR(AND($C10=2,NOT($J10=""),NOT($J10=0),NOT($J10="PHA Oper Sub"),$B10=60,NOT($M10="Common Space")),AND($C10=2,NOT($J10=""),NOT($J10=0),NOT($J10="PHA Oper Sub"),$B10="HOME 60",NOT($M10="Common Space"))),$E10,"")</f>
        <v/>
      </c>
      <c r="CH10" s="1064" t="str">
        <f t="shared" ref="CH10:CH47" si="67">IF(OR(AND($C10=3,NOT($J10=""),NOT($J10=0),NOT($J10="PHA Oper Sub"),$B10=60,NOT($M10="Common Space")),AND($C10=3,NOT($J10=""),NOT($J10=0),NOT($J10="PHA Oper Sub"),$B10="HOME 60",NOT($M10="Common Space"))),$E10,"")</f>
        <v/>
      </c>
      <c r="CI10" s="1064" t="str">
        <f t="shared" ref="CI10:CI47" si="68">IF(OR(AND($C10=4,NOT($J10=""),NOT($J10=0),NOT($J10="PHA Oper Sub"),$B10=60,NOT($M10="Common Space")),AND($C10=4,NOT($J10=""),NOT($J10=0),NOT($J10="PHA Oper Sub"),$B10="HOME 60",NOT($M10="Common Space"))),$E10,"")</f>
        <v/>
      </c>
      <c r="CJ10" s="1064" t="str">
        <f t="shared" ref="CJ10:CJ47" si="69">IF(OR(AND($C10="Efficiency",NOT($J10=""),NOT($J10="PHA Oper Sub"),$B10=70,NOT($M10="Common Space")),AND($C10="Efficiency",NOT($J10=""),NOT($J10="PHA Oper Sub"),$B10="HOME 70",NOT($M10="Common Space"))),$E10,"")</f>
        <v/>
      </c>
      <c r="CK10" s="1064" t="str">
        <f t="shared" ref="CK10:CK47" si="70">IF(OR(AND($C10=1,NOT($J10=""),NOT($J10="PHA Oper Sub"),$B10=70,NOT($M10="Common Space")),AND($C10=1,NOT($J10=""),NOT($J10="PHA Oper Sub"),$B10="HOME 70",NOT($M10="Common Space"))),$E10,"")</f>
        <v/>
      </c>
      <c r="CL10" s="1064" t="str">
        <f t="shared" ref="CL10:CL47" si="71">IF(OR(AND($C10=2,NOT($J10=""),NOT($J10="PHA Oper Sub"),$B10=70,NOT($M10="Common Space")),AND($C10=2,NOT($J10=""),NOT($J10="PHA Oper Sub"),$B10="HOME 70",NOT($M10="Common Space"))),$E10,"")</f>
        <v/>
      </c>
      <c r="CM10" s="1064" t="str">
        <f t="shared" ref="CM10:CM47" si="72">IF(OR(AND($C10=3,NOT($J10=""),NOT($J10="PHA Oper Sub"),$B10=70,NOT($M10="Common Space")),AND($C10=3,NOT($J10=""),NOT($J10="PHA Oper Sub"),$B10="HOME 70",NOT($M10="Common Space"))),$E10,"")</f>
        <v/>
      </c>
      <c r="CN10" s="1064" t="str">
        <f t="shared" ref="CN10:CN47" si="73">IF(OR(AND($C10=4,NOT($J10=""),NOT($J10="PHA Oper Sub"),$B10=70,NOT($M10="Common Space")),AND($C10=4,NOT($J10=""),NOT($J10="PHA Oper Sub"),$B10="HOME 70",NOT($M10="Common Space"))),$E10,"")</f>
        <v/>
      </c>
      <c r="CO10" s="1064" t="str">
        <f t="shared" ref="CO10:CO47" si="74">IF(OR(AND($C10="Efficiency",NOT($J10=""),NOT($J10="PHA Oper Sub"),$B10=80,NOT($M10="Common Space")),AND($C10="Efficiency",NOT($J10=""),NOT($J10="PHA Oper Sub"),$B10="HOME 80",NOT($M10="Common Space"))),$E10,"")</f>
        <v/>
      </c>
      <c r="CP10" s="1064" t="str">
        <f t="shared" ref="CP10:CP47" si="75">IF(OR(AND($C10=1,NOT($J10=""),NOT($J10="PHA Oper Sub"),$B10=80,NOT($M10="Common Space")),AND($C10=1,NOT($J10=""),NOT($J10="PHA Oper Sub"),$B10="HOME 80",NOT($M10="Common Space"))),$E10,"")</f>
        <v/>
      </c>
      <c r="CQ10" s="1064" t="str">
        <f t="shared" ref="CQ10:CQ47" si="76">IF(OR(AND($C10=2,NOT($J10=""),NOT($J10="PHA Oper Sub"),$B10=80,NOT($M10="Common Space")),AND($C10=2,NOT($J10=""),NOT($J10="PHA Oper Sub"),$B10="HOME 80",NOT($M10="Common Space"))),$E10,"")</f>
        <v/>
      </c>
      <c r="CR10" s="1064" t="str">
        <f t="shared" ref="CR10:CR47" si="77">IF(OR(AND($C10=3,NOT($J10=""),NOT($J10="PHA Oper Sub"),$B10=80,NOT($M10="Common Space")),AND($C10=3,NOT($J10=""),NOT($J10="PHA Oper Sub"),$B10="HOME 80",NOT($M10="Common Space"))),$E10,"")</f>
        <v/>
      </c>
      <c r="CS10" s="1064" t="str">
        <f t="shared" ref="CS10:CS47" si="78">IF(OR(AND($C10=4,NOT($J10=""),NOT($J10="PHA Oper Sub"),$B10=80,NOT($M10="Common Space")),AND($C10=4,NOT($J10=""),NOT($J10="PHA Oper Sub"),$B10="HOME 80",NOT($M10="Common Space"))),$E10,"")</f>
        <v/>
      </c>
      <c r="CT10" s="1064" t="str">
        <f t="shared" ref="CT10:CT47" si="79">IF(OR(AND($C10="Efficiency",$J10="PHA Oper Sub",$B10=20,NOT($M10="Common Space")),AND($C10="Efficiency",$J10="PHA Oper Sub",$B10="HOME 20",NOT($M10="Common Space"))),$E10,"")</f>
        <v/>
      </c>
      <c r="CU10" s="1064" t="str">
        <f t="shared" ref="CU10:CU47" si="80">IF(OR(AND($C10=1,$J10="PHA Oper Sub",$B10=20,NOT($M10="Common Space")),AND($C10=1,$J10="PHA Oper Sub",$B10="HOME 20",NOT($M10="Common Space"))),$E10,"")</f>
        <v/>
      </c>
      <c r="CV10" s="1064" t="str">
        <f t="shared" ref="CV10:CV47" si="81">IF(OR(AND($C10=2,$J10="PHA Oper Sub",$B10=20,NOT($M10="Common Space")),AND($C10=2,$J10="PHA Oper Sub",$B10="HOME 20",NOT($M10="Common Space"))),$E10,"")</f>
        <v/>
      </c>
      <c r="CW10" s="1064" t="str">
        <f t="shared" ref="CW10:CW47" si="82">IF(OR(AND($C10=3,$J10="PHA Oper Sub",$B10=20,NOT($M10="Common Space")),AND($C10=3,$J10="PHA Oper Sub",$B10="HOME 20",NOT($M10="Common Space"))),$E10,"")</f>
        <v/>
      </c>
      <c r="CX10" s="1064" t="str">
        <f t="shared" ref="CX10:CX47" si="83">IF(OR(AND($C10=4,$J10="PHA Oper Sub",$B10=20,NOT($M10="Common Space")),AND($C10=4,$J10="PHA Oper Sub",$B10="HOME 20",NOT($M10="Common Space"))),$E10,"")</f>
        <v/>
      </c>
      <c r="CY10" s="1064" t="str">
        <f t="shared" ref="CY10:CY47" si="84">IF(OR(AND($C10="Efficiency",$J10="PHA Oper Sub",$B10=30,NOT($M10="Common Space")),AND($C10="Efficiency",$J10="PHA Oper Sub",$B10="HOME 30",NOT($M10="Common Space"))),$E10,"")</f>
        <v/>
      </c>
      <c r="CZ10" s="1064" t="str">
        <f t="shared" ref="CZ10:CZ47" si="85">IF(OR(AND($C10=1,$J10="PHA Oper Sub",$B10=30,NOT($M10="Common Space")),AND($C10=1,$J10="PHA Oper Sub",$B10="HOME 30",NOT($M10="Common Space"))),$E10,"")</f>
        <v/>
      </c>
      <c r="DA10" s="1064" t="str">
        <f t="shared" ref="DA10:DA47" si="86">IF(OR(AND($C10=2,$J10="PHA Oper Sub",$B10=30,NOT($M10="Common Space")),AND($C10=2,$J10="PHA Oper Sub",$B10="HOME 30",NOT($M10="Common Space"))),$E10,"")</f>
        <v/>
      </c>
      <c r="DB10" s="1064" t="str">
        <f t="shared" ref="DB10:DB47" si="87">IF(OR(AND($C10=3,$J10="PHA Oper Sub",$B10=30,NOT($M10="Common Space")),AND($C10=3,$J10="PHA Oper Sub",$B10="HOME 30",NOT($M10="Common Space"))),$E10,"")</f>
        <v/>
      </c>
      <c r="DC10" s="1064" t="str">
        <f t="shared" ref="DC10:DC47" si="88">IF(OR(AND($C10=4,$J10="PHA Oper Sub",$B10=30,NOT($M10="Common Space")),AND($C10=4,$J10="PHA Oper Sub",$B10="HOME 30",NOT($M10="Common Space"))),$E10,"")</f>
        <v/>
      </c>
      <c r="DD10" s="1064" t="str">
        <f t="shared" ref="DD10:DD47" si="89">IF(OR(AND($C10="Efficiency",$J10="PHA Oper Sub",$B10=40,NOT($M10="Common Space")),AND($C10="Efficiency",$J10="PHA Oper Sub",$B10="HOME 40",NOT($M10="Common Space"))),$E10,"")</f>
        <v/>
      </c>
      <c r="DE10" s="1064" t="str">
        <f t="shared" ref="DE10:DE47" si="90">IF(OR(AND($C10=1,$J10="PHA Oper Sub",$B10=40,NOT($M10="Common Space")),AND($C10=1,$J10="PHA Oper Sub",$B10="HOME 40",NOT($M10="Common Space"))),$E10,"")</f>
        <v/>
      </c>
      <c r="DF10" s="1064" t="str">
        <f t="shared" ref="DF10:DF47" si="91">IF(OR(AND($C10=2,$J10="PHA Oper Sub",$B10=40,NOT($M10="Common Space")),AND($C10=2,$J10="PHA Oper Sub",$B10="HOME 40",NOT($M10="Common Space"))),$E10,"")</f>
        <v/>
      </c>
      <c r="DG10" s="1064" t="str">
        <f t="shared" ref="DG10:DG47" si="92">IF(OR(AND($C10=3,$J10="PHA Oper Sub",$B10=40,NOT($M10="Common Space")),AND($C10=3,$J10="PHA Oper Sub",$B10="HOME 40",NOT($M10="Common Space"))),$E10,"")</f>
        <v/>
      </c>
      <c r="DH10" s="1064" t="str">
        <f t="shared" ref="DH10:DH47" si="93">IF(OR(AND($C10=4,$J10="PHA Oper Sub",$B10=40,NOT($M10="Common Space")),AND($C10=4,$J10="PHA Oper Sub",$B10="HOME 40",NOT($M10="Common Space"))),$E10,"")</f>
        <v/>
      </c>
      <c r="DI10" s="1064" t="str">
        <f t="shared" ref="DI10:DI47" si="94">IF(OR(AND($C10="Efficiency",$J10="PHA Oper Sub",$B10=50,NOT($M10="Common Space")),AND($C10="Efficiency",$J10="PHA Oper Sub",$B10="HOME 50",NOT($M10="Common Space"))),$E10,"")</f>
        <v/>
      </c>
      <c r="DJ10" s="1064" t="str">
        <f t="shared" ref="DJ10:DJ47" si="95">IF(OR(AND($C10=1,$J10="PHA Oper Sub",$B10=50,NOT($M10="Common Space")),AND($C10=1,$J10="PHA Oper Sub",$B10="HOME 50",NOT($M10="Common Space"))),$E10,"")</f>
        <v/>
      </c>
      <c r="DK10" s="1064" t="str">
        <f t="shared" ref="DK10:DK47" si="96">IF(OR(AND($C10=2,$J10="PHA Oper Sub",$B10=50,NOT($M10="Common Space")),AND($C10=2,$J10="PHA Oper Sub",$B10="HOME 50",NOT($M10="Common Space"))),$E10,"")</f>
        <v/>
      </c>
      <c r="DL10" s="1064" t="str">
        <f t="shared" ref="DL10:DL47" si="97">IF(OR(AND($C10=3,$J10="PHA Oper Sub",$B10=50,NOT($M10="Common Space")),AND($C10=3,$J10="PHA Oper Sub",$B10="HOME 50",NOT($M10="Common Space"))),$E10,"")</f>
        <v/>
      </c>
      <c r="DM10" s="1064" t="str">
        <f t="shared" ref="DM10:DM47" si="98">IF(OR(AND($C10=4,$J10="PHA Oper Sub",$B10=50,NOT($M10="Common Space")),AND($C10=4,$J10="PHA Oper Sub",$B10="HOME 50",NOT($M10="Common Space"))),$E10,"")</f>
        <v/>
      </c>
      <c r="DN10" s="1064" t="str">
        <f t="shared" ref="DN10:DN47" si="99">IF(OR(AND($C10="Efficiency",$J10="PHA Oper Sub",$B10=60,NOT($M10="Common Space")),AND($C10="Efficiency",$J10="PHA Oper Sub",$B10="HOME 60",NOT($M10="Common Space"))),$E10,"")</f>
        <v/>
      </c>
      <c r="DO10" s="1064" t="str">
        <f t="shared" ref="DO10:DO47" si="100">IF(OR(AND($C10=1,$J10="PHA Oper Sub",$B10=60,NOT($M10="Common Space")),AND($C10=1,$J10="PHA Oper Sub",$B10="HOME 60",NOT($M10="Common Space"))),$E10,"")</f>
        <v/>
      </c>
      <c r="DP10" s="1064" t="str">
        <f t="shared" ref="DP10:DP47" si="101">IF(OR(AND($C10=2,$J10="PHA Oper Sub",$B10=60,NOT($M10="Common Space")),AND($C10=2,$J10="PHA Oper Sub",$B10="HOME 60",NOT($M10="Common Space"))),$E10,"")</f>
        <v/>
      </c>
      <c r="DQ10" s="1064" t="str">
        <f t="shared" ref="DQ10:DQ47" si="102">IF(OR(AND($C10=3,$J10="PHA Oper Sub",$B10=60,NOT($M10="Common Space")),AND($C10=3,$J10="PHA Oper Sub",$B10="HOME 60",NOT($M10="Common Space"))),$E10,"")</f>
        <v/>
      </c>
      <c r="DR10" s="1064" t="str">
        <f t="shared" ref="DR10:DR47" si="103">IF(OR(AND($C10=4,$J10="PHA Oper Sub",$B10=60,NOT($M10="Common Space")),AND($C10=4,$J10="PHA Oper Sub",$B10="HOME 60",NOT($M10="Common Space"))),$E10,"")</f>
        <v/>
      </c>
      <c r="DS10" s="1064" t="str">
        <f t="shared" ref="DS10:DS47" si="104">IF(OR(AND($C10="Efficiency",$J10="PHA Oper Sub",$B10=70,NOT($M10="Common Space")),AND($C10="Efficiency",$J10="PHA Oper Sub",$B10="HOME 70",NOT($M10="Common Space"))),$E10,"")</f>
        <v/>
      </c>
      <c r="DT10" s="1064" t="str">
        <f t="shared" ref="DT10:DT47" si="105">IF(OR(AND($C10=1,$J10="PHA Oper Sub",$B10=70,NOT($M10="Common Space")),AND($C10=1,$J10="PHA Oper Sub",$B10="HOME 70",NOT($M10="Common Space"))),$E10,"")</f>
        <v/>
      </c>
      <c r="DU10" s="1064" t="str">
        <f t="shared" ref="DU10:DU47" si="106">IF(OR(AND($C10=2,$J10="PHA Oper Sub",$B10=70,NOT($M10="Common Space")),AND($C10=2,$J10="PHA Oper Sub",$B10="HOME 70",NOT($M10="Common Space"))),$E10,"")</f>
        <v/>
      </c>
      <c r="DV10" s="1064" t="str">
        <f t="shared" ref="DV10:DV47" si="107">IF(OR(AND($C10=3,$J10="PHA Oper Sub",$B10=70,NOT($M10="Common Space")),AND($C10=3,$J10="PHA Oper Sub",$B10="HOME 70",NOT($M10="Common Space"))),$E10,"")</f>
        <v/>
      </c>
      <c r="DW10" s="1064" t="str">
        <f t="shared" ref="DW10:DW47" si="108">IF(OR(AND($C10=4,$J10="PHA Oper Sub",$B10=70,NOT($M10="Common Space")),AND($C10=4,$J10="PHA Oper Sub",$B10="HOME 70",NOT($M10="Common Space"))),$E10,"")</f>
        <v/>
      </c>
      <c r="DX10" s="1064" t="str">
        <f t="shared" ref="DX10:DX47" si="109">IF(OR(AND($C10="Efficiency",$J10="PHA Oper Sub",$B10=80,NOT($M10="Common Space")),AND($C10="Efficiency",$J10="PHA Oper Sub",$B10="HOME 80",NOT($M10="Common Space"))),$E10,"")</f>
        <v/>
      </c>
      <c r="DY10" s="1064" t="str">
        <f t="shared" ref="DY10:DY47" si="110">IF(OR(AND($C10=1,$J10="PHA Oper Sub",$B10=80,NOT($M10="Common Space")),AND($C10=1,$J10="PHA Oper Sub",$B10="HOME 80",NOT($M10="Common Space"))),$E10,"")</f>
        <v/>
      </c>
      <c r="DZ10" s="1064" t="str">
        <f t="shared" ref="DZ10:DZ47" si="111">IF(OR(AND($C10=2,$J10="PHA Oper Sub",$B10=80,NOT($M10="Common Space")),AND($C10=2,$J10="PHA Oper Sub",$B10="HOME 80",NOT($M10="Common Space"))),$E10,"")</f>
        <v/>
      </c>
      <c r="EA10" s="1064" t="str">
        <f t="shared" ref="EA10:EA47" si="112">IF(OR(AND($C10=3,$J10="PHA Oper Sub",$B10=80,NOT($M10="Common Space")),AND($C10=3,$J10="PHA Oper Sub",$B10="HOME 80",NOT($M10="Common Space"))),$E10,"")</f>
        <v/>
      </c>
      <c r="EB10" s="1064" t="str">
        <f t="shared" ref="EB10:EB47" si="113">IF(OR(AND($C10=4,$J10="PHA Oper Sub",$B10=80,NOT($M10="Common Space")),AND($C10=4,$J10="PHA Oper Sub",$B10="HOME 80",NOT($M10="Common Space"))),$E10,"")</f>
        <v/>
      </c>
      <c r="EC10" s="1064" t="str">
        <f t="shared" ref="EC10:EC47" si="114">IF(AND(C10="Efficiency",M10="Common Space"),E10,"")</f>
        <v/>
      </c>
      <c r="ED10" s="1064" t="str">
        <f t="shared" ref="ED10:ED47" si="115">IF(AND(C10=1,M10="Common Space"),E10,"")</f>
        <v/>
      </c>
      <c r="EE10" s="1064" t="str">
        <f t="shared" ref="EE10:EE47" si="116">IF(AND(C10=2,M10="Common Space"),E10,"")</f>
        <v/>
      </c>
      <c r="EF10" s="1064" t="str">
        <f t="shared" ref="EF10:EF47" si="117">IF(AND(C10=3,M10="Common Space"),E10,"")</f>
        <v/>
      </c>
      <c r="EG10" s="1064" t="str">
        <f>IF(AND(C10=4,M10="Common Space"),E10,"")</f>
        <v/>
      </c>
      <c r="EH10" s="1064" t="str">
        <f t="shared" ref="EH10:EH47" si="118">IF(OR(AND($C10="Efficiency",$B10=80,NOT($M10="Common Space")),AND($C10="Efficiency",$B10="HOME 80",NOT($M10="Common Space"))),$E10*$F10,"")</f>
        <v/>
      </c>
      <c r="EI10" s="1064" t="str">
        <f t="shared" ref="EI10:EI47" si="119">IF(OR(AND($C10=1,$B10=80,NOT($M10="Common Space")),AND($C10=1,$B10="HOME 80",NOT($M10="Common Space"))),$E10*$F10,"")</f>
        <v/>
      </c>
      <c r="EJ10" s="1064" t="str">
        <f t="shared" ref="EJ10:EJ47" si="120">IF(OR(AND($C10=2,$B10=80,NOT($M10="Common Space")),AND($C10=2,$B10="HOME 80",NOT($M10="Common Space"))),$E10*$F10,"")</f>
        <v/>
      </c>
      <c r="EK10" s="1064" t="str">
        <f t="shared" ref="EK10:EK47" si="121">IF(OR(AND($C10=3,$B10=80,NOT($M10="Common Space")),AND($C10=3,$B10="HOME 80",NOT($M10="Common Space"))),$E10*$F10,"")</f>
        <v/>
      </c>
      <c r="EL10" s="1064" t="str">
        <f t="shared" ref="EL10:EL47" si="122">IF(OR(AND($C10=4,$B10=80,NOT($M10="Common Space")),AND($C10=4,$B10="HOME 80",NOT($M10="Common Space"))),$E10*$F10,"")</f>
        <v/>
      </c>
      <c r="EM10" s="1064" t="str">
        <f t="shared" ref="EM10:EM47" si="123">IF(OR(AND($C10="Efficiency",$B10=70,NOT($M10="Common Space")),AND($C10="Efficiency",$B10="HOME 70",NOT($M10="Common Space"))),$E10*$F10,"")</f>
        <v/>
      </c>
      <c r="EN10" s="1064" t="str">
        <f t="shared" ref="EN10:EN47" si="124">IF(OR(AND($C10=1,$B10=70,NOT($M10="Common Space")),AND($C10=1,$B10="HOME 70",NOT($M10="Common Space"))),$E10*$F10,"")</f>
        <v/>
      </c>
      <c r="EO10" s="1064" t="str">
        <f t="shared" ref="EO10:EO47" si="125">IF(OR(AND($C10=2,$B10=70,NOT($M10="Common Space")),AND($C10=2,$B10="HOME 70",NOT($M10="Common Space"))),$E10*$F10,"")</f>
        <v/>
      </c>
      <c r="EP10" s="1064" t="str">
        <f t="shared" ref="EP10:EP47" si="126">IF(OR(AND($C10=3,$B10=70,NOT($M10="Common Space")),AND($C10=3,$B10="HOME 70",NOT($M10="Common Space"))),$E10*$F10,"")</f>
        <v/>
      </c>
      <c r="EQ10" s="1064" t="str">
        <f t="shared" ref="EQ10:EQ47" si="127">IF(OR(AND($C10=4,$B10=70,NOT($M10="Common Space")),AND($C10=4,$B10="HOME 70",NOT($M10="Common Space"))),$E10*$F10,"")</f>
        <v/>
      </c>
      <c r="ER10" s="1064" t="str">
        <f t="shared" ref="ER10:ER47" si="128">IF(OR(AND($C10="Efficiency",$B10=60,NOT($M10="Common Space")),AND($C10="Efficiency",$B10="HOME 60",NOT($M10="Common Space"))),$E10*$F10,"")</f>
        <v/>
      </c>
      <c r="ES10" s="1064" t="str">
        <f t="shared" ref="ES10:ES47" si="129">IF(OR(AND($C10=1,$B10=60,NOT($M10="Common Space")),AND($C10=1,$B10="HOME 60",NOT($M10="Common Space"))),$E10*$F10,"")</f>
        <v/>
      </c>
      <c r="ET10" s="1064" t="str">
        <f t="shared" ref="ET10:ET47" si="130">IF(OR(AND($C10=2,$B10=60,NOT($M10="Common Space")),AND($C10=2,$B10="HOME 60",NOT($M10="Common Space"))),$E10*$F10,"")</f>
        <v/>
      </c>
      <c r="EU10" s="1064" t="str">
        <f t="shared" ref="EU10:EU47" si="131">IF(OR(AND($C10=3,$B10=60,NOT($M10="Common Space")),AND($C10=3,$B10="HOME 60",NOT($M10="Common Space"))),$E10*$F10,"")</f>
        <v/>
      </c>
      <c r="EV10" s="1064" t="str">
        <f t="shared" ref="EV10:EV47" si="132">IF(OR(AND($C10=4,$B10=60,NOT($M10="Common Space")),AND($C10=4,$B10="HOME 60",NOT($M10="Common Space"))),$E10*$F10,"")</f>
        <v/>
      </c>
      <c r="EW10" s="1064" t="str">
        <f>IF(OR(AND($C10="Efficiency",$B10=50,NOT($M10="Common Space")),AND($C10="Efficiency",$B10="HOME 50",NOT($M10="Common Space"))),$E10*$F10,"")</f>
        <v/>
      </c>
      <c r="EX10" s="1064" t="str">
        <f>IF(OR(AND($C10=1,$B10=50,NOT($M10="Common Space")),AND($C10=1,$B10="HOME 50",NOT($M10="Common Space"))),$E10*$F10,"")</f>
        <v/>
      </c>
      <c r="EY10" s="1064" t="str">
        <f>IF(OR(AND($C10=2,$B10=50,NOT($M10="Common Space")),AND($C10=2,$B10="HOME 50",NOT($M10="Common Space"))),$E10*$F10,"")</f>
        <v/>
      </c>
      <c r="EZ10" s="1064" t="str">
        <f>IF(OR(AND($C10=3,$B10=50,NOT($M10="Common Space")),AND($C10=3,$B10="HOME 50",NOT($M10="Common Space"))),$E10*$F10,"")</f>
        <v/>
      </c>
      <c r="FA10" s="1064" t="str">
        <f>IF(OR(AND($C10=4,$B10=50,NOT($M10="Common Space")),AND($C10=4,$B10="HOME 50",NOT($M10="Common Space"))),$E10*$F10,"")</f>
        <v/>
      </c>
      <c r="FB10" s="1064" t="str">
        <f t="shared" ref="FB10:FB47" si="133">IF(OR(AND($C10="Efficiency",$B10=40,NOT($M10="Common Space")),AND($C10="Efficiency",$B10="HOME 40",NOT($M10="Common Space"))),$E10*$F10,"")</f>
        <v/>
      </c>
      <c r="FC10" s="1064" t="str">
        <f t="shared" ref="FC10:FC47" si="134">IF(OR(AND($C10=1,$B10=40,NOT($M10="Common Space")),AND($C10=1,$B10="HOME 40",NOT($M10="Common Space"))),$E10*$F10,"")</f>
        <v/>
      </c>
      <c r="FD10" s="1064" t="str">
        <f t="shared" ref="FD10:FD47" si="135">IF(OR(AND($C10=2,$B10=40,NOT($M10="Common Space")),AND($C10=2,$B10="HOME 40",NOT($M10="Common Space"))),$E10*$F10,"")</f>
        <v/>
      </c>
      <c r="FE10" s="1064" t="str">
        <f t="shared" ref="FE10:FE47" si="136">IF(OR(AND($C10=3,$B10=40,NOT($M10="Common Space")),AND($C10=3,$B10="HOME 40",NOT($M10="Common Space"))),$E10*$F10,"")</f>
        <v/>
      </c>
      <c r="FF10" s="1064" t="str">
        <f t="shared" ref="FF10:FF47" si="137">IF(OR(AND($C10=4,$B10=40,NOT($M10="Common Space")),AND($C10=4,$B10="HOME 40",NOT($M10="Common Space"))),$E10*$F10,"")</f>
        <v/>
      </c>
      <c r="FG10" s="1064" t="str">
        <f>IF(OR(AND($C10="Efficiency",$B10=30,NOT($M10="Common Space")),AND($C10="Efficiency",$B10="HOME 30",NOT($M10="Common Space"))),$E10*$F10,"")</f>
        <v/>
      </c>
      <c r="FH10" s="1064" t="str">
        <f>IF(OR(AND($C10=1,$B10=30,NOT($M10="Common Space")),AND($C10=1,$B10="HOME 30",NOT($M10="Common Space"))),$E10*$F10,"")</f>
        <v/>
      </c>
      <c r="FI10" s="1064" t="str">
        <f>IF(OR(AND($C10=2,$B10=30,NOT($M10="Common Space")),AND($C10=2,$B10="HOME 30",NOT($M10="Common Space"))),$E10*$F10,"")</f>
        <v/>
      </c>
      <c r="FJ10" s="1064" t="str">
        <f>IF(OR(AND($C10=3,$B10=30,NOT($M10="Common Space")),AND($C10=3,$B10="HOME 30",NOT($M10="Common Space"))),$E10*$F10,"")</f>
        <v/>
      </c>
      <c r="FK10" s="1064" t="str">
        <f>IF(OR(AND($C10=4,$B10=30,NOT($M10="Common Space")),AND($C10=4,$B10="HOME 30",NOT($M10="Common Space"))),$E10*$F10,"")</f>
        <v/>
      </c>
      <c r="FL10" s="1064" t="str">
        <f t="shared" ref="FL10:FL47" si="138">IF(OR(AND($C10="Efficiency",$B10=20,NOT($M10="Common Space")),AND($C10="Efficiency",$B10="HOME 20",NOT($M10="Common Space"))),$E10*$F10,"")</f>
        <v/>
      </c>
      <c r="FM10" s="1064" t="str">
        <f t="shared" ref="FM10:FM47" si="139">IF(OR(AND($C10=1,$B10=20,NOT($M10="Common Space")),AND($C10=1,$B10="HOME 20",NOT($M10="Common Space"))),$E10*$F10,"")</f>
        <v/>
      </c>
      <c r="FN10" s="1064" t="str">
        <f t="shared" ref="FN10:FN47" si="140">IF(OR(AND($C10=2,$B10=20,NOT($M10="Common Space")),AND($C10=2,$B10="HOME 20",NOT($M10="Common Space"))),$E10*$F10,"")</f>
        <v/>
      </c>
      <c r="FO10" s="1064" t="str">
        <f t="shared" ref="FO10:FO47" si="141">IF(OR(AND($C10=3,$B10=20,NOT($M10="Common Space")),AND($C10=3,$B10="HOME 20",NOT($M10="Common Space"))),$E10*$F10,"")</f>
        <v/>
      </c>
      <c r="FP10" s="1064" t="str">
        <f t="shared" ref="FP10:FP47" si="142">IF(OR(AND($C10=4,$B10=20,NOT($M10="Common Space")),AND($C10=4,$B10="HOME 20",NOT($M10="Common Space"))),$E10*$F10,"")</f>
        <v/>
      </c>
      <c r="FQ10" s="1064" t="str">
        <f t="shared" ref="FQ10:FQ47" si="143">IF(AND(C10="Efficiency",B10="Unrestricted",NOT(M10="Common Space")),E10*F10,"")</f>
        <v/>
      </c>
      <c r="FR10" s="1064" t="str">
        <f t="shared" ref="FR10:FR47" si="144">IF(AND(C10=1,B10="Unrestricted",NOT(M10="Common Space")),E10*F10,"")</f>
        <v/>
      </c>
      <c r="FS10" s="1064" t="str">
        <f t="shared" ref="FS10:FS47" si="145">IF(AND(C10=2,B10="Unrestricted",NOT(M10="Common Space")),E10*F10,"")</f>
        <v/>
      </c>
      <c r="FT10" s="1064" t="str">
        <f t="shared" ref="FT10:FT47" si="146">IF(AND(C10=3,B10="Unrestricted",NOT(M10="Common Space")),E10*F10,"")</f>
        <v/>
      </c>
      <c r="FU10" s="1064" t="str">
        <f t="shared" ref="FU10:FU47" si="147">IF(AND(C10=4,B10="Unrestricted",NOT(M10="Common Space")),E10*F10,"")</f>
        <v/>
      </c>
      <c r="FV10" s="1064" t="str">
        <f t="shared" ref="FV10:FV47" si="148">IF(AND(C10="Efficiency",NOT(J10=""),NOT($J10=0),NOT(M10="Common Space")),E10*F10,"")</f>
        <v/>
      </c>
      <c r="FW10" s="1064" t="str">
        <f t="shared" ref="FW10:FW47" si="149">IF(AND(C10=1,NOT(J10=""),NOT($J10=0),NOT(M10="Common Space")),E10*F10,"")</f>
        <v/>
      </c>
      <c r="FX10" s="1064" t="str">
        <f t="shared" ref="FX10:FX47" si="150">IF(AND(C10=2,NOT(J10=""),NOT($J10=0),NOT(M10="Common Space")),E10*F10,"")</f>
        <v/>
      </c>
      <c r="FY10" s="1064" t="str">
        <f t="shared" ref="FY10:FY47" si="151">IF(AND(C10=3,NOT(J10=""),NOT($J10=0),NOT(M10="Common Space")),E10*F10,"")</f>
        <v/>
      </c>
      <c r="FZ10" s="1064" t="str">
        <f t="shared" ref="FZ10:FZ47" si="152">IF(AND(C10=4,NOT(J10=""),NOT($J10=0),NOT(M10="Common Space")),E10*F10,"")</f>
        <v/>
      </c>
      <c r="GA10" s="1064" t="str">
        <f t="shared" ref="GA10:GA47" si="153">IF(AND(C10="Efficiency",M10="Common Space"),E10*F10,"")</f>
        <v/>
      </c>
      <c r="GB10" s="1064" t="str">
        <f t="shared" ref="GB10:GB47" si="154">IF(AND(C10=1,M10="Common Space"),E10*F10,"")</f>
        <v/>
      </c>
      <c r="GC10" s="1064" t="str">
        <f t="shared" ref="GC10:GC47" si="155">IF(AND(C10=2,M10="Common Space"),E10*F10,"")</f>
        <v/>
      </c>
      <c r="GD10" s="1064" t="str">
        <f t="shared" ref="GD10:GD47" si="156">IF(AND(C10=3,M10="Common Space"),E10*F10,"")</f>
        <v/>
      </c>
      <c r="GE10" s="1064" t="str">
        <f t="shared" ref="GE10:GE47" si="157">IF(AND(C10=4,M10="Common Space"),E10*F10,"")</f>
        <v/>
      </c>
      <c r="GF10" s="1064" t="str">
        <f t="shared" ref="GF10:GF47" si="158">IF(AND($C10="Efficiency", $O10="New Construction",NOT($B10="Unrestricted"),NOT($B10="NSP 120"),NOT($B10="N/A-CS"),NOT($M10="Common Space")),$E10,"")</f>
        <v/>
      </c>
      <c r="GG10" s="1064" t="str">
        <f t="shared" ref="GG10:GG47" si="159">IF(AND($C10=1, $O10="New Construction",NOT($B10="Unrestricted"),NOT($B10="NSP 120"),NOT($B10="N/A-CS"),NOT($M10="Common Space")),$E10,"")</f>
        <v/>
      </c>
      <c r="GH10" s="1064" t="str">
        <f t="shared" ref="GH10:GH47" si="160">IF(AND($C10=2, $O10="New Construction",NOT($B10="Unrestricted"),NOT($B10="NSP 120"),NOT($B10="N/A-CS"),NOT($M10="Common Space")),$E10,"")</f>
        <v/>
      </c>
      <c r="GI10" s="1064" t="str">
        <f t="shared" ref="GI10:GI47" si="161">IF(AND($C10=3, $O10="New Construction",NOT($B10="Unrestricted"),NOT($B10="NSP 120"),NOT($B10="N/A-CS"),NOT($M10="Common Space")),$E10,"")</f>
        <v/>
      </c>
      <c r="GJ10" s="1064" t="str">
        <f t="shared" ref="GJ10:GJ47" si="162">IF(AND($C10=4, $O10="New Construction",NOT($B10="Unrestricted"),NOT($B10="NSP 120"),NOT($B10="N/A-CS"),NOT($M10="Common Space")),$E10,"")</f>
        <v/>
      </c>
      <c r="GK10" s="1064" t="str">
        <f t="shared" ref="GK10:GK47" si="163">IF(AND($C10="Efficiency", $O10="New Construction",$B10="Unrestricted",NOT($B10="N/A-CS"),NOT($M10="Common Space")),$E10,"")</f>
        <v/>
      </c>
      <c r="GL10" s="1064" t="str">
        <f t="shared" ref="GL10:GL47" si="164">IF(AND($C10=1, $O10="New Construction",$B10="Unrestricted",NOT($B10="N/A-CS"),NOT($M10="Common Space")),$E10,"")</f>
        <v/>
      </c>
      <c r="GM10" s="1064" t="str">
        <f t="shared" ref="GM10:GM47" si="165">IF(AND($C10=2, $O10="New Construction",$B10="Unrestricted",NOT($B10="N/A-CS"),NOT($M10="Common Space")),$E10,"")</f>
        <v/>
      </c>
      <c r="GN10" s="1064" t="str">
        <f t="shared" ref="GN10:GN47" si="166">IF(AND($C10=3, $O10="New Construction",$B10="Unrestricted",NOT($B10="N/A-CS"),NOT($M10="Common Space")),$E10,"")</f>
        <v/>
      </c>
      <c r="GO10" s="1064" t="str">
        <f t="shared" ref="GO10:GO47" si="167">IF(AND($C10=4, $O10="New Construction",$B10="Unrestricted",NOT($B10="N/A-CS"),NOT($M10="Common Space")),$E10,"")</f>
        <v/>
      </c>
      <c r="GP10" s="1064" t="str">
        <f t="shared" ref="GP10:GP47" si="168">IF(AND($C10="Efficiency", $O10="New Construction",$B10="N/A-CS",$M10="Common Space"),$E10,"")</f>
        <v/>
      </c>
      <c r="GQ10" s="1064" t="str">
        <f t="shared" ref="GQ10:GQ47" si="169">IF(AND($C10=1, $O10="New Construction",$B10="N/A-CS",$M10="Common Space"),$E10,"")</f>
        <v/>
      </c>
      <c r="GR10" s="1064" t="str">
        <f t="shared" ref="GR10:GR47" si="170">IF(AND($C10=2, $O10="New Construction",$B10="N/A-CS",$M10="Common Space"),$E10,"")</f>
        <v/>
      </c>
      <c r="GS10" s="1064" t="str">
        <f t="shared" ref="GS10:GS47" si="171">IF(AND($C10=3, $O10="New Construction",$B10="N/A-CS",$M10="Common Space"),$E10,"")</f>
        <v/>
      </c>
      <c r="GT10" s="1064" t="str">
        <f t="shared" ref="GT10:GT47" si="172">IF(AND($C10=4, $O10="New Construction",$B10="N/A-CS",$M10="Common Space"),$E10,"")</f>
        <v/>
      </c>
      <c r="GU10" s="1064" t="str">
        <f t="shared" ref="GU10:GU47" si="173">IF(AND($C10="Efficiency", $O10="Acquisition/Rehab",NOT($B10="Unrestricted"),NOT($B10="NSP 120"),NOT($B10="N/A-CS"),NOT($M10="Common Space")),$E10,"")</f>
        <v/>
      </c>
      <c r="GV10" s="1064" t="str">
        <f t="shared" ref="GV10:GV47" si="174">IF(AND($C10=1, $O10="Acquisition/Rehab",NOT($B10="Unrestricted"),NOT($B10="NSP 120"),NOT($B10="N/A-CS"),NOT($M10="Common Space")),$E10,"")</f>
        <v/>
      </c>
      <c r="GW10" s="1064" t="str">
        <f t="shared" ref="GW10:GW47" si="175">IF(AND($C10=2, $O10="Acquisition/Rehab",NOT($B10="Unrestricted"),NOT($B10="NSP 120"),NOT($B10="N/A-CS"),NOT($M10="Common Space")),$E10,"")</f>
        <v/>
      </c>
      <c r="GX10" s="1064" t="str">
        <f t="shared" ref="GX10:GX47" si="176">IF(AND($C10=3, $O10="Acquisition/Rehab",NOT($B10="Unrestricted"),NOT($B10="NSP 120"),NOT($B10="N/A-CS"),NOT($M10="Common Space")),$E10,"")</f>
        <v/>
      </c>
      <c r="GY10" s="1064" t="str">
        <f t="shared" ref="GY10:GY47" si="177">IF(AND($C10=4, $O10="Acquisition/Rehab",NOT($B10="Unrestricted"),NOT($B10="NSP 120"),NOT($B10="N/A-CS"),NOT($M10="Common Space")),$E10,"")</f>
        <v/>
      </c>
      <c r="GZ10" s="1064" t="str">
        <f t="shared" ref="GZ10:GZ47" si="178">IF(AND($C10="Efficiency", $O10="Acquisition/Rehab",$B10="Unrestricted",NOT($B10="N/A-CS"),NOT($M10="Common Space")),$E10,"")</f>
        <v/>
      </c>
      <c r="HA10" s="1064" t="str">
        <f t="shared" ref="HA10:HA47" si="179">IF(AND($C10=1, $O10="Acquisition/Rehab",$B10="Unrestricted",NOT($B10="N/A-CS"),NOT($M10="Common Space")),$E10,"")</f>
        <v/>
      </c>
      <c r="HB10" s="1064" t="str">
        <f t="shared" ref="HB10:HB47" si="180">IF(AND($C10=2, $O10="Acquisition/Rehab",$B10="Unrestricted",NOT($B10="N/A-CS"),NOT($M10="Common Space")),$E10,"")</f>
        <v/>
      </c>
      <c r="HC10" s="1064" t="str">
        <f t="shared" ref="HC10:HC47" si="181">IF(AND($C10=3, $O10="Acquisition/Rehab",$B10="Unrestricted",NOT($B10="N/A-CS"),NOT($M10="Common Space")),$E10,"")</f>
        <v/>
      </c>
      <c r="HD10" s="1064" t="str">
        <f t="shared" ref="HD10:HD47" si="182">IF(AND($C10=4, $O10="Acquisition/Rehab",$B10="Unrestricted",NOT($B10="N/A-CS"),NOT($M10="Common Space")),$E10,"")</f>
        <v/>
      </c>
      <c r="HE10" s="1064" t="str">
        <f t="shared" ref="HE10:HE47" si="183">IF(AND($C10="Efficiency", $O10="Acquisition/Rehab",$B10="N/A-CS",$M10="Common Space"),$E10,"")</f>
        <v/>
      </c>
      <c r="HF10" s="1064" t="str">
        <f t="shared" ref="HF10:HF47" si="184">IF(AND($C10=1, $O10="Acquisition/Rehab",$B10="N/A-CS",$M10="Common Space"),$E10,"")</f>
        <v/>
      </c>
      <c r="HG10" s="1064" t="str">
        <f t="shared" ref="HG10:HG47" si="185">IF(AND($C10=2, $O10="Acquisition/Rehab",$B10="N/A-CS",$M10="Common Space"),$E10,"")</f>
        <v/>
      </c>
      <c r="HH10" s="1064" t="str">
        <f t="shared" ref="HH10:HH47" si="186">IF(AND($C10=3, $O10="Acquisition/Rehab",$B10="N/A-CS",$M10="Common Space"),$E10,"")</f>
        <v/>
      </c>
      <c r="HI10" s="1064" t="str">
        <f t="shared" ref="HI10:HI47" si="187">IF(AND($C10=4, $O10="Acquisition/Rehab",$B10="N/A-CS",$M10="Common Space"),$E10,"")</f>
        <v/>
      </c>
      <c r="HJ10" s="1064" t="str">
        <f t="shared" ref="HJ10:HJ47" si="188">IF(AND($C10="Efficiency", $O10="Rehabilitation",NOT($B10="Unrestricted"),NOT($B10="NSP 120"),NOT($B10="N/A-CS"),NOT($M10="Common Space")),$E10,"")</f>
        <v/>
      </c>
      <c r="HK10" s="1064" t="str">
        <f t="shared" ref="HK10:HK47" si="189">IF(AND($C10=1, $O10="Rehabilitation",NOT($B10="Unrestricted"),NOT($B10="NSP 120"),NOT($B10="N/A-CS"),NOT($M10="Common Space")),$E10,"")</f>
        <v/>
      </c>
      <c r="HL10" s="1064" t="str">
        <f t="shared" ref="HL10:HL47" si="190">IF(AND($C10=2, $O10="Rehabilitation",NOT($B10="Unrestricted"),NOT($B10="NSP 120"),NOT($B10="N/A-CS"),NOT($M10="Common Space")),$E10,"")</f>
        <v/>
      </c>
      <c r="HM10" s="1064" t="str">
        <f t="shared" ref="HM10:HM47" si="191">IF(AND($C10=3, $O10="Rehabilitation",NOT($B10="Unrestricted"),NOT($B10="NSP 120"),NOT($B10="N/A-CS"),NOT($M10="Common Space")),$E10,"")</f>
        <v/>
      </c>
      <c r="HN10" s="1064" t="str">
        <f t="shared" ref="HN10:HN47" si="192">IF(AND($C10=4, $O10="Rehabilitation",NOT($B10="Unrestricted"),NOT($B10="NSP 120"),NOT($B10="N/A-CS"),NOT($M10="Common Space")),$E10,"")</f>
        <v/>
      </c>
      <c r="HO10" s="1064" t="str">
        <f t="shared" ref="HO10:HO47" si="193">IF(AND($C10="Efficiency", $O10="Rehabilitation",$B10="Unrestricted",NOT($B10="N/A-CS"),NOT($M10="Common Space")),$E10,"")</f>
        <v/>
      </c>
      <c r="HP10" s="1064" t="str">
        <f t="shared" ref="HP10:HP47" si="194">IF(AND($C10=1, $O10="Rehabilitation",$B10="Unrestricted",NOT($B10="N/A-CS"),NOT($M10="Common Space")),$E10,"")</f>
        <v/>
      </c>
      <c r="HQ10" s="1064" t="str">
        <f t="shared" ref="HQ10:HQ47" si="195">IF(AND($C10=2, $O10="Rehabilitation",$B10="Unrestricted",NOT($B10="N/A-CS"),NOT($M10="Common Space")),$E10,"")</f>
        <v/>
      </c>
      <c r="HR10" s="1064" t="str">
        <f t="shared" ref="HR10:HR47" si="196">IF(AND($C10=3, $O10="Rehabilitation",$B10="Unrestricted",NOT($B10="N/A-CS"),NOT($M10="Common Space")),$E10,"")</f>
        <v/>
      </c>
      <c r="HS10" s="1064" t="str">
        <f t="shared" ref="HS10:HS47" si="197">IF(AND($C10=4, $O10="Rehabilitation",$B10="Unrestricted",NOT($B10="N/A-CS"),NOT($M10="Common Space")),$E10,"")</f>
        <v/>
      </c>
      <c r="HT10" s="1064" t="str">
        <f t="shared" ref="HT10:HT47" si="198">IF(AND($C10="Efficiency", $O10="Rehabilitation",$B10="N/A-CS",$M10="Common Space"),$E10,"")</f>
        <v/>
      </c>
      <c r="HU10" s="1064" t="str">
        <f t="shared" ref="HU10:HU47" si="199">IF(AND($C10=1, $O10="Rehabilitation",$B10="N/A-CS",$M10="Common Space"),$E10,"")</f>
        <v/>
      </c>
      <c r="HV10" s="1064" t="str">
        <f t="shared" ref="HV10:HV47" si="200">IF(AND($C10=2, $O10="Rehabilitation",$B10="N/A-CS",$M10="Common Space"),$E10,"")</f>
        <v/>
      </c>
      <c r="HW10" s="1064" t="str">
        <f t="shared" ref="HW10:HW47" si="201">IF(AND($C10=3, $O10="Rehabilitation",$B10="N/A-CS",$M10="Common Space"),$E10,"")</f>
        <v/>
      </c>
      <c r="HX10" s="1064" t="str">
        <f t="shared" ref="HX10:HX47" si="202">IF(AND($C10=4, $O10="Rehabilitation",$B10="N/A-CS",$M10="Common Space"),$E10,"")</f>
        <v/>
      </c>
      <c r="HY10" s="1097" t="str">
        <f t="shared" ref="HY10:HY47" si="203">IF(AND($C10="Efficiency", NOT(OR($N10="SF Detached",$N10="Mfd Home",$N10="Duplex",$N10="Townhome"))),$E10,"")</f>
        <v/>
      </c>
      <c r="HZ10" s="1097" t="str">
        <f t="shared" ref="HZ10:HZ47" si="204">IF(AND($C10=1, NOT(OR($N10="SF Detached",$N10="Mfd Home",$N10="Duplex",$N10="Townhome"))),$E10,"")</f>
        <v/>
      </c>
      <c r="IA10" s="1097" t="str">
        <f t="shared" ref="IA10:IA47" si="205">IF(AND($C10=2, NOT(OR($N10="SF Detached",$N10="Mfd Home",$N10="Duplex",$N10="Townhome"))),$E10,"")</f>
        <v/>
      </c>
      <c r="IB10" s="1097" t="str">
        <f t="shared" ref="IB10:IB47" si="206">IF(AND($C10=3, NOT(OR($N10="SF Detached",$N10="Mfd Home",$N10="Duplex",$N10="Townhome"))),$E10,"")</f>
        <v/>
      </c>
      <c r="IC10" s="1097" t="str">
        <f t="shared" ref="IC10:IC47" si="207">IF(AND($C10=4, NOT(OR($N10="SF Detached",$N10="Mfd Home",$N10="Duplex",$N10="Townhome"))),$E10,"")</f>
        <v/>
      </c>
      <c r="ID10" s="1097" t="str">
        <f t="shared" ref="ID10:ID47" si="208">IF(AND($C10="Efficiency", $N10="SF Detached",NOT($P10="Yes")),$E10,"")</f>
        <v/>
      </c>
      <c r="IE10" s="1097" t="str">
        <f t="shared" ref="IE10:IE47" si="209">IF(AND($C10=1, $N10="SF Detached",NOT($P10="Yes")),$E10,"")</f>
        <v/>
      </c>
      <c r="IF10" s="1097" t="str">
        <f t="shared" ref="IF10:IF47" si="210">IF(AND($C10=2, $N10="SF Detached",NOT($P10="Yes")),$E10,"")</f>
        <v/>
      </c>
      <c r="IG10" s="1097" t="str">
        <f t="shared" ref="IG10:IG47" si="211">IF(AND($C10=3, $N10="SF Detached",NOT($P10="Yes")),$E10,"")</f>
        <v/>
      </c>
      <c r="IH10" s="1097" t="str">
        <f t="shared" ref="IH10:IH47" si="212">IF(AND($C10=4, $N10="SF Detached",NOT($P10="Yes")),$E10,"")</f>
        <v/>
      </c>
      <c r="II10" s="1097" t="str">
        <f t="shared" ref="II10:II47" si="213">IF(AND($C10="Efficiency", $N10="SF Detached",$P10="Yes"),$E10,"")</f>
        <v/>
      </c>
      <c r="IJ10" s="1097" t="str">
        <f t="shared" ref="IJ10:IJ47" si="214">IF(AND($C10=1, $N10="SF Detached",$P10="Yes"),$E10,"")</f>
        <v/>
      </c>
      <c r="IK10" s="1097" t="str">
        <f t="shared" ref="IK10:IK47" si="215">IF(AND($C10=2, $N10="SF Detached",$P10="Yes"),$E10,"")</f>
        <v/>
      </c>
      <c r="IL10" s="1097" t="str">
        <f t="shared" ref="IL10:IL47" si="216">IF(AND($C10=3, $N10="SF Detached",$P10="Yes"),$E10,"")</f>
        <v/>
      </c>
      <c r="IM10" s="1097" t="str">
        <f t="shared" ref="IM10:IM47" si="217">IF(AND($C10=4, $N10="SF Detached",$P10="Yes"),$E10,"")</f>
        <v/>
      </c>
      <c r="IN10" s="1097" t="str">
        <f t="shared" ref="IN10:IN47" si="218">IF(AND($C10="Efficiency", $N10="Mfd Home",NOT($P10="Yes")),$E10,"")</f>
        <v/>
      </c>
      <c r="IO10" s="1097" t="str">
        <f t="shared" ref="IO10:IO47" si="219">IF(AND($C10=1, $N10="Mfd Home",NOT($P10="Yes")),$E10,"")</f>
        <v/>
      </c>
      <c r="IP10" s="1097" t="str">
        <f t="shared" ref="IP10:IP47" si="220">IF(AND($C10=2, $N10="Mfd Home",NOT($P10="Yes")),$E10,"")</f>
        <v/>
      </c>
      <c r="IQ10" s="1097" t="str">
        <f t="shared" ref="IQ10:IQ47" si="221">IF(AND($C10=3, $N10="Mfd Home",NOT($P10="Yes")),$E10,"")</f>
        <v/>
      </c>
      <c r="IR10" s="1097" t="str">
        <f t="shared" ref="IR10:IR47" si="222">IF(AND($C10=4, $N10="Mfd Home",NOT($P10="Yes")),$E10,"")</f>
        <v/>
      </c>
      <c r="IS10" s="1097" t="str">
        <f t="shared" ref="IS10:IS47" si="223">IF(AND($C10="Efficiency", $N10="Mfd Home",$P10="Yes"),$E10,"")</f>
        <v/>
      </c>
      <c r="IT10" s="1097" t="str">
        <f t="shared" ref="IT10:IT47" si="224">IF(AND($C10=1, $N10="Mfd Home",$P10="Yes"),$E10,"")</f>
        <v/>
      </c>
      <c r="IU10" s="1097" t="str">
        <f t="shared" ref="IU10:IU47" si="225">IF(AND($C10=2, $N10="Mfd Home",$P10="Yes"),$E10,"")</f>
        <v/>
      </c>
      <c r="IV10" s="1097" t="str">
        <f t="shared" ref="IV10:IV47" si="226">IF(AND($C10=3, $N10="Mfd Home",$P10="Yes"),$E10,"")</f>
        <v/>
      </c>
      <c r="IW10" s="1097" t="str">
        <f t="shared" ref="IW10:IW47" si="227">IF(AND($C10=4, $N10="Mfd Home",$P10="Yes"),$E10,"")</f>
        <v/>
      </c>
      <c r="IX10" s="1097" t="str">
        <f t="shared" ref="IX10:IX47" si="228">IF(AND($C10="Efficiency", $N10="Duplex",NOT($P10="Yes")),$E10,"")</f>
        <v/>
      </c>
      <c r="IY10" s="1097" t="str">
        <f t="shared" ref="IY10:IY47" si="229">IF(AND($C10=1, $N10="Duplex",NOT($P10="Yes")),$E10,"")</f>
        <v/>
      </c>
      <c r="IZ10" s="1097" t="str">
        <f t="shared" ref="IZ10:IZ47" si="230">IF(AND($C10=2, $N10="Duplex",NOT($P10="Yes")),$E10,"")</f>
        <v/>
      </c>
      <c r="JA10" s="1097" t="str">
        <f t="shared" ref="JA10:JA47" si="231">IF(AND($C10=3, $N10="Duplex",NOT($P10="Yes")),$E10,"")</f>
        <v/>
      </c>
      <c r="JB10" s="1097" t="str">
        <f t="shared" ref="JB10:JB47" si="232">IF(AND($C10=4, $N10="Duplex",NOT($P10="Yes")),$E10,"")</f>
        <v/>
      </c>
      <c r="JC10" s="1097" t="str">
        <f t="shared" ref="JC10:JC47" si="233">IF(AND($C10="Efficiency", $N10="Duplex",$P10="Yes"),$E10,"")</f>
        <v/>
      </c>
      <c r="JD10" s="1097" t="str">
        <f t="shared" ref="JD10:JD47" si="234">IF(AND($C10=1, $N10="Duplex",$P10="Yes"),$E10,"")</f>
        <v/>
      </c>
      <c r="JE10" s="1097" t="str">
        <f t="shared" ref="JE10:JE47" si="235">IF(AND($C10=2, $N10="Duplex",$P10="Yes"),$E10,"")</f>
        <v/>
      </c>
      <c r="JF10" s="1097" t="str">
        <f t="shared" ref="JF10:JF47" si="236">IF(AND($C10=3, $N10="Duplex",$P10="Yes"),$E10,"")</f>
        <v/>
      </c>
      <c r="JG10" s="1097" t="str">
        <f t="shared" ref="JG10:JG47" si="237">IF(AND($C10=4, $N10="Duplex",$P10="Yes"),$E10,"")</f>
        <v/>
      </c>
      <c r="JH10" s="1097" t="str">
        <f t="shared" ref="JH10:JH47" si="238">IF(AND($C10="Efficiency", $N10="Townhome",NOT($P10="Yes")),$E10,"")</f>
        <v/>
      </c>
      <c r="JI10" s="1097" t="str">
        <f t="shared" ref="JI10:JI47" si="239">IF(AND($C10=1, $N10="Townhome",NOT($P10="Yes")),$E10,"")</f>
        <v/>
      </c>
      <c r="JJ10" s="1097" t="str">
        <f t="shared" ref="JJ10:JJ47" si="240">IF(AND($C10=2, $N10="Townhome",NOT($P10="Yes")),$E10,"")</f>
        <v/>
      </c>
      <c r="JK10" s="1097" t="str">
        <f t="shared" ref="JK10:JK47" si="241">IF(AND($C10=3, $N10="Townhome",NOT($P10="Yes")),$E10,"")</f>
        <v/>
      </c>
      <c r="JL10" s="1097" t="str">
        <f t="shared" ref="JL10:JL47" si="242">IF(AND($C10=4, $N10="Townhome",NOT($P10="Yes")),$E10,"")</f>
        <v/>
      </c>
      <c r="JM10" s="1097" t="str">
        <f t="shared" ref="JM10:JM47" si="243">IF(AND($C10="Efficiency", $N10="Townhome",$P10="Yes"),$E10,"")</f>
        <v/>
      </c>
      <c r="JN10" s="1097" t="str">
        <f t="shared" ref="JN10:JN47" si="244">IF(AND($C10=1, $N10="Townhome",$P10="Yes"),$E10,"")</f>
        <v/>
      </c>
      <c r="JO10" s="1097" t="str">
        <f t="shared" ref="JO10:JO47" si="245">IF(AND($C10=2, $N10="Townhome",$P10="Yes"),$E10,"")</f>
        <v/>
      </c>
      <c r="JP10" s="1097" t="str">
        <f t="shared" ref="JP10:JP47" si="246">IF(AND($C10=3, $N10="Townhome",$P10="Yes"),$E10,"")</f>
        <v/>
      </c>
      <c r="JQ10" s="1097" t="str">
        <f t="shared" ref="JQ10:JQ47" si="247">IF(AND($C10=4, $N10="Townhome",$P10="Yes"),$E10,"")</f>
        <v/>
      </c>
      <c r="JR10" s="1097" t="str">
        <f t="shared" ref="JR10:JR47" si="248">IF(AND($C10="Efficiency", $N10="1-Story",NOT($P10="Yes")),$E10,"")</f>
        <v/>
      </c>
      <c r="JS10" s="1097" t="str">
        <f t="shared" ref="JS10:JS47" si="249">IF(AND($C10=1, $N10="1-Story",NOT($P10="Yes")),$E10,"")</f>
        <v/>
      </c>
      <c r="JT10" s="1097" t="str">
        <f t="shared" ref="JT10:JT47" si="250">IF(AND($C10=2, $N10="1-Story",NOT($P10="Yes")),$E10,"")</f>
        <v/>
      </c>
      <c r="JU10" s="1097" t="str">
        <f t="shared" ref="JU10:JU47" si="251">IF(AND($C10=3, $N10="1-Story",NOT($P10="Yes")),$E10,"")</f>
        <v/>
      </c>
      <c r="JV10" s="1097" t="str">
        <f t="shared" ref="JV10:JV47" si="252">IF(AND($C10=4, $N10="1-Story",NOT($P10="Yes")),$E10,"")</f>
        <v/>
      </c>
      <c r="JW10" s="1097" t="str">
        <f t="shared" ref="JW10:JW47" si="253">IF(AND($C10="Efficiency", $N10="1-Story",$P10="Yes"),$E10,"")</f>
        <v/>
      </c>
      <c r="JX10" s="1097" t="str">
        <f t="shared" ref="JX10:JX47" si="254">IF(AND($C10=1, $N10="1-Story",$P10="Yes"),$E10,"")</f>
        <v/>
      </c>
      <c r="JY10" s="1097" t="str">
        <f t="shared" ref="JY10:JY47" si="255">IF(AND($C10=2, $N10="1-Story",$P10="Yes"),$E10,"")</f>
        <v/>
      </c>
      <c r="JZ10" s="1097" t="str">
        <f t="shared" ref="JZ10:JZ47" si="256">IF(AND($C10=3, $N10="1-Story",$P10="Yes"),$E10,"")</f>
        <v/>
      </c>
      <c r="KA10" s="1097" t="str">
        <f t="shared" ref="KA10:KA47" si="257">IF(AND($C10=4, $N10="1-Story",$P10="Yes"),$E10,"")</f>
        <v/>
      </c>
      <c r="KB10" s="1097" t="str">
        <f t="shared" ref="KB10:KB47" si="258">IF(AND($C10="Efficiency", $N10="2-Story",NOT($P10="Yes")),$E10,"")</f>
        <v/>
      </c>
      <c r="KC10" s="1097" t="str">
        <f t="shared" ref="KC10:KC47" si="259">IF(AND($C10=1, $N10="2-Story",NOT($P10="Yes")),$E10,"")</f>
        <v/>
      </c>
      <c r="KD10" s="1097" t="str">
        <f t="shared" ref="KD10:KD47" si="260">IF(AND($C10=2, $N10="2-Story",NOT($P10="Yes")),$E10,"")</f>
        <v/>
      </c>
      <c r="KE10" s="1097" t="str">
        <f t="shared" ref="KE10:KE47" si="261">IF(AND($C10=3, $N10="2-Story",NOT($P10="Yes")),$E10,"")</f>
        <v/>
      </c>
      <c r="KF10" s="1097" t="str">
        <f t="shared" ref="KF10:KF47" si="262">IF(AND($C10=4, $N10="2-Story",NOT($P10="Yes")),$E10,"")</f>
        <v/>
      </c>
      <c r="KG10" s="1097" t="str">
        <f t="shared" ref="KG10:KG47" si="263">IF(AND($C10="Efficiency", $N10="2-Story",$P10="Yes"),$E10,"")</f>
        <v/>
      </c>
      <c r="KH10" s="1097" t="str">
        <f t="shared" ref="KH10:KH47" si="264">IF(AND($C10=1, $N10="2-Story",$P10="Yes"),$E10,"")</f>
        <v/>
      </c>
      <c r="KI10" s="1097" t="str">
        <f t="shared" ref="KI10:KI47" si="265">IF(AND($C10=2, $N10="2-Story",$P10="Yes"),$E10,"")</f>
        <v/>
      </c>
      <c r="KJ10" s="1097" t="str">
        <f t="shared" ref="KJ10:KJ47" si="266">IF(AND($C10=3, $N10="2-Story",$P10="Yes"),$E10,"")</f>
        <v/>
      </c>
      <c r="KK10" s="1097" t="str">
        <f t="shared" ref="KK10:KK47" si="267">IF(AND($C10=4, $N10="2-Story",$P10="Yes"),$E10,"")</f>
        <v/>
      </c>
      <c r="KL10" s="1097" t="str">
        <f t="shared" ref="KL10:KL47" si="268">IF(AND($C10="Efficiency", $N10="2-Story Walkup",NOT($P10="Yes")),$E10,"")</f>
        <v/>
      </c>
      <c r="KM10" s="1097" t="str">
        <f t="shared" ref="KM10:KM47" si="269">IF(AND($C10=1, $N10="2-Story Walkup",NOT($P10="Yes")),$E10,"")</f>
        <v/>
      </c>
      <c r="KN10" s="1097" t="str">
        <f t="shared" ref="KN10:KN47" si="270">IF(AND($C10=2, $N10="2-Story Walkup",NOT($P10="Yes")),$E10,"")</f>
        <v/>
      </c>
      <c r="KO10" s="1097" t="str">
        <f t="shared" ref="KO10:KO47" si="271">IF(AND($C10=3, $N10="2-Story Walkup",NOT($P10="Yes")),$E10,"")</f>
        <v/>
      </c>
      <c r="KP10" s="1097" t="str">
        <f t="shared" ref="KP10:KP47" si="272">IF(AND($C10=4, $N10="2-Story Walkup",NOT($P10="Yes")),$E10,"")</f>
        <v/>
      </c>
      <c r="KQ10" s="1097" t="str">
        <f t="shared" ref="KQ10:KQ47" si="273">IF(AND($C10="Efficiency", $N10="2-Story Walkup",$P10="Yes"),$E10,"")</f>
        <v/>
      </c>
      <c r="KR10" s="1097" t="str">
        <f t="shared" ref="KR10:KR47" si="274">IF(AND($C10=1, $N10="2-Story Walkup",$P10="Yes"),$E10,"")</f>
        <v/>
      </c>
      <c r="KS10" s="1097" t="str">
        <f t="shared" ref="KS10:KS47" si="275">IF(AND($C10=2, $N10="2-Story Walkup",$P10="Yes"),$E10,"")</f>
        <v/>
      </c>
      <c r="KT10" s="1097" t="str">
        <f t="shared" ref="KT10:KT47" si="276">IF(AND($C10=3, $N10="2-Story Walkup",$P10="Yes"),$E10,"")</f>
        <v/>
      </c>
      <c r="KU10" s="1097" t="str">
        <f t="shared" ref="KU10:KU47" si="277">IF(AND($C10=4, $N10="2-Story Walkup",$P10="Yes"),$E10,"")</f>
        <v/>
      </c>
      <c r="KV10" s="1097" t="str">
        <f t="shared" ref="KV10:KV47" si="278">IF(AND($C10="Efficiency", $N10="3+ Story",NOT($P10="Yes")),$E10,"")</f>
        <v/>
      </c>
      <c r="KW10" s="1097" t="str">
        <f t="shared" ref="KW10:KW47" si="279">IF(AND($C10=1, $N10="3+ Story",NOT($P10="Yes")),$E10,"")</f>
        <v/>
      </c>
      <c r="KX10" s="1097" t="str">
        <f t="shared" ref="KX10:KX47" si="280">IF(AND($C10=2, $N10="3+ Story",NOT($P10="Yes")),$E10,"")</f>
        <v/>
      </c>
      <c r="KY10" s="1097" t="str">
        <f t="shared" ref="KY10:KY47" si="281">IF(AND($C10=3, $N10="3+ Story",NOT($P10="Yes")),$E10,"")</f>
        <v/>
      </c>
      <c r="KZ10" s="1097" t="str">
        <f t="shared" ref="KZ10:KZ47" si="282">IF(AND($C10=4, $N10="3+ Story",NOT($P10="Yes")),$E10,"")</f>
        <v/>
      </c>
      <c r="LA10" s="1097" t="str">
        <f t="shared" ref="LA10:LA47" si="283">IF(AND($C10="Efficiency", $N10="3+ Story",$P10="Yes"),$E10,"")</f>
        <v/>
      </c>
      <c r="LB10" s="1097" t="str">
        <f t="shared" ref="LB10:LB47" si="284">IF(AND($C10=1, $N10="3+ Story",$P10="Yes"),$E10,"")</f>
        <v/>
      </c>
      <c r="LC10" s="1097" t="str">
        <f t="shared" ref="LC10:LC47" si="285">IF(AND($C10=2, $N10="3+ Story",$P10="Yes"),$E10,"")</f>
        <v/>
      </c>
      <c r="LD10" s="1097" t="str">
        <f t="shared" ref="LD10:LD47" si="286">IF(AND($C10=3, $N10="3+ Story",$P10="Yes"),$E10,"")</f>
        <v/>
      </c>
      <c r="LE10" s="1097" t="str">
        <f t="shared" ref="LE10:LE47" si="287">IF(AND($C10=4, $N10="3+ Story",$P10="Yes"),$E10,"")</f>
        <v/>
      </c>
      <c r="LF10" s="1098" t="str">
        <f t="shared" ref="LF10:LF47" si="288">IF(AND($B10="NSP 120% AMI",$C10="Efficiency", NOT($M10="Common Space")),$E10,"")</f>
        <v/>
      </c>
      <c r="LG10" s="1098" t="str">
        <f t="shared" ref="LG10:LG47" si="289">IF(AND($B10="NSP 120% AMI",$C10=1,NOT($M10="Common Space")),$E10,"")</f>
        <v/>
      </c>
      <c r="LH10" s="1098" t="str">
        <f t="shared" ref="LH10:LH47" si="290">IF(AND($B10="NSP 120% AMI",$C10=2,NOT($M10="Common Space")),$E10,"")</f>
        <v/>
      </c>
      <c r="LI10" s="1098" t="str">
        <f t="shared" ref="LI10:LI47" si="291">IF(AND($B10="NSP 120% AMI",$C10=3,NOT($M10="Common Space")),$E10,"")</f>
        <v/>
      </c>
      <c r="LJ10" s="1098" t="str">
        <f t="shared" ref="LJ10:LJ47" si="292">IF(AND($B10="NSP 120% AMI",$C10=4,NOT($M10="Common Space")),$E10,"")</f>
        <v/>
      </c>
      <c r="LK10" s="1064" t="str">
        <f t="shared" ref="LK10:LK47" si="293">IF(AND(C10="Efficiency",B10="NSP 120% AMI",NOT(M10="Common Space")),E10*F10,"")</f>
        <v/>
      </c>
      <c r="LL10" s="1064" t="str">
        <f t="shared" ref="LL10:LL47" si="294">IF(AND(C10=1,B10="NSP 120% AMI",NOT(M10="Common Space")),E10*F10,"")</f>
        <v/>
      </c>
      <c r="LM10" s="1064" t="str">
        <f t="shared" ref="LM10:LM47" si="295">IF(AND(C10=2,B10="NSP 120% AMI",NOT(M10="Common Space")),E10*F10,"")</f>
        <v/>
      </c>
      <c r="LN10" s="1064" t="str">
        <f t="shared" ref="LN10:LN47" si="296">IF(AND(C10=3,B10="NSP 120% AMI",NOT(M10="Common Space")),E10*F10,"")</f>
        <v/>
      </c>
      <c r="LO10" s="1064" t="str">
        <f t="shared" ref="LO10:LO47" si="297">IF(AND(C10=4,B10="NSP 120% AMI",NOT(M10="Common Space")),E10*F10,"")</f>
        <v/>
      </c>
      <c r="LP10" s="1064" t="str">
        <f t="shared" ref="LP10:LP47" si="298">IF(AND($C10="Efficiency", $O10="New Construction",$B10="NSP 120% AMI",NOT($M10="Common Space")),$E10,"")</f>
        <v/>
      </c>
      <c r="LQ10" s="1064" t="str">
        <f t="shared" ref="LQ10:LQ47" si="299">IF(AND($C10=1, $O10="New Construction",$B10="NSP 120% AMI",NOT($M10="Common Space")),$E10,"")</f>
        <v/>
      </c>
      <c r="LR10" s="1064" t="str">
        <f t="shared" ref="LR10:LR47" si="300">IF(AND($C10=2, $O10="New Construction",$B10="NSP 120% AMI",NOT($M10="Common Space")),$E10,"")</f>
        <v/>
      </c>
      <c r="LS10" s="1064" t="str">
        <f t="shared" ref="LS10:LS47" si="301">IF(AND($C10=3, $O10="New Construction",$B10="NSP 120% AMI",NOT($M10="Common Space")),$E10,"")</f>
        <v/>
      </c>
      <c r="LT10" s="1064" t="str">
        <f t="shared" ref="LT10:LT47" si="302">IF(AND($C10=4, $O10="New Construction",$B10="NSP 120% AMI",NOT($M10="Common Space")),$E10,"")</f>
        <v/>
      </c>
      <c r="LU10" s="1064" t="str">
        <f t="shared" ref="LU10:LU47" si="303">IF(AND($C10="Efficiency", $O10="Acquisition/Rehab",$B10="NSP 120% AMI",NOT($M10="Common Space")),$E10,"")</f>
        <v/>
      </c>
      <c r="LV10" s="1064" t="str">
        <f t="shared" ref="LV10:LV47" si="304">IF(AND($C10=1, $O10="Acquisition/Rehab",$B10="NSP 120% AMI",NOT($M10="Common Space")),$E10,"")</f>
        <v/>
      </c>
      <c r="LW10" s="1064" t="str">
        <f t="shared" ref="LW10:LW47" si="305">IF(AND($C10=2, $O10="Acquisition/Rehab",$B10="NSP 120% AMI",NOT($M10="Common Space")),$E10,"")</f>
        <v/>
      </c>
      <c r="LX10" s="1064" t="str">
        <f t="shared" ref="LX10:LX47" si="306">IF(AND($C10=3, $O10="Acquisition/Rehab",$B10="NSP 120% AMI",NOT($M10="Common Space")),$E10,"")</f>
        <v/>
      </c>
      <c r="LY10" s="1064" t="str">
        <f t="shared" ref="LY10:LY47" si="307">IF(AND($C10=4, $O10="Acquisition/Rehab",$B10="NSP 120% AMI",NOT($M10="Common Space")),$E10,"")</f>
        <v/>
      </c>
      <c r="LZ10" s="1064" t="str">
        <f t="shared" ref="LZ10:LZ47" si="308">IF(AND($C10="Efficiency", $O10="Rehabilitation",$B10="NSP 120% AMI",NOT($M10="Common Space")),$E10,"")</f>
        <v/>
      </c>
      <c r="MA10" s="1064" t="str">
        <f t="shared" ref="MA10:MA47" si="309">IF(AND($C10=1, $O10="Rehabilitation",$B10="NSP 120% AMI",NOT($M10="Common Space")),$E10,"")</f>
        <v/>
      </c>
      <c r="MB10" s="1064" t="str">
        <f t="shared" ref="MB10:MB47" si="310">IF(AND($C10=2, $O10="Rehabilitation",$B10="NSP 120% AMI",NOT($M10="Common Space")),$E10,"")</f>
        <v/>
      </c>
      <c r="MC10" s="1064" t="str">
        <f t="shared" ref="MC10:MC47" si="311">IF(AND($C10=3, $O10="Rehabilitation",$B10="NSP 120% AMI",NOT($M10="Common Space")),$E10,"")</f>
        <v/>
      </c>
      <c r="MD10" s="1064" t="str">
        <f t="shared" ref="MD10:MD47" si="312">IF(AND($C10=4, $O10="Rehabilitation",$B10="NSP 120% AMI",NOT($M10="Common Space")),$E10,"")</f>
        <v/>
      </c>
      <c r="ME10" s="1081">
        <f>IF(AND($C10="Efficiency",$E10&gt;0,OR($N10="1-Story",$N10="2-Story",$N10="3+ Story",$N10="2-Story Walkup",$N10="Townhome"),OR($O10="Acquisition/Rehab",$O10="Rehabilitation"),NOT($P10="Yes")),$E10,0)</f>
        <v>0</v>
      </c>
      <c r="MF10" s="1081">
        <f>IF(AND($C10=1,$E10&gt;0,OR($N10="1-Story",$N10="2-Story",$N10="3+ Story",$N10="2-Story Walkup",$N10="Townhome"),OR($O10="Acquisition/Rehab",$O10="Rehabilitation"),NOT($P10="Yes")),$E10,0)</f>
        <v>0</v>
      </c>
      <c r="MG10" s="1081">
        <f>IF(AND($C10=2,$E10&gt;0,OR($N10="1-Story",$N10="2-Story",$N10="3+ Story",$N10="2-Story Walkup",$N10="Townhome"),OR($O10="Acquisition/Rehab",$O10="Rehabilitation"),NOT($P10="Yes")),$E10,0)</f>
        <v>0</v>
      </c>
      <c r="MH10" s="1081">
        <f>IF(AND($C10=3,$E10&gt;0,OR($N10="1-Story",$N10="2-Story",$N10="3+ Story",$N10="2-Story Walkup",$N10="Townhome"),OR($O10="Acquisition/Rehab",$O10="Rehabilitation"),NOT($P10="Yes")),$E10,0)</f>
        <v>0</v>
      </c>
      <c r="MI10" s="1081">
        <f>IF(AND($C10=4,$E10&gt;0,OR($N10="1-Story",$N10="2-Story",$N10="3+ Story",$N10="2-Story Walkup",$N10="Townhome"),OR($O10="Acquisition/Rehab",$O10="Rehabilitation"),NOT($P10="Yes")),$E10,0)</f>
        <v>0</v>
      </c>
      <c r="MJ10" s="1081">
        <f>IF(AND($C10="Efficiency",$E10&gt;0,OR($N10="1-Story",$N10="2-Story",$N10="3+ Story",$N10="2-Story Walkup",$N10="Townhome"),$O10="New Construction"),$E10,0)</f>
        <v>0</v>
      </c>
      <c r="MK10" s="1081">
        <f>IF(AND($C10=1,$E10&gt;0,OR($N10="1-Story",$N10="2-Story",$N10="3+ Story",$N10="2-Story Walkup",$N10="Townhome"),$O10="New Construction"),$E10,0)</f>
        <v>0</v>
      </c>
      <c r="ML10" s="1081">
        <f>IF(AND($C10=2,$E10&gt;0,OR($N10="1-Story",$N10="2-Story",$N10="3+ Story",$N10="2-Story Walkup",$N10="Townhome"),$O10="New Construction"),$E10,0)</f>
        <v>0</v>
      </c>
      <c r="MM10" s="1081">
        <f>IF(AND($C10=3,$E10&gt;0,OR($N10="1-Story",$N10="2-Story",$N10="3+ Story",$N10="2-Story Walkup",$N10="Townhome"),$O10="New Construction"),$E10,0)</f>
        <v>0</v>
      </c>
      <c r="MN10" s="1081">
        <f>IF(AND($C10=4,$E10&gt;0,OR($N10="1-Story",$N10="2-Story",$N10="3+ Story",$N10="2-Story Walkup",$N10="Townhome"),$O10="New Construction"),$E10,0)</f>
        <v>0</v>
      </c>
      <c r="MO10" s="1081">
        <f>IF(AND($C10="Efficiency",$E10&gt;0,OR($N10="SF Detached",$N10="Duplex",$N10="Mfd Home"),NOT($P10="Yes")),$E10,0)</f>
        <v>0</v>
      </c>
      <c r="MP10" s="1081">
        <f>IF(AND($C10=1,$E10&gt;0,OR($N10="SF Detached",$N10="Duplex",$N10="Mfd Home"),NOT($P10="Yes")),$E10,0)</f>
        <v>0</v>
      </c>
      <c r="MQ10" s="1081">
        <f>IF(AND($C10=2,$E10&gt;0,OR($N10="SF Detached",$N10="Duplex",$N10="Mfd Home"),NOT($P10="Yes")),$E10,0)</f>
        <v>0</v>
      </c>
      <c r="MR10" s="1081">
        <f>IF(AND($C10=3,$E10&gt;0,OR($N10="SF Detached",$N10="Duplex",$N10="Mfd Home"),NOT($P10="Yes")),$E10,0)</f>
        <v>0</v>
      </c>
      <c r="MS10" s="1081">
        <f>IF(AND($C10=4,$E10&gt;0,OR($N10="SF Detached",$N10="Duplex",$N10="Mfd Home"),NOT($P10="Yes")),$E10,0)</f>
        <v>0</v>
      </c>
    </row>
    <row r="11" spans="1:492" ht="12" customHeight="1">
      <c r="A11" s="1088" t="str">
        <f t="shared" si="0"/>
        <v/>
      </c>
      <c r="B11" s="1099" t="s">
        <v>3377</v>
      </c>
      <c r="C11" s="41"/>
      <c r="D11" s="42"/>
      <c r="E11" s="43"/>
      <c r="F11" s="43"/>
      <c r="G11" s="43"/>
      <c r="H11" s="43"/>
      <c r="I11" s="1100">
        <f>IF(C11="",0,HLOOKUP(C11,'Part V-Utility Allowances'!$I$11:$M$22,12))</f>
        <v>0</v>
      </c>
      <c r="J11" s="810"/>
      <c r="K11" s="512">
        <f t="shared" si="1"/>
        <v>0</v>
      </c>
      <c r="L11" s="512">
        <f t="shared" si="2"/>
        <v>0</v>
      </c>
      <c r="M11" s="1101"/>
      <c r="N11" s="1101"/>
      <c r="O11" s="1101"/>
      <c r="P11" s="1102"/>
      <c r="Q11" s="1103" t="str">
        <f t="shared" si="3"/>
        <v/>
      </c>
      <c r="R11" s="1104" t="str">
        <f>IF(H11="","",IF(C11="Efficiency",Q11/($O$6*VLOOKUP(0,'DCA Underwriting Assumptions'!$J$146:$K$151,2,FALSE)),Q11/($O$6*VLOOKUP(C11,'DCA Underwriting Assumptions'!$J$146:$K$151,2,FALSE))))</f>
        <v/>
      </c>
      <c r="S11" s="1105"/>
      <c r="T11" s="1106"/>
      <c r="U11" s="2314"/>
      <c r="V11" s="2316"/>
      <c r="W11" s="1064" t="str">
        <f t="shared" si="4"/>
        <v/>
      </c>
      <c r="X11" s="1064" t="str">
        <f t="shared" si="5"/>
        <v/>
      </c>
      <c r="Y11" s="1064" t="str">
        <f t="shared" si="6"/>
        <v/>
      </c>
      <c r="Z11" s="1064" t="str">
        <f t="shared" si="7"/>
        <v/>
      </c>
      <c r="AA11" s="1064" t="str">
        <f t="shared" si="8"/>
        <v/>
      </c>
      <c r="AB11" s="1064" t="str">
        <f t="shared" si="9"/>
        <v/>
      </c>
      <c r="AC11" s="1064" t="str">
        <f t="shared" si="10"/>
        <v/>
      </c>
      <c r="AD11" s="1064" t="str">
        <f t="shared" si="11"/>
        <v/>
      </c>
      <c r="AE11" s="1064" t="str">
        <f t="shared" si="12"/>
        <v/>
      </c>
      <c r="AF11" s="1064" t="str">
        <f t="shared" si="13"/>
        <v/>
      </c>
      <c r="AG11" s="1064" t="str">
        <f t="shared" si="14"/>
        <v/>
      </c>
      <c r="AH11" s="1064" t="str">
        <f t="shared" si="15"/>
        <v/>
      </c>
      <c r="AI11" s="1064" t="str">
        <f t="shared" si="16"/>
        <v/>
      </c>
      <c r="AJ11" s="1064" t="str">
        <f t="shared" si="17"/>
        <v/>
      </c>
      <c r="AK11" s="1064" t="str">
        <f t="shared" si="18"/>
        <v/>
      </c>
      <c r="AL11" s="1064" t="str">
        <f t="shared" si="19"/>
        <v/>
      </c>
      <c r="AM11" s="1064" t="str">
        <f t="shared" si="20"/>
        <v/>
      </c>
      <c r="AN11" s="1064" t="str">
        <f t="shared" si="21"/>
        <v/>
      </c>
      <c r="AO11" s="1064" t="str">
        <f t="shared" si="22"/>
        <v/>
      </c>
      <c r="AP11" s="1064" t="str">
        <f t="shared" si="23"/>
        <v/>
      </c>
      <c r="AQ11" s="1064" t="str">
        <f t="shared" si="24"/>
        <v/>
      </c>
      <c r="AR11" s="1064" t="str">
        <f t="shared" si="25"/>
        <v/>
      </c>
      <c r="AS11" s="1064" t="str">
        <f t="shared" si="26"/>
        <v/>
      </c>
      <c r="AT11" s="1064" t="str">
        <f t="shared" si="27"/>
        <v/>
      </c>
      <c r="AU11" s="1064" t="str">
        <f t="shared" si="28"/>
        <v/>
      </c>
      <c r="AV11" s="1064" t="str">
        <f t="shared" si="29"/>
        <v/>
      </c>
      <c r="AW11" s="1064" t="str">
        <f t="shared" si="30"/>
        <v/>
      </c>
      <c r="AX11" s="1064" t="str">
        <f t="shared" si="31"/>
        <v/>
      </c>
      <c r="AY11" s="1064" t="str">
        <f t="shared" si="32"/>
        <v/>
      </c>
      <c r="AZ11" s="1064" t="str">
        <f t="shared" si="33"/>
        <v/>
      </c>
      <c r="BA11" s="1064" t="str">
        <f t="shared" si="34"/>
        <v/>
      </c>
      <c r="BB11" s="1064" t="str">
        <f t="shared" si="35"/>
        <v/>
      </c>
      <c r="BC11" s="1064" t="str">
        <f t="shared" si="36"/>
        <v/>
      </c>
      <c r="BD11" s="1064" t="str">
        <f t="shared" si="37"/>
        <v/>
      </c>
      <c r="BE11" s="1064" t="str">
        <f t="shared" si="38"/>
        <v/>
      </c>
      <c r="BF11" s="1064" t="str">
        <f t="shared" si="39"/>
        <v/>
      </c>
      <c r="BG11" s="1064" t="str">
        <f t="shared" si="40"/>
        <v/>
      </c>
      <c r="BH11" s="1064" t="str">
        <f t="shared" si="41"/>
        <v/>
      </c>
      <c r="BI11" s="1064" t="str">
        <f t="shared" si="42"/>
        <v/>
      </c>
      <c r="BJ11" s="1064" t="str">
        <f t="shared" si="43"/>
        <v/>
      </c>
      <c r="BK11" s="1064" t="str">
        <f t="shared" si="44"/>
        <v/>
      </c>
      <c r="BL11" s="1064" t="str">
        <f t="shared" si="45"/>
        <v/>
      </c>
      <c r="BM11" s="1064" t="str">
        <f t="shared" si="46"/>
        <v/>
      </c>
      <c r="BN11" s="1064" t="str">
        <f t="shared" si="47"/>
        <v/>
      </c>
      <c r="BO11" s="1064" t="str">
        <f t="shared" si="48"/>
        <v/>
      </c>
      <c r="BP11" s="1064" t="str">
        <f t="shared" si="49"/>
        <v/>
      </c>
      <c r="BQ11" s="1064" t="str">
        <f t="shared" si="50"/>
        <v/>
      </c>
      <c r="BR11" s="1064" t="str">
        <f t="shared" si="51"/>
        <v/>
      </c>
      <c r="BS11" s="1064" t="str">
        <f t="shared" si="52"/>
        <v/>
      </c>
      <c r="BT11" s="1064" t="str">
        <f t="shared" si="53"/>
        <v/>
      </c>
      <c r="BU11" s="1064" t="str">
        <f t="shared" si="54"/>
        <v/>
      </c>
      <c r="BV11" s="1064" t="str">
        <f t="shared" si="55"/>
        <v/>
      </c>
      <c r="BW11" s="1064" t="str">
        <f t="shared" si="56"/>
        <v/>
      </c>
      <c r="BX11" s="1064" t="str">
        <f t="shared" si="57"/>
        <v/>
      </c>
      <c r="BY11" s="1064" t="str">
        <f t="shared" si="58"/>
        <v/>
      </c>
      <c r="BZ11" s="1064" t="str">
        <f t="shared" si="59"/>
        <v/>
      </c>
      <c r="CA11" s="1064" t="str">
        <f t="shared" si="60"/>
        <v/>
      </c>
      <c r="CB11" s="1064" t="str">
        <f t="shared" si="61"/>
        <v/>
      </c>
      <c r="CC11" s="1064" t="str">
        <f t="shared" si="62"/>
        <v/>
      </c>
      <c r="CD11" s="1064" t="str">
        <f t="shared" si="63"/>
        <v/>
      </c>
      <c r="CE11" s="1064" t="str">
        <f t="shared" si="64"/>
        <v/>
      </c>
      <c r="CF11" s="1064" t="str">
        <f t="shared" si="65"/>
        <v/>
      </c>
      <c r="CG11" s="1064" t="str">
        <f t="shared" si="66"/>
        <v/>
      </c>
      <c r="CH11" s="1064" t="str">
        <f t="shared" si="67"/>
        <v/>
      </c>
      <c r="CI11" s="1064" t="str">
        <f t="shared" si="68"/>
        <v/>
      </c>
      <c r="CJ11" s="1064" t="str">
        <f t="shared" si="69"/>
        <v/>
      </c>
      <c r="CK11" s="1064" t="str">
        <f t="shared" si="70"/>
        <v/>
      </c>
      <c r="CL11" s="1064" t="str">
        <f t="shared" si="71"/>
        <v/>
      </c>
      <c r="CM11" s="1064" t="str">
        <f t="shared" si="72"/>
        <v/>
      </c>
      <c r="CN11" s="1064" t="str">
        <f t="shared" si="73"/>
        <v/>
      </c>
      <c r="CO11" s="1064" t="str">
        <f t="shared" si="74"/>
        <v/>
      </c>
      <c r="CP11" s="1064" t="str">
        <f t="shared" si="75"/>
        <v/>
      </c>
      <c r="CQ11" s="1064" t="str">
        <f t="shared" si="76"/>
        <v/>
      </c>
      <c r="CR11" s="1064" t="str">
        <f t="shared" si="77"/>
        <v/>
      </c>
      <c r="CS11" s="1064" t="str">
        <f t="shared" si="78"/>
        <v/>
      </c>
      <c r="CT11" s="1064" t="str">
        <f t="shared" si="79"/>
        <v/>
      </c>
      <c r="CU11" s="1064" t="str">
        <f t="shared" si="80"/>
        <v/>
      </c>
      <c r="CV11" s="1064" t="str">
        <f t="shared" si="81"/>
        <v/>
      </c>
      <c r="CW11" s="1064" t="str">
        <f t="shared" si="82"/>
        <v/>
      </c>
      <c r="CX11" s="1064" t="str">
        <f t="shared" si="83"/>
        <v/>
      </c>
      <c r="CY11" s="1064" t="str">
        <f t="shared" si="84"/>
        <v/>
      </c>
      <c r="CZ11" s="1064" t="str">
        <f t="shared" si="85"/>
        <v/>
      </c>
      <c r="DA11" s="1064" t="str">
        <f t="shared" si="86"/>
        <v/>
      </c>
      <c r="DB11" s="1064" t="str">
        <f t="shared" si="87"/>
        <v/>
      </c>
      <c r="DC11" s="1064" t="str">
        <f t="shared" si="88"/>
        <v/>
      </c>
      <c r="DD11" s="1064" t="str">
        <f t="shared" si="89"/>
        <v/>
      </c>
      <c r="DE11" s="1064" t="str">
        <f t="shared" si="90"/>
        <v/>
      </c>
      <c r="DF11" s="1064" t="str">
        <f t="shared" si="91"/>
        <v/>
      </c>
      <c r="DG11" s="1064" t="str">
        <f t="shared" si="92"/>
        <v/>
      </c>
      <c r="DH11" s="1064" t="str">
        <f t="shared" si="93"/>
        <v/>
      </c>
      <c r="DI11" s="1064" t="str">
        <f t="shared" si="94"/>
        <v/>
      </c>
      <c r="DJ11" s="1064" t="str">
        <f t="shared" si="95"/>
        <v/>
      </c>
      <c r="DK11" s="1064" t="str">
        <f t="shared" si="96"/>
        <v/>
      </c>
      <c r="DL11" s="1064" t="str">
        <f t="shared" si="97"/>
        <v/>
      </c>
      <c r="DM11" s="1064" t="str">
        <f t="shared" si="98"/>
        <v/>
      </c>
      <c r="DN11" s="1064" t="str">
        <f t="shared" si="99"/>
        <v/>
      </c>
      <c r="DO11" s="1064" t="str">
        <f t="shared" si="100"/>
        <v/>
      </c>
      <c r="DP11" s="1064" t="str">
        <f t="shared" si="101"/>
        <v/>
      </c>
      <c r="DQ11" s="1064" t="str">
        <f t="shared" si="102"/>
        <v/>
      </c>
      <c r="DR11" s="1064" t="str">
        <f t="shared" si="103"/>
        <v/>
      </c>
      <c r="DS11" s="1064" t="str">
        <f t="shared" si="104"/>
        <v/>
      </c>
      <c r="DT11" s="1064" t="str">
        <f t="shared" si="105"/>
        <v/>
      </c>
      <c r="DU11" s="1064" t="str">
        <f t="shared" si="106"/>
        <v/>
      </c>
      <c r="DV11" s="1064" t="str">
        <f t="shared" si="107"/>
        <v/>
      </c>
      <c r="DW11" s="1064" t="str">
        <f t="shared" si="108"/>
        <v/>
      </c>
      <c r="DX11" s="1064" t="str">
        <f t="shared" si="109"/>
        <v/>
      </c>
      <c r="DY11" s="1064" t="str">
        <f t="shared" si="110"/>
        <v/>
      </c>
      <c r="DZ11" s="1064" t="str">
        <f t="shared" si="111"/>
        <v/>
      </c>
      <c r="EA11" s="1064" t="str">
        <f t="shared" si="112"/>
        <v/>
      </c>
      <c r="EB11" s="1064" t="str">
        <f t="shared" si="113"/>
        <v/>
      </c>
      <c r="EC11" s="1064" t="str">
        <f t="shared" si="114"/>
        <v/>
      </c>
      <c r="ED11" s="1064" t="str">
        <f t="shared" si="115"/>
        <v/>
      </c>
      <c r="EE11" s="1064" t="str">
        <f t="shared" si="116"/>
        <v/>
      </c>
      <c r="EF11" s="1064" t="str">
        <f t="shared" si="117"/>
        <v/>
      </c>
      <c r="EG11" s="1064" t="str">
        <f t="shared" ref="EG11:EG47" si="313">IF(AND(C11=4,M11="Common Space"),E11,"")</f>
        <v/>
      </c>
      <c r="EH11" s="1064" t="str">
        <f t="shared" si="118"/>
        <v/>
      </c>
      <c r="EI11" s="1064" t="str">
        <f t="shared" si="119"/>
        <v/>
      </c>
      <c r="EJ11" s="1064" t="str">
        <f t="shared" si="120"/>
        <v/>
      </c>
      <c r="EK11" s="1064" t="str">
        <f t="shared" si="121"/>
        <v/>
      </c>
      <c r="EL11" s="1064" t="str">
        <f t="shared" si="122"/>
        <v/>
      </c>
      <c r="EM11" s="1064" t="str">
        <f t="shared" si="123"/>
        <v/>
      </c>
      <c r="EN11" s="1064" t="str">
        <f t="shared" si="124"/>
        <v/>
      </c>
      <c r="EO11" s="1064" t="str">
        <f t="shared" si="125"/>
        <v/>
      </c>
      <c r="EP11" s="1064" t="str">
        <f t="shared" si="126"/>
        <v/>
      </c>
      <c r="EQ11" s="1064" t="str">
        <f t="shared" si="127"/>
        <v/>
      </c>
      <c r="ER11" s="1064" t="str">
        <f t="shared" si="128"/>
        <v/>
      </c>
      <c r="ES11" s="1064" t="str">
        <f t="shared" si="129"/>
        <v/>
      </c>
      <c r="ET11" s="1064" t="str">
        <f t="shared" si="130"/>
        <v/>
      </c>
      <c r="EU11" s="1064" t="str">
        <f t="shared" si="131"/>
        <v/>
      </c>
      <c r="EV11" s="1064" t="str">
        <f t="shared" si="132"/>
        <v/>
      </c>
      <c r="EW11" s="1064" t="str">
        <f t="shared" ref="EW11:EW47" si="314">IF(OR(AND($C11="Efficiency",$B11=50,NOT($M11="Common Space")),AND($C11="Efficiency",$B11="HOME 50",NOT($M11="Common Space"))),$E11*$F11,"")</f>
        <v/>
      </c>
      <c r="EX11" s="1064" t="str">
        <f t="shared" ref="EX11:EX47" si="315">IF(OR(AND($C11=1,$B11=50,NOT($M11="Common Space")),AND($C11=1,$B11="HOME 50",NOT($M11="Common Space"))),$E11*$F11,"")</f>
        <v/>
      </c>
      <c r="EY11" s="1064" t="str">
        <f t="shared" ref="EY11:EY47" si="316">IF(OR(AND($C11=2,$B11=50,NOT($M11="Common Space")),AND($C11=2,$B11="HOME 50",NOT($M11="Common Space"))),$E11*$F11,"")</f>
        <v/>
      </c>
      <c r="EZ11" s="1064" t="str">
        <f t="shared" ref="EZ11:EZ47" si="317">IF(OR(AND($C11=3,$B11=50,NOT($M11="Common Space")),AND($C11=3,$B11="HOME 50",NOT($M11="Common Space"))),$E11*$F11,"")</f>
        <v/>
      </c>
      <c r="FA11" s="1064" t="str">
        <f t="shared" ref="FA11:FA47" si="318">IF(OR(AND($C11=4,$B11=50,NOT($M11="Common Space")),AND($C11=4,$B11="HOME 50",NOT($M11="Common Space"))),$E11*$F11,"")</f>
        <v/>
      </c>
      <c r="FB11" s="1064" t="str">
        <f t="shared" si="133"/>
        <v/>
      </c>
      <c r="FC11" s="1064" t="str">
        <f t="shared" si="134"/>
        <v/>
      </c>
      <c r="FD11" s="1064" t="str">
        <f t="shared" si="135"/>
        <v/>
      </c>
      <c r="FE11" s="1064" t="str">
        <f t="shared" si="136"/>
        <v/>
      </c>
      <c r="FF11" s="1064" t="str">
        <f t="shared" si="137"/>
        <v/>
      </c>
      <c r="FG11" s="1064" t="str">
        <f t="shared" ref="FG11:FG47" si="319">IF(OR(AND($C11="Efficiency",$B11=30,NOT($M11="Common Space")),AND($C11="Efficiency",$B11="HOME 30",NOT($M11="Common Space"))),$E11*$F11,"")</f>
        <v/>
      </c>
      <c r="FH11" s="1064" t="str">
        <f t="shared" ref="FH11:FH47" si="320">IF(OR(AND($C11=1,$B11=30,NOT($M11="Common Space")),AND($C11=1,$B11="HOME 30",NOT($M11="Common Space"))),$E11*$F11,"")</f>
        <v/>
      </c>
      <c r="FI11" s="1064" t="str">
        <f t="shared" ref="FI11:FI47" si="321">IF(OR(AND($C11=2,$B11=30,NOT($M11="Common Space")),AND($C11=2,$B11="HOME 30",NOT($M11="Common Space"))),$E11*$F11,"")</f>
        <v/>
      </c>
      <c r="FJ11" s="1064" t="str">
        <f t="shared" ref="FJ11:FJ47" si="322">IF(OR(AND($C11=3,$B11=30,NOT($M11="Common Space")),AND($C11=3,$B11="HOME 30",NOT($M11="Common Space"))),$E11*$F11,"")</f>
        <v/>
      </c>
      <c r="FK11" s="1064" t="str">
        <f t="shared" ref="FK11:FK47" si="323">IF(OR(AND($C11=4,$B11=30,NOT($M11="Common Space")),AND($C11=4,$B11="HOME 30",NOT($M11="Common Space"))),$E11*$F11,"")</f>
        <v/>
      </c>
      <c r="FL11" s="1064" t="str">
        <f t="shared" si="138"/>
        <v/>
      </c>
      <c r="FM11" s="1064" t="str">
        <f t="shared" si="139"/>
        <v/>
      </c>
      <c r="FN11" s="1064" t="str">
        <f t="shared" si="140"/>
        <v/>
      </c>
      <c r="FO11" s="1064" t="str">
        <f t="shared" si="141"/>
        <v/>
      </c>
      <c r="FP11" s="1064" t="str">
        <f t="shared" si="142"/>
        <v/>
      </c>
      <c r="FQ11" s="1064" t="str">
        <f t="shared" si="143"/>
        <v/>
      </c>
      <c r="FR11" s="1064" t="str">
        <f t="shared" si="144"/>
        <v/>
      </c>
      <c r="FS11" s="1064" t="str">
        <f t="shared" si="145"/>
        <v/>
      </c>
      <c r="FT11" s="1064" t="str">
        <f t="shared" si="146"/>
        <v/>
      </c>
      <c r="FU11" s="1064" t="str">
        <f t="shared" si="147"/>
        <v/>
      </c>
      <c r="FV11" s="1064" t="str">
        <f t="shared" si="148"/>
        <v/>
      </c>
      <c r="FW11" s="1064" t="str">
        <f t="shared" si="149"/>
        <v/>
      </c>
      <c r="FX11" s="1064" t="str">
        <f t="shared" si="150"/>
        <v/>
      </c>
      <c r="FY11" s="1064" t="str">
        <f t="shared" si="151"/>
        <v/>
      </c>
      <c r="FZ11" s="1064" t="str">
        <f t="shared" si="152"/>
        <v/>
      </c>
      <c r="GA11" s="1064" t="str">
        <f t="shared" si="153"/>
        <v/>
      </c>
      <c r="GB11" s="1064" t="str">
        <f t="shared" si="154"/>
        <v/>
      </c>
      <c r="GC11" s="1064" t="str">
        <f t="shared" si="155"/>
        <v/>
      </c>
      <c r="GD11" s="1064" t="str">
        <f t="shared" si="156"/>
        <v/>
      </c>
      <c r="GE11" s="1064" t="str">
        <f t="shared" si="157"/>
        <v/>
      </c>
      <c r="GF11" s="1064" t="str">
        <f t="shared" si="158"/>
        <v/>
      </c>
      <c r="GG11" s="1064" t="str">
        <f t="shared" si="159"/>
        <v/>
      </c>
      <c r="GH11" s="1064" t="str">
        <f t="shared" si="160"/>
        <v/>
      </c>
      <c r="GI11" s="1064" t="str">
        <f t="shared" si="161"/>
        <v/>
      </c>
      <c r="GJ11" s="1064" t="str">
        <f t="shared" si="162"/>
        <v/>
      </c>
      <c r="GK11" s="1064" t="str">
        <f t="shared" si="163"/>
        <v/>
      </c>
      <c r="GL11" s="1064" t="str">
        <f t="shared" si="164"/>
        <v/>
      </c>
      <c r="GM11" s="1064" t="str">
        <f t="shared" si="165"/>
        <v/>
      </c>
      <c r="GN11" s="1064" t="str">
        <f t="shared" si="166"/>
        <v/>
      </c>
      <c r="GO11" s="1064" t="str">
        <f t="shared" si="167"/>
        <v/>
      </c>
      <c r="GP11" s="1064" t="str">
        <f t="shared" si="168"/>
        <v/>
      </c>
      <c r="GQ11" s="1064" t="str">
        <f t="shared" si="169"/>
        <v/>
      </c>
      <c r="GR11" s="1064" t="str">
        <f t="shared" si="170"/>
        <v/>
      </c>
      <c r="GS11" s="1064" t="str">
        <f t="shared" si="171"/>
        <v/>
      </c>
      <c r="GT11" s="1064" t="str">
        <f t="shared" si="172"/>
        <v/>
      </c>
      <c r="GU11" s="1064" t="str">
        <f t="shared" si="173"/>
        <v/>
      </c>
      <c r="GV11" s="1064" t="str">
        <f t="shared" si="174"/>
        <v/>
      </c>
      <c r="GW11" s="1064" t="str">
        <f t="shared" si="175"/>
        <v/>
      </c>
      <c r="GX11" s="1064" t="str">
        <f t="shared" si="176"/>
        <v/>
      </c>
      <c r="GY11" s="1064" t="str">
        <f t="shared" si="177"/>
        <v/>
      </c>
      <c r="GZ11" s="1064" t="str">
        <f t="shared" si="178"/>
        <v/>
      </c>
      <c r="HA11" s="1064" t="str">
        <f t="shared" si="179"/>
        <v/>
      </c>
      <c r="HB11" s="1064" t="str">
        <f t="shared" si="180"/>
        <v/>
      </c>
      <c r="HC11" s="1064" t="str">
        <f t="shared" si="181"/>
        <v/>
      </c>
      <c r="HD11" s="1064" t="str">
        <f t="shared" si="182"/>
        <v/>
      </c>
      <c r="HE11" s="1064" t="str">
        <f t="shared" si="183"/>
        <v/>
      </c>
      <c r="HF11" s="1064" t="str">
        <f t="shared" si="184"/>
        <v/>
      </c>
      <c r="HG11" s="1064" t="str">
        <f t="shared" si="185"/>
        <v/>
      </c>
      <c r="HH11" s="1064" t="str">
        <f t="shared" si="186"/>
        <v/>
      </c>
      <c r="HI11" s="1064" t="str">
        <f t="shared" si="187"/>
        <v/>
      </c>
      <c r="HJ11" s="1064" t="str">
        <f t="shared" si="188"/>
        <v/>
      </c>
      <c r="HK11" s="1064" t="str">
        <f t="shared" si="189"/>
        <v/>
      </c>
      <c r="HL11" s="1064" t="str">
        <f t="shared" si="190"/>
        <v/>
      </c>
      <c r="HM11" s="1064" t="str">
        <f t="shared" si="191"/>
        <v/>
      </c>
      <c r="HN11" s="1064" t="str">
        <f t="shared" si="192"/>
        <v/>
      </c>
      <c r="HO11" s="1064" t="str">
        <f t="shared" si="193"/>
        <v/>
      </c>
      <c r="HP11" s="1064" t="str">
        <f t="shared" si="194"/>
        <v/>
      </c>
      <c r="HQ11" s="1064" t="str">
        <f t="shared" si="195"/>
        <v/>
      </c>
      <c r="HR11" s="1064" t="str">
        <f t="shared" si="196"/>
        <v/>
      </c>
      <c r="HS11" s="1064" t="str">
        <f t="shared" si="197"/>
        <v/>
      </c>
      <c r="HT11" s="1064" t="str">
        <f t="shared" si="198"/>
        <v/>
      </c>
      <c r="HU11" s="1064" t="str">
        <f t="shared" si="199"/>
        <v/>
      </c>
      <c r="HV11" s="1064" t="str">
        <f t="shared" si="200"/>
        <v/>
      </c>
      <c r="HW11" s="1064" t="str">
        <f t="shared" si="201"/>
        <v/>
      </c>
      <c r="HX11" s="1064" t="str">
        <f t="shared" si="202"/>
        <v/>
      </c>
      <c r="HY11" s="1097" t="str">
        <f t="shared" si="203"/>
        <v/>
      </c>
      <c r="HZ11" s="1097" t="str">
        <f t="shared" si="204"/>
        <v/>
      </c>
      <c r="IA11" s="1097" t="str">
        <f t="shared" si="205"/>
        <v/>
      </c>
      <c r="IB11" s="1097" t="str">
        <f t="shared" si="206"/>
        <v/>
      </c>
      <c r="IC11" s="1097" t="str">
        <f t="shared" si="207"/>
        <v/>
      </c>
      <c r="ID11" s="1097" t="str">
        <f t="shared" si="208"/>
        <v/>
      </c>
      <c r="IE11" s="1097" t="str">
        <f t="shared" si="209"/>
        <v/>
      </c>
      <c r="IF11" s="1097" t="str">
        <f t="shared" si="210"/>
        <v/>
      </c>
      <c r="IG11" s="1097" t="str">
        <f t="shared" si="211"/>
        <v/>
      </c>
      <c r="IH11" s="1097" t="str">
        <f t="shared" si="212"/>
        <v/>
      </c>
      <c r="II11" s="1097" t="str">
        <f t="shared" si="213"/>
        <v/>
      </c>
      <c r="IJ11" s="1097" t="str">
        <f t="shared" si="214"/>
        <v/>
      </c>
      <c r="IK11" s="1097" t="str">
        <f t="shared" si="215"/>
        <v/>
      </c>
      <c r="IL11" s="1097" t="str">
        <f t="shared" si="216"/>
        <v/>
      </c>
      <c r="IM11" s="1097" t="str">
        <f t="shared" si="217"/>
        <v/>
      </c>
      <c r="IN11" s="1097" t="str">
        <f t="shared" si="218"/>
        <v/>
      </c>
      <c r="IO11" s="1097" t="str">
        <f t="shared" si="219"/>
        <v/>
      </c>
      <c r="IP11" s="1097" t="str">
        <f t="shared" si="220"/>
        <v/>
      </c>
      <c r="IQ11" s="1097" t="str">
        <f t="shared" si="221"/>
        <v/>
      </c>
      <c r="IR11" s="1097" t="str">
        <f t="shared" si="222"/>
        <v/>
      </c>
      <c r="IS11" s="1097" t="str">
        <f t="shared" si="223"/>
        <v/>
      </c>
      <c r="IT11" s="1097" t="str">
        <f t="shared" si="224"/>
        <v/>
      </c>
      <c r="IU11" s="1097" t="str">
        <f t="shared" si="225"/>
        <v/>
      </c>
      <c r="IV11" s="1097" t="str">
        <f t="shared" si="226"/>
        <v/>
      </c>
      <c r="IW11" s="1097" t="str">
        <f t="shared" si="227"/>
        <v/>
      </c>
      <c r="IX11" s="1097" t="str">
        <f t="shared" si="228"/>
        <v/>
      </c>
      <c r="IY11" s="1097" t="str">
        <f t="shared" si="229"/>
        <v/>
      </c>
      <c r="IZ11" s="1097" t="str">
        <f t="shared" si="230"/>
        <v/>
      </c>
      <c r="JA11" s="1097" t="str">
        <f t="shared" si="231"/>
        <v/>
      </c>
      <c r="JB11" s="1097" t="str">
        <f t="shared" si="232"/>
        <v/>
      </c>
      <c r="JC11" s="1097" t="str">
        <f t="shared" si="233"/>
        <v/>
      </c>
      <c r="JD11" s="1097" t="str">
        <f t="shared" si="234"/>
        <v/>
      </c>
      <c r="JE11" s="1097" t="str">
        <f t="shared" si="235"/>
        <v/>
      </c>
      <c r="JF11" s="1097" t="str">
        <f t="shared" si="236"/>
        <v/>
      </c>
      <c r="JG11" s="1097" t="str">
        <f t="shared" si="237"/>
        <v/>
      </c>
      <c r="JH11" s="1097" t="str">
        <f t="shared" si="238"/>
        <v/>
      </c>
      <c r="JI11" s="1097" t="str">
        <f t="shared" si="239"/>
        <v/>
      </c>
      <c r="JJ11" s="1097" t="str">
        <f t="shared" si="240"/>
        <v/>
      </c>
      <c r="JK11" s="1097" t="str">
        <f t="shared" si="241"/>
        <v/>
      </c>
      <c r="JL11" s="1097" t="str">
        <f t="shared" si="242"/>
        <v/>
      </c>
      <c r="JM11" s="1097" t="str">
        <f t="shared" si="243"/>
        <v/>
      </c>
      <c r="JN11" s="1097" t="str">
        <f t="shared" si="244"/>
        <v/>
      </c>
      <c r="JO11" s="1097" t="str">
        <f t="shared" si="245"/>
        <v/>
      </c>
      <c r="JP11" s="1097" t="str">
        <f t="shared" si="246"/>
        <v/>
      </c>
      <c r="JQ11" s="1097" t="str">
        <f t="shared" si="247"/>
        <v/>
      </c>
      <c r="JR11" s="1097" t="str">
        <f t="shared" si="248"/>
        <v/>
      </c>
      <c r="JS11" s="1097" t="str">
        <f t="shared" si="249"/>
        <v/>
      </c>
      <c r="JT11" s="1097" t="str">
        <f t="shared" si="250"/>
        <v/>
      </c>
      <c r="JU11" s="1097" t="str">
        <f t="shared" si="251"/>
        <v/>
      </c>
      <c r="JV11" s="1097" t="str">
        <f t="shared" si="252"/>
        <v/>
      </c>
      <c r="JW11" s="1097" t="str">
        <f t="shared" si="253"/>
        <v/>
      </c>
      <c r="JX11" s="1097" t="str">
        <f t="shared" si="254"/>
        <v/>
      </c>
      <c r="JY11" s="1097" t="str">
        <f t="shared" si="255"/>
        <v/>
      </c>
      <c r="JZ11" s="1097" t="str">
        <f t="shared" si="256"/>
        <v/>
      </c>
      <c r="KA11" s="1097" t="str">
        <f t="shared" si="257"/>
        <v/>
      </c>
      <c r="KB11" s="1097" t="str">
        <f t="shared" si="258"/>
        <v/>
      </c>
      <c r="KC11" s="1097" t="str">
        <f t="shared" si="259"/>
        <v/>
      </c>
      <c r="KD11" s="1097" t="str">
        <f t="shared" si="260"/>
        <v/>
      </c>
      <c r="KE11" s="1097" t="str">
        <f t="shared" si="261"/>
        <v/>
      </c>
      <c r="KF11" s="1097" t="str">
        <f t="shared" si="262"/>
        <v/>
      </c>
      <c r="KG11" s="1097" t="str">
        <f t="shared" si="263"/>
        <v/>
      </c>
      <c r="KH11" s="1097" t="str">
        <f t="shared" si="264"/>
        <v/>
      </c>
      <c r="KI11" s="1097" t="str">
        <f t="shared" si="265"/>
        <v/>
      </c>
      <c r="KJ11" s="1097" t="str">
        <f t="shared" si="266"/>
        <v/>
      </c>
      <c r="KK11" s="1097" t="str">
        <f t="shared" si="267"/>
        <v/>
      </c>
      <c r="KL11" s="1097" t="str">
        <f t="shared" si="268"/>
        <v/>
      </c>
      <c r="KM11" s="1097" t="str">
        <f t="shared" si="269"/>
        <v/>
      </c>
      <c r="KN11" s="1097" t="str">
        <f t="shared" si="270"/>
        <v/>
      </c>
      <c r="KO11" s="1097" t="str">
        <f t="shared" si="271"/>
        <v/>
      </c>
      <c r="KP11" s="1097" t="str">
        <f t="shared" si="272"/>
        <v/>
      </c>
      <c r="KQ11" s="1097" t="str">
        <f t="shared" si="273"/>
        <v/>
      </c>
      <c r="KR11" s="1097" t="str">
        <f t="shared" si="274"/>
        <v/>
      </c>
      <c r="KS11" s="1097" t="str">
        <f t="shared" si="275"/>
        <v/>
      </c>
      <c r="KT11" s="1097" t="str">
        <f t="shared" si="276"/>
        <v/>
      </c>
      <c r="KU11" s="1097" t="str">
        <f t="shared" si="277"/>
        <v/>
      </c>
      <c r="KV11" s="1097" t="str">
        <f t="shared" si="278"/>
        <v/>
      </c>
      <c r="KW11" s="1097" t="str">
        <f t="shared" si="279"/>
        <v/>
      </c>
      <c r="KX11" s="1097" t="str">
        <f t="shared" si="280"/>
        <v/>
      </c>
      <c r="KY11" s="1097" t="str">
        <f t="shared" si="281"/>
        <v/>
      </c>
      <c r="KZ11" s="1097" t="str">
        <f t="shared" si="282"/>
        <v/>
      </c>
      <c r="LA11" s="1097" t="str">
        <f t="shared" si="283"/>
        <v/>
      </c>
      <c r="LB11" s="1097" t="str">
        <f t="shared" si="284"/>
        <v/>
      </c>
      <c r="LC11" s="1097" t="str">
        <f t="shared" si="285"/>
        <v/>
      </c>
      <c r="LD11" s="1097" t="str">
        <f t="shared" si="286"/>
        <v/>
      </c>
      <c r="LE11" s="1097" t="str">
        <f t="shared" si="287"/>
        <v/>
      </c>
      <c r="LF11" s="1098" t="str">
        <f t="shared" si="288"/>
        <v/>
      </c>
      <c r="LG11" s="1098" t="str">
        <f t="shared" si="289"/>
        <v/>
      </c>
      <c r="LH11" s="1098" t="str">
        <f t="shared" si="290"/>
        <v/>
      </c>
      <c r="LI11" s="1098" t="str">
        <f t="shared" si="291"/>
        <v/>
      </c>
      <c r="LJ11" s="1098" t="str">
        <f t="shared" si="292"/>
        <v/>
      </c>
      <c r="LK11" s="1064" t="str">
        <f t="shared" si="293"/>
        <v/>
      </c>
      <c r="LL11" s="1064" t="str">
        <f t="shared" si="294"/>
        <v/>
      </c>
      <c r="LM11" s="1064" t="str">
        <f t="shared" si="295"/>
        <v/>
      </c>
      <c r="LN11" s="1064" t="str">
        <f t="shared" si="296"/>
        <v/>
      </c>
      <c r="LO11" s="1064" t="str">
        <f t="shared" si="297"/>
        <v/>
      </c>
      <c r="LP11" s="1064" t="str">
        <f t="shared" si="298"/>
        <v/>
      </c>
      <c r="LQ11" s="1064" t="str">
        <f t="shared" si="299"/>
        <v/>
      </c>
      <c r="LR11" s="1064" t="str">
        <f t="shared" si="300"/>
        <v/>
      </c>
      <c r="LS11" s="1064" t="str">
        <f t="shared" si="301"/>
        <v/>
      </c>
      <c r="LT11" s="1064" t="str">
        <f t="shared" si="302"/>
        <v/>
      </c>
      <c r="LU11" s="1064" t="str">
        <f t="shared" si="303"/>
        <v/>
      </c>
      <c r="LV11" s="1064" t="str">
        <f t="shared" si="304"/>
        <v/>
      </c>
      <c r="LW11" s="1064" t="str">
        <f t="shared" si="305"/>
        <v/>
      </c>
      <c r="LX11" s="1064" t="str">
        <f t="shared" si="306"/>
        <v/>
      </c>
      <c r="LY11" s="1064" t="str">
        <f t="shared" si="307"/>
        <v/>
      </c>
      <c r="LZ11" s="1064" t="str">
        <f t="shared" si="308"/>
        <v/>
      </c>
      <c r="MA11" s="1064" t="str">
        <f t="shared" si="309"/>
        <v/>
      </c>
      <c r="MB11" s="1064" t="str">
        <f t="shared" si="310"/>
        <v/>
      </c>
      <c r="MC11" s="1064" t="str">
        <f t="shared" si="311"/>
        <v/>
      </c>
      <c r="MD11" s="1064" t="str">
        <f t="shared" si="312"/>
        <v/>
      </c>
      <c r="ME11" s="1081">
        <f t="shared" ref="ME11:ME47" si="324">IF(AND($C11="Efficiency",$E11&gt;0,OR($N11="1-Story",$N11="2-Story",$N11="3+ Story",$N11="2-Story Walkup",$N11="Townhome"),OR($O11="Acquisition/Rehab",$O11="Rehabilitation"),NOT($P11="Yes")),$E11,0)</f>
        <v>0</v>
      </c>
      <c r="MF11" s="1081">
        <f t="shared" ref="MF11:MF47" si="325">IF(AND($C11=1,$E11&gt;0,OR($N11="1-Story",$N11="2-Story",$N11="3+ Story",$N11="2-Story Walkup",$N11="Townhome"),OR($O11="Acquisition/Rehab",$O11="Rehabilitation"),NOT($P11="Yes")),$E11,0)</f>
        <v>0</v>
      </c>
      <c r="MG11" s="1081">
        <f t="shared" ref="MG11:MG47" si="326">IF(AND($C11=2,$E11&gt;0,OR($N11="1-Story",$N11="2-Story",$N11="3+ Story",$N11="2-Story Walkup",$N11="Townhome"),OR($O11="Acquisition/Rehab",$O11="Rehabilitation"),NOT($P11="Yes")),$E11,0)</f>
        <v>0</v>
      </c>
      <c r="MH11" s="1081">
        <f t="shared" ref="MH11:MH47" si="327">IF(AND($C11=3,$E11&gt;0,OR($N11="1-Story",$N11="2-Story",$N11="3+ Story",$N11="2-Story Walkup",$N11="Townhome"),OR($O11="Acquisition/Rehab",$O11="Rehabilitation"),NOT($P11="Yes")),$E11,0)</f>
        <v>0</v>
      </c>
      <c r="MI11" s="1081">
        <f t="shared" ref="MI11:MI47" si="328">IF(AND($C11=4,$E11&gt;0,OR($N11="1-Story",$N11="2-Story",$N11="3+ Story",$N11="2-Story Walkup",$N11="Townhome"),OR($O11="Acquisition/Rehab",$O11="Rehabilitation"),NOT($P11="Yes")),$E11,0)</f>
        <v>0</v>
      </c>
      <c r="MJ11" s="1081">
        <f t="shared" ref="MJ11:MJ47" si="329">IF(AND($C11="Efficiency",$E11&gt;0,OR($N11="1-Story",$N11="2-Story",$N11="3+ Story",$N11="2-Story Walkup",$N11="Townhome"),$O11="New Construction"),$E11,0)</f>
        <v>0</v>
      </c>
      <c r="MK11" s="1081">
        <f t="shared" ref="MK11:MK47" si="330">IF(AND($C11=1,$E11&gt;0,OR($N11="1-Story",$N11="2-Story",$N11="3+ Story",$N11="2-Story Walkup",$N11="Townhome"),$O11="New Construction"),$E11,0)</f>
        <v>0</v>
      </c>
      <c r="ML11" s="1081">
        <f t="shared" ref="ML11:ML47" si="331">IF(AND($C11=2,$E11&gt;0,OR($N11="1-Story",$N11="2-Story",$N11="3+ Story",$N11="2-Story Walkup",$N11="Townhome"),$O11="New Construction"),$E11,0)</f>
        <v>0</v>
      </c>
      <c r="MM11" s="1081">
        <f t="shared" ref="MM11:MM47" si="332">IF(AND($C11=3,$E11&gt;0,OR($N11="1-Story",$N11="2-Story",$N11="3+ Story",$N11="2-Story Walkup",$N11="Townhome"),$O11="New Construction"),$E11,0)</f>
        <v>0</v>
      </c>
      <c r="MN11" s="1081">
        <f t="shared" ref="MN11:MN47" si="333">IF(AND($C11=4,$E11&gt;0,OR($N11="1-Story",$N11="2-Story",$N11="3+ Story",$N11="2-Story Walkup",$N11="Townhome"),$O11="New Construction"),$E11,0)</f>
        <v>0</v>
      </c>
      <c r="MO11" s="1081">
        <f t="shared" ref="MO11:MO47" si="334">IF(AND($C11="Efficiency",$E11&gt;0,OR($N11="SF Detached",$N11="Duplex",$N11="Mfd Home"),NOT($P11="Yes")),$E11,0)</f>
        <v>0</v>
      </c>
      <c r="MP11" s="1081">
        <f t="shared" ref="MP11:MP47" si="335">IF(AND($C11=1,$E11&gt;0,OR($N11="SF Detached",$N11="Duplex",$N11="Mfd Home"),NOT($P11="Yes")),$E11,0)</f>
        <v>0</v>
      </c>
      <c r="MQ11" s="1081">
        <f t="shared" ref="MQ11:MQ47" si="336">IF(AND($C11=2,$E11&gt;0,OR($N11="SF Detached",$N11="Duplex",$N11="Mfd Home"),NOT($P11="Yes")),$E11,0)</f>
        <v>0</v>
      </c>
      <c r="MR11" s="1081">
        <f t="shared" ref="MR11:MR47" si="337">IF(AND($C11=3,$E11&gt;0,OR($N11="SF Detached",$N11="Duplex",$N11="Mfd Home"),NOT($P11="Yes")),$E11,0)</f>
        <v>0</v>
      </c>
      <c r="MS11" s="1081">
        <f t="shared" ref="MS11:MS47" si="338">IF(AND($C11=4,$E11&gt;0,OR($N11="SF Detached",$N11="Duplex",$N11="Mfd Home"),NOT($P11="Yes")),$E11,0)</f>
        <v>0</v>
      </c>
    </row>
    <row r="12" spans="1:492" ht="12" customHeight="1">
      <c r="A12" s="1088" t="str">
        <f t="shared" si="0"/>
        <v/>
      </c>
      <c r="B12" s="1099" t="s">
        <v>282</v>
      </c>
      <c r="C12" s="41"/>
      <c r="D12" s="42"/>
      <c r="E12" s="43"/>
      <c r="F12" s="43"/>
      <c r="G12" s="43"/>
      <c r="H12" s="43"/>
      <c r="I12" s="1100">
        <f>IF(C12="",0,HLOOKUP(C12,'Part V-Utility Allowances'!$I$11:$M$22,12))</f>
        <v>0</v>
      </c>
      <c r="J12" s="810"/>
      <c r="K12" s="512">
        <f t="shared" si="1"/>
        <v>0</v>
      </c>
      <c r="L12" s="512">
        <f t="shared" si="2"/>
        <v>0</v>
      </c>
      <c r="M12" s="1101"/>
      <c r="N12" s="1101"/>
      <c r="O12" s="1101"/>
      <c r="P12" s="1102"/>
      <c r="Q12" s="1103" t="str">
        <f t="shared" si="3"/>
        <v/>
      </c>
      <c r="R12" s="1104" t="str">
        <f>IF(H12="","",IF(C12="Efficiency",Q12/($O$6*VLOOKUP(0,'DCA Underwriting Assumptions'!$J$146:$K$151,2,FALSE)),Q12/($O$6*VLOOKUP(C12,'DCA Underwriting Assumptions'!$J$146:$K$151,2,FALSE))))</f>
        <v/>
      </c>
      <c r="S12" s="1105"/>
      <c r="T12" s="1106"/>
      <c r="U12" s="2314"/>
      <c r="V12" s="2316"/>
      <c r="W12" s="1064" t="str">
        <f t="shared" si="4"/>
        <v/>
      </c>
      <c r="X12" s="1064" t="str">
        <f t="shared" si="5"/>
        <v/>
      </c>
      <c r="Y12" s="1064" t="str">
        <f t="shared" si="6"/>
        <v/>
      </c>
      <c r="Z12" s="1064" t="str">
        <f t="shared" si="7"/>
        <v/>
      </c>
      <c r="AA12" s="1064" t="str">
        <f t="shared" si="8"/>
        <v/>
      </c>
      <c r="AB12" s="1064" t="str">
        <f t="shared" si="9"/>
        <v/>
      </c>
      <c r="AC12" s="1064" t="str">
        <f t="shared" si="10"/>
        <v/>
      </c>
      <c r="AD12" s="1064" t="str">
        <f t="shared" si="11"/>
        <v/>
      </c>
      <c r="AE12" s="1064" t="str">
        <f t="shared" si="12"/>
        <v/>
      </c>
      <c r="AF12" s="1064" t="str">
        <f t="shared" si="13"/>
        <v/>
      </c>
      <c r="AG12" s="1064" t="str">
        <f t="shared" si="14"/>
        <v/>
      </c>
      <c r="AH12" s="1064" t="str">
        <f t="shared" si="15"/>
        <v/>
      </c>
      <c r="AI12" s="1064" t="str">
        <f t="shared" si="16"/>
        <v/>
      </c>
      <c r="AJ12" s="1064" t="str">
        <f t="shared" si="17"/>
        <v/>
      </c>
      <c r="AK12" s="1064" t="str">
        <f t="shared" si="18"/>
        <v/>
      </c>
      <c r="AL12" s="1064" t="str">
        <f t="shared" si="19"/>
        <v/>
      </c>
      <c r="AM12" s="1064" t="str">
        <f t="shared" si="20"/>
        <v/>
      </c>
      <c r="AN12" s="1064" t="str">
        <f t="shared" si="21"/>
        <v/>
      </c>
      <c r="AO12" s="1064" t="str">
        <f t="shared" si="22"/>
        <v/>
      </c>
      <c r="AP12" s="1064" t="str">
        <f t="shared" si="23"/>
        <v/>
      </c>
      <c r="AQ12" s="1064" t="str">
        <f t="shared" si="24"/>
        <v/>
      </c>
      <c r="AR12" s="1064" t="str">
        <f t="shared" si="25"/>
        <v/>
      </c>
      <c r="AS12" s="1064" t="str">
        <f t="shared" si="26"/>
        <v/>
      </c>
      <c r="AT12" s="1064" t="str">
        <f t="shared" si="27"/>
        <v/>
      </c>
      <c r="AU12" s="1064" t="str">
        <f t="shared" si="28"/>
        <v/>
      </c>
      <c r="AV12" s="1064" t="str">
        <f t="shared" si="29"/>
        <v/>
      </c>
      <c r="AW12" s="1064" t="str">
        <f t="shared" si="30"/>
        <v/>
      </c>
      <c r="AX12" s="1064" t="str">
        <f t="shared" si="31"/>
        <v/>
      </c>
      <c r="AY12" s="1064" t="str">
        <f t="shared" si="32"/>
        <v/>
      </c>
      <c r="AZ12" s="1064" t="str">
        <f t="shared" si="33"/>
        <v/>
      </c>
      <c r="BA12" s="1064" t="str">
        <f t="shared" si="34"/>
        <v/>
      </c>
      <c r="BB12" s="1064" t="str">
        <f t="shared" si="35"/>
        <v/>
      </c>
      <c r="BC12" s="1064" t="str">
        <f t="shared" si="36"/>
        <v/>
      </c>
      <c r="BD12" s="1064" t="str">
        <f t="shared" si="37"/>
        <v/>
      </c>
      <c r="BE12" s="1064" t="str">
        <f t="shared" si="38"/>
        <v/>
      </c>
      <c r="BF12" s="1064" t="str">
        <f t="shared" si="39"/>
        <v/>
      </c>
      <c r="BG12" s="1064" t="str">
        <f t="shared" si="40"/>
        <v/>
      </c>
      <c r="BH12" s="1064" t="str">
        <f t="shared" si="41"/>
        <v/>
      </c>
      <c r="BI12" s="1064" t="str">
        <f t="shared" si="42"/>
        <v/>
      </c>
      <c r="BJ12" s="1064" t="str">
        <f t="shared" si="43"/>
        <v/>
      </c>
      <c r="BK12" s="1064" t="str">
        <f t="shared" si="44"/>
        <v/>
      </c>
      <c r="BL12" s="1064" t="str">
        <f t="shared" si="45"/>
        <v/>
      </c>
      <c r="BM12" s="1064" t="str">
        <f t="shared" si="46"/>
        <v/>
      </c>
      <c r="BN12" s="1064" t="str">
        <f t="shared" si="47"/>
        <v/>
      </c>
      <c r="BO12" s="1064" t="str">
        <f t="shared" si="48"/>
        <v/>
      </c>
      <c r="BP12" s="1064" t="str">
        <f t="shared" si="49"/>
        <v/>
      </c>
      <c r="BQ12" s="1064" t="str">
        <f t="shared" si="50"/>
        <v/>
      </c>
      <c r="BR12" s="1064" t="str">
        <f t="shared" si="51"/>
        <v/>
      </c>
      <c r="BS12" s="1064" t="str">
        <f t="shared" si="52"/>
        <v/>
      </c>
      <c r="BT12" s="1064" t="str">
        <f t="shared" si="53"/>
        <v/>
      </c>
      <c r="BU12" s="1064" t="str">
        <f t="shared" si="54"/>
        <v/>
      </c>
      <c r="BV12" s="1064" t="str">
        <f t="shared" si="55"/>
        <v/>
      </c>
      <c r="BW12" s="1064" t="str">
        <f t="shared" si="56"/>
        <v/>
      </c>
      <c r="BX12" s="1064" t="str">
        <f t="shared" si="57"/>
        <v/>
      </c>
      <c r="BY12" s="1064" t="str">
        <f t="shared" si="58"/>
        <v/>
      </c>
      <c r="BZ12" s="1064" t="str">
        <f t="shared" si="59"/>
        <v/>
      </c>
      <c r="CA12" s="1064" t="str">
        <f t="shared" si="60"/>
        <v/>
      </c>
      <c r="CB12" s="1064" t="str">
        <f t="shared" si="61"/>
        <v/>
      </c>
      <c r="CC12" s="1064" t="str">
        <f t="shared" si="62"/>
        <v/>
      </c>
      <c r="CD12" s="1064" t="str">
        <f t="shared" si="63"/>
        <v/>
      </c>
      <c r="CE12" s="1064" t="str">
        <f t="shared" si="64"/>
        <v/>
      </c>
      <c r="CF12" s="1064" t="str">
        <f t="shared" si="65"/>
        <v/>
      </c>
      <c r="CG12" s="1064" t="str">
        <f t="shared" si="66"/>
        <v/>
      </c>
      <c r="CH12" s="1064" t="str">
        <f t="shared" si="67"/>
        <v/>
      </c>
      <c r="CI12" s="1064" t="str">
        <f t="shared" si="68"/>
        <v/>
      </c>
      <c r="CJ12" s="1064" t="str">
        <f t="shared" si="69"/>
        <v/>
      </c>
      <c r="CK12" s="1064" t="str">
        <f t="shared" si="70"/>
        <v/>
      </c>
      <c r="CL12" s="1064" t="str">
        <f t="shared" si="71"/>
        <v/>
      </c>
      <c r="CM12" s="1064" t="str">
        <f t="shared" si="72"/>
        <v/>
      </c>
      <c r="CN12" s="1064" t="str">
        <f t="shared" si="73"/>
        <v/>
      </c>
      <c r="CO12" s="1064" t="str">
        <f t="shared" si="74"/>
        <v/>
      </c>
      <c r="CP12" s="1064" t="str">
        <f t="shared" si="75"/>
        <v/>
      </c>
      <c r="CQ12" s="1064" t="str">
        <f t="shared" si="76"/>
        <v/>
      </c>
      <c r="CR12" s="1064" t="str">
        <f t="shared" si="77"/>
        <v/>
      </c>
      <c r="CS12" s="1064" t="str">
        <f t="shared" si="78"/>
        <v/>
      </c>
      <c r="CT12" s="1064" t="str">
        <f t="shared" si="79"/>
        <v/>
      </c>
      <c r="CU12" s="1064" t="str">
        <f t="shared" si="80"/>
        <v/>
      </c>
      <c r="CV12" s="1064" t="str">
        <f t="shared" si="81"/>
        <v/>
      </c>
      <c r="CW12" s="1064" t="str">
        <f t="shared" si="82"/>
        <v/>
      </c>
      <c r="CX12" s="1064" t="str">
        <f t="shared" si="83"/>
        <v/>
      </c>
      <c r="CY12" s="1064" t="str">
        <f t="shared" si="84"/>
        <v/>
      </c>
      <c r="CZ12" s="1064" t="str">
        <f t="shared" si="85"/>
        <v/>
      </c>
      <c r="DA12" s="1064" t="str">
        <f t="shared" si="86"/>
        <v/>
      </c>
      <c r="DB12" s="1064" t="str">
        <f t="shared" si="87"/>
        <v/>
      </c>
      <c r="DC12" s="1064" t="str">
        <f t="shared" si="88"/>
        <v/>
      </c>
      <c r="DD12" s="1064" t="str">
        <f t="shared" si="89"/>
        <v/>
      </c>
      <c r="DE12" s="1064" t="str">
        <f t="shared" si="90"/>
        <v/>
      </c>
      <c r="DF12" s="1064" t="str">
        <f t="shared" si="91"/>
        <v/>
      </c>
      <c r="DG12" s="1064" t="str">
        <f t="shared" si="92"/>
        <v/>
      </c>
      <c r="DH12" s="1064" t="str">
        <f t="shared" si="93"/>
        <v/>
      </c>
      <c r="DI12" s="1064" t="str">
        <f t="shared" si="94"/>
        <v/>
      </c>
      <c r="DJ12" s="1064" t="str">
        <f t="shared" si="95"/>
        <v/>
      </c>
      <c r="DK12" s="1064" t="str">
        <f t="shared" si="96"/>
        <v/>
      </c>
      <c r="DL12" s="1064" t="str">
        <f t="shared" si="97"/>
        <v/>
      </c>
      <c r="DM12" s="1064" t="str">
        <f t="shared" si="98"/>
        <v/>
      </c>
      <c r="DN12" s="1064" t="str">
        <f t="shared" si="99"/>
        <v/>
      </c>
      <c r="DO12" s="1064" t="str">
        <f t="shared" si="100"/>
        <v/>
      </c>
      <c r="DP12" s="1064" t="str">
        <f t="shared" si="101"/>
        <v/>
      </c>
      <c r="DQ12" s="1064" t="str">
        <f t="shared" si="102"/>
        <v/>
      </c>
      <c r="DR12" s="1064" t="str">
        <f t="shared" si="103"/>
        <v/>
      </c>
      <c r="DS12" s="1064" t="str">
        <f t="shared" si="104"/>
        <v/>
      </c>
      <c r="DT12" s="1064" t="str">
        <f t="shared" si="105"/>
        <v/>
      </c>
      <c r="DU12" s="1064" t="str">
        <f t="shared" si="106"/>
        <v/>
      </c>
      <c r="DV12" s="1064" t="str">
        <f t="shared" si="107"/>
        <v/>
      </c>
      <c r="DW12" s="1064" t="str">
        <f t="shared" si="108"/>
        <v/>
      </c>
      <c r="DX12" s="1064" t="str">
        <f t="shared" si="109"/>
        <v/>
      </c>
      <c r="DY12" s="1064" t="str">
        <f t="shared" si="110"/>
        <v/>
      </c>
      <c r="DZ12" s="1064" t="str">
        <f t="shared" si="111"/>
        <v/>
      </c>
      <c r="EA12" s="1064" t="str">
        <f t="shared" si="112"/>
        <v/>
      </c>
      <c r="EB12" s="1064" t="str">
        <f t="shared" si="113"/>
        <v/>
      </c>
      <c r="EC12" s="1064" t="str">
        <f t="shared" si="114"/>
        <v/>
      </c>
      <c r="ED12" s="1064" t="str">
        <f t="shared" si="115"/>
        <v/>
      </c>
      <c r="EE12" s="1064" t="str">
        <f t="shared" si="116"/>
        <v/>
      </c>
      <c r="EF12" s="1064" t="str">
        <f t="shared" si="117"/>
        <v/>
      </c>
      <c r="EG12" s="1064" t="str">
        <f t="shared" si="313"/>
        <v/>
      </c>
      <c r="EH12" s="1064" t="str">
        <f t="shared" si="118"/>
        <v/>
      </c>
      <c r="EI12" s="1064" t="str">
        <f t="shared" si="119"/>
        <v/>
      </c>
      <c r="EJ12" s="1064" t="str">
        <f t="shared" si="120"/>
        <v/>
      </c>
      <c r="EK12" s="1064" t="str">
        <f t="shared" si="121"/>
        <v/>
      </c>
      <c r="EL12" s="1064" t="str">
        <f t="shared" si="122"/>
        <v/>
      </c>
      <c r="EM12" s="1064" t="str">
        <f t="shared" si="123"/>
        <v/>
      </c>
      <c r="EN12" s="1064" t="str">
        <f t="shared" si="124"/>
        <v/>
      </c>
      <c r="EO12" s="1064" t="str">
        <f t="shared" si="125"/>
        <v/>
      </c>
      <c r="EP12" s="1064" t="str">
        <f t="shared" si="126"/>
        <v/>
      </c>
      <c r="EQ12" s="1064" t="str">
        <f t="shared" si="127"/>
        <v/>
      </c>
      <c r="ER12" s="1064" t="str">
        <f t="shared" si="128"/>
        <v/>
      </c>
      <c r="ES12" s="1064" t="str">
        <f t="shared" si="129"/>
        <v/>
      </c>
      <c r="ET12" s="1064" t="str">
        <f t="shared" si="130"/>
        <v/>
      </c>
      <c r="EU12" s="1064" t="str">
        <f t="shared" si="131"/>
        <v/>
      </c>
      <c r="EV12" s="1064" t="str">
        <f t="shared" si="132"/>
        <v/>
      </c>
      <c r="EW12" s="1064" t="str">
        <f t="shared" si="314"/>
        <v/>
      </c>
      <c r="EX12" s="1064" t="str">
        <f t="shared" si="315"/>
        <v/>
      </c>
      <c r="EY12" s="1064" t="str">
        <f t="shared" si="316"/>
        <v/>
      </c>
      <c r="EZ12" s="1064" t="str">
        <f t="shared" si="317"/>
        <v/>
      </c>
      <c r="FA12" s="1064" t="str">
        <f t="shared" si="318"/>
        <v/>
      </c>
      <c r="FB12" s="1064" t="str">
        <f t="shared" si="133"/>
        <v/>
      </c>
      <c r="FC12" s="1064" t="str">
        <f t="shared" si="134"/>
        <v/>
      </c>
      <c r="FD12" s="1064" t="str">
        <f t="shared" si="135"/>
        <v/>
      </c>
      <c r="FE12" s="1064" t="str">
        <f t="shared" si="136"/>
        <v/>
      </c>
      <c r="FF12" s="1064" t="str">
        <f t="shared" si="137"/>
        <v/>
      </c>
      <c r="FG12" s="1064" t="str">
        <f t="shared" si="319"/>
        <v/>
      </c>
      <c r="FH12" s="1064" t="str">
        <f t="shared" si="320"/>
        <v/>
      </c>
      <c r="FI12" s="1064" t="str">
        <f t="shared" si="321"/>
        <v/>
      </c>
      <c r="FJ12" s="1064" t="str">
        <f t="shared" si="322"/>
        <v/>
      </c>
      <c r="FK12" s="1064" t="str">
        <f t="shared" si="323"/>
        <v/>
      </c>
      <c r="FL12" s="1064" t="str">
        <f t="shared" si="138"/>
        <v/>
      </c>
      <c r="FM12" s="1064" t="str">
        <f t="shared" si="139"/>
        <v/>
      </c>
      <c r="FN12" s="1064" t="str">
        <f t="shared" si="140"/>
        <v/>
      </c>
      <c r="FO12" s="1064" t="str">
        <f t="shared" si="141"/>
        <v/>
      </c>
      <c r="FP12" s="1064" t="str">
        <f t="shared" si="142"/>
        <v/>
      </c>
      <c r="FQ12" s="1064" t="str">
        <f t="shared" si="143"/>
        <v/>
      </c>
      <c r="FR12" s="1064" t="str">
        <f t="shared" si="144"/>
        <v/>
      </c>
      <c r="FS12" s="1064" t="str">
        <f t="shared" si="145"/>
        <v/>
      </c>
      <c r="FT12" s="1064" t="str">
        <f t="shared" si="146"/>
        <v/>
      </c>
      <c r="FU12" s="1064" t="str">
        <f t="shared" si="147"/>
        <v/>
      </c>
      <c r="FV12" s="1064" t="str">
        <f t="shared" si="148"/>
        <v/>
      </c>
      <c r="FW12" s="1064" t="str">
        <f t="shared" si="149"/>
        <v/>
      </c>
      <c r="FX12" s="1064" t="str">
        <f t="shared" si="150"/>
        <v/>
      </c>
      <c r="FY12" s="1064" t="str">
        <f t="shared" si="151"/>
        <v/>
      </c>
      <c r="FZ12" s="1064" t="str">
        <f t="shared" si="152"/>
        <v/>
      </c>
      <c r="GA12" s="1064" t="str">
        <f t="shared" si="153"/>
        <v/>
      </c>
      <c r="GB12" s="1064" t="str">
        <f t="shared" si="154"/>
        <v/>
      </c>
      <c r="GC12" s="1064" t="str">
        <f t="shared" si="155"/>
        <v/>
      </c>
      <c r="GD12" s="1064" t="str">
        <f t="shared" si="156"/>
        <v/>
      </c>
      <c r="GE12" s="1064" t="str">
        <f t="shared" si="157"/>
        <v/>
      </c>
      <c r="GF12" s="1064" t="str">
        <f t="shared" si="158"/>
        <v/>
      </c>
      <c r="GG12" s="1064" t="str">
        <f t="shared" si="159"/>
        <v/>
      </c>
      <c r="GH12" s="1064" t="str">
        <f t="shared" si="160"/>
        <v/>
      </c>
      <c r="GI12" s="1064" t="str">
        <f t="shared" si="161"/>
        <v/>
      </c>
      <c r="GJ12" s="1064" t="str">
        <f t="shared" si="162"/>
        <v/>
      </c>
      <c r="GK12" s="1064" t="str">
        <f t="shared" si="163"/>
        <v/>
      </c>
      <c r="GL12" s="1064" t="str">
        <f t="shared" si="164"/>
        <v/>
      </c>
      <c r="GM12" s="1064" t="str">
        <f t="shared" si="165"/>
        <v/>
      </c>
      <c r="GN12" s="1064" t="str">
        <f t="shared" si="166"/>
        <v/>
      </c>
      <c r="GO12" s="1064" t="str">
        <f t="shared" si="167"/>
        <v/>
      </c>
      <c r="GP12" s="1064" t="str">
        <f t="shared" si="168"/>
        <v/>
      </c>
      <c r="GQ12" s="1064" t="str">
        <f t="shared" si="169"/>
        <v/>
      </c>
      <c r="GR12" s="1064" t="str">
        <f t="shared" si="170"/>
        <v/>
      </c>
      <c r="GS12" s="1064" t="str">
        <f t="shared" si="171"/>
        <v/>
      </c>
      <c r="GT12" s="1064" t="str">
        <f t="shared" si="172"/>
        <v/>
      </c>
      <c r="GU12" s="1064" t="str">
        <f t="shared" si="173"/>
        <v/>
      </c>
      <c r="GV12" s="1064" t="str">
        <f t="shared" si="174"/>
        <v/>
      </c>
      <c r="GW12" s="1064" t="str">
        <f t="shared" si="175"/>
        <v/>
      </c>
      <c r="GX12" s="1064" t="str">
        <f t="shared" si="176"/>
        <v/>
      </c>
      <c r="GY12" s="1064" t="str">
        <f t="shared" si="177"/>
        <v/>
      </c>
      <c r="GZ12" s="1064" t="str">
        <f t="shared" si="178"/>
        <v/>
      </c>
      <c r="HA12" s="1064" t="str">
        <f t="shared" si="179"/>
        <v/>
      </c>
      <c r="HB12" s="1064" t="str">
        <f t="shared" si="180"/>
        <v/>
      </c>
      <c r="HC12" s="1064" t="str">
        <f t="shared" si="181"/>
        <v/>
      </c>
      <c r="HD12" s="1064" t="str">
        <f t="shared" si="182"/>
        <v/>
      </c>
      <c r="HE12" s="1064" t="str">
        <f t="shared" si="183"/>
        <v/>
      </c>
      <c r="HF12" s="1064" t="str">
        <f t="shared" si="184"/>
        <v/>
      </c>
      <c r="HG12" s="1064" t="str">
        <f t="shared" si="185"/>
        <v/>
      </c>
      <c r="HH12" s="1064" t="str">
        <f t="shared" si="186"/>
        <v/>
      </c>
      <c r="HI12" s="1064" t="str">
        <f t="shared" si="187"/>
        <v/>
      </c>
      <c r="HJ12" s="1064" t="str">
        <f t="shared" si="188"/>
        <v/>
      </c>
      <c r="HK12" s="1064" t="str">
        <f t="shared" si="189"/>
        <v/>
      </c>
      <c r="HL12" s="1064" t="str">
        <f t="shared" si="190"/>
        <v/>
      </c>
      <c r="HM12" s="1064" t="str">
        <f t="shared" si="191"/>
        <v/>
      </c>
      <c r="HN12" s="1064" t="str">
        <f t="shared" si="192"/>
        <v/>
      </c>
      <c r="HO12" s="1064" t="str">
        <f t="shared" si="193"/>
        <v/>
      </c>
      <c r="HP12" s="1064" t="str">
        <f t="shared" si="194"/>
        <v/>
      </c>
      <c r="HQ12" s="1064" t="str">
        <f t="shared" si="195"/>
        <v/>
      </c>
      <c r="HR12" s="1064" t="str">
        <f t="shared" si="196"/>
        <v/>
      </c>
      <c r="HS12" s="1064" t="str">
        <f t="shared" si="197"/>
        <v/>
      </c>
      <c r="HT12" s="1064" t="str">
        <f t="shared" si="198"/>
        <v/>
      </c>
      <c r="HU12" s="1064" t="str">
        <f t="shared" si="199"/>
        <v/>
      </c>
      <c r="HV12" s="1064" t="str">
        <f t="shared" si="200"/>
        <v/>
      </c>
      <c r="HW12" s="1064" t="str">
        <f t="shared" si="201"/>
        <v/>
      </c>
      <c r="HX12" s="1064" t="str">
        <f t="shared" si="202"/>
        <v/>
      </c>
      <c r="HY12" s="1097" t="str">
        <f t="shared" si="203"/>
        <v/>
      </c>
      <c r="HZ12" s="1097" t="str">
        <f t="shared" si="204"/>
        <v/>
      </c>
      <c r="IA12" s="1097" t="str">
        <f t="shared" si="205"/>
        <v/>
      </c>
      <c r="IB12" s="1097" t="str">
        <f t="shared" si="206"/>
        <v/>
      </c>
      <c r="IC12" s="1097" t="str">
        <f t="shared" si="207"/>
        <v/>
      </c>
      <c r="ID12" s="1097" t="str">
        <f t="shared" si="208"/>
        <v/>
      </c>
      <c r="IE12" s="1097" t="str">
        <f t="shared" si="209"/>
        <v/>
      </c>
      <c r="IF12" s="1097" t="str">
        <f t="shared" si="210"/>
        <v/>
      </c>
      <c r="IG12" s="1097" t="str">
        <f t="shared" si="211"/>
        <v/>
      </c>
      <c r="IH12" s="1097" t="str">
        <f t="shared" si="212"/>
        <v/>
      </c>
      <c r="II12" s="1097" t="str">
        <f t="shared" si="213"/>
        <v/>
      </c>
      <c r="IJ12" s="1097" t="str">
        <f t="shared" si="214"/>
        <v/>
      </c>
      <c r="IK12" s="1097" t="str">
        <f t="shared" si="215"/>
        <v/>
      </c>
      <c r="IL12" s="1097" t="str">
        <f t="shared" si="216"/>
        <v/>
      </c>
      <c r="IM12" s="1097" t="str">
        <f t="shared" si="217"/>
        <v/>
      </c>
      <c r="IN12" s="1097" t="str">
        <f t="shared" si="218"/>
        <v/>
      </c>
      <c r="IO12" s="1097" t="str">
        <f t="shared" si="219"/>
        <v/>
      </c>
      <c r="IP12" s="1097" t="str">
        <f t="shared" si="220"/>
        <v/>
      </c>
      <c r="IQ12" s="1097" t="str">
        <f t="shared" si="221"/>
        <v/>
      </c>
      <c r="IR12" s="1097" t="str">
        <f t="shared" si="222"/>
        <v/>
      </c>
      <c r="IS12" s="1097" t="str">
        <f t="shared" si="223"/>
        <v/>
      </c>
      <c r="IT12" s="1097" t="str">
        <f t="shared" si="224"/>
        <v/>
      </c>
      <c r="IU12" s="1097" t="str">
        <f t="shared" si="225"/>
        <v/>
      </c>
      <c r="IV12" s="1097" t="str">
        <f t="shared" si="226"/>
        <v/>
      </c>
      <c r="IW12" s="1097" t="str">
        <f t="shared" si="227"/>
        <v/>
      </c>
      <c r="IX12" s="1097" t="str">
        <f t="shared" si="228"/>
        <v/>
      </c>
      <c r="IY12" s="1097" t="str">
        <f t="shared" si="229"/>
        <v/>
      </c>
      <c r="IZ12" s="1097" t="str">
        <f t="shared" si="230"/>
        <v/>
      </c>
      <c r="JA12" s="1097" t="str">
        <f t="shared" si="231"/>
        <v/>
      </c>
      <c r="JB12" s="1097" t="str">
        <f t="shared" si="232"/>
        <v/>
      </c>
      <c r="JC12" s="1097" t="str">
        <f t="shared" si="233"/>
        <v/>
      </c>
      <c r="JD12" s="1097" t="str">
        <f t="shared" si="234"/>
        <v/>
      </c>
      <c r="JE12" s="1097" t="str">
        <f t="shared" si="235"/>
        <v/>
      </c>
      <c r="JF12" s="1097" t="str">
        <f t="shared" si="236"/>
        <v/>
      </c>
      <c r="JG12" s="1097" t="str">
        <f t="shared" si="237"/>
        <v/>
      </c>
      <c r="JH12" s="1097" t="str">
        <f t="shared" si="238"/>
        <v/>
      </c>
      <c r="JI12" s="1097" t="str">
        <f t="shared" si="239"/>
        <v/>
      </c>
      <c r="JJ12" s="1097" t="str">
        <f t="shared" si="240"/>
        <v/>
      </c>
      <c r="JK12" s="1097" t="str">
        <f t="shared" si="241"/>
        <v/>
      </c>
      <c r="JL12" s="1097" t="str">
        <f t="shared" si="242"/>
        <v/>
      </c>
      <c r="JM12" s="1097" t="str">
        <f t="shared" si="243"/>
        <v/>
      </c>
      <c r="JN12" s="1097" t="str">
        <f t="shared" si="244"/>
        <v/>
      </c>
      <c r="JO12" s="1097" t="str">
        <f t="shared" si="245"/>
        <v/>
      </c>
      <c r="JP12" s="1097" t="str">
        <f t="shared" si="246"/>
        <v/>
      </c>
      <c r="JQ12" s="1097" t="str">
        <f t="shared" si="247"/>
        <v/>
      </c>
      <c r="JR12" s="1097" t="str">
        <f t="shared" si="248"/>
        <v/>
      </c>
      <c r="JS12" s="1097" t="str">
        <f t="shared" si="249"/>
        <v/>
      </c>
      <c r="JT12" s="1097" t="str">
        <f t="shared" si="250"/>
        <v/>
      </c>
      <c r="JU12" s="1097" t="str">
        <f t="shared" si="251"/>
        <v/>
      </c>
      <c r="JV12" s="1097" t="str">
        <f t="shared" si="252"/>
        <v/>
      </c>
      <c r="JW12" s="1097" t="str">
        <f t="shared" si="253"/>
        <v/>
      </c>
      <c r="JX12" s="1097" t="str">
        <f t="shared" si="254"/>
        <v/>
      </c>
      <c r="JY12" s="1097" t="str">
        <f t="shared" si="255"/>
        <v/>
      </c>
      <c r="JZ12" s="1097" t="str">
        <f t="shared" si="256"/>
        <v/>
      </c>
      <c r="KA12" s="1097" t="str">
        <f t="shared" si="257"/>
        <v/>
      </c>
      <c r="KB12" s="1097" t="str">
        <f t="shared" si="258"/>
        <v/>
      </c>
      <c r="KC12" s="1097" t="str">
        <f t="shared" si="259"/>
        <v/>
      </c>
      <c r="KD12" s="1097" t="str">
        <f t="shared" si="260"/>
        <v/>
      </c>
      <c r="KE12" s="1097" t="str">
        <f t="shared" si="261"/>
        <v/>
      </c>
      <c r="KF12" s="1097" t="str">
        <f t="shared" si="262"/>
        <v/>
      </c>
      <c r="KG12" s="1097" t="str">
        <f t="shared" si="263"/>
        <v/>
      </c>
      <c r="KH12" s="1097" t="str">
        <f t="shared" si="264"/>
        <v/>
      </c>
      <c r="KI12" s="1097" t="str">
        <f t="shared" si="265"/>
        <v/>
      </c>
      <c r="KJ12" s="1097" t="str">
        <f t="shared" si="266"/>
        <v/>
      </c>
      <c r="KK12" s="1097" t="str">
        <f t="shared" si="267"/>
        <v/>
      </c>
      <c r="KL12" s="1097" t="str">
        <f t="shared" si="268"/>
        <v/>
      </c>
      <c r="KM12" s="1097" t="str">
        <f t="shared" si="269"/>
        <v/>
      </c>
      <c r="KN12" s="1097" t="str">
        <f t="shared" si="270"/>
        <v/>
      </c>
      <c r="KO12" s="1097" t="str">
        <f t="shared" si="271"/>
        <v/>
      </c>
      <c r="KP12" s="1097" t="str">
        <f t="shared" si="272"/>
        <v/>
      </c>
      <c r="KQ12" s="1097" t="str">
        <f t="shared" si="273"/>
        <v/>
      </c>
      <c r="KR12" s="1097" t="str">
        <f t="shared" si="274"/>
        <v/>
      </c>
      <c r="KS12" s="1097" t="str">
        <f t="shared" si="275"/>
        <v/>
      </c>
      <c r="KT12" s="1097" t="str">
        <f t="shared" si="276"/>
        <v/>
      </c>
      <c r="KU12" s="1097" t="str">
        <f t="shared" si="277"/>
        <v/>
      </c>
      <c r="KV12" s="1097" t="str">
        <f t="shared" si="278"/>
        <v/>
      </c>
      <c r="KW12" s="1097" t="str">
        <f t="shared" si="279"/>
        <v/>
      </c>
      <c r="KX12" s="1097" t="str">
        <f t="shared" si="280"/>
        <v/>
      </c>
      <c r="KY12" s="1097" t="str">
        <f t="shared" si="281"/>
        <v/>
      </c>
      <c r="KZ12" s="1097" t="str">
        <f t="shared" si="282"/>
        <v/>
      </c>
      <c r="LA12" s="1097" t="str">
        <f t="shared" si="283"/>
        <v/>
      </c>
      <c r="LB12" s="1097" t="str">
        <f t="shared" si="284"/>
        <v/>
      </c>
      <c r="LC12" s="1097" t="str">
        <f t="shared" si="285"/>
        <v/>
      </c>
      <c r="LD12" s="1097" t="str">
        <f t="shared" si="286"/>
        <v/>
      </c>
      <c r="LE12" s="1097" t="str">
        <f t="shared" si="287"/>
        <v/>
      </c>
      <c r="LF12" s="1098" t="str">
        <f t="shared" si="288"/>
        <v/>
      </c>
      <c r="LG12" s="1098" t="str">
        <f t="shared" si="289"/>
        <v/>
      </c>
      <c r="LH12" s="1098" t="str">
        <f t="shared" si="290"/>
        <v/>
      </c>
      <c r="LI12" s="1098" t="str">
        <f t="shared" si="291"/>
        <v/>
      </c>
      <c r="LJ12" s="1098" t="str">
        <f t="shared" si="292"/>
        <v/>
      </c>
      <c r="LK12" s="1064" t="str">
        <f t="shared" si="293"/>
        <v/>
      </c>
      <c r="LL12" s="1064" t="str">
        <f t="shared" si="294"/>
        <v/>
      </c>
      <c r="LM12" s="1064" t="str">
        <f t="shared" si="295"/>
        <v/>
      </c>
      <c r="LN12" s="1064" t="str">
        <f t="shared" si="296"/>
        <v/>
      </c>
      <c r="LO12" s="1064" t="str">
        <f t="shared" si="297"/>
        <v/>
      </c>
      <c r="LP12" s="1064" t="str">
        <f t="shared" si="298"/>
        <v/>
      </c>
      <c r="LQ12" s="1064" t="str">
        <f t="shared" si="299"/>
        <v/>
      </c>
      <c r="LR12" s="1064" t="str">
        <f t="shared" si="300"/>
        <v/>
      </c>
      <c r="LS12" s="1064" t="str">
        <f t="shared" si="301"/>
        <v/>
      </c>
      <c r="LT12" s="1064" t="str">
        <f t="shared" si="302"/>
        <v/>
      </c>
      <c r="LU12" s="1064" t="str">
        <f t="shared" si="303"/>
        <v/>
      </c>
      <c r="LV12" s="1064" t="str">
        <f t="shared" si="304"/>
        <v/>
      </c>
      <c r="LW12" s="1064" t="str">
        <f t="shared" si="305"/>
        <v/>
      </c>
      <c r="LX12" s="1064" t="str">
        <f t="shared" si="306"/>
        <v/>
      </c>
      <c r="LY12" s="1064" t="str">
        <f t="shared" si="307"/>
        <v/>
      </c>
      <c r="LZ12" s="1064" t="str">
        <f t="shared" si="308"/>
        <v/>
      </c>
      <c r="MA12" s="1064" t="str">
        <f t="shared" si="309"/>
        <v/>
      </c>
      <c r="MB12" s="1064" t="str">
        <f t="shared" si="310"/>
        <v/>
      </c>
      <c r="MC12" s="1064" t="str">
        <f t="shared" si="311"/>
        <v/>
      </c>
      <c r="MD12" s="1064" t="str">
        <f t="shared" si="312"/>
        <v/>
      </c>
      <c r="ME12" s="1081">
        <f t="shared" si="324"/>
        <v>0</v>
      </c>
      <c r="MF12" s="1081">
        <f t="shared" si="325"/>
        <v>0</v>
      </c>
      <c r="MG12" s="1081">
        <f t="shared" si="326"/>
        <v>0</v>
      </c>
      <c r="MH12" s="1081">
        <f t="shared" si="327"/>
        <v>0</v>
      </c>
      <c r="MI12" s="1081">
        <f t="shared" si="328"/>
        <v>0</v>
      </c>
      <c r="MJ12" s="1081">
        <f t="shared" si="329"/>
        <v>0</v>
      </c>
      <c r="MK12" s="1081">
        <f t="shared" si="330"/>
        <v>0</v>
      </c>
      <c r="ML12" s="1081">
        <f t="shared" si="331"/>
        <v>0</v>
      </c>
      <c r="MM12" s="1081">
        <f t="shared" si="332"/>
        <v>0</v>
      </c>
      <c r="MN12" s="1081">
        <f t="shared" si="333"/>
        <v>0</v>
      </c>
      <c r="MO12" s="1081">
        <f t="shared" si="334"/>
        <v>0</v>
      </c>
      <c r="MP12" s="1081">
        <f t="shared" si="335"/>
        <v>0</v>
      </c>
      <c r="MQ12" s="1081">
        <f t="shared" si="336"/>
        <v>0</v>
      </c>
      <c r="MR12" s="1081">
        <f t="shared" si="337"/>
        <v>0</v>
      </c>
      <c r="MS12" s="1081">
        <f t="shared" si="338"/>
        <v>0</v>
      </c>
    </row>
    <row r="13" spans="1:492" ht="12" customHeight="1">
      <c r="A13" s="1088" t="str">
        <f t="shared" si="0"/>
        <v/>
      </c>
      <c r="B13" s="1099" t="s">
        <v>282</v>
      </c>
      <c r="C13" s="41"/>
      <c r="D13" s="42"/>
      <c r="E13" s="43"/>
      <c r="F13" s="43"/>
      <c r="G13" s="43"/>
      <c r="H13" s="43"/>
      <c r="I13" s="1100">
        <f>IF(C13="",0,HLOOKUP(C13,'Part V-Utility Allowances'!$I$11:$M$22,12))</f>
        <v>0</v>
      </c>
      <c r="J13" s="810"/>
      <c r="K13" s="512">
        <f t="shared" si="1"/>
        <v>0</v>
      </c>
      <c r="L13" s="512">
        <f t="shared" si="2"/>
        <v>0</v>
      </c>
      <c r="M13" s="1101"/>
      <c r="N13" s="1101"/>
      <c r="O13" s="1101"/>
      <c r="P13" s="1102"/>
      <c r="Q13" s="1103" t="str">
        <f t="shared" si="3"/>
        <v/>
      </c>
      <c r="R13" s="1104" t="str">
        <f>IF(H13="","",IF(C13="Efficiency",Q13/($O$6*VLOOKUP(0,'DCA Underwriting Assumptions'!$J$146:$K$151,2,FALSE)),Q13/($O$6*VLOOKUP(C13,'DCA Underwriting Assumptions'!$J$146:$K$151,2,FALSE))))</f>
        <v/>
      </c>
      <c r="S13" s="1105"/>
      <c r="T13" s="1106"/>
      <c r="U13" s="2314"/>
      <c r="V13" s="2316"/>
      <c r="W13" s="1064" t="str">
        <f t="shared" si="4"/>
        <v/>
      </c>
      <c r="X13" s="1064" t="str">
        <f t="shared" si="5"/>
        <v/>
      </c>
      <c r="Y13" s="1064" t="str">
        <f t="shared" si="6"/>
        <v/>
      </c>
      <c r="Z13" s="1064" t="str">
        <f t="shared" si="7"/>
        <v/>
      </c>
      <c r="AA13" s="1064" t="str">
        <f t="shared" si="8"/>
        <v/>
      </c>
      <c r="AB13" s="1064" t="str">
        <f t="shared" si="9"/>
        <v/>
      </c>
      <c r="AC13" s="1064" t="str">
        <f t="shared" si="10"/>
        <v/>
      </c>
      <c r="AD13" s="1064" t="str">
        <f t="shared" si="11"/>
        <v/>
      </c>
      <c r="AE13" s="1064" t="str">
        <f t="shared" si="12"/>
        <v/>
      </c>
      <c r="AF13" s="1064" t="str">
        <f t="shared" si="13"/>
        <v/>
      </c>
      <c r="AG13" s="1064" t="str">
        <f t="shared" si="14"/>
        <v/>
      </c>
      <c r="AH13" s="1064" t="str">
        <f t="shared" si="15"/>
        <v/>
      </c>
      <c r="AI13" s="1064" t="str">
        <f t="shared" si="16"/>
        <v/>
      </c>
      <c r="AJ13" s="1064" t="str">
        <f t="shared" si="17"/>
        <v/>
      </c>
      <c r="AK13" s="1064" t="str">
        <f t="shared" si="18"/>
        <v/>
      </c>
      <c r="AL13" s="1064" t="str">
        <f t="shared" si="19"/>
        <v/>
      </c>
      <c r="AM13" s="1064" t="str">
        <f t="shared" si="20"/>
        <v/>
      </c>
      <c r="AN13" s="1064" t="str">
        <f t="shared" si="21"/>
        <v/>
      </c>
      <c r="AO13" s="1064" t="str">
        <f t="shared" si="22"/>
        <v/>
      </c>
      <c r="AP13" s="1064" t="str">
        <f t="shared" si="23"/>
        <v/>
      </c>
      <c r="AQ13" s="1064" t="str">
        <f t="shared" si="24"/>
        <v/>
      </c>
      <c r="AR13" s="1064" t="str">
        <f t="shared" si="25"/>
        <v/>
      </c>
      <c r="AS13" s="1064" t="str">
        <f t="shared" si="26"/>
        <v/>
      </c>
      <c r="AT13" s="1064" t="str">
        <f t="shared" si="27"/>
        <v/>
      </c>
      <c r="AU13" s="1064" t="str">
        <f t="shared" si="28"/>
        <v/>
      </c>
      <c r="AV13" s="1064" t="str">
        <f t="shared" si="29"/>
        <v/>
      </c>
      <c r="AW13" s="1064" t="str">
        <f t="shared" si="30"/>
        <v/>
      </c>
      <c r="AX13" s="1064" t="str">
        <f t="shared" si="31"/>
        <v/>
      </c>
      <c r="AY13" s="1064" t="str">
        <f t="shared" si="32"/>
        <v/>
      </c>
      <c r="AZ13" s="1064" t="str">
        <f t="shared" si="33"/>
        <v/>
      </c>
      <c r="BA13" s="1064" t="str">
        <f t="shared" si="34"/>
        <v/>
      </c>
      <c r="BB13" s="1064" t="str">
        <f t="shared" si="35"/>
        <v/>
      </c>
      <c r="BC13" s="1064" t="str">
        <f t="shared" si="36"/>
        <v/>
      </c>
      <c r="BD13" s="1064" t="str">
        <f t="shared" si="37"/>
        <v/>
      </c>
      <c r="BE13" s="1064" t="str">
        <f t="shared" si="38"/>
        <v/>
      </c>
      <c r="BF13" s="1064" t="str">
        <f t="shared" si="39"/>
        <v/>
      </c>
      <c r="BG13" s="1064" t="str">
        <f t="shared" si="40"/>
        <v/>
      </c>
      <c r="BH13" s="1064" t="str">
        <f t="shared" si="41"/>
        <v/>
      </c>
      <c r="BI13" s="1064" t="str">
        <f t="shared" si="42"/>
        <v/>
      </c>
      <c r="BJ13" s="1064" t="str">
        <f t="shared" si="43"/>
        <v/>
      </c>
      <c r="BK13" s="1064" t="str">
        <f t="shared" si="44"/>
        <v/>
      </c>
      <c r="BL13" s="1064" t="str">
        <f t="shared" si="45"/>
        <v/>
      </c>
      <c r="BM13" s="1064" t="str">
        <f t="shared" si="46"/>
        <v/>
      </c>
      <c r="BN13" s="1064" t="str">
        <f t="shared" si="47"/>
        <v/>
      </c>
      <c r="BO13" s="1064" t="str">
        <f t="shared" si="48"/>
        <v/>
      </c>
      <c r="BP13" s="1064" t="str">
        <f t="shared" si="49"/>
        <v/>
      </c>
      <c r="BQ13" s="1064" t="str">
        <f t="shared" si="50"/>
        <v/>
      </c>
      <c r="BR13" s="1064" t="str">
        <f t="shared" si="51"/>
        <v/>
      </c>
      <c r="BS13" s="1064" t="str">
        <f t="shared" si="52"/>
        <v/>
      </c>
      <c r="BT13" s="1064" t="str">
        <f t="shared" si="53"/>
        <v/>
      </c>
      <c r="BU13" s="1064" t="str">
        <f t="shared" si="54"/>
        <v/>
      </c>
      <c r="BV13" s="1064" t="str">
        <f t="shared" si="55"/>
        <v/>
      </c>
      <c r="BW13" s="1064" t="str">
        <f t="shared" si="56"/>
        <v/>
      </c>
      <c r="BX13" s="1064" t="str">
        <f t="shared" si="57"/>
        <v/>
      </c>
      <c r="BY13" s="1064" t="str">
        <f t="shared" si="58"/>
        <v/>
      </c>
      <c r="BZ13" s="1064" t="str">
        <f t="shared" si="59"/>
        <v/>
      </c>
      <c r="CA13" s="1064" t="str">
        <f t="shared" si="60"/>
        <v/>
      </c>
      <c r="CB13" s="1064" t="str">
        <f t="shared" si="61"/>
        <v/>
      </c>
      <c r="CC13" s="1064" t="str">
        <f t="shared" si="62"/>
        <v/>
      </c>
      <c r="CD13" s="1064" t="str">
        <f t="shared" si="63"/>
        <v/>
      </c>
      <c r="CE13" s="1064" t="str">
        <f t="shared" si="64"/>
        <v/>
      </c>
      <c r="CF13" s="1064" t="str">
        <f t="shared" si="65"/>
        <v/>
      </c>
      <c r="CG13" s="1064" t="str">
        <f t="shared" si="66"/>
        <v/>
      </c>
      <c r="CH13" s="1064" t="str">
        <f t="shared" si="67"/>
        <v/>
      </c>
      <c r="CI13" s="1064" t="str">
        <f t="shared" si="68"/>
        <v/>
      </c>
      <c r="CJ13" s="1064" t="str">
        <f t="shared" si="69"/>
        <v/>
      </c>
      <c r="CK13" s="1064" t="str">
        <f t="shared" si="70"/>
        <v/>
      </c>
      <c r="CL13" s="1064" t="str">
        <f t="shared" si="71"/>
        <v/>
      </c>
      <c r="CM13" s="1064" t="str">
        <f t="shared" si="72"/>
        <v/>
      </c>
      <c r="CN13" s="1064" t="str">
        <f t="shared" si="73"/>
        <v/>
      </c>
      <c r="CO13" s="1064" t="str">
        <f t="shared" si="74"/>
        <v/>
      </c>
      <c r="CP13" s="1064" t="str">
        <f t="shared" si="75"/>
        <v/>
      </c>
      <c r="CQ13" s="1064" t="str">
        <f t="shared" si="76"/>
        <v/>
      </c>
      <c r="CR13" s="1064" t="str">
        <f t="shared" si="77"/>
        <v/>
      </c>
      <c r="CS13" s="1064" t="str">
        <f t="shared" si="78"/>
        <v/>
      </c>
      <c r="CT13" s="1064" t="str">
        <f t="shared" si="79"/>
        <v/>
      </c>
      <c r="CU13" s="1064" t="str">
        <f t="shared" si="80"/>
        <v/>
      </c>
      <c r="CV13" s="1064" t="str">
        <f t="shared" si="81"/>
        <v/>
      </c>
      <c r="CW13" s="1064" t="str">
        <f t="shared" si="82"/>
        <v/>
      </c>
      <c r="CX13" s="1064" t="str">
        <f t="shared" si="83"/>
        <v/>
      </c>
      <c r="CY13" s="1064" t="str">
        <f t="shared" si="84"/>
        <v/>
      </c>
      <c r="CZ13" s="1064" t="str">
        <f t="shared" si="85"/>
        <v/>
      </c>
      <c r="DA13" s="1064" t="str">
        <f t="shared" si="86"/>
        <v/>
      </c>
      <c r="DB13" s="1064" t="str">
        <f t="shared" si="87"/>
        <v/>
      </c>
      <c r="DC13" s="1064" t="str">
        <f t="shared" si="88"/>
        <v/>
      </c>
      <c r="DD13" s="1064" t="str">
        <f t="shared" si="89"/>
        <v/>
      </c>
      <c r="DE13" s="1064" t="str">
        <f t="shared" si="90"/>
        <v/>
      </c>
      <c r="DF13" s="1064" t="str">
        <f t="shared" si="91"/>
        <v/>
      </c>
      <c r="DG13" s="1064" t="str">
        <f t="shared" si="92"/>
        <v/>
      </c>
      <c r="DH13" s="1064" t="str">
        <f t="shared" si="93"/>
        <v/>
      </c>
      <c r="DI13" s="1064" t="str">
        <f t="shared" si="94"/>
        <v/>
      </c>
      <c r="DJ13" s="1064" t="str">
        <f t="shared" si="95"/>
        <v/>
      </c>
      <c r="DK13" s="1064" t="str">
        <f t="shared" si="96"/>
        <v/>
      </c>
      <c r="DL13" s="1064" t="str">
        <f t="shared" si="97"/>
        <v/>
      </c>
      <c r="DM13" s="1064" t="str">
        <f t="shared" si="98"/>
        <v/>
      </c>
      <c r="DN13" s="1064" t="str">
        <f t="shared" si="99"/>
        <v/>
      </c>
      <c r="DO13" s="1064" t="str">
        <f t="shared" si="100"/>
        <v/>
      </c>
      <c r="DP13" s="1064" t="str">
        <f t="shared" si="101"/>
        <v/>
      </c>
      <c r="DQ13" s="1064" t="str">
        <f t="shared" si="102"/>
        <v/>
      </c>
      <c r="DR13" s="1064" t="str">
        <f t="shared" si="103"/>
        <v/>
      </c>
      <c r="DS13" s="1064" t="str">
        <f t="shared" si="104"/>
        <v/>
      </c>
      <c r="DT13" s="1064" t="str">
        <f t="shared" si="105"/>
        <v/>
      </c>
      <c r="DU13" s="1064" t="str">
        <f t="shared" si="106"/>
        <v/>
      </c>
      <c r="DV13" s="1064" t="str">
        <f t="shared" si="107"/>
        <v/>
      </c>
      <c r="DW13" s="1064" t="str">
        <f t="shared" si="108"/>
        <v/>
      </c>
      <c r="DX13" s="1064" t="str">
        <f t="shared" si="109"/>
        <v/>
      </c>
      <c r="DY13" s="1064" t="str">
        <f t="shared" si="110"/>
        <v/>
      </c>
      <c r="DZ13" s="1064" t="str">
        <f t="shared" si="111"/>
        <v/>
      </c>
      <c r="EA13" s="1064" t="str">
        <f t="shared" si="112"/>
        <v/>
      </c>
      <c r="EB13" s="1064" t="str">
        <f t="shared" si="113"/>
        <v/>
      </c>
      <c r="EC13" s="1064" t="str">
        <f t="shared" si="114"/>
        <v/>
      </c>
      <c r="ED13" s="1064" t="str">
        <f t="shared" si="115"/>
        <v/>
      </c>
      <c r="EE13" s="1064" t="str">
        <f t="shared" si="116"/>
        <v/>
      </c>
      <c r="EF13" s="1064" t="str">
        <f t="shared" si="117"/>
        <v/>
      </c>
      <c r="EG13" s="1064" t="str">
        <f t="shared" si="313"/>
        <v/>
      </c>
      <c r="EH13" s="1064" t="str">
        <f t="shared" si="118"/>
        <v/>
      </c>
      <c r="EI13" s="1064" t="str">
        <f t="shared" si="119"/>
        <v/>
      </c>
      <c r="EJ13" s="1064" t="str">
        <f t="shared" si="120"/>
        <v/>
      </c>
      <c r="EK13" s="1064" t="str">
        <f t="shared" si="121"/>
        <v/>
      </c>
      <c r="EL13" s="1064" t="str">
        <f t="shared" si="122"/>
        <v/>
      </c>
      <c r="EM13" s="1064" t="str">
        <f t="shared" si="123"/>
        <v/>
      </c>
      <c r="EN13" s="1064" t="str">
        <f t="shared" si="124"/>
        <v/>
      </c>
      <c r="EO13" s="1064" t="str">
        <f t="shared" si="125"/>
        <v/>
      </c>
      <c r="EP13" s="1064" t="str">
        <f t="shared" si="126"/>
        <v/>
      </c>
      <c r="EQ13" s="1064" t="str">
        <f t="shared" si="127"/>
        <v/>
      </c>
      <c r="ER13" s="1064" t="str">
        <f t="shared" si="128"/>
        <v/>
      </c>
      <c r="ES13" s="1064" t="str">
        <f t="shared" si="129"/>
        <v/>
      </c>
      <c r="ET13" s="1064" t="str">
        <f t="shared" si="130"/>
        <v/>
      </c>
      <c r="EU13" s="1064" t="str">
        <f t="shared" si="131"/>
        <v/>
      </c>
      <c r="EV13" s="1064" t="str">
        <f t="shared" si="132"/>
        <v/>
      </c>
      <c r="EW13" s="1064" t="str">
        <f t="shared" si="314"/>
        <v/>
      </c>
      <c r="EX13" s="1064" t="str">
        <f t="shared" si="315"/>
        <v/>
      </c>
      <c r="EY13" s="1064" t="str">
        <f t="shared" si="316"/>
        <v/>
      </c>
      <c r="EZ13" s="1064" t="str">
        <f t="shared" si="317"/>
        <v/>
      </c>
      <c r="FA13" s="1064" t="str">
        <f t="shared" si="318"/>
        <v/>
      </c>
      <c r="FB13" s="1064" t="str">
        <f t="shared" si="133"/>
        <v/>
      </c>
      <c r="FC13" s="1064" t="str">
        <f t="shared" si="134"/>
        <v/>
      </c>
      <c r="FD13" s="1064" t="str">
        <f t="shared" si="135"/>
        <v/>
      </c>
      <c r="FE13" s="1064" t="str">
        <f t="shared" si="136"/>
        <v/>
      </c>
      <c r="FF13" s="1064" t="str">
        <f t="shared" si="137"/>
        <v/>
      </c>
      <c r="FG13" s="1064" t="str">
        <f t="shared" si="319"/>
        <v/>
      </c>
      <c r="FH13" s="1064" t="str">
        <f t="shared" si="320"/>
        <v/>
      </c>
      <c r="FI13" s="1064" t="str">
        <f t="shared" si="321"/>
        <v/>
      </c>
      <c r="FJ13" s="1064" t="str">
        <f t="shared" si="322"/>
        <v/>
      </c>
      <c r="FK13" s="1064" t="str">
        <f t="shared" si="323"/>
        <v/>
      </c>
      <c r="FL13" s="1064" t="str">
        <f t="shared" si="138"/>
        <v/>
      </c>
      <c r="FM13" s="1064" t="str">
        <f t="shared" si="139"/>
        <v/>
      </c>
      <c r="FN13" s="1064" t="str">
        <f t="shared" si="140"/>
        <v/>
      </c>
      <c r="FO13" s="1064" t="str">
        <f t="shared" si="141"/>
        <v/>
      </c>
      <c r="FP13" s="1064" t="str">
        <f t="shared" si="142"/>
        <v/>
      </c>
      <c r="FQ13" s="1064" t="str">
        <f t="shared" si="143"/>
        <v/>
      </c>
      <c r="FR13" s="1064" t="str">
        <f t="shared" si="144"/>
        <v/>
      </c>
      <c r="FS13" s="1064" t="str">
        <f t="shared" si="145"/>
        <v/>
      </c>
      <c r="FT13" s="1064" t="str">
        <f t="shared" si="146"/>
        <v/>
      </c>
      <c r="FU13" s="1064" t="str">
        <f t="shared" si="147"/>
        <v/>
      </c>
      <c r="FV13" s="1064" t="str">
        <f t="shared" si="148"/>
        <v/>
      </c>
      <c r="FW13" s="1064" t="str">
        <f t="shared" si="149"/>
        <v/>
      </c>
      <c r="FX13" s="1064" t="str">
        <f t="shared" si="150"/>
        <v/>
      </c>
      <c r="FY13" s="1064" t="str">
        <f t="shared" si="151"/>
        <v/>
      </c>
      <c r="FZ13" s="1064" t="str">
        <f t="shared" si="152"/>
        <v/>
      </c>
      <c r="GA13" s="1064" t="str">
        <f t="shared" si="153"/>
        <v/>
      </c>
      <c r="GB13" s="1064" t="str">
        <f t="shared" si="154"/>
        <v/>
      </c>
      <c r="GC13" s="1064" t="str">
        <f t="shared" si="155"/>
        <v/>
      </c>
      <c r="GD13" s="1064" t="str">
        <f t="shared" si="156"/>
        <v/>
      </c>
      <c r="GE13" s="1064" t="str">
        <f t="shared" si="157"/>
        <v/>
      </c>
      <c r="GF13" s="1064" t="str">
        <f t="shared" si="158"/>
        <v/>
      </c>
      <c r="GG13" s="1064" t="str">
        <f t="shared" si="159"/>
        <v/>
      </c>
      <c r="GH13" s="1064" t="str">
        <f t="shared" si="160"/>
        <v/>
      </c>
      <c r="GI13" s="1064" t="str">
        <f t="shared" si="161"/>
        <v/>
      </c>
      <c r="GJ13" s="1064" t="str">
        <f t="shared" si="162"/>
        <v/>
      </c>
      <c r="GK13" s="1064" t="str">
        <f t="shared" si="163"/>
        <v/>
      </c>
      <c r="GL13" s="1064" t="str">
        <f t="shared" si="164"/>
        <v/>
      </c>
      <c r="GM13" s="1064" t="str">
        <f t="shared" si="165"/>
        <v/>
      </c>
      <c r="GN13" s="1064" t="str">
        <f t="shared" si="166"/>
        <v/>
      </c>
      <c r="GO13" s="1064" t="str">
        <f t="shared" si="167"/>
        <v/>
      </c>
      <c r="GP13" s="1064" t="str">
        <f t="shared" si="168"/>
        <v/>
      </c>
      <c r="GQ13" s="1064" t="str">
        <f t="shared" si="169"/>
        <v/>
      </c>
      <c r="GR13" s="1064" t="str">
        <f t="shared" si="170"/>
        <v/>
      </c>
      <c r="GS13" s="1064" t="str">
        <f t="shared" si="171"/>
        <v/>
      </c>
      <c r="GT13" s="1064" t="str">
        <f t="shared" si="172"/>
        <v/>
      </c>
      <c r="GU13" s="1064" t="str">
        <f t="shared" si="173"/>
        <v/>
      </c>
      <c r="GV13" s="1064" t="str">
        <f t="shared" si="174"/>
        <v/>
      </c>
      <c r="GW13" s="1064" t="str">
        <f t="shared" si="175"/>
        <v/>
      </c>
      <c r="GX13" s="1064" t="str">
        <f t="shared" si="176"/>
        <v/>
      </c>
      <c r="GY13" s="1064" t="str">
        <f t="shared" si="177"/>
        <v/>
      </c>
      <c r="GZ13" s="1064" t="str">
        <f t="shared" si="178"/>
        <v/>
      </c>
      <c r="HA13" s="1064" t="str">
        <f t="shared" si="179"/>
        <v/>
      </c>
      <c r="HB13" s="1064" t="str">
        <f t="shared" si="180"/>
        <v/>
      </c>
      <c r="HC13" s="1064" t="str">
        <f t="shared" si="181"/>
        <v/>
      </c>
      <c r="HD13" s="1064" t="str">
        <f t="shared" si="182"/>
        <v/>
      </c>
      <c r="HE13" s="1064" t="str">
        <f t="shared" si="183"/>
        <v/>
      </c>
      <c r="HF13" s="1064" t="str">
        <f t="shared" si="184"/>
        <v/>
      </c>
      <c r="HG13" s="1064" t="str">
        <f t="shared" si="185"/>
        <v/>
      </c>
      <c r="HH13" s="1064" t="str">
        <f t="shared" si="186"/>
        <v/>
      </c>
      <c r="HI13" s="1064" t="str">
        <f t="shared" si="187"/>
        <v/>
      </c>
      <c r="HJ13" s="1064" t="str">
        <f t="shared" si="188"/>
        <v/>
      </c>
      <c r="HK13" s="1064" t="str">
        <f t="shared" si="189"/>
        <v/>
      </c>
      <c r="HL13" s="1064" t="str">
        <f t="shared" si="190"/>
        <v/>
      </c>
      <c r="HM13" s="1064" t="str">
        <f t="shared" si="191"/>
        <v/>
      </c>
      <c r="HN13" s="1064" t="str">
        <f t="shared" si="192"/>
        <v/>
      </c>
      <c r="HO13" s="1064" t="str">
        <f t="shared" si="193"/>
        <v/>
      </c>
      <c r="HP13" s="1064" t="str">
        <f t="shared" si="194"/>
        <v/>
      </c>
      <c r="HQ13" s="1064" t="str">
        <f t="shared" si="195"/>
        <v/>
      </c>
      <c r="HR13" s="1064" t="str">
        <f t="shared" si="196"/>
        <v/>
      </c>
      <c r="HS13" s="1064" t="str">
        <f t="shared" si="197"/>
        <v/>
      </c>
      <c r="HT13" s="1064" t="str">
        <f t="shared" si="198"/>
        <v/>
      </c>
      <c r="HU13" s="1064" t="str">
        <f t="shared" si="199"/>
        <v/>
      </c>
      <c r="HV13" s="1064" t="str">
        <f t="shared" si="200"/>
        <v/>
      </c>
      <c r="HW13" s="1064" t="str">
        <f t="shared" si="201"/>
        <v/>
      </c>
      <c r="HX13" s="1064" t="str">
        <f t="shared" si="202"/>
        <v/>
      </c>
      <c r="HY13" s="1097" t="str">
        <f t="shared" si="203"/>
        <v/>
      </c>
      <c r="HZ13" s="1097" t="str">
        <f t="shared" si="204"/>
        <v/>
      </c>
      <c r="IA13" s="1097" t="str">
        <f t="shared" si="205"/>
        <v/>
      </c>
      <c r="IB13" s="1097" t="str">
        <f t="shared" si="206"/>
        <v/>
      </c>
      <c r="IC13" s="1097" t="str">
        <f t="shared" si="207"/>
        <v/>
      </c>
      <c r="ID13" s="1097" t="str">
        <f t="shared" si="208"/>
        <v/>
      </c>
      <c r="IE13" s="1097" t="str">
        <f t="shared" si="209"/>
        <v/>
      </c>
      <c r="IF13" s="1097" t="str">
        <f t="shared" si="210"/>
        <v/>
      </c>
      <c r="IG13" s="1097" t="str">
        <f t="shared" si="211"/>
        <v/>
      </c>
      <c r="IH13" s="1097" t="str">
        <f t="shared" si="212"/>
        <v/>
      </c>
      <c r="II13" s="1097" t="str">
        <f t="shared" si="213"/>
        <v/>
      </c>
      <c r="IJ13" s="1097" t="str">
        <f t="shared" si="214"/>
        <v/>
      </c>
      <c r="IK13" s="1097" t="str">
        <f t="shared" si="215"/>
        <v/>
      </c>
      <c r="IL13" s="1097" t="str">
        <f t="shared" si="216"/>
        <v/>
      </c>
      <c r="IM13" s="1097" t="str">
        <f t="shared" si="217"/>
        <v/>
      </c>
      <c r="IN13" s="1097" t="str">
        <f t="shared" si="218"/>
        <v/>
      </c>
      <c r="IO13" s="1097" t="str">
        <f t="shared" si="219"/>
        <v/>
      </c>
      <c r="IP13" s="1097" t="str">
        <f t="shared" si="220"/>
        <v/>
      </c>
      <c r="IQ13" s="1097" t="str">
        <f t="shared" si="221"/>
        <v/>
      </c>
      <c r="IR13" s="1097" t="str">
        <f t="shared" si="222"/>
        <v/>
      </c>
      <c r="IS13" s="1097" t="str">
        <f t="shared" si="223"/>
        <v/>
      </c>
      <c r="IT13" s="1097" t="str">
        <f t="shared" si="224"/>
        <v/>
      </c>
      <c r="IU13" s="1097" t="str">
        <f t="shared" si="225"/>
        <v/>
      </c>
      <c r="IV13" s="1097" t="str">
        <f t="shared" si="226"/>
        <v/>
      </c>
      <c r="IW13" s="1097" t="str">
        <f t="shared" si="227"/>
        <v/>
      </c>
      <c r="IX13" s="1097" t="str">
        <f t="shared" si="228"/>
        <v/>
      </c>
      <c r="IY13" s="1097" t="str">
        <f t="shared" si="229"/>
        <v/>
      </c>
      <c r="IZ13" s="1097" t="str">
        <f t="shared" si="230"/>
        <v/>
      </c>
      <c r="JA13" s="1097" t="str">
        <f t="shared" si="231"/>
        <v/>
      </c>
      <c r="JB13" s="1097" t="str">
        <f t="shared" si="232"/>
        <v/>
      </c>
      <c r="JC13" s="1097" t="str">
        <f t="shared" si="233"/>
        <v/>
      </c>
      <c r="JD13" s="1097" t="str">
        <f t="shared" si="234"/>
        <v/>
      </c>
      <c r="JE13" s="1097" t="str">
        <f t="shared" si="235"/>
        <v/>
      </c>
      <c r="JF13" s="1097" t="str">
        <f t="shared" si="236"/>
        <v/>
      </c>
      <c r="JG13" s="1097" t="str">
        <f t="shared" si="237"/>
        <v/>
      </c>
      <c r="JH13" s="1097" t="str">
        <f t="shared" si="238"/>
        <v/>
      </c>
      <c r="JI13" s="1097" t="str">
        <f t="shared" si="239"/>
        <v/>
      </c>
      <c r="JJ13" s="1097" t="str">
        <f t="shared" si="240"/>
        <v/>
      </c>
      <c r="JK13" s="1097" t="str">
        <f t="shared" si="241"/>
        <v/>
      </c>
      <c r="JL13" s="1097" t="str">
        <f t="shared" si="242"/>
        <v/>
      </c>
      <c r="JM13" s="1097" t="str">
        <f t="shared" si="243"/>
        <v/>
      </c>
      <c r="JN13" s="1097" t="str">
        <f t="shared" si="244"/>
        <v/>
      </c>
      <c r="JO13" s="1097" t="str">
        <f t="shared" si="245"/>
        <v/>
      </c>
      <c r="JP13" s="1097" t="str">
        <f t="shared" si="246"/>
        <v/>
      </c>
      <c r="JQ13" s="1097" t="str">
        <f t="shared" si="247"/>
        <v/>
      </c>
      <c r="JR13" s="1097" t="str">
        <f t="shared" si="248"/>
        <v/>
      </c>
      <c r="JS13" s="1097" t="str">
        <f t="shared" si="249"/>
        <v/>
      </c>
      <c r="JT13" s="1097" t="str">
        <f t="shared" si="250"/>
        <v/>
      </c>
      <c r="JU13" s="1097" t="str">
        <f t="shared" si="251"/>
        <v/>
      </c>
      <c r="JV13" s="1097" t="str">
        <f t="shared" si="252"/>
        <v/>
      </c>
      <c r="JW13" s="1097" t="str">
        <f t="shared" si="253"/>
        <v/>
      </c>
      <c r="JX13" s="1097" t="str">
        <f t="shared" si="254"/>
        <v/>
      </c>
      <c r="JY13" s="1097" t="str">
        <f t="shared" si="255"/>
        <v/>
      </c>
      <c r="JZ13" s="1097" t="str">
        <f t="shared" si="256"/>
        <v/>
      </c>
      <c r="KA13" s="1097" t="str">
        <f t="shared" si="257"/>
        <v/>
      </c>
      <c r="KB13" s="1097" t="str">
        <f t="shared" si="258"/>
        <v/>
      </c>
      <c r="KC13" s="1097" t="str">
        <f t="shared" si="259"/>
        <v/>
      </c>
      <c r="KD13" s="1097" t="str">
        <f t="shared" si="260"/>
        <v/>
      </c>
      <c r="KE13" s="1097" t="str">
        <f t="shared" si="261"/>
        <v/>
      </c>
      <c r="KF13" s="1097" t="str">
        <f t="shared" si="262"/>
        <v/>
      </c>
      <c r="KG13" s="1097" t="str">
        <f t="shared" si="263"/>
        <v/>
      </c>
      <c r="KH13" s="1097" t="str">
        <f t="shared" si="264"/>
        <v/>
      </c>
      <c r="KI13" s="1097" t="str">
        <f t="shared" si="265"/>
        <v/>
      </c>
      <c r="KJ13" s="1097" t="str">
        <f t="shared" si="266"/>
        <v/>
      </c>
      <c r="KK13" s="1097" t="str">
        <f t="shared" si="267"/>
        <v/>
      </c>
      <c r="KL13" s="1097" t="str">
        <f t="shared" si="268"/>
        <v/>
      </c>
      <c r="KM13" s="1097" t="str">
        <f t="shared" si="269"/>
        <v/>
      </c>
      <c r="KN13" s="1097" t="str">
        <f t="shared" si="270"/>
        <v/>
      </c>
      <c r="KO13" s="1097" t="str">
        <f t="shared" si="271"/>
        <v/>
      </c>
      <c r="KP13" s="1097" t="str">
        <f t="shared" si="272"/>
        <v/>
      </c>
      <c r="KQ13" s="1097" t="str">
        <f t="shared" si="273"/>
        <v/>
      </c>
      <c r="KR13" s="1097" t="str">
        <f t="shared" si="274"/>
        <v/>
      </c>
      <c r="KS13" s="1097" t="str">
        <f t="shared" si="275"/>
        <v/>
      </c>
      <c r="KT13" s="1097" t="str">
        <f t="shared" si="276"/>
        <v/>
      </c>
      <c r="KU13" s="1097" t="str">
        <f t="shared" si="277"/>
        <v/>
      </c>
      <c r="KV13" s="1097" t="str">
        <f t="shared" si="278"/>
        <v/>
      </c>
      <c r="KW13" s="1097" t="str">
        <f t="shared" si="279"/>
        <v/>
      </c>
      <c r="KX13" s="1097" t="str">
        <f t="shared" si="280"/>
        <v/>
      </c>
      <c r="KY13" s="1097" t="str">
        <f t="shared" si="281"/>
        <v/>
      </c>
      <c r="KZ13" s="1097" t="str">
        <f t="shared" si="282"/>
        <v/>
      </c>
      <c r="LA13" s="1097" t="str">
        <f t="shared" si="283"/>
        <v/>
      </c>
      <c r="LB13" s="1097" t="str">
        <f t="shared" si="284"/>
        <v/>
      </c>
      <c r="LC13" s="1097" t="str">
        <f t="shared" si="285"/>
        <v/>
      </c>
      <c r="LD13" s="1097" t="str">
        <f t="shared" si="286"/>
        <v/>
      </c>
      <c r="LE13" s="1097" t="str">
        <f t="shared" si="287"/>
        <v/>
      </c>
      <c r="LF13" s="1098" t="str">
        <f t="shared" si="288"/>
        <v/>
      </c>
      <c r="LG13" s="1098" t="str">
        <f t="shared" si="289"/>
        <v/>
      </c>
      <c r="LH13" s="1098" t="str">
        <f t="shared" si="290"/>
        <v/>
      </c>
      <c r="LI13" s="1098" t="str">
        <f t="shared" si="291"/>
        <v/>
      </c>
      <c r="LJ13" s="1098" t="str">
        <f t="shared" si="292"/>
        <v/>
      </c>
      <c r="LK13" s="1064" t="str">
        <f t="shared" si="293"/>
        <v/>
      </c>
      <c r="LL13" s="1064" t="str">
        <f t="shared" si="294"/>
        <v/>
      </c>
      <c r="LM13" s="1064" t="str">
        <f t="shared" si="295"/>
        <v/>
      </c>
      <c r="LN13" s="1064" t="str">
        <f t="shared" si="296"/>
        <v/>
      </c>
      <c r="LO13" s="1064" t="str">
        <f t="shared" si="297"/>
        <v/>
      </c>
      <c r="LP13" s="1064" t="str">
        <f t="shared" si="298"/>
        <v/>
      </c>
      <c r="LQ13" s="1064" t="str">
        <f t="shared" si="299"/>
        <v/>
      </c>
      <c r="LR13" s="1064" t="str">
        <f t="shared" si="300"/>
        <v/>
      </c>
      <c r="LS13" s="1064" t="str">
        <f t="shared" si="301"/>
        <v/>
      </c>
      <c r="LT13" s="1064" t="str">
        <f t="shared" si="302"/>
        <v/>
      </c>
      <c r="LU13" s="1064" t="str">
        <f t="shared" si="303"/>
        <v/>
      </c>
      <c r="LV13" s="1064" t="str">
        <f t="shared" si="304"/>
        <v/>
      </c>
      <c r="LW13" s="1064" t="str">
        <f t="shared" si="305"/>
        <v/>
      </c>
      <c r="LX13" s="1064" t="str">
        <f t="shared" si="306"/>
        <v/>
      </c>
      <c r="LY13" s="1064" t="str">
        <f t="shared" si="307"/>
        <v/>
      </c>
      <c r="LZ13" s="1064" t="str">
        <f t="shared" si="308"/>
        <v/>
      </c>
      <c r="MA13" s="1064" t="str">
        <f t="shared" si="309"/>
        <v/>
      </c>
      <c r="MB13" s="1064" t="str">
        <f t="shared" si="310"/>
        <v/>
      </c>
      <c r="MC13" s="1064" t="str">
        <f t="shared" si="311"/>
        <v/>
      </c>
      <c r="MD13" s="1064" t="str">
        <f t="shared" si="312"/>
        <v/>
      </c>
      <c r="ME13" s="1081">
        <f t="shared" si="324"/>
        <v>0</v>
      </c>
      <c r="MF13" s="1081">
        <f t="shared" si="325"/>
        <v>0</v>
      </c>
      <c r="MG13" s="1081">
        <f t="shared" si="326"/>
        <v>0</v>
      </c>
      <c r="MH13" s="1081">
        <f t="shared" si="327"/>
        <v>0</v>
      </c>
      <c r="MI13" s="1081">
        <f t="shared" si="328"/>
        <v>0</v>
      </c>
      <c r="MJ13" s="1081">
        <f t="shared" si="329"/>
        <v>0</v>
      </c>
      <c r="MK13" s="1081">
        <f t="shared" si="330"/>
        <v>0</v>
      </c>
      <c r="ML13" s="1081">
        <f t="shared" si="331"/>
        <v>0</v>
      </c>
      <c r="MM13" s="1081">
        <f t="shared" si="332"/>
        <v>0</v>
      </c>
      <c r="MN13" s="1081">
        <f t="shared" si="333"/>
        <v>0</v>
      </c>
      <c r="MO13" s="1081">
        <f t="shared" si="334"/>
        <v>0</v>
      </c>
      <c r="MP13" s="1081">
        <f t="shared" si="335"/>
        <v>0</v>
      </c>
      <c r="MQ13" s="1081">
        <f t="shared" si="336"/>
        <v>0</v>
      </c>
      <c r="MR13" s="1081">
        <f t="shared" si="337"/>
        <v>0</v>
      </c>
      <c r="MS13" s="1081">
        <f t="shared" si="338"/>
        <v>0</v>
      </c>
    </row>
    <row r="14" spans="1:492" ht="12" customHeight="1">
      <c r="A14" s="1088" t="str">
        <f t="shared" si="0"/>
        <v/>
      </c>
      <c r="B14" s="1099" t="s">
        <v>282</v>
      </c>
      <c r="C14" s="41"/>
      <c r="D14" s="42"/>
      <c r="E14" s="43"/>
      <c r="F14" s="43"/>
      <c r="G14" s="43"/>
      <c r="H14" s="43"/>
      <c r="I14" s="1100">
        <f>IF(C14="",0,HLOOKUP(C14,'Part V-Utility Allowances'!$I$11:$M$22,12))</f>
        <v>0</v>
      </c>
      <c r="J14" s="810"/>
      <c r="K14" s="512">
        <f t="shared" si="1"/>
        <v>0</v>
      </c>
      <c r="L14" s="512">
        <f t="shared" si="2"/>
        <v>0</v>
      </c>
      <c r="M14" s="1101"/>
      <c r="N14" s="1101"/>
      <c r="O14" s="1101"/>
      <c r="P14" s="1102"/>
      <c r="Q14" s="1103" t="str">
        <f t="shared" si="3"/>
        <v/>
      </c>
      <c r="R14" s="1104" t="str">
        <f>IF(H14="","",IF(C14="Efficiency",Q14/($O$6*VLOOKUP(0,'DCA Underwriting Assumptions'!$J$146:$K$151,2,FALSE)),Q14/($O$6*VLOOKUP(C14,'DCA Underwriting Assumptions'!$J$146:$K$151,2,FALSE))))</f>
        <v/>
      </c>
      <c r="S14" s="1105"/>
      <c r="T14" s="1106"/>
      <c r="U14" s="2314"/>
      <c r="V14" s="2316"/>
      <c r="W14" s="1064" t="str">
        <f t="shared" si="4"/>
        <v/>
      </c>
      <c r="X14" s="1064" t="str">
        <f t="shared" si="5"/>
        <v/>
      </c>
      <c r="Y14" s="1064" t="str">
        <f t="shared" si="6"/>
        <v/>
      </c>
      <c r="Z14" s="1064" t="str">
        <f t="shared" si="7"/>
        <v/>
      </c>
      <c r="AA14" s="1064" t="str">
        <f t="shared" si="8"/>
        <v/>
      </c>
      <c r="AB14" s="1064" t="str">
        <f t="shared" si="9"/>
        <v/>
      </c>
      <c r="AC14" s="1064" t="str">
        <f t="shared" si="10"/>
        <v/>
      </c>
      <c r="AD14" s="1064" t="str">
        <f t="shared" si="11"/>
        <v/>
      </c>
      <c r="AE14" s="1064" t="str">
        <f t="shared" si="12"/>
        <v/>
      </c>
      <c r="AF14" s="1064" t="str">
        <f t="shared" si="13"/>
        <v/>
      </c>
      <c r="AG14" s="1064" t="str">
        <f t="shared" si="14"/>
        <v/>
      </c>
      <c r="AH14" s="1064" t="str">
        <f t="shared" si="15"/>
        <v/>
      </c>
      <c r="AI14" s="1064" t="str">
        <f t="shared" si="16"/>
        <v/>
      </c>
      <c r="AJ14" s="1064" t="str">
        <f t="shared" si="17"/>
        <v/>
      </c>
      <c r="AK14" s="1064" t="str">
        <f t="shared" si="18"/>
        <v/>
      </c>
      <c r="AL14" s="1064" t="str">
        <f t="shared" si="19"/>
        <v/>
      </c>
      <c r="AM14" s="1064" t="str">
        <f t="shared" si="20"/>
        <v/>
      </c>
      <c r="AN14" s="1064" t="str">
        <f t="shared" si="21"/>
        <v/>
      </c>
      <c r="AO14" s="1064" t="str">
        <f t="shared" si="22"/>
        <v/>
      </c>
      <c r="AP14" s="1064" t="str">
        <f t="shared" si="23"/>
        <v/>
      </c>
      <c r="AQ14" s="1064" t="str">
        <f t="shared" si="24"/>
        <v/>
      </c>
      <c r="AR14" s="1064" t="str">
        <f t="shared" si="25"/>
        <v/>
      </c>
      <c r="AS14" s="1064" t="str">
        <f t="shared" si="26"/>
        <v/>
      </c>
      <c r="AT14" s="1064" t="str">
        <f t="shared" si="27"/>
        <v/>
      </c>
      <c r="AU14" s="1064" t="str">
        <f t="shared" si="28"/>
        <v/>
      </c>
      <c r="AV14" s="1064" t="str">
        <f t="shared" si="29"/>
        <v/>
      </c>
      <c r="AW14" s="1064" t="str">
        <f t="shared" si="30"/>
        <v/>
      </c>
      <c r="AX14" s="1064" t="str">
        <f t="shared" si="31"/>
        <v/>
      </c>
      <c r="AY14" s="1064" t="str">
        <f t="shared" si="32"/>
        <v/>
      </c>
      <c r="AZ14" s="1064" t="str">
        <f t="shared" si="33"/>
        <v/>
      </c>
      <c r="BA14" s="1064" t="str">
        <f t="shared" si="34"/>
        <v/>
      </c>
      <c r="BB14" s="1064" t="str">
        <f t="shared" si="35"/>
        <v/>
      </c>
      <c r="BC14" s="1064" t="str">
        <f t="shared" si="36"/>
        <v/>
      </c>
      <c r="BD14" s="1064" t="str">
        <f t="shared" si="37"/>
        <v/>
      </c>
      <c r="BE14" s="1064" t="str">
        <f t="shared" si="38"/>
        <v/>
      </c>
      <c r="BF14" s="1064" t="str">
        <f t="shared" si="39"/>
        <v/>
      </c>
      <c r="BG14" s="1064" t="str">
        <f t="shared" si="40"/>
        <v/>
      </c>
      <c r="BH14" s="1064" t="str">
        <f t="shared" si="41"/>
        <v/>
      </c>
      <c r="BI14" s="1064" t="str">
        <f t="shared" si="42"/>
        <v/>
      </c>
      <c r="BJ14" s="1064" t="str">
        <f t="shared" si="43"/>
        <v/>
      </c>
      <c r="BK14" s="1064" t="str">
        <f t="shared" si="44"/>
        <v/>
      </c>
      <c r="BL14" s="1064" t="str">
        <f t="shared" si="45"/>
        <v/>
      </c>
      <c r="BM14" s="1064" t="str">
        <f t="shared" si="46"/>
        <v/>
      </c>
      <c r="BN14" s="1064" t="str">
        <f t="shared" si="47"/>
        <v/>
      </c>
      <c r="BO14" s="1064" t="str">
        <f t="shared" si="48"/>
        <v/>
      </c>
      <c r="BP14" s="1064" t="str">
        <f t="shared" si="49"/>
        <v/>
      </c>
      <c r="BQ14" s="1064" t="str">
        <f t="shared" si="50"/>
        <v/>
      </c>
      <c r="BR14" s="1064" t="str">
        <f t="shared" si="51"/>
        <v/>
      </c>
      <c r="BS14" s="1064" t="str">
        <f t="shared" si="52"/>
        <v/>
      </c>
      <c r="BT14" s="1064" t="str">
        <f t="shared" si="53"/>
        <v/>
      </c>
      <c r="BU14" s="1064" t="str">
        <f t="shared" si="54"/>
        <v/>
      </c>
      <c r="BV14" s="1064" t="str">
        <f t="shared" si="55"/>
        <v/>
      </c>
      <c r="BW14" s="1064" t="str">
        <f t="shared" si="56"/>
        <v/>
      </c>
      <c r="BX14" s="1064" t="str">
        <f t="shared" si="57"/>
        <v/>
      </c>
      <c r="BY14" s="1064" t="str">
        <f t="shared" si="58"/>
        <v/>
      </c>
      <c r="BZ14" s="1064" t="str">
        <f t="shared" si="59"/>
        <v/>
      </c>
      <c r="CA14" s="1064" t="str">
        <f t="shared" si="60"/>
        <v/>
      </c>
      <c r="CB14" s="1064" t="str">
        <f t="shared" si="61"/>
        <v/>
      </c>
      <c r="CC14" s="1064" t="str">
        <f t="shared" si="62"/>
        <v/>
      </c>
      <c r="CD14" s="1064" t="str">
        <f t="shared" si="63"/>
        <v/>
      </c>
      <c r="CE14" s="1064" t="str">
        <f t="shared" si="64"/>
        <v/>
      </c>
      <c r="CF14" s="1064" t="str">
        <f t="shared" si="65"/>
        <v/>
      </c>
      <c r="CG14" s="1064" t="str">
        <f t="shared" si="66"/>
        <v/>
      </c>
      <c r="CH14" s="1064" t="str">
        <f t="shared" si="67"/>
        <v/>
      </c>
      <c r="CI14" s="1064" t="str">
        <f t="shared" si="68"/>
        <v/>
      </c>
      <c r="CJ14" s="1064" t="str">
        <f t="shared" si="69"/>
        <v/>
      </c>
      <c r="CK14" s="1064" t="str">
        <f t="shared" si="70"/>
        <v/>
      </c>
      <c r="CL14" s="1064" t="str">
        <f t="shared" si="71"/>
        <v/>
      </c>
      <c r="CM14" s="1064" t="str">
        <f t="shared" si="72"/>
        <v/>
      </c>
      <c r="CN14" s="1064" t="str">
        <f t="shared" si="73"/>
        <v/>
      </c>
      <c r="CO14" s="1064" t="str">
        <f t="shared" si="74"/>
        <v/>
      </c>
      <c r="CP14" s="1064" t="str">
        <f t="shared" si="75"/>
        <v/>
      </c>
      <c r="CQ14" s="1064" t="str">
        <f t="shared" si="76"/>
        <v/>
      </c>
      <c r="CR14" s="1064" t="str">
        <f t="shared" si="77"/>
        <v/>
      </c>
      <c r="CS14" s="1064" t="str">
        <f t="shared" si="78"/>
        <v/>
      </c>
      <c r="CT14" s="1064" t="str">
        <f t="shared" si="79"/>
        <v/>
      </c>
      <c r="CU14" s="1064" t="str">
        <f t="shared" si="80"/>
        <v/>
      </c>
      <c r="CV14" s="1064" t="str">
        <f t="shared" si="81"/>
        <v/>
      </c>
      <c r="CW14" s="1064" t="str">
        <f t="shared" si="82"/>
        <v/>
      </c>
      <c r="CX14" s="1064" t="str">
        <f t="shared" si="83"/>
        <v/>
      </c>
      <c r="CY14" s="1064" t="str">
        <f t="shared" si="84"/>
        <v/>
      </c>
      <c r="CZ14" s="1064" t="str">
        <f t="shared" si="85"/>
        <v/>
      </c>
      <c r="DA14" s="1064" t="str">
        <f t="shared" si="86"/>
        <v/>
      </c>
      <c r="DB14" s="1064" t="str">
        <f t="shared" si="87"/>
        <v/>
      </c>
      <c r="DC14" s="1064" t="str">
        <f t="shared" si="88"/>
        <v/>
      </c>
      <c r="DD14" s="1064" t="str">
        <f t="shared" si="89"/>
        <v/>
      </c>
      <c r="DE14" s="1064" t="str">
        <f t="shared" si="90"/>
        <v/>
      </c>
      <c r="DF14" s="1064" t="str">
        <f t="shared" si="91"/>
        <v/>
      </c>
      <c r="DG14" s="1064" t="str">
        <f t="shared" si="92"/>
        <v/>
      </c>
      <c r="DH14" s="1064" t="str">
        <f t="shared" si="93"/>
        <v/>
      </c>
      <c r="DI14" s="1064" t="str">
        <f t="shared" si="94"/>
        <v/>
      </c>
      <c r="DJ14" s="1064" t="str">
        <f t="shared" si="95"/>
        <v/>
      </c>
      <c r="DK14" s="1064" t="str">
        <f t="shared" si="96"/>
        <v/>
      </c>
      <c r="DL14" s="1064" t="str">
        <f t="shared" si="97"/>
        <v/>
      </c>
      <c r="DM14" s="1064" t="str">
        <f t="shared" si="98"/>
        <v/>
      </c>
      <c r="DN14" s="1064" t="str">
        <f t="shared" si="99"/>
        <v/>
      </c>
      <c r="DO14" s="1064" t="str">
        <f t="shared" si="100"/>
        <v/>
      </c>
      <c r="DP14" s="1064" t="str">
        <f t="shared" si="101"/>
        <v/>
      </c>
      <c r="DQ14" s="1064" t="str">
        <f t="shared" si="102"/>
        <v/>
      </c>
      <c r="DR14" s="1064" t="str">
        <f t="shared" si="103"/>
        <v/>
      </c>
      <c r="DS14" s="1064" t="str">
        <f t="shared" si="104"/>
        <v/>
      </c>
      <c r="DT14" s="1064" t="str">
        <f t="shared" si="105"/>
        <v/>
      </c>
      <c r="DU14" s="1064" t="str">
        <f t="shared" si="106"/>
        <v/>
      </c>
      <c r="DV14" s="1064" t="str">
        <f t="shared" si="107"/>
        <v/>
      </c>
      <c r="DW14" s="1064" t="str">
        <f t="shared" si="108"/>
        <v/>
      </c>
      <c r="DX14" s="1064" t="str">
        <f t="shared" si="109"/>
        <v/>
      </c>
      <c r="DY14" s="1064" t="str">
        <f t="shared" si="110"/>
        <v/>
      </c>
      <c r="DZ14" s="1064" t="str">
        <f t="shared" si="111"/>
        <v/>
      </c>
      <c r="EA14" s="1064" t="str">
        <f t="shared" si="112"/>
        <v/>
      </c>
      <c r="EB14" s="1064" t="str">
        <f t="shared" si="113"/>
        <v/>
      </c>
      <c r="EC14" s="1064" t="str">
        <f t="shared" si="114"/>
        <v/>
      </c>
      <c r="ED14" s="1064" t="str">
        <f t="shared" si="115"/>
        <v/>
      </c>
      <c r="EE14" s="1064" t="str">
        <f t="shared" si="116"/>
        <v/>
      </c>
      <c r="EF14" s="1064" t="str">
        <f t="shared" si="117"/>
        <v/>
      </c>
      <c r="EG14" s="1064" t="str">
        <f t="shared" si="313"/>
        <v/>
      </c>
      <c r="EH14" s="1064" t="str">
        <f t="shared" si="118"/>
        <v/>
      </c>
      <c r="EI14" s="1064" t="str">
        <f t="shared" si="119"/>
        <v/>
      </c>
      <c r="EJ14" s="1064" t="str">
        <f t="shared" si="120"/>
        <v/>
      </c>
      <c r="EK14" s="1064" t="str">
        <f t="shared" si="121"/>
        <v/>
      </c>
      <c r="EL14" s="1064" t="str">
        <f t="shared" si="122"/>
        <v/>
      </c>
      <c r="EM14" s="1064" t="str">
        <f t="shared" si="123"/>
        <v/>
      </c>
      <c r="EN14" s="1064" t="str">
        <f t="shared" si="124"/>
        <v/>
      </c>
      <c r="EO14" s="1064" t="str">
        <f t="shared" si="125"/>
        <v/>
      </c>
      <c r="EP14" s="1064" t="str">
        <f t="shared" si="126"/>
        <v/>
      </c>
      <c r="EQ14" s="1064" t="str">
        <f t="shared" si="127"/>
        <v/>
      </c>
      <c r="ER14" s="1064" t="str">
        <f t="shared" si="128"/>
        <v/>
      </c>
      <c r="ES14" s="1064" t="str">
        <f t="shared" si="129"/>
        <v/>
      </c>
      <c r="ET14" s="1064" t="str">
        <f t="shared" si="130"/>
        <v/>
      </c>
      <c r="EU14" s="1064" t="str">
        <f t="shared" si="131"/>
        <v/>
      </c>
      <c r="EV14" s="1064" t="str">
        <f t="shared" si="132"/>
        <v/>
      </c>
      <c r="EW14" s="1064" t="str">
        <f t="shared" si="314"/>
        <v/>
      </c>
      <c r="EX14" s="1064" t="str">
        <f t="shared" si="315"/>
        <v/>
      </c>
      <c r="EY14" s="1064" t="str">
        <f t="shared" si="316"/>
        <v/>
      </c>
      <c r="EZ14" s="1064" t="str">
        <f t="shared" si="317"/>
        <v/>
      </c>
      <c r="FA14" s="1064" t="str">
        <f t="shared" si="318"/>
        <v/>
      </c>
      <c r="FB14" s="1064" t="str">
        <f t="shared" si="133"/>
        <v/>
      </c>
      <c r="FC14" s="1064" t="str">
        <f t="shared" si="134"/>
        <v/>
      </c>
      <c r="FD14" s="1064" t="str">
        <f t="shared" si="135"/>
        <v/>
      </c>
      <c r="FE14" s="1064" t="str">
        <f t="shared" si="136"/>
        <v/>
      </c>
      <c r="FF14" s="1064" t="str">
        <f t="shared" si="137"/>
        <v/>
      </c>
      <c r="FG14" s="1064" t="str">
        <f t="shared" si="319"/>
        <v/>
      </c>
      <c r="FH14" s="1064" t="str">
        <f t="shared" si="320"/>
        <v/>
      </c>
      <c r="FI14" s="1064" t="str">
        <f t="shared" si="321"/>
        <v/>
      </c>
      <c r="FJ14" s="1064" t="str">
        <f t="shared" si="322"/>
        <v/>
      </c>
      <c r="FK14" s="1064" t="str">
        <f t="shared" si="323"/>
        <v/>
      </c>
      <c r="FL14" s="1064" t="str">
        <f t="shared" si="138"/>
        <v/>
      </c>
      <c r="FM14" s="1064" t="str">
        <f t="shared" si="139"/>
        <v/>
      </c>
      <c r="FN14" s="1064" t="str">
        <f t="shared" si="140"/>
        <v/>
      </c>
      <c r="FO14" s="1064" t="str">
        <f t="shared" si="141"/>
        <v/>
      </c>
      <c r="FP14" s="1064" t="str">
        <f t="shared" si="142"/>
        <v/>
      </c>
      <c r="FQ14" s="1064" t="str">
        <f t="shared" si="143"/>
        <v/>
      </c>
      <c r="FR14" s="1064" t="str">
        <f t="shared" si="144"/>
        <v/>
      </c>
      <c r="FS14" s="1064" t="str">
        <f t="shared" si="145"/>
        <v/>
      </c>
      <c r="FT14" s="1064" t="str">
        <f t="shared" si="146"/>
        <v/>
      </c>
      <c r="FU14" s="1064" t="str">
        <f t="shared" si="147"/>
        <v/>
      </c>
      <c r="FV14" s="1064" t="str">
        <f t="shared" si="148"/>
        <v/>
      </c>
      <c r="FW14" s="1064" t="str">
        <f t="shared" si="149"/>
        <v/>
      </c>
      <c r="FX14" s="1064" t="str">
        <f t="shared" si="150"/>
        <v/>
      </c>
      <c r="FY14" s="1064" t="str">
        <f t="shared" si="151"/>
        <v/>
      </c>
      <c r="FZ14" s="1064" t="str">
        <f t="shared" si="152"/>
        <v/>
      </c>
      <c r="GA14" s="1064" t="str">
        <f t="shared" si="153"/>
        <v/>
      </c>
      <c r="GB14" s="1064" t="str">
        <f t="shared" si="154"/>
        <v/>
      </c>
      <c r="GC14" s="1064" t="str">
        <f t="shared" si="155"/>
        <v/>
      </c>
      <c r="GD14" s="1064" t="str">
        <f t="shared" si="156"/>
        <v/>
      </c>
      <c r="GE14" s="1064" t="str">
        <f t="shared" si="157"/>
        <v/>
      </c>
      <c r="GF14" s="1064" t="str">
        <f t="shared" si="158"/>
        <v/>
      </c>
      <c r="GG14" s="1064" t="str">
        <f t="shared" si="159"/>
        <v/>
      </c>
      <c r="GH14" s="1064" t="str">
        <f t="shared" si="160"/>
        <v/>
      </c>
      <c r="GI14" s="1064" t="str">
        <f t="shared" si="161"/>
        <v/>
      </c>
      <c r="GJ14" s="1064" t="str">
        <f t="shared" si="162"/>
        <v/>
      </c>
      <c r="GK14" s="1064" t="str">
        <f t="shared" si="163"/>
        <v/>
      </c>
      <c r="GL14" s="1064" t="str">
        <f t="shared" si="164"/>
        <v/>
      </c>
      <c r="GM14" s="1064" t="str">
        <f t="shared" si="165"/>
        <v/>
      </c>
      <c r="GN14" s="1064" t="str">
        <f t="shared" si="166"/>
        <v/>
      </c>
      <c r="GO14" s="1064" t="str">
        <f t="shared" si="167"/>
        <v/>
      </c>
      <c r="GP14" s="1064" t="str">
        <f t="shared" si="168"/>
        <v/>
      </c>
      <c r="GQ14" s="1064" t="str">
        <f t="shared" si="169"/>
        <v/>
      </c>
      <c r="GR14" s="1064" t="str">
        <f t="shared" si="170"/>
        <v/>
      </c>
      <c r="GS14" s="1064" t="str">
        <f t="shared" si="171"/>
        <v/>
      </c>
      <c r="GT14" s="1064" t="str">
        <f t="shared" si="172"/>
        <v/>
      </c>
      <c r="GU14" s="1064" t="str">
        <f t="shared" si="173"/>
        <v/>
      </c>
      <c r="GV14" s="1064" t="str">
        <f t="shared" si="174"/>
        <v/>
      </c>
      <c r="GW14" s="1064" t="str">
        <f t="shared" si="175"/>
        <v/>
      </c>
      <c r="GX14" s="1064" t="str">
        <f t="shared" si="176"/>
        <v/>
      </c>
      <c r="GY14" s="1064" t="str">
        <f t="shared" si="177"/>
        <v/>
      </c>
      <c r="GZ14" s="1064" t="str">
        <f t="shared" si="178"/>
        <v/>
      </c>
      <c r="HA14" s="1064" t="str">
        <f t="shared" si="179"/>
        <v/>
      </c>
      <c r="HB14" s="1064" t="str">
        <f t="shared" si="180"/>
        <v/>
      </c>
      <c r="HC14" s="1064" t="str">
        <f t="shared" si="181"/>
        <v/>
      </c>
      <c r="HD14" s="1064" t="str">
        <f t="shared" si="182"/>
        <v/>
      </c>
      <c r="HE14" s="1064" t="str">
        <f t="shared" si="183"/>
        <v/>
      </c>
      <c r="HF14" s="1064" t="str">
        <f t="shared" si="184"/>
        <v/>
      </c>
      <c r="HG14" s="1064" t="str">
        <f t="shared" si="185"/>
        <v/>
      </c>
      <c r="HH14" s="1064" t="str">
        <f t="shared" si="186"/>
        <v/>
      </c>
      <c r="HI14" s="1064" t="str">
        <f t="shared" si="187"/>
        <v/>
      </c>
      <c r="HJ14" s="1064" t="str">
        <f t="shared" si="188"/>
        <v/>
      </c>
      <c r="HK14" s="1064" t="str">
        <f t="shared" si="189"/>
        <v/>
      </c>
      <c r="HL14" s="1064" t="str">
        <f t="shared" si="190"/>
        <v/>
      </c>
      <c r="HM14" s="1064" t="str">
        <f t="shared" si="191"/>
        <v/>
      </c>
      <c r="HN14" s="1064" t="str">
        <f t="shared" si="192"/>
        <v/>
      </c>
      <c r="HO14" s="1064" t="str">
        <f t="shared" si="193"/>
        <v/>
      </c>
      <c r="HP14" s="1064" t="str">
        <f t="shared" si="194"/>
        <v/>
      </c>
      <c r="HQ14" s="1064" t="str">
        <f t="shared" si="195"/>
        <v/>
      </c>
      <c r="HR14" s="1064" t="str">
        <f t="shared" si="196"/>
        <v/>
      </c>
      <c r="HS14" s="1064" t="str">
        <f t="shared" si="197"/>
        <v/>
      </c>
      <c r="HT14" s="1064" t="str">
        <f t="shared" si="198"/>
        <v/>
      </c>
      <c r="HU14" s="1064" t="str">
        <f t="shared" si="199"/>
        <v/>
      </c>
      <c r="HV14" s="1064" t="str">
        <f t="shared" si="200"/>
        <v/>
      </c>
      <c r="HW14" s="1064" t="str">
        <f t="shared" si="201"/>
        <v/>
      </c>
      <c r="HX14" s="1064" t="str">
        <f t="shared" si="202"/>
        <v/>
      </c>
      <c r="HY14" s="1097" t="str">
        <f t="shared" si="203"/>
        <v/>
      </c>
      <c r="HZ14" s="1097" t="str">
        <f t="shared" si="204"/>
        <v/>
      </c>
      <c r="IA14" s="1097" t="str">
        <f t="shared" si="205"/>
        <v/>
      </c>
      <c r="IB14" s="1097" t="str">
        <f t="shared" si="206"/>
        <v/>
      </c>
      <c r="IC14" s="1097" t="str">
        <f t="shared" si="207"/>
        <v/>
      </c>
      <c r="ID14" s="1097" t="str">
        <f t="shared" si="208"/>
        <v/>
      </c>
      <c r="IE14" s="1097" t="str">
        <f t="shared" si="209"/>
        <v/>
      </c>
      <c r="IF14" s="1097" t="str">
        <f t="shared" si="210"/>
        <v/>
      </c>
      <c r="IG14" s="1097" t="str">
        <f t="shared" si="211"/>
        <v/>
      </c>
      <c r="IH14" s="1097" t="str">
        <f t="shared" si="212"/>
        <v/>
      </c>
      <c r="II14" s="1097" t="str">
        <f t="shared" si="213"/>
        <v/>
      </c>
      <c r="IJ14" s="1097" t="str">
        <f t="shared" si="214"/>
        <v/>
      </c>
      <c r="IK14" s="1097" t="str">
        <f t="shared" si="215"/>
        <v/>
      </c>
      <c r="IL14" s="1097" t="str">
        <f t="shared" si="216"/>
        <v/>
      </c>
      <c r="IM14" s="1097" t="str">
        <f t="shared" si="217"/>
        <v/>
      </c>
      <c r="IN14" s="1097" t="str">
        <f t="shared" si="218"/>
        <v/>
      </c>
      <c r="IO14" s="1097" t="str">
        <f t="shared" si="219"/>
        <v/>
      </c>
      <c r="IP14" s="1097" t="str">
        <f t="shared" si="220"/>
        <v/>
      </c>
      <c r="IQ14" s="1097" t="str">
        <f t="shared" si="221"/>
        <v/>
      </c>
      <c r="IR14" s="1097" t="str">
        <f t="shared" si="222"/>
        <v/>
      </c>
      <c r="IS14" s="1097" t="str">
        <f t="shared" si="223"/>
        <v/>
      </c>
      <c r="IT14" s="1097" t="str">
        <f t="shared" si="224"/>
        <v/>
      </c>
      <c r="IU14" s="1097" t="str">
        <f t="shared" si="225"/>
        <v/>
      </c>
      <c r="IV14" s="1097" t="str">
        <f t="shared" si="226"/>
        <v/>
      </c>
      <c r="IW14" s="1097" t="str">
        <f t="shared" si="227"/>
        <v/>
      </c>
      <c r="IX14" s="1097" t="str">
        <f t="shared" si="228"/>
        <v/>
      </c>
      <c r="IY14" s="1097" t="str">
        <f t="shared" si="229"/>
        <v/>
      </c>
      <c r="IZ14" s="1097" t="str">
        <f t="shared" si="230"/>
        <v/>
      </c>
      <c r="JA14" s="1097" t="str">
        <f t="shared" si="231"/>
        <v/>
      </c>
      <c r="JB14" s="1097" t="str">
        <f t="shared" si="232"/>
        <v/>
      </c>
      <c r="JC14" s="1097" t="str">
        <f t="shared" si="233"/>
        <v/>
      </c>
      <c r="JD14" s="1097" t="str">
        <f t="shared" si="234"/>
        <v/>
      </c>
      <c r="JE14" s="1097" t="str">
        <f t="shared" si="235"/>
        <v/>
      </c>
      <c r="JF14" s="1097" t="str">
        <f t="shared" si="236"/>
        <v/>
      </c>
      <c r="JG14" s="1097" t="str">
        <f t="shared" si="237"/>
        <v/>
      </c>
      <c r="JH14" s="1097" t="str">
        <f t="shared" si="238"/>
        <v/>
      </c>
      <c r="JI14" s="1097" t="str">
        <f t="shared" si="239"/>
        <v/>
      </c>
      <c r="JJ14" s="1097" t="str">
        <f t="shared" si="240"/>
        <v/>
      </c>
      <c r="JK14" s="1097" t="str">
        <f t="shared" si="241"/>
        <v/>
      </c>
      <c r="JL14" s="1097" t="str">
        <f t="shared" si="242"/>
        <v/>
      </c>
      <c r="JM14" s="1097" t="str">
        <f t="shared" si="243"/>
        <v/>
      </c>
      <c r="JN14" s="1097" t="str">
        <f t="shared" si="244"/>
        <v/>
      </c>
      <c r="JO14" s="1097" t="str">
        <f t="shared" si="245"/>
        <v/>
      </c>
      <c r="JP14" s="1097" t="str">
        <f t="shared" si="246"/>
        <v/>
      </c>
      <c r="JQ14" s="1097" t="str">
        <f t="shared" si="247"/>
        <v/>
      </c>
      <c r="JR14" s="1097" t="str">
        <f t="shared" si="248"/>
        <v/>
      </c>
      <c r="JS14" s="1097" t="str">
        <f t="shared" si="249"/>
        <v/>
      </c>
      <c r="JT14" s="1097" t="str">
        <f t="shared" si="250"/>
        <v/>
      </c>
      <c r="JU14" s="1097" t="str">
        <f t="shared" si="251"/>
        <v/>
      </c>
      <c r="JV14" s="1097" t="str">
        <f t="shared" si="252"/>
        <v/>
      </c>
      <c r="JW14" s="1097" t="str">
        <f t="shared" si="253"/>
        <v/>
      </c>
      <c r="JX14" s="1097" t="str">
        <f t="shared" si="254"/>
        <v/>
      </c>
      <c r="JY14" s="1097" t="str">
        <f t="shared" si="255"/>
        <v/>
      </c>
      <c r="JZ14" s="1097" t="str">
        <f t="shared" si="256"/>
        <v/>
      </c>
      <c r="KA14" s="1097" t="str">
        <f t="shared" si="257"/>
        <v/>
      </c>
      <c r="KB14" s="1097" t="str">
        <f t="shared" si="258"/>
        <v/>
      </c>
      <c r="KC14" s="1097" t="str">
        <f t="shared" si="259"/>
        <v/>
      </c>
      <c r="KD14" s="1097" t="str">
        <f t="shared" si="260"/>
        <v/>
      </c>
      <c r="KE14" s="1097" t="str">
        <f t="shared" si="261"/>
        <v/>
      </c>
      <c r="KF14" s="1097" t="str">
        <f t="shared" si="262"/>
        <v/>
      </c>
      <c r="KG14" s="1097" t="str">
        <f t="shared" si="263"/>
        <v/>
      </c>
      <c r="KH14" s="1097" t="str">
        <f t="shared" si="264"/>
        <v/>
      </c>
      <c r="KI14" s="1097" t="str">
        <f t="shared" si="265"/>
        <v/>
      </c>
      <c r="KJ14" s="1097" t="str">
        <f t="shared" si="266"/>
        <v/>
      </c>
      <c r="KK14" s="1097" t="str">
        <f t="shared" si="267"/>
        <v/>
      </c>
      <c r="KL14" s="1097" t="str">
        <f t="shared" si="268"/>
        <v/>
      </c>
      <c r="KM14" s="1097" t="str">
        <f t="shared" si="269"/>
        <v/>
      </c>
      <c r="KN14" s="1097" t="str">
        <f t="shared" si="270"/>
        <v/>
      </c>
      <c r="KO14" s="1097" t="str">
        <f t="shared" si="271"/>
        <v/>
      </c>
      <c r="KP14" s="1097" t="str">
        <f t="shared" si="272"/>
        <v/>
      </c>
      <c r="KQ14" s="1097" t="str">
        <f t="shared" si="273"/>
        <v/>
      </c>
      <c r="KR14" s="1097" t="str">
        <f t="shared" si="274"/>
        <v/>
      </c>
      <c r="KS14" s="1097" t="str">
        <f t="shared" si="275"/>
        <v/>
      </c>
      <c r="KT14" s="1097" t="str">
        <f t="shared" si="276"/>
        <v/>
      </c>
      <c r="KU14" s="1097" t="str">
        <f t="shared" si="277"/>
        <v/>
      </c>
      <c r="KV14" s="1097" t="str">
        <f t="shared" si="278"/>
        <v/>
      </c>
      <c r="KW14" s="1097" t="str">
        <f t="shared" si="279"/>
        <v/>
      </c>
      <c r="KX14" s="1097" t="str">
        <f t="shared" si="280"/>
        <v/>
      </c>
      <c r="KY14" s="1097" t="str">
        <f t="shared" si="281"/>
        <v/>
      </c>
      <c r="KZ14" s="1097" t="str">
        <f t="shared" si="282"/>
        <v/>
      </c>
      <c r="LA14" s="1097" t="str">
        <f t="shared" si="283"/>
        <v/>
      </c>
      <c r="LB14" s="1097" t="str">
        <f t="shared" si="284"/>
        <v/>
      </c>
      <c r="LC14" s="1097" t="str">
        <f t="shared" si="285"/>
        <v/>
      </c>
      <c r="LD14" s="1097" t="str">
        <f t="shared" si="286"/>
        <v/>
      </c>
      <c r="LE14" s="1097" t="str">
        <f t="shared" si="287"/>
        <v/>
      </c>
      <c r="LF14" s="1098" t="str">
        <f t="shared" si="288"/>
        <v/>
      </c>
      <c r="LG14" s="1098" t="str">
        <f t="shared" si="289"/>
        <v/>
      </c>
      <c r="LH14" s="1098" t="str">
        <f t="shared" si="290"/>
        <v/>
      </c>
      <c r="LI14" s="1098" t="str">
        <f t="shared" si="291"/>
        <v/>
      </c>
      <c r="LJ14" s="1098" t="str">
        <f t="shared" si="292"/>
        <v/>
      </c>
      <c r="LK14" s="1064" t="str">
        <f t="shared" si="293"/>
        <v/>
      </c>
      <c r="LL14" s="1064" t="str">
        <f t="shared" si="294"/>
        <v/>
      </c>
      <c r="LM14" s="1064" t="str">
        <f t="shared" si="295"/>
        <v/>
      </c>
      <c r="LN14" s="1064" t="str">
        <f t="shared" si="296"/>
        <v/>
      </c>
      <c r="LO14" s="1064" t="str">
        <f t="shared" si="297"/>
        <v/>
      </c>
      <c r="LP14" s="1064" t="str">
        <f t="shared" si="298"/>
        <v/>
      </c>
      <c r="LQ14" s="1064" t="str">
        <f t="shared" si="299"/>
        <v/>
      </c>
      <c r="LR14" s="1064" t="str">
        <f t="shared" si="300"/>
        <v/>
      </c>
      <c r="LS14" s="1064" t="str">
        <f t="shared" si="301"/>
        <v/>
      </c>
      <c r="LT14" s="1064" t="str">
        <f t="shared" si="302"/>
        <v/>
      </c>
      <c r="LU14" s="1064" t="str">
        <f t="shared" si="303"/>
        <v/>
      </c>
      <c r="LV14" s="1064" t="str">
        <f t="shared" si="304"/>
        <v/>
      </c>
      <c r="LW14" s="1064" t="str">
        <f t="shared" si="305"/>
        <v/>
      </c>
      <c r="LX14" s="1064" t="str">
        <f t="shared" si="306"/>
        <v/>
      </c>
      <c r="LY14" s="1064" t="str">
        <f t="shared" si="307"/>
        <v/>
      </c>
      <c r="LZ14" s="1064" t="str">
        <f t="shared" si="308"/>
        <v/>
      </c>
      <c r="MA14" s="1064" t="str">
        <f t="shared" si="309"/>
        <v/>
      </c>
      <c r="MB14" s="1064" t="str">
        <f t="shared" si="310"/>
        <v/>
      </c>
      <c r="MC14" s="1064" t="str">
        <f t="shared" si="311"/>
        <v/>
      </c>
      <c r="MD14" s="1064" t="str">
        <f t="shared" si="312"/>
        <v/>
      </c>
      <c r="ME14" s="1081">
        <f t="shared" si="324"/>
        <v>0</v>
      </c>
      <c r="MF14" s="1081">
        <f t="shared" si="325"/>
        <v>0</v>
      </c>
      <c r="MG14" s="1081">
        <f t="shared" si="326"/>
        <v>0</v>
      </c>
      <c r="MH14" s="1081">
        <f t="shared" si="327"/>
        <v>0</v>
      </c>
      <c r="MI14" s="1081">
        <f t="shared" si="328"/>
        <v>0</v>
      </c>
      <c r="MJ14" s="1081">
        <f t="shared" si="329"/>
        <v>0</v>
      </c>
      <c r="MK14" s="1081">
        <f t="shared" si="330"/>
        <v>0</v>
      </c>
      <c r="ML14" s="1081">
        <f t="shared" si="331"/>
        <v>0</v>
      </c>
      <c r="MM14" s="1081">
        <f t="shared" si="332"/>
        <v>0</v>
      </c>
      <c r="MN14" s="1081">
        <f t="shared" si="333"/>
        <v>0</v>
      </c>
      <c r="MO14" s="1081">
        <f t="shared" si="334"/>
        <v>0</v>
      </c>
      <c r="MP14" s="1081">
        <f t="shared" si="335"/>
        <v>0</v>
      </c>
      <c r="MQ14" s="1081">
        <f t="shared" si="336"/>
        <v>0</v>
      </c>
      <c r="MR14" s="1081">
        <f t="shared" si="337"/>
        <v>0</v>
      </c>
      <c r="MS14" s="1081">
        <f t="shared" si="338"/>
        <v>0</v>
      </c>
    </row>
    <row r="15" spans="1:492" ht="12" customHeight="1">
      <c r="A15" s="1088" t="str">
        <f t="shared" si="0"/>
        <v/>
      </c>
      <c r="B15" s="1099" t="s">
        <v>282</v>
      </c>
      <c r="C15" s="41"/>
      <c r="D15" s="42"/>
      <c r="E15" s="43"/>
      <c r="F15" s="43"/>
      <c r="G15" s="43"/>
      <c r="H15" s="43"/>
      <c r="I15" s="1100">
        <f>IF(C15="",0,HLOOKUP(C15,'Part V-Utility Allowances'!$I$11:$M$22,12))</f>
        <v>0</v>
      </c>
      <c r="J15" s="810"/>
      <c r="K15" s="512">
        <f t="shared" si="1"/>
        <v>0</v>
      </c>
      <c r="L15" s="512">
        <f t="shared" si="2"/>
        <v>0</v>
      </c>
      <c r="M15" s="1101"/>
      <c r="N15" s="1101"/>
      <c r="O15" s="1101"/>
      <c r="P15" s="1102"/>
      <c r="Q15" s="1103" t="str">
        <f t="shared" si="3"/>
        <v/>
      </c>
      <c r="R15" s="1104" t="str">
        <f>IF(H15="","",IF(C15="Efficiency",Q15/($O$6*VLOOKUP(0,'DCA Underwriting Assumptions'!$J$146:$K$151,2,FALSE)),Q15/($O$6*VLOOKUP(C15,'DCA Underwriting Assumptions'!$J$146:$K$151,2,FALSE))))</f>
        <v/>
      </c>
      <c r="S15" s="1105"/>
      <c r="T15" s="1106"/>
      <c r="U15" s="2314"/>
      <c r="V15" s="2316"/>
      <c r="W15" s="1064" t="str">
        <f t="shared" si="4"/>
        <v/>
      </c>
      <c r="X15" s="1064" t="str">
        <f t="shared" si="5"/>
        <v/>
      </c>
      <c r="Y15" s="1064" t="str">
        <f t="shared" si="6"/>
        <v/>
      </c>
      <c r="Z15" s="1064" t="str">
        <f t="shared" si="7"/>
        <v/>
      </c>
      <c r="AA15" s="1064" t="str">
        <f t="shared" si="8"/>
        <v/>
      </c>
      <c r="AB15" s="1064" t="str">
        <f t="shared" si="9"/>
        <v/>
      </c>
      <c r="AC15" s="1064" t="str">
        <f t="shared" si="10"/>
        <v/>
      </c>
      <c r="AD15" s="1064" t="str">
        <f t="shared" si="11"/>
        <v/>
      </c>
      <c r="AE15" s="1064" t="str">
        <f t="shared" si="12"/>
        <v/>
      </c>
      <c r="AF15" s="1064" t="str">
        <f t="shared" si="13"/>
        <v/>
      </c>
      <c r="AG15" s="1064" t="str">
        <f t="shared" si="14"/>
        <v/>
      </c>
      <c r="AH15" s="1064" t="str">
        <f t="shared" si="15"/>
        <v/>
      </c>
      <c r="AI15" s="1064" t="str">
        <f t="shared" si="16"/>
        <v/>
      </c>
      <c r="AJ15" s="1064" t="str">
        <f t="shared" si="17"/>
        <v/>
      </c>
      <c r="AK15" s="1064" t="str">
        <f t="shared" si="18"/>
        <v/>
      </c>
      <c r="AL15" s="1064" t="str">
        <f t="shared" si="19"/>
        <v/>
      </c>
      <c r="AM15" s="1064" t="str">
        <f t="shared" si="20"/>
        <v/>
      </c>
      <c r="AN15" s="1064" t="str">
        <f t="shared" si="21"/>
        <v/>
      </c>
      <c r="AO15" s="1064" t="str">
        <f t="shared" si="22"/>
        <v/>
      </c>
      <c r="AP15" s="1064" t="str">
        <f t="shared" si="23"/>
        <v/>
      </c>
      <c r="AQ15" s="1064" t="str">
        <f t="shared" si="24"/>
        <v/>
      </c>
      <c r="AR15" s="1064" t="str">
        <f t="shared" si="25"/>
        <v/>
      </c>
      <c r="AS15" s="1064" t="str">
        <f t="shared" si="26"/>
        <v/>
      </c>
      <c r="AT15" s="1064" t="str">
        <f t="shared" si="27"/>
        <v/>
      </c>
      <c r="AU15" s="1064" t="str">
        <f t="shared" si="28"/>
        <v/>
      </c>
      <c r="AV15" s="1064" t="str">
        <f t="shared" si="29"/>
        <v/>
      </c>
      <c r="AW15" s="1064" t="str">
        <f t="shared" si="30"/>
        <v/>
      </c>
      <c r="AX15" s="1064" t="str">
        <f t="shared" si="31"/>
        <v/>
      </c>
      <c r="AY15" s="1064" t="str">
        <f t="shared" si="32"/>
        <v/>
      </c>
      <c r="AZ15" s="1064" t="str">
        <f t="shared" si="33"/>
        <v/>
      </c>
      <c r="BA15" s="1064" t="str">
        <f t="shared" si="34"/>
        <v/>
      </c>
      <c r="BB15" s="1064" t="str">
        <f t="shared" si="35"/>
        <v/>
      </c>
      <c r="BC15" s="1064" t="str">
        <f t="shared" si="36"/>
        <v/>
      </c>
      <c r="BD15" s="1064" t="str">
        <f t="shared" si="37"/>
        <v/>
      </c>
      <c r="BE15" s="1064" t="str">
        <f t="shared" si="38"/>
        <v/>
      </c>
      <c r="BF15" s="1064" t="str">
        <f t="shared" si="39"/>
        <v/>
      </c>
      <c r="BG15" s="1064" t="str">
        <f t="shared" si="40"/>
        <v/>
      </c>
      <c r="BH15" s="1064" t="str">
        <f t="shared" si="41"/>
        <v/>
      </c>
      <c r="BI15" s="1064" t="str">
        <f t="shared" si="42"/>
        <v/>
      </c>
      <c r="BJ15" s="1064" t="str">
        <f t="shared" si="43"/>
        <v/>
      </c>
      <c r="BK15" s="1064" t="str">
        <f t="shared" si="44"/>
        <v/>
      </c>
      <c r="BL15" s="1064" t="str">
        <f t="shared" si="45"/>
        <v/>
      </c>
      <c r="BM15" s="1064" t="str">
        <f t="shared" si="46"/>
        <v/>
      </c>
      <c r="BN15" s="1064" t="str">
        <f t="shared" si="47"/>
        <v/>
      </c>
      <c r="BO15" s="1064" t="str">
        <f t="shared" si="48"/>
        <v/>
      </c>
      <c r="BP15" s="1064" t="str">
        <f t="shared" si="49"/>
        <v/>
      </c>
      <c r="BQ15" s="1064" t="str">
        <f t="shared" si="50"/>
        <v/>
      </c>
      <c r="BR15" s="1064" t="str">
        <f t="shared" si="51"/>
        <v/>
      </c>
      <c r="BS15" s="1064" t="str">
        <f t="shared" si="52"/>
        <v/>
      </c>
      <c r="BT15" s="1064" t="str">
        <f t="shared" si="53"/>
        <v/>
      </c>
      <c r="BU15" s="1064" t="str">
        <f t="shared" si="54"/>
        <v/>
      </c>
      <c r="BV15" s="1064" t="str">
        <f t="shared" si="55"/>
        <v/>
      </c>
      <c r="BW15" s="1064" t="str">
        <f t="shared" si="56"/>
        <v/>
      </c>
      <c r="BX15" s="1064" t="str">
        <f t="shared" si="57"/>
        <v/>
      </c>
      <c r="BY15" s="1064" t="str">
        <f t="shared" si="58"/>
        <v/>
      </c>
      <c r="BZ15" s="1064" t="str">
        <f t="shared" si="59"/>
        <v/>
      </c>
      <c r="CA15" s="1064" t="str">
        <f t="shared" si="60"/>
        <v/>
      </c>
      <c r="CB15" s="1064" t="str">
        <f t="shared" si="61"/>
        <v/>
      </c>
      <c r="CC15" s="1064" t="str">
        <f t="shared" si="62"/>
        <v/>
      </c>
      <c r="CD15" s="1064" t="str">
        <f t="shared" si="63"/>
        <v/>
      </c>
      <c r="CE15" s="1064" t="str">
        <f t="shared" si="64"/>
        <v/>
      </c>
      <c r="CF15" s="1064" t="str">
        <f t="shared" si="65"/>
        <v/>
      </c>
      <c r="CG15" s="1064" t="str">
        <f t="shared" si="66"/>
        <v/>
      </c>
      <c r="CH15" s="1064" t="str">
        <f t="shared" si="67"/>
        <v/>
      </c>
      <c r="CI15" s="1064" t="str">
        <f t="shared" si="68"/>
        <v/>
      </c>
      <c r="CJ15" s="1064" t="str">
        <f t="shared" si="69"/>
        <v/>
      </c>
      <c r="CK15" s="1064" t="str">
        <f t="shared" si="70"/>
        <v/>
      </c>
      <c r="CL15" s="1064" t="str">
        <f t="shared" si="71"/>
        <v/>
      </c>
      <c r="CM15" s="1064" t="str">
        <f t="shared" si="72"/>
        <v/>
      </c>
      <c r="CN15" s="1064" t="str">
        <f t="shared" si="73"/>
        <v/>
      </c>
      <c r="CO15" s="1064" t="str">
        <f t="shared" si="74"/>
        <v/>
      </c>
      <c r="CP15" s="1064" t="str">
        <f t="shared" si="75"/>
        <v/>
      </c>
      <c r="CQ15" s="1064" t="str">
        <f t="shared" si="76"/>
        <v/>
      </c>
      <c r="CR15" s="1064" t="str">
        <f t="shared" si="77"/>
        <v/>
      </c>
      <c r="CS15" s="1064" t="str">
        <f t="shared" si="78"/>
        <v/>
      </c>
      <c r="CT15" s="1064" t="str">
        <f t="shared" si="79"/>
        <v/>
      </c>
      <c r="CU15" s="1064" t="str">
        <f t="shared" si="80"/>
        <v/>
      </c>
      <c r="CV15" s="1064" t="str">
        <f t="shared" si="81"/>
        <v/>
      </c>
      <c r="CW15" s="1064" t="str">
        <f t="shared" si="82"/>
        <v/>
      </c>
      <c r="CX15" s="1064" t="str">
        <f t="shared" si="83"/>
        <v/>
      </c>
      <c r="CY15" s="1064" t="str">
        <f t="shared" si="84"/>
        <v/>
      </c>
      <c r="CZ15" s="1064" t="str">
        <f t="shared" si="85"/>
        <v/>
      </c>
      <c r="DA15" s="1064" t="str">
        <f t="shared" si="86"/>
        <v/>
      </c>
      <c r="DB15" s="1064" t="str">
        <f t="shared" si="87"/>
        <v/>
      </c>
      <c r="DC15" s="1064" t="str">
        <f t="shared" si="88"/>
        <v/>
      </c>
      <c r="DD15" s="1064" t="str">
        <f t="shared" si="89"/>
        <v/>
      </c>
      <c r="DE15" s="1064" t="str">
        <f t="shared" si="90"/>
        <v/>
      </c>
      <c r="DF15" s="1064" t="str">
        <f t="shared" si="91"/>
        <v/>
      </c>
      <c r="DG15" s="1064" t="str">
        <f t="shared" si="92"/>
        <v/>
      </c>
      <c r="DH15" s="1064" t="str">
        <f t="shared" si="93"/>
        <v/>
      </c>
      <c r="DI15" s="1064" t="str">
        <f t="shared" si="94"/>
        <v/>
      </c>
      <c r="DJ15" s="1064" t="str">
        <f t="shared" si="95"/>
        <v/>
      </c>
      <c r="DK15" s="1064" t="str">
        <f t="shared" si="96"/>
        <v/>
      </c>
      <c r="DL15" s="1064" t="str">
        <f t="shared" si="97"/>
        <v/>
      </c>
      <c r="DM15" s="1064" t="str">
        <f t="shared" si="98"/>
        <v/>
      </c>
      <c r="DN15" s="1064" t="str">
        <f t="shared" si="99"/>
        <v/>
      </c>
      <c r="DO15" s="1064" t="str">
        <f t="shared" si="100"/>
        <v/>
      </c>
      <c r="DP15" s="1064" t="str">
        <f t="shared" si="101"/>
        <v/>
      </c>
      <c r="DQ15" s="1064" t="str">
        <f t="shared" si="102"/>
        <v/>
      </c>
      <c r="DR15" s="1064" t="str">
        <f t="shared" si="103"/>
        <v/>
      </c>
      <c r="DS15" s="1064" t="str">
        <f t="shared" si="104"/>
        <v/>
      </c>
      <c r="DT15" s="1064" t="str">
        <f t="shared" si="105"/>
        <v/>
      </c>
      <c r="DU15" s="1064" t="str">
        <f t="shared" si="106"/>
        <v/>
      </c>
      <c r="DV15" s="1064" t="str">
        <f t="shared" si="107"/>
        <v/>
      </c>
      <c r="DW15" s="1064" t="str">
        <f t="shared" si="108"/>
        <v/>
      </c>
      <c r="DX15" s="1064" t="str">
        <f t="shared" si="109"/>
        <v/>
      </c>
      <c r="DY15" s="1064" t="str">
        <f t="shared" si="110"/>
        <v/>
      </c>
      <c r="DZ15" s="1064" t="str">
        <f t="shared" si="111"/>
        <v/>
      </c>
      <c r="EA15" s="1064" t="str">
        <f t="shared" si="112"/>
        <v/>
      </c>
      <c r="EB15" s="1064" t="str">
        <f t="shared" si="113"/>
        <v/>
      </c>
      <c r="EC15" s="1064" t="str">
        <f t="shared" si="114"/>
        <v/>
      </c>
      <c r="ED15" s="1064" t="str">
        <f t="shared" si="115"/>
        <v/>
      </c>
      <c r="EE15" s="1064" t="str">
        <f t="shared" si="116"/>
        <v/>
      </c>
      <c r="EF15" s="1064" t="str">
        <f t="shared" si="117"/>
        <v/>
      </c>
      <c r="EG15" s="1064" t="str">
        <f t="shared" si="313"/>
        <v/>
      </c>
      <c r="EH15" s="1064" t="str">
        <f t="shared" si="118"/>
        <v/>
      </c>
      <c r="EI15" s="1064" t="str">
        <f t="shared" si="119"/>
        <v/>
      </c>
      <c r="EJ15" s="1064" t="str">
        <f t="shared" si="120"/>
        <v/>
      </c>
      <c r="EK15" s="1064" t="str">
        <f t="shared" si="121"/>
        <v/>
      </c>
      <c r="EL15" s="1064" t="str">
        <f t="shared" si="122"/>
        <v/>
      </c>
      <c r="EM15" s="1064" t="str">
        <f t="shared" si="123"/>
        <v/>
      </c>
      <c r="EN15" s="1064" t="str">
        <f t="shared" si="124"/>
        <v/>
      </c>
      <c r="EO15" s="1064" t="str">
        <f t="shared" si="125"/>
        <v/>
      </c>
      <c r="EP15" s="1064" t="str">
        <f t="shared" si="126"/>
        <v/>
      </c>
      <c r="EQ15" s="1064" t="str">
        <f t="shared" si="127"/>
        <v/>
      </c>
      <c r="ER15" s="1064" t="str">
        <f t="shared" si="128"/>
        <v/>
      </c>
      <c r="ES15" s="1064" t="str">
        <f t="shared" si="129"/>
        <v/>
      </c>
      <c r="ET15" s="1064" t="str">
        <f t="shared" si="130"/>
        <v/>
      </c>
      <c r="EU15" s="1064" t="str">
        <f t="shared" si="131"/>
        <v/>
      </c>
      <c r="EV15" s="1064" t="str">
        <f t="shared" si="132"/>
        <v/>
      </c>
      <c r="EW15" s="1064" t="str">
        <f t="shared" si="314"/>
        <v/>
      </c>
      <c r="EX15" s="1064" t="str">
        <f t="shared" si="315"/>
        <v/>
      </c>
      <c r="EY15" s="1064" t="str">
        <f t="shared" si="316"/>
        <v/>
      </c>
      <c r="EZ15" s="1064" t="str">
        <f t="shared" si="317"/>
        <v/>
      </c>
      <c r="FA15" s="1064" t="str">
        <f t="shared" si="318"/>
        <v/>
      </c>
      <c r="FB15" s="1064" t="str">
        <f t="shared" si="133"/>
        <v/>
      </c>
      <c r="FC15" s="1064" t="str">
        <f t="shared" si="134"/>
        <v/>
      </c>
      <c r="FD15" s="1064" t="str">
        <f t="shared" si="135"/>
        <v/>
      </c>
      <c r="FE15" s="1064" t="str">
        <f t="shared" si="136"/>
        <v/>
      </c>
      <c r="FF15" s="1064" t="str">
        <f t="shared" si="137"/>
        <v/>
      </c>
      <c r="FG15" s="1064" t="str">
        <f t="shared" si="319"/>
        <v/>
      </c>
      <c r="FH15" s="1064" t="str">
        <f t="shared" si="320"/>
        <v/>
      </c>
      <c r="FI15" s="1064" t="str">
        <f t="shared" si="321"/>
        <v/>
      </c>
      <c r="FJ15" s="1064" t="str">
        <f t="shared" si="322"/>
        <v/>
      </c>
      <c r="FK15" s="1064" t="str">
        <f t="shared" si="323"/>
        <v/>
      </c>
      <c r="FL15" s="1064" t="str">
        <f t="shared" si="138"/>
        <v/>
      </c>
      <c r="FM15" s="1064" t="str">
        <f t="shared" si="139"/>
        <v/>
      </c>
      <c r="FN15" s="1064" t="str">
        <f t="shared" si="140"/>
        <v/>
      </c>
      <c r="FO15" s="1064" t="str">
        <f t="shared" si="141"/>
        <v/>
      </c>
      <c r="FP15" s="1064" t="str">
        <f t="shared" si="142"/>
        <v/>
      </c>
      <c r="FQ15" s="1064" t="str">
        <f t="shared" si="143"/>
        <v/>
      </c>
      <c r="FR15" s="1064" t="str">
        <f t="shared" si="144"/>
        <v/>
      </c>
      <c r="FS15" s="1064" t="str">
        <f t="shared" si="145"/>
        <v/>
      </c>
      <c r="FT15" s="1064" t="str">
        <f t="shared" si="146"/>
        <v/>
      </c>
      <c r="FU15" s="1064" t="str">
        <f t="shared" si="147"/>
        <v/>
      </c>
      <c r="FV15" s="1064" t="str">
        <f t="shared" si="148"/>
        <v/>
      </c>
      <c r="FW15" s="1064" t="str">
        <f t="shared" si="149"/>
        <v/>
      </c>
      <c r="FX15" s="1064" t="str">
        <f t="shared" si="150"/>
        <v/>
      </c>
      <c r="FY15" s="1064" t="str">
        <f t="shared" si="151"/>
        <v/>
      </c>
      <c r="FZ15" s="1064" t="str">
        <f t="shared" si="152"/>
        <v/>
      </c>
      <c r="GA15" s="1064" t="str">
        <f t="shared" si="153"/>
        <v/>
      </c>
      <c r="GB15" s="1064" t="str">
        <f t="shared" si="154"/>
        <v/>
      </c>
      <c r="GC15" s="1064" t="str">
        <f t="shared" si="155"/>
        <v/>
      </c>
      <c r="GD15" s="1064" t="str">
        <f t="shared" si="156"/>
        <v/>
      </c>
      <c r="GE15" s="1064" t="str">
        <f t="shared" si="157"/>
        <v/>
      </c>
      <c r="GF15" s="1064" t="str">
        <f t="shared" si="158"/>
        <v/>
      </c>
      <c r="GG15" s="1064" t="str">
        <f t="shared" si="159"/>
        <v/>
      </c>
      <c r="GH15" s="1064" t="str">
        <f t="shared" si="160"/>
        <v/>
      </c>
      <c r="GI15" s="1064" t="str">
        <f t="shared" si="161"/>
        <v/>
      </c>
      <c r="GJ15" s="1064" t="str">
        <f t="shared" si="162"/>
        <v/>
      </c>
      <c r="GK15" s="1064" t="str">
        <f t="shared" si="163"/>
        <v/>
      </c>
      <c r="GL15" s="1064" t="str">
        <f t="shared" si="164"/>
        <v/>
      </c>
      <c r="GM15" s="1064" t="str">
        <f t="shared" si="165"/>
        <v/>
      </c>
      <c r="GN15" s="1064" t="str">
        <f t="shared" si="166"/>
        <v/>
      </c>
      <c r="GO15" s="1064" t="str">
        <f t="shared" si="167"/>
        <v/>
      </c>
      <c r="GP15" s="1064" t="str">
        <f t="shared" si="168"/>
        <v/>
      </c>
      <c r="GQ15" s="1064" t="str">
        <f t="shared" si="169"/>
        <v/>
      </c>
      <c r="GR15" s="1064" t="str">
        <f t="shared" si="170"/>
        <v/>
      </c>
      <c r="GS15" s="1064" t="str">
        <f t="shared" si="171"/>
        <v/>
      </c>
      <c r="GT15" s="1064" t="str">
        <f t="shared" si="172"/>
        <v/>
      </c>
      <c r="GU15" s="1064" t="str">
        <f t="shared" si="173"/>
        <v/>
      </c>
      <c r="GV15" s="1064" t="str">
        <f t="shared" si="174"/>
        <v/>
      </c>
      <c r="GW15" s="1064" t="str">
        <f t="shared" si="175"/>
        <v/>
      </c>
      <c r="GX15" s="1064" t="str">
        <f t="shared" si="176"/>
        <v/>
      </c>
      <c r="GY15" s="1064" t="str">
        <f t="shared" si="177"/>
        <v/>
      </c>
      <c r="GZ15" s="1064" t="str">
        <f t="shared" si="178"/>
        <v/>
      </c>
      <c r="HA15" s="1064" t="str">
        <f t="shared" si="179"/>
        <v/>
      </c>
      <c r="HB15" s="1064" t="str">
        <f t="shared" si="180"/>
        <v/>
      </c>
      <c r="HC15" s="1064" t="str">
        <f t="shared" si="181"/>
        <v/>
      </c>
      <c r="HD15" s="1064" t="str">
        <f t="shared" si="182"/>
        <v/>
      </c>
      <c r="HE15" s="1064" t="str">
        <f t="shared" si="183"/>
        <v/>
      </c>
      <c r="HF15" s="1064" t="str">
        <f t="shared" si="184"/>
        <v/>
      </c>
      <c r="HG15" s="1064" t="str">
        <f t="shared" si="185"/>
        <v/>
      </c>
      <c r="HH15" s="1064" t="str">
        <f t="shared" si="186"/>
        <v/>
      </c>
      <c r="HI15" s="1064" t="str">
        <f t="shared" si="187"/>
        <v/>
      </c>
      <c r="HJ15" s="1064" t="str">
        <f t="shared" si="188"/>
        <v/>
      </c>
      <c r="HK15" s="1064" t="str">
        <f t="shared" si="189"/>
        <v/>
      </c>
      <c r="HL15" s="1064" t="str">
        <f t="shared" si="190"/>
        <v/>
      </c>
      <c r="HM15" s="1064" t="str">
        <f t="shared" si="191"/>
        <v/>
      </c>
      <c r="HN15" s="1064" t="str">
        <f t="shared" si="192"/>
        <v/>
      </c>
      <c r="HO15" s="1064" t="str">
        <f t="shared" si="193"/>
        <v/>
      </c>
      <c r="HP15" s="1064" t="str">
        <f t="shared" si="194"/>
        <v/>
      </c>
      <c r="HQ15" s="1064" t="str">
        <f t="shared" si="195"/>
        <v/>
      </c>
      <c r="HR15" s="1064" t="str">
        <f t="shared" si="196"/>
        <v/>
      </c>
      <c r="HS15" s="1064" t="str">
        <f t="shared" si="197"/>
        <v/>
      </c>
      <c r="HT15" s="1064" t="str">
        <f t="shared" si="198"/>
        <v/>
      </c>
      <c r="HU15" s="1064" t="str">
        <f t="shared" si="199"/>
        <v/>
      </c>
      <c r="HV15" s="1064" t="str">
        <f t="shared" si="200"/>
        <v/>
      </c>
      <c r="HW15" s="1064" t="str">
        <f t="shared" si="201"/>
        <v/>
      </c>
      <c r="HX15" s="1064" t="str">
        <f t="shared" si="202"/>
        <v/>
      </c>
      <c r="HY15" s="1097" t="str">
        <f t="shared" si="203"/>
        <v/>
      </c>
      <c r="HZ15" s="1097" t="str">
        <f t="shared" si="204"/>
        <v/>
      </c>
      <c r="IA15" s="1097" t="str">
        <f t="shared" si="205"/>
        <v/>
      </c>
      <c r="IB15" s="1097" t="str">
        <f t="shared" si="206"/>
        <v/>
      </c>
      <c r="IC15" s="1097" t="str">
        <f t="shared" si="207"/>
        <v/>
      </c>
      <c r="ID15" s="1097" t="str">
        <f t="shared" si="208"/>
        <v/>
      </c>
      <c r="IE15" s="1097" t="str">
        <f t="shared" si="209"/>
        <v/>
      </c>
      <c r="IF15" s="1097" t="str">
        <f t="shared" si="210"/>
        <v/>
      </c>
      <c r="IG15" s="1097" t="str">
        <f t="shared" si="211"/>
        <v/>
      </c>
      <c r="IH15" s="1097" t="str">
        <f t="shared" si="212"/>
        <v/>
      </c>
      <c r="II15" s="1097" t="str">
        <f t="shared" si="213"/>
        <v/>
      </c>
      <c r="IJ15" s="1097" t="str">
        <f t="shared" si="214"/>
        <v/>
      </c>
      <c r="IK15" s="1097" t="str">
        <f t="shared" si="215"/>
        <v/>
      </c>
      <c r="IL15" s="1097" t="str">
        <f t="shared" si="216"/>
        <v/>
      </c>
      <c r="IM15" s="1097" t="str">
        <f t="shared" si="217"/>
        <v/>
      </c>
      <c r="IN15" s="1097" t="str">
        <f t="shared" si="218"/>
        <v/>
      </c>
      <c r="IO15" s="1097" t="str">
        <f t="shared" si="219"/>
        <v/>
      </c>
      <c r="IP15" s="1097" t="str">
        <f t="shared" si="220"/>
        <v/>
      </c>
      <c r="IQ15" s="1097" t="str">
        <f t="shared" si="221"/>
        <v/>
      </c>
      <c r="IR15" s="1097" t="str">
        <f t="shared" si="222"/>
        <v/>
      </c>
      <c r="IS15" s="1097" t="str">
        <f t="shared" si="223"/>
        <v/>
      </c>
      <c r="IT15" s="1097" t="str">
        <f t="shared" si="224"/>
        <v/>
      </c>
      <c r="IU15" s="1097" t="str">
        <f t="shared" si="225"/>
        <v/>
      </c>
      <c r="IV15" s="1097" t="str">
        <f t="shared" si="226"/>
        <v/>
      </c>
      <c r="IW15" s="1097" t="str">
        <f t="shared" si="227"/>
        <v/>
      </c>
      <c r="IX15" s="1097" t="str">
        <f t="shared" si="228"/>
        <v/>
      </c>
      <c r="IY15" s="1097" t="str">
        <f t="shared" si="229"/>
        <v/>
      </c>
      <c r="IZ15" s="1097" t="str">
        <f t="shared" si="230"/>
        <v/>
      </c>
      <c r="JA15" s="1097" t="str">
        <f t="shared" si="231"/>
        <v/>
      </c>
      <c r="JB15" s="1097" t="str">
        <f t="shared" si="232"/>
        <v/>
      </c>
      <c r="JC15" s="1097" t="str">
        <f t="shared" si="233"/>
        <v/>
      </c>
      <c r="JD15" s="1097" t="str">
        <f t="shared" si="234"/>
        <v/>
      </c>
      <c r="JE15" s="1097" t="str">
        <f t="shared" si="235"/>
        <v/>
      </c>
      <c r="JF15" s="1097" t="str">
        <f t="shared" si="236"/>
        <v/>
      </c>
      <c r="JG15" s="1097" t="str">
        <f t="shared" si="237"/>
        <v/>
      </c>
      <c r="JH15" s="1097" t="str">
        <f t="shared" si="238"/>
        <v/>
      </c>
      <c r="JI15" s="1097" t="str">
        <f t="shared" si="239"/>
        <v/>
      </c>
      <c r="JJ15" s="1097" t="str">
        <f t="shared" si="240"/>
        <v/>
      </c>
      <c r="JK15" s="1097" t="str">
        <f t="shared" si="241"/>
        <v/>
      </c>
      <c r="JL15" s="1097" t="str">
        <f t="shared" si="242"/>
        <v/>
      </c>
      <c r="JM15" s="1097" t="str">
        <f t="shared" si="243"/>
        <v/>
      </c>
      <c r="JN15" s="1097" t="str">
        <f t="shared" si="244"/>
        <v/>
      </c>
      <c r="JO15" s="1097" t="str">
        <f t="shared" si="245"/>
        <v/>
      </c>
      <c r="JP15" s="1097" t="str">
        <f t="shared" si="246"/>
        <v/>
      </c>
      <c r="JQ15" s="1097" t="str">
        <f t="shared" si="247"/>
        <v/>
      </c>
      <c r="JR15" s="1097" t="str">
        <f t="shared" si="248"/>
        <v/>
      </c>
      <c r="JS15" s="1097" t="str">
        <f t="shared" si="249"/>
        <v/>
      </c>
      <c r="JT15" s="1097" t="str">
        <f t="shared" si="250"/>
        <v/>
      </c>
      <c r="JU15" s="1097" t="str">
        <f t="shared" si="251"/>
        <v/>
      </c>
      <c r="JV15" s="1097" t="str">
        <f t="shared" si="252"/>
        <v/>
      </c>
      <c r="JW15" s="1097" t="str">
        <f t="shared" si="253"/>
        <v/>
      </c>
      <c r="JX15" s="1097" t="str">
        <f t="shared" si="254"/>
        <v/>
      </c>
      <c r="JY15" s="1097" t="str">
        <f t="shared" si="255"/>
        <v/>
      </c>
      <c r="JZ15" s="1097" t="str">
        <f t="shared" si="256"/>
        <v/>
      </c>
      <c r="KA15" s="1097" t="str">
        <f t="shared" si="257"/>
        <v/>
      </c>
      <c r="KB15" s="1097" t="str">
        <f t="shared" si="258"/>
        <v/>
      </c>
      <c r="KC15" s="1097" t="str">
        <f t="shared" si="259"/>
        <v/>
      </c>
      <c r="KD15" s="1097" t="str">
        <f t="shared" si="260"/>
        <v/>
      </c>
      <c r="KE15" s="1097" t="str">
        <f t="shared" si="261"/>
        <v/>
      </c>
      <c r="KF15" s="1097" t="str">
        <f t="shared" si="262"/>
        <v/>
      </c>
      <c r="KG15" s="1097" t="str">
        <f t="shared" si="263"/>
        <v/>
      </c>
      <c r="KH15" s="1097" t="str">
        <f t="shared" si="264"/>
        <v/>
      </c>
      <c r="KI15" s="1097" t="str">
        <f t="shared" si="265"/>
        <v/>
      </c>
      <c r="KJ15" s="1097" t="str">
        <f t="shared" si="266"/>
        <v/>
      </c>
      <c r="KK15" s="1097" t="str">
        <f t="shared" si="267"/>
        <v/>
      </c>
      <c r="KL15" s="1097" t="str">
        <f t="shared" si="268"/>
        <v/>
      </c>
      <c r="KM15" s="1097" t="str">
        <f t="shared" si="269"/>
        <v/>
      </c>
      <c r="KN15" s="1097" t="str">
        <f t="shared" si="270"/>
        <v/>
      </c>
      <c r="KO15" s="1097" t="str">
        <f t="shared" si="271"/>
        <v/>
      </c>
      <c r="KP15" s="1097" t="str">
        <f t="shared" si="272"/>
        <v/>
      </c>
      <c r="KQ15" s="1097" t="str">
        <f t="shared" si="273"/>
        <v/>
      </c>
      <c r="KR15" s="1097" t="str">
        <f t="shared" si="274"/>
        <v/>
      </c>
      <c r="KS15" s="1097" t="str">
        <f t="shared" si="275"/>
        <v/>
      </c>
      <c r="KT15" s="1097" t="str">
        <f t="shared" si="276"/>
        <v/>
      </c>
      <c r="KU15" s="1097" t="str">
        <f t="shared" si="277"/>
        <v/>
      </c>
      <c r="KV15" s="1097" t="str">
        <f t="shared" si="278"/>
        <v/>
      </c>
      <c r="KW15" s="1097" t="str">
        <f t="shared" si="279"/>
        <v/>
      </c>
      <c r="KX15" s="1097" t="str">
        <f t="shared" si="280"/>
        <v/>
      </c>
      <c r="KY15" s="1097" t="str">
        <f t="shared" si="281"/>
        <v/>
      </c>
      <c r="KZ15" s="1097" t="str">
        <f t="shared" si="282"/>
        <v/>
      </c>
      <c r="LA15" s="1097" t="str">
        <f t="shared" si="283"/>
        <v/>
      </c>
      <c r="LB15" s="1097" t="str">
        <f t="shared" si="284"/>
        <v/>
      </c>
      <c r="LC15" s="1097" t="str">
        <f t="shared" si="285"/>
        <v/>
      </c>
      <c r="LD15" s="1097" t="str">
        <f t="shared" si="286"/>
        <v/>
      </c>
      <c r="LE15" s="1097" t="str">
        <f t="shared" si="287"/>
        <v/>
      </c>
      <c r="LF15" s="1098" t="str">
        <f t="shared" si="288"/>
        <v/>
      </c>
      <c r="LG15" s="1098" t="str">
        <f t="shared" si="289"/>
        <v/>
      </c>
      <c r="LH15" s="1098" t="str">
        <f t="shared" si="290"/>
        <v/>
      </c>
      <c r="LI15" s="1098" t="str">
        <f t="shared" si="291"/>
        <v/>
      </c>
      <c r="LJ15" s="1098" t="str">
        <f t="shared" si="292"/>
        <v/>
      </c>
      <c r="LK15" s="1064" t="str">
        <f t="shared" si="293"/>
        <v/>
      </c>
      <c r="LL15" s="1064" t="str">
        <f t="shared" si="294"/>
        <v/>
      </c>
      <c r="LM15" s="1064" t="str">
        <f t="shared" si="295"/>
        <v/>
      </c>
      <c r="LN15" s="1064" t="str">
        <f t="shared" si="296"/>
        <v/>
      </c>
      <c r="LO15" s="1064" t="str">
        <f t="shared" si="297"/>
        <v/>
      </c>
      <c r="LP15" s="1064" t="str">
        <f t="shared" si="298"/>
        <v/>
      </c>
      <c r="LQ15" s="1064" t="str">
        <f t="shared" si="299"/>
        <v/>
      </c>
      <c r="LR15" s="1064" t="str">
        <f t="shared" si="300"/>
        <v/>
      </c>
      <c r="LS15" s="1064" t="str">
        <f t="shared" si="301"/>
        <v/>
      </c>
      <c r="LT15" s="1064" t="str">
        <f t="shared" si="302"/>
        <v/>
      </c>
      <c r="LU15" s="1064" t="str">
        <f t="shared" si="303"/>
        <v/>
      </c>
      <c r="LV15" s="1064" t="str">
        <f t="shared" si="304"/>
        <v/>
      </c>
      <c r="LW15" s="1064" t="str">
        <f t="shared" si="305"/>
        <v/>
      </c>
      <c r="LX15" s="1064" t="str">
        <f t="shared" si="306"/>
        <v/>
      </c>
      <c r="LY15" s="1064" t="str">
        <f t="shared" si="307"/>
        <v/>
      </c>
      <c r="LZ15" s="1064" t="str">
        <f t="shared" si="308"/>
        <v/>
      </c>
      <c r="MA15" s="1064" t="str">
        <f t="shared" si="309"/>
        <v/>
      </c>
      <c r="MB15" s="1064" t="str">
        <f t="shared" si="310"/>
        <v/>
      </c>
      <c r="MC15" s="1064" t="str">
        <f t="shared" si="311"/>
        <v/>
      </c>
      <c r="MD15" s="1064" t="str">
        <f t="shared" si="312"/>
        <v/>
      </c>
      <c r="ME15" s="1081">
        <f t="shared" si="324"/>
        <v>0</v>
      </c>
      <c r="MF15" s="1081">
        <f t="shared" si="325"/>
        <v>0</v>
      </c>
      <c r="MG15" s="1081">
        <f t="shared" si="326"/>
        <v>0</v>
      </c>
      <c r="MH15" s="1081">
        <f t="shared" si="327"/>
        <v>0</v>
      </c>
      <c r="MI15" s="1081">
        <f t="shared" si="328"/>
        <v>0</v>
      </c>
      <c r="MJ15" s="1081">
        <f t="shared" si="329"/>
        <v>0</v>
      </c>
      <c r="MK15" s="1081">
        <f t="shared" si="330"/>
        <v>0</v>
      </c>
      <c r="ML15" s="1081">
        <f t="shared" si="331"/>
        <v>0</v>
      </c>
      <c r="MM15" s="1081">
        <f t="shared" si="332"/>
        <v>0</v>
      </c>
      <c r="MN15" s="1081">
        <f t="shared" si="333"/>
        <v>0</v>
      </c>
      <c r="MO15" s="1081">
        <f t="shared" si="334"/>
        <v>0</v>
      </c>
      <c r="MP15" s="1081">
        <f t="shared" si="335"/>
        <v>0</v>
      </c>
      <c r="MQ15" s="1081">
        <f t="shared" si="336"/>
        <v>0</v>
      </c>
      <c r="MR15" s="1081">
        <f t="shared" si="337"/>
        <v>0</v>
      </c>
      <c r="MS15" s="1081">
        <f t="shared" si="338"/>
        <v>0</v>
      </c>
    </row>
    <row r="16" spans="1:492" ht="12" customHeight="1" thickBot="1">
      <c r="A16" s="1088" t="str">
        <f t="shared" si="0"/>
        <v/>
      </c>
      <c r="B16" s="1107" t="s">
        <v>282</v>
      </c>
      <c r="C16" s="1108"/>
      <c r="D16" s="1109"/>
      <c r="E16" s="1110"/>
      <c r="F16" s="1110"/>
      <c r="G16" s="1110"/>
      <c r="H16" s="1110"/>
      <c r="I16" s="1111">
        <f>IF(C16="",0,HLOOKUP(C16,'Part V-Utility Allowances'!$I$11:$M$22,12))</f>
        <v>0</v>
      </c>
      <c r="J16" s="1112"/>
      <c r="K16" s="1113">
        <f t="shared" si="1"/>
        <v>0</v>
      </c>
      <c r="L16" s="1113">
        <f t="shared" si="2"/>
        <v>0</v>
      </c>
      <c r="M16" s="1114"/>
      <c r="N16" s="1114"/>
      <c r="O16" s="1114"/>
      <c r="P16" s="1115"/>
      <c r="Q16" s="1103" t="str">
        <f t="shared" si="3"/>
        <v/>
      </c>
      <c r="R16" s="1104" t="str">
        <f>IF(H16="","",IF(C16="Efficiency",Q16/($O$6*VLOOKUP(0,'DCA Underwriting Assumptions'!$J$146:$K$151,2,FALSE)),Q16/($O$6*VLOOKUP(C16,'DCA Underwriting Assumptions'!$J$146:$K$151,2,FALSE))))</f>
        <v/>
      </c>
      <c r="S16" s="1105"/>
      <c r="T16" s="1106"/>
      <c r="U16" s="2314"/>
      <c r="V16" s="2316"/>
      <c r="W16" s="1064" t="str">
        <f t="shared" si="4"/>
        <v/>
      </c>
      <c r="X16" s="1064" t="str">
        <f t="shared" si="5"/>
        <v/>
      </c>
      <c r="Y16" s="1064" t="str">
        <f t="shared" si="6"/>
        <v/>
      </c>
      <c r="Z16" s="1064" t="str">
        <f t="shared" si="7"/>
        <v/>
      </c>
      <c r="AA16" s="1064" t="str">
        <f t="shared" si="8"/>
        <v/>
      </c>
      <c r="AB16" s="1064" t="str">
        <f t="shared" si="9"/>
        <v/>
      </c>
      <c r="AC16" s="1064" t="str">
        <f t="shared" si="10"/>
        <v/>
      </c>
      <c r="AD16" s="1064" t="str">
        <f t="shared" si="11"/>
        <v/>
      </c>
      <c r="AE16" s="1064" t="str">
        <f t="shared" si="12"/>
        <v/>
      </c>
      <c r="AF16" s="1064" t="str">
        <f t="shared" si="13"/>
        <v/>
      </c>
      <c r="AG16" s="1064" t="str">
        <f t="shared" si="14"/>
        <v/>
      </c>
      <c r="AH16" s="1064" t="str">
        <f t="shared" si="15"/>
        <v/>
      </c>
      <c r="AI16" s="1064" t="str">
        <f t="shared" si="16"/>
        <v/>
      </c>
      <c r="AJ16" s="1064" t="str">
        <f t="shared" si="17"/>
        <v/>
      </c>
      <c r="AK16" s="1064" t="str">
        <f t="shared" si="18"/>
        <v/>
      </c>
      <c r="AL16" s="1064" t="str">
        <f t="shared" si="19"/>
        <v/>
      </c>
      <c r="AM16" s="1064" t="str">
        <f t="shared" si="20"/>
        <v/>
      </c>
      <c r="AN16" s="1064" t="str">
        <f t="shared" si="21"/>
        <v/>
      </c>
      <c r="AO16" s="1064" t="str">
        <f t="shared" si="22"/>
        <v/>
      </c>
      <c r="AP16" s="1064" t="str">
        <f t="shared" si="23"/>
        <v/>
      </c>
      <c r="AQ16" s="1064" t="str">
        <f t="shared" si="24"/>
        <v/>
      </c>
      <c r="AR16" s="1064" t="str">
        <f t="shared" si="25"/>
        <v/>
      </c>
      <c r="AS16" s="1064" t="str">
        <f t="shared" si="26"/>
        <v/>
      </c>
      <c r="AT16" s="1064" t="str">
        <f t="shared" si="27"/>
        <v/>
      </c>
      <c r="AU16" s="1064" t="str">
        <f t="shared" si="28"/>
        <v/>
      </c>
      <c r="AV16" s="1064" t="str">
        <f t="shared" si="29"/>
        <v/>
      </c>
      <c r="AW16" s="1064" t="str">
        <f t="shared" si="30"/>
        <v/>
      </c>
      <c r="AX16" s="1064" t="str">
        <f t="shared" si="31"/>
        <v/>
      </c>
      <c r="AY16" s="1064" t="str">
        <f t="shared" si="32"/>
        <v/>
      </c>
      <c r="AZ16" s="1064" t="str">
        <f t="shared" si="33"/>
        <v/>
      </c>
      <c r="BA16" s="1064" t="str">
        <f t="shared" si="34"/>
        <v/>
      </c>
      <c r="BB16" s="1064" t="str">
        <f t="shared" si="35"/>
        <v/>
      </c>
      <c r="BC16" s="1064" t="str">
        <f t="shared" si="36"/>
        <v/>
      </c>
      <c r="BD16" s="1064" t="str">
        <f t="shared" si="37"/>
        <v/>
      </c>
      <c r="BE16" s="1064" t="str">
        <f t="shared" si="38"/>
        <v/>
      </c>
      <c r="BF16" s="1064" t="str">
        <f t="shared" si="39"/>
        <v/>
      </c>
      <c r="BG16" s="1064" t="str">
        <f t="shared" si="40"/>
        <v/>
      </c>
      <c r="BH16" s="1064" t="str">
        <f t="shared" si="41"/>
        <v/>
      </c>
      <c r="BI16" s="1064" t="str">
        <f t="shared" si="42"/>
        <v/>
      </c>
      <c r="BJ16" s="1064" t="str">
        <f t="shared" si="43"/>
        <v/>
      </c>
      <c r="BK16" s="1064" t="str">
        <f t="shared" si="44"/>
        <v/>
      </c>
      <c r="BL16" s="1064" t="str">
        <f t="shared" si="45"/>
        <v/>
      </c>
      <c r="BM16" s="1064" t="str">
        <f t="shared" si="46"/>
        <v/>
      </c>
      <c r="BN16" s="1064" t="str">
        <f t="shared" si="47"/>
        <v/>
      </c>
      <c r="BO16" s="1064" t="str">
        <f t="shared" si="48"/>
        <v/>
      </c>
      <c r="BP16" s="1064" t="str">
        <f t="shared" si="49"/>
        <v/>
      </c>
      <c r="BQ16" s="1064" t="str">
        <f t="shared" si="50"/>
        <v/>
      </c>
      <c r="BR16" s="1064" t="str">
        <f t="shared" si="51"/>
        <v/>
      </c>
      <c r="BS16" s="1064" t="str">
        <f t="shared" si="52"/>
        <v/>
      </c>
      <c r="BT16" s="1064" t="str">
        <f t="shared" si="53"/>
        <v/>
      </c>
      <c r="BU16" s="1064" t="str">
        <f t="shared" si="54"/>
        <v/>
      </c>
      <c r="BV16" s="1064" t="str">
        <f t="shared" si="55"/>
        <v/>
      </c>
      <c r="BW16" s="1064" t="str">
        <f t="shared" si="56"/>
        <v/>
      </c>
      <c r="BX16" s="1064" t="str">
        <f t="shared" si="57"/>
        <v/>
      </c>
      <c r="BY16" s="1064" t="str">
        <f t="shared" si="58"/>
        <v/>
      </c>
      <c r="BZ16" s="1064" t="str">
        <f t="shared" si="59"/>
        <v/>
      </c>
      <c r="CA16" s="1064" t="str">
        <f t="shared" si="60"/>
        <v/>
      </c>
      <c r="CB16" s="1064" t="str">
        <f t="shared" si="61"/>
        <v/>
      </c>
      <c r="CC16" s="1064" t="str">
        <f t="shared" si="62"/>
        <v/>
      </c>
      <c r="CD16" s="1064" t="str">
        <f t="shared" si="63"/>
        <v/>
      </c>
      <c r="CE16" s="1064" t="str">
        <f t="shared" si="64"/>
        <v/>
      </c>
      <c r="CF16" s="1064" t="str">
        <f t="shared" si="65"/>
        <v/>
      </c>
      <c r="CG16" s="1064" t="str">
        <f t="shared" si="66"/>
        <v/>
      </c>
      <c r="CH16" s="1064" t="str">
        <f t="shared" si="67"/>
        <v/>
      </c>
      <c r="CI16" s="1064" t="str">
        <f t="shared" si="68"/>
        <v/>
      </c>
      <c r="CJ16" s="1064" t="str">
        <f t="shared" si="69"/>
        <v/>
      </c>
      <c r="CK16" s="1064" t="str">
        <f t="shared" si="70"/>
        <v/>
      </c>
      <c r="CL16" s="1064" t="str">
        <f t="shared" si="71"/>
        <v/>
      </c>
      <c r="CM16" s="1064" t="str">
        <f t="shared" si="72"/>
        <v/>
      </c>
      <c r="CN16" s="1064" t="str">
        <f t="shared" si="73"/>
        <v/>
      </c>
      <c r="CO16" s="1064" t="str">
        <f t="shared" si="74"/>
        <v/>
      </c>
      <c r="CP16" s="1064" t="str">
        <f t="shared" si="75"/>
        <v/>
      </c>
      <c r="CQ16" s="1064" t="str">
        <f t="shared" si="76"/>
        <v/>
      </c>
      <c r="CR16" s="1064" t="str">
        <f t="shared" si="77"/>
        <v/>
      </c>
      <c r="CS16" s="1064" t="str">
        <f t="shared" si="78"/>
        <v/>
      </c>
      <c r="CT16" s="1064" t="str">
        <f t="shared" si="79"/>
        <v/>
      </c>
      <c r="CU16" s="1064" t="str">
        <f t="shared" si="80"/>
        <v/>
      </c>
      <c r="CV16" s="1064" t="str">
        <f t="shared" si="81"/>
        <v/>
      </c>
      <c r="CW16" s="1064" t="str">
        <f t="shared" si="82"/>
        <v/>
      </c>
      <c r="CX16" s="1064" t="str">
        <f t="shared" si="83"/>
        <v/>
      </c>
      <c r="CY16" s="1064" t="str">
        <f t="shared" si="84"/>
        <v/>
      </c>
      <c r="CZ16" s="1064" t="str">
        <f t="shared" si="85"/>
        <v/>
      </c>
      <c r="DA16" s="1064" t="str">
        <f t="shared" si="86"/>
        <v/>
      </c>
      <c r="DB16" s="1064" t="str">
        <f t="shared" si="87"/>
        <v/>
      </c>
      <c r="DC16" s="1064" t="str">
        <f t="shared" si="88"/>
        <v/>
      </c>
      <c r="DD16" s="1064" t="str">
        <f t="shared" si="89"/>
        <v/>
      </c>
      <c r="DE16" s="1064" t="str">
        <f t="shared" si="90"/>
        <v/>
      </c>
      <c r="DF16" s="1064" t="str">
        <f t="shared" si="91"/>
        <v/>
      </c>
      <c r="DG16" s="1064" t="str">
        <f t="shared" si="92"/>
        <v/>
      </c>
      <c r="DH16" s="1064" t="str">
        <f t="shared" si="93"/>
        <v/>
      </c>
      <c r="DI16" s="1064" t="str">
        <f t="shared" si="94"/>
        <v/>
      </c>
      <c r="DJ16" s="1064" t="str">
        <f t="shared" si="95"/>
        <v/>
      </c>
      <c r="DK16" s="1064" t="str">
        <f t="shared" si="96"/>
        <v/>
      </c>
      <c r="DL16" s="1064" t="str">
        <f t="shared" si="97"/>
        <v/>
      </c>
      <c r="DM16" s="1064" t="str">
        <f t="shared" si="98"/>
        <v/>
      </c>
      <c r="DN16" s="1064" t="str">
        <f t="shared" si="99"/>
        <v/>
      </c>
      <c r="DO16" s="1064" t="str">
        <f t="shared" si="100"/>
        <v/>
      </c>
      <c r="DP16" s="1064" t="str">
        <f t="shared" si="101"/>
        <v/>
      </c>
      <c r="DQ16" s="1064" t="str">
        <f t="shared" si="102"/>
        <v/>
      </c>
      <c r="DR16" s="1064" t="str">
        <f t="shared" si="103"/>
        <v/>
      </c>
      <c r="DS16" s="1064" t="str">
        <f t="shared" si="104"/>
        <v/>
      </c>
      <c r="DT16" s="1064" t="str">
        <f t="shared" si="105"/>
        <v/>
      </c>
      <c r="DU16" s="1064" t="str">
        <f t="shared" si="106"/>
        <v/>
      </c>
      <c r="DV16" s="1064" t="str">
        <f t="shared" si="107"/>
        <v/>
      </c>
      <c r="DW16" s="1064" t="str">
        <f t="shared" si="108"/>
        <v/>
      </c>
      <c r="DX16" s="1064" t="str">
        <f t="shared" si="109"/>
        <v/>
      </c>
      <c r="DY16" s="1064" t="str">
        <f t="shared" si="110"/>
        <v/>
      </c>
      <c r="DZ16" s="1064" t="str">
        <f t="shared" si="111"/>
        <v/>
      </c>
      <c r="EA16" s="1064" t="str">
        <f t="shared" si="112"/>
        <v/>
      </c>
      <c r="EB16" s="1064" t="str">
        <f t="shared" si="113"/>
        <v/>
      </c>
      <c r="EC16" s="1064" t="str">
        <f t="shared" si="114"/>
        <v/>
      </c>
      <c r="ED16" s="1064" t="str">
        <f t="shared" si="115"/>
        <v/>
      </c>
      <c r="EE16" s="1064" t="str">
        <f t="shared" si="116"/>
        <v/>
      </c>
      <c r="EF16" s="1064" t="str">
        <f t="shared" si="117"/>
        <v/>
      </c>
      <c r="EG16" s="1064" t="str">
        <f t="shared" si="313"/>
        <v/>
      </c>
      <c r="EH16" s="1064" t="str">
        <f t="shared" si="118"/>
        <v/>
      </c>
      <c r="EI16" s="1064" t="str">
        <f t="shared" si="119"/>
        <v/>
      </c>
      <c r="EJ16" s="1064" t="str">
        <f t="shared" si="120"/>
        <v/>
      </c>
      <c r="EK16" s="1064" t="str">
        <f t="shared" si="121"/>
        <v/>
      </c>
      <c r="EL16" s="1064" t="str">
        <f t="shared" si="122"/>
        <v/>
      </c>
      <c r="EM16" s="1064" t="str">
        <f t="shared" si="123"/>
        <v/>
      </c>
      <c r="EN16" s="1064" t="str">
        <f t="shared" si="124"/>
        <v/>
      </c>
      <c r="EO16" s="1064" t="str">
        <f t="shared" si="125"/>
        <v/>
      </c>
      <c r="EP16" s="1064" t="str">
        <f t="shared" si="126"/>
        <v/>
      </c>
      <c r="EQ16" s="1064" t="str">
        <f t="shared" si="127"/>
        <v/>
      </c>
      <c r="ER16" s="1064" t="str">
        <f t="shared" si="128"/>
        <v/>
      </c>
      <c r="ES16" s="1064" t="str">
        <f t="shared" si="129"/>
        <v/>
      </c>
      <c r="ET16" s="1064" t="str">
        <f t="shared" si="130"/>
        <v/>
      </c>
      <c r="EU16" s="1064" t="str">
        <f t="shared" si="131"/>
        <v/>
      </c>
      <c r="EV16" s="1064" t="str">
        <f t="shared" si="132"/>
        <v/>
      </c>
      <c r="EW16" s="1064" t="str">
        <f t="shared" si="314"/>
        <v/>
      </c>
      <c r="EX16" s="1064" t="str">
        <f t="shared" si="315"/>
        <v/>
      </c>
      <c r="EY16" s="1064" t="str">
        <f t="shared" si="316"/>
        <v/>
      </c>
      <c r="EZ16" s="1064" t="str">
        <f t="shared" si="317"/>
        <v/>
      </c>
      <c r="FA16" s="1064" t="str">
        <f t="shared" si="318"/>
        <v/>
      </c>
      <c r="FB16" s="1064" t="str">
        <f t="shared" si="133"/>
        <v/>
      </c>
      <c r="FC16" s="1064" t="str">
        <f t="shared" si="134"/>
        <v/>
      </c>
      <c r="FD16" s="1064" t="str">
        <f t="shared" si="135"/>
        <v/>
      </c>
      <c r="FE16" s="1064" t="str">
        <f t="shared" si="136"/>
        <v/>
      </c>
      <c r="FF16" s="1064" t="str">
        <f t="shared" si="137"/>
        <v/>
      </c>
      <c r="FG16" s="1064" t="str">
        <f t="shared" si="319"/>
        <v/>
      </c>
      <c r="FH16" s="1064" t="str">
        <f t="shared" si="320"/>
        <v/>
      </c>
      <c r="FI16" s="1064" t="str">
        <f t="shared" si="321"/>
        <v/>
      </c>
      <c r="FJ16" s="1064" t="str">
        <f t="shared" si="322"/>
        <v/>
      </c>
      <c r="FK16" s="1064" t="str">
        <f t="shared" si="323"/>
        <v/>
      </c>
      <c r="FL16" s="1064" t="str">
        <f t="shared" si="138"/>
        <v/>
      </c>
      <c r="FM16" s="1064" t="str">
        <f t="shared" si="139"/>
        <v/>
      </c>
      <c r="FN16" s="1064" t="str">
        <f t="shared" si="140"/>
        <v/>
      </c>
      <c r="FO16" s="1064" t="str">
        <f t="shared" si="141"/>
        <v/>
      </c>
      <c r="FP16" s="1064" t="str">
        <f t="shared" si="142"/>
        <v/>
      </c>
      <c r="FQ16" s="1064" t="str">
        <f t="shared" si="143"/>
        <v/>
      </c>
      <c r="FR16" s="1064" t="str">
        <f t="shared" si="144"/>
        <v/>
      </c>
      <c r="FS16" s="1064" t="str">
        <f t="shared" si="145"/>
        <v/>
      </c>
      <c r="FT16" s="1064" t="str">
        <f t="shared" si="146"/>
        <v/>
      </c>
      <c r="FU16" s="1064" t="str">
        <f t="shared" si="147"/>
        <v/>
      </c>
      <c r="FV16" s="1064" t="str">
        <f t="shared" si="148"/>
        <v/>
      </c>
      <c r="FW16" s="1064" t="str">
        <f t="shared" si="149"/>
        <v/>
      </c>
      <c r="FX16" s="1064" t="str">
        <f t="shared" si="150"/>
        <v/>
      </c>
      <c r="FY16" s="1064" t="str">
        <f t="shared" si="151"/>
        <v/>
      </c>
      <c r="FZ16" s="1064" t="str">
        <f t="shared" si="152"/>
        <v/>
      </c>
      <c r="GA16" s="1064" t="str">
        <f t="shared" si="153"/>
        <v/>
      </c>
      <c r="GB16" s="1064" t="str">
        <f t="shared" si="154"/>
        <v/>
      </c>
      <c r="GC16" s="1064" t="str">
        <f t="shared" si="155"/>
        <v/>
      </c>
      <c r="GD16" s="1064" t="str">
        <f t="shared" si="156"/>
        <v/>
      </c>
      <c r="GE16" s="1064" t="str">
        <f t="shared" si="157"/>
        <v/>
      </c>
      <c r="GF16" s="1064" t="str">
        <f t="shared" si="158"/>
        <v/>
      </c>
      <c r="GG16" s="1064" t="str">
        <f t="shared" si="159"/>
        <v/>
      </c>
      <c r="GH16" s="1064" t="str">
        <f t="shared" si="160"/>
        <v/>
      </c>
      <c r="GI16" s="1064" t="str">
        <f t="shared" si="161"/>
        <v/>
      </c>
      <c r="GJ16" s="1064" t="str">
        <f t="shared" si="162"/>
        <v/>
      </c>
      <c r="GK16" s="1064" t="str">
        <f t="shared" si="163"/>
        <v/>
      </c>
      <c r="GL16" s="1064" t="str">
        <f t="shared" si="164"/>
        <v/>
      </c>
      <c r="GM16" s="1064" t="str">
        <f t="shared" si="165"/>
        <v/>
      </c>
      <c r="GN16" s="1064" t="str">
        <f t="shared" si="166"/>
        <v/>
      </c>
      <c r="GO16" s="1064" t="str">
        <f t="shared" si="167"/>
        <v/>
      </c>
      <c r="GP16" s="1064" t="str">
        <f t="shared" si="168"/>
        <v/>
      </c>
      <c r="GQ16" s="1064" t="str">
        <f t="shared" si="169"/>
        <v/>
      </c>
      <c r="GR16" s="1064" t="str">
        <f t="shared" si="170"/>
        <v/>
      </c>
      <c r="GS16" s="1064" t="str">
        <f t="shared" si="171"/>
        <v/>
      </c>
      <c r="GT16" s="1064" t="str">
        <f t="shared" si="172"/>
        <v/>
      </c>
      <c r="GU16" s="1064" t="str">
        <f t="shared" si="173"/>
        <v/>
      </c>
      <c r="GV16" s="1064" t="str">
        <f t="shared" si="174"/>
        <v/>
      </c>
      <c r="GW16" s="1064" t="str">
        <f t="shared" si="175"/>
        <v/>
      </c>
      <c r="GX16" s="1064" t="str">
        <f t="shared" si="176"/>
        <v/>
      </c>
      <c r="GY16" s="1064" t="str">
        <f t="shared" si="177"/>
        <v/>
      </c>
      <c r="GZ16" s="1064" t="str">
        <f t="shared" si="178"/>
        <v/>
      </c>
      <c r="HA16" s="1064" t="str">
        <f t="shared" si="179"/>
        <v/>
      </c>
      <c r="HB16" s="1064" t="str">
        <f t="shared" si="180"/>
        <v/>
      </c>
      <c r="HC16" s="1064" t="str">
        <f t="shared" si="181"/>
        <v/>
      </c>
      <c r="HD16" s="1064" t="str">
        <f t="shared" si="182"/>
        <v/>
      </c>
      <c r="HE16" s="1064" t="str">
        <f t="shared" si="183"/>
        <v/>
      </c>
      <c r="HF16" s="1064" t="str">
        <f t="shared" si="184"/>
        <v/>
      </c>
      <c r="HG16" s="1064" t="str">
        <f t="shared" si="185"/>
        <v/>
      </c>
      <c r="HH16" s="1064" t="str">
        <f t="shared" si="186"/>
        <v/>
      </c>
      <c r="HI16" s="1064" t="str">
        <f t="shared" si="187"/>
        <v/>
      </c>
      <c r="HJ16" s="1064" t="str">
        <f t="shared" si="188"/>
        <v/>
      </c>
      <c r="HK16" s="1064" t="str">
        <f t="shared" si="189"/>
        <v/>
      </c>
      <c r="HL16" s="1064" t="str">
        <f t="shared" si="190"/>
        <v/>
      </c>
      <c r="HM16" s="1064" t="str">
        <f t="shared" si="191"/>
        <v/>
      </c>
      <c r="HN16" s="1064" t="str">
        <f t="shared" si="192"/>
        <v/>
      </c>
      <c r="HO16" s="1064" t="str">
        <f t="shared" si="193"/>
        <v/>
      </c>
      <c r="HP16" s="1064" t="str">
        <f t="shared" si="194"/>
        <v/>
      </c>
      <c r="HQ16" s="1064" t="str">
        <f t="shared" si="195"/>
        <v/>
      </c>
      <c r="HR16" s="1064" t="str">
        <f t="shared" si="196"/>
        <v/>
      </c>
      <c r="HS16" s="1064" t="str">
        <f t="shared" si="197"/>
        <v/>
      </c>
      <c r="HT16" s="1064" t="str">
        <f t="shared" si="198"/>
        <v/>
      </c>
      <c r="HU16" s="1064" t="str">
        <f t="shared" si="199"/>
        <v/>
      </c>
      <c r="HV16" s="1064" t="str">
        <f t="shared" si="200"/>
        <v/>
      </c>
      <c r="HW16" s="1064" t="str">
        <f t="shared" si="201"/>
        <v/>
      </c>
      <c r="HX16" s="1064" t="str">
        <f t="shared" si="202"/>
        <v/>
      </c>
      <c r="HY16" s="1097" t="str">
        <f t="shared" si="203"/>
        <v/>
      </c>
      <c r="HZ16" s="1097" t="str">
        <f t="shared" si="204"/>
        <v/>
      </c>
      <c r="IA16" s="1097" t="str">
        <f t="shared" si="205"/>
        <v/>
      </c>
      <c r="IB16" s="1097" t="str">
        <f t="shared" si="206"/>
        <v/>
      </c>
      <c r="IC16" s="1097" t="str">
        <f t="shared" si="207"/>
        <v/>
      </c>
      <c r="ID16" s="1097" t="str">
        <f t="shared" si="208"/>
        <v/>
      </c>
      <c r="IE16" s="1097" t="str">
        <f t="shared" si="209"/>
        <v/>
      </c>
      <c r="IF16" s="1097" t="str">
        <f t="shared" si="210"/>
        <v/>
      </c>
      <c r="IG16" s="1097" t="str">
        <f t="shared" si="211"/>
        <v/>
      </c>
      <c r="IH16" s="1097" t="str">
        <f t="shared" si="212"/>
        <v/>
      </c>
      <c r="II16" s="1097" t="str">
        <f t="shared" si="213"/>
        <v/>
      </c>
      <c r="IJ16" s="1097" t="str">
        <f t="shared" si="214"/>
        <v/>
      </c>
      <c r="IK16" s="1097" t="str">
        <f t="shared" si="215"/>
        <v/>
      </c>
      <c r="IL16" s="1097" t="str">
        <f t="shared" si="216"/>
        <v/>
      </c>
      <c r="IM16" s="1097" t="str">
        <f t="shared" si="217"/>
        <v/>
      </c>
      <c r="IN16" s="1097" t="str">
        <f t="shared" si="218"/>
        <v/>
      </c>
      <c r="IO16" s="1097" t="str">
        <f t="shared" si="219"/>
        <v/>
      </c>
      <c r="IP16" s="1097" t="str">
        <f t="shared" si="220"/>
        <v/>
      </c>
      <c r="IQ16" s="1097" t="str">
        <f t="shared" si="221"/>
        <v/>
      </c>
      <c r="IR16" s="1097" t="str">
        <f t="shared" si="222"/>
        <v/>
      </c>
      <c r="IS16" s="1097" t="str">
        <f t="shared" si="223"/>
        <v/>
      </c>
      <c r="IT16" s="1097" t="str">
        <f t="shared" si="224"/>
        <v/>
      </c>
      <c r="IU16" s="1097" t="str">
        <f t="shared" si="225"/>
        <v/>
      </c>
      <c r="IV16" s="1097" t="str">
        <f t="shared" si="226"/>
        <v/>
      </c>
      <c r="IW16" s="1097" t="str">
        <f t="shared" si="227"/>
        <v/>
      </c>
      <c r="IX16" s="1097" t="str">
        <f t="shared" si="228"/>
        <v/>
      </c>
      <c r="IY16" s="1097" t="str">
        <f t="shared" si="229"/>
        <v/>
      </c>
      <c r="IZ16" s="1097" t="str">
        <f t="shared" si="230"/>
        <v/>
      </c>
      <c r="JA16" s="1097" t="str">
        <f t="shared" si="231"/>
        <v/>
      </c>
      <c r="JB16" s="1097" t="str">
        <f t="shared" si="232"/>
        <v/>
      </c>
      <c r="JC16" s="1097" t="str">
        <f t="shared" si="233"/>
        <v/>
      </c>
      <c r="JD16" s="1097" t="str">
        <f t="shared" si="234"/>
        <v/>
      </c>
      <c r="JE16" s="1097" t="str">
        <f t="shared" si="235"/>
        <v/>
      </c>
      <c r="JF16" s="1097" t="str">
        <f t="shared" si="236"/>
        <v/>
      </c>
      <c r="JG16" s="1097" t="str">
        <f t="shared" si="237"/>
        <v/>
      </c>
      <c r="JH16" s="1097" t="str">
        <f t="shared" si="238"/>
        <v/>
      </c>
      <c r="JI16" s="1097" t="str">
        <f t="shared" si="239"/>
        <v/>
      </c>
      <c r="JJ16" s="1097" t="str">
        <f t="shared" si="240"/>
        <v/>
      </c>
      <c r="JK16" s="1097" t="str">
        <f t="shared" si="241"/>
        <v/>
      </c>
      <c r="JL16" s="1097" t="str">
        <f t="shared" si="242"/>
        <v/>
      </c>
      <c r="JM16" s="1097" t="str">
        <f t="shared" si="243"/>
        <v/>
      </c>
      <c r="JN16" s="1097" t="str">
        <f t="shared" si="244"/>
        <v/>
      </c>
      <c r="JO16" s="1097" t="str">
        <f t="shared" si="245"/>
        <v/>
      </c>
      <c r="JP16" s="1097" t="str">
        <f t="shared" si="246"/>
        <v/>
      </c>
      <c r="JQ16" s="1097" t="str">
        <f t="shared" si="247"/>
        <v/>
      </c>
      <c r="JR16" s="1097" t="str">
        <f t="shared" si="248"/>
        <v/>
      </c>
      <c r="JS16" s="1097" t="str">
        <f t="shared" si="249"/>
        <v/>
      </c>
      <c r="JT16" s="1097" t="str">
        <f t="shared" si="250"/>
        <v/>
      </c>
      <c r="JU16" s="1097" t="str">
        <f t="shared" si="251"/>
        <v/>
      </c>
      <c r="JV16" s="1097" t="str">
        <f t="shared" si="252"/>
        <v/>
      </c>
      <c r="JW16" s="1097" t="str">
        <f t="shared" si="253"/>
        <v/>
      </c>
      <c r="JX16" s="1097" t="str">
        <f t="shared" si="254"/>
        <v/>
      </c>
      <c r="JY16" s="1097" t="str">
        <f t="shared" si="255"/>
        <v/>
      </c>
      <c r="JZ16" s="1097" t="str">
        <f t="shared" si="256"/>
        <v/>
      </c>
      <c r="KA16" s="1097" t="str">
        <f t="shared" si="257"/>
        <v/>
      </c>
      <c r="KB16" s="1097" t="str">
        <f t="shared" si="258"/>
        <v/>
      </c>
      <c r="KC16" s="1097" t="str">
        <f t="shared" si="259"/>
        <v/>
      </c>
      <c r="KD16" s="1097" t="str">
        <f t="shared" si="260"/>
        <v/>
      </c>
      <c r="KE16" s="1097" t="str">
        <f t="shared" si="261"/>
        <v/>
      </c>
      <c r="KF16" s="1097" t="str">
        <f t="shared" si="262"/>
        <v/>
      </c>
      <c r="KG16" s="1097" t="str">
        <f t="shared" si="263"/>
        <v/>
      </c>
      <c r="KH16" s="1097" t="str">
        <f t="shared" si="264"/>
        <v/>
      </c>
      <c r="KI16" s="1097" t="str">
        <f t="shared" si="265"/>
        <v/>
      </c>
      <c r="KJ16" s="1097" t="str">
        <f t="shared" si="266"/>
        <v/>
      </c>
      <c r="KK16" s="1097" t="str">
        <f t="shared" si="267"/>
        <v/>
      </c>
      <c r="KL16" s="1097" t="str">
        <f t="shared" si="268"/>
        <v/>
      </c>
      <c r="KM16" s="1097" t="str">
        <f t="shared" si="269"/>
        <v/>
      </c>
      <c r="KN16" s="1097" t="str">
        <f t="shared" si="270"/>
        <v/>
      </c>
      <c r="KO16" s="1097" t="str">
        <f t="shared" si="271"/>
        <v/>
      </c>
      <c r="KP16" s="1097" t="str">
        <f t="shared" si="272"/>
        <v/>
      </c>
      <c r="KQ16" s="1097" t="str">
        <f t="shared" si="273"/>
        <v/>
      </c>
      <c r="KR16" s="1097" t="str">
        <f t="shared" si="274"/>
        <v/>
      </c>
      <c r="KS16" s="1097" t="str">
        <f t="shared" si="275"/>
        <v/>
      </c>
      <c r="KT16" s="1097" t="str">
        <f t="shared" si="276"/>
        <v/>
      </c>
      <c r="KU16" s="1097" t="str">
        <f t="shared" si="277"/>
        <v/>
      </c>
      <c r="KV16" s="1097" t="str">
        <f t="shared" si="278"/>
        <v/>
      </c>
      <c r="KW16" s="1097" t="str">
        <f t="shared" si="279"/>
        <v/>
      </c>
      <c r="KX16" s="1097" t="str">
        <f t="shared" si="280"/>
        <v/>
      </c>
      <c r="KY16" s="1097" t="str">
        <f t="shared" si="281"/>
        <v/>
      </c>
      <c r="KZ16" s="1097" t="str">
        <f t="shared" si="282"/>
        <v/>
      </c>
      <c r="LA16" s="1097" t="str">
        <f t="shared" si="283"/>
        <v/>
      </c>
      <c r="LB16" s="1097" t="str">
        <f t="shared" si="284"/>
        <v/>
      </c>
      <c r="LC16" s="1097" t="str">
        <f t="shared" si="285"/>
        <v/>
      </c>
      <c r="LD16" s="1097" t="str">
        <f t="shared" si="286"/>
        <v/>
      </c>
      <c r="LE16" s="1097" t="str">
        <f t="shared" si="287"/>
        <v/>
      </c>
      <c r="LF16" s="1098" t="str">
        <f t="shared" si="288"/>
        <v/>
      </c>
      <c r="LG16" s="1098" t="str">
        <f t="shared" si="289"/>
        <v/>
      </c>
      <c r="LH16" s="1098" t="str">
        <f t="shared" si="290"/>
        <v/>
      </c>
      <c r="LI16" s="1098" t="str">
        <f t="shared" si="291"/>
        <v/>
      </c>
      <c r="LJ16" s="1098" t="str">
        <f t="shared" si="292"/>
        <v/>
      </c>
      <c r="LK16" s="1064" t="str">
        <f t="shared" si="293"/>
        <v/>
      </c>
      <c r="LL16" s="1064" t="str">
        <f t="shared" si="294"/>
        <v/>
      </c>
      <c r="LM16" s="1064" t="str">
        <f t="shared" si="295"/>
        <v/>
      </c>
      <c r="LN16" s="1064" t="str">
        <f t="shared" si="296"/>
        <v/>
      </c>
      <c r="LO16" s="1064" t="str">
        <f t="shared" si="297"/>
        <v/>
      </c>
      <c r="LP16" s="1064" t="str">
        <f t="shared" si="298"/>
        <v/>
      </c>
      <c r="LQ16" s="1064" t="str">
        <f t="shared" si="299"/>
        <v/>
      </c>
      <c r="LR16" s="1064" t="str">
        <f t="shared" si="300"/>
        <v/>
      </c>
      <c r="LS16" s="1064" t="str">
        <f t="shared" si="301"/>
        <v/>
      </c>
      <c r="LT16" s="1064" t="str">
        <f t="shared" si="302"/>
        <v/>
      </c>
      <c r="LU16" s="1064" t="str">
        <f t="shared" si="303"/>
        <v/>
      </c>
      <c r="LV16" s="1064" t="str">
        <f t="shared" si="304"/>
        <v/>
      </c>
      <c r="LW16" s="1064" t="str">
        <f t="shared" si="305"/>
        <v/>
      </c>
      <c r="LX16" s="1064" t="str">
        <f t="shared" si="306"/>
        <v/>
      </c>
      <c r="LY16" s="1064" t="str">
        <f t="shared" si="307"/>
        <v/>
      </c>
      <c r="LZ16" s="1064" t="str">
        <f t="shared" si="308"/>
        <v/>
      </c>
      <c r="MA16" s="1064" t="str">
        <f t="shared" si="309"/>
        <v/>
      </c>
      <c r="MB16" s="1064" t="str">
        <f t="shared" si="310"/>
        <v/>
      </c>
      <c r="MC16" s="1064" t="str">
        <f t="shared" si="311"/>
        <v/>
      </c>
      <c r="MD16" s="1064" t="str">
        <f t="shared" si="312"/>
        <v/>
      </c>
      <c r="ME16" s="1081">
        <f t="shared" si="324"/>
        <v>0</v>
      </c>
      <c r="MF16" s="1081">
        <f t="shared" si="325"/>
        <v>0</v>
      </c>
      <c r="MG16" s="1081">
        <f t="shared" si="326"/>
        <v>0</v>
      </c>
      <c r="MH16" s="1081">
        <f t="shared" si="327"/>
        <v>0</v>
      </c>
      <c r="MI16" s="1081">
        <f t="shared" si="328"/>
        <v>0</v>
      </c>
      <c r="MJ16" s="1081">
        <f t="shared" si="329"/>
        <v>0</v>
      </c>
      <c r="MK16" s="1081">
        <f t="shared" si="330"/>
        <v>0</v>
      </c>
      <c r="ML16" s="1081">
        <f t="shared" si="331"/>
        <v>0</v>
      </c>
      <c r="MM16" s="1081">
        <f t="shared" si="332"/>
        <v>0</v>
      </c>
      <c r="MN16" s="1081">
        <f t="shared" si="333"/>
        <v>0</v>
      </c>
      <c r="MO16" s="1081">
        <f t="shared" si="334"/>
        <v>0</v>
      </c>
      <c r="MP16" s="1081">
        <f t="shared" si="335"/>
        <v>0</v>
      </c>
      <c r="MQ16" s="1081">
        <f t="shared" si="336"/>
        <v>0</v>
      </c>
      <c r="MR16" s="1081">
        <f t="shared" si="337"/>
        <v>0</v>
      </c>
      <c r="MS16" s="1081">
        <f t="shared" si="338"/>
        <v>0</v>
      </c>
    </row>
    <row r="17" spans="1:357" ht="12" customHeight="1">
      <c r="A17" s="1088" t="str">
        <f t="shared" si="0"/>
        <v/>
      </c>
      <c r="B17" s="1116">
        <v>30</v>
      </c>
      <c r="C17" s="1117"/>
      <c r="D17" s="1118"/>
      <c r="E17" s="1119"/>
      <c r="F17" s="1119"/>
      <c r="G17" s="1119"/>
      <c r="H17" s="1119"/>
      <c r="I17" s="1120">
        <f>IF(C17="",0,HLOOKUP(C17,'Part V-Utility Allowances'!$I$11:$M$22,12))</f>
        <v>0</v>
      </c>
      <c r="J17" s="1121"/>
      <c r="K17" s="1122">
        <f t="shared" si="1"/>
        <v>0</v>
      </c>
      <c r="L17" s="1122">
        <f t="shared" si="2"/>
        <v>0</v>
      </c>
      <c r="M17" s="1123"/>
      <c r="N17" s="1123"/>
      <c r="O17" s="1123"/>
      <c r="P17" s="1124"/>
      <c r="Q17" s="1103" t="str">
        <f t="shared" si="3"/>
        <v/>
      </c>
      <c r="R17" s="1104" t="str">
        <f>IF(H17="","",IF(C17="Efficiency",Q17/($O$6*VLOOKUP(0,'DCA Underwriting Assumptions'!$J$146:$K$151,2,FALSE)),Q17/($O$6*VLOOKUP(C17,'DCA Underwriting Assumptions'!$J$146:$K$151,2,FALSE))))</f>
        <v/>
      </c>
      <c r="S17" s="1105"/>
      <c r="T17" s="1106"/>
      <c r="U17" s="2314"/>
      <c r="V17" s="2316"/>
      <c r="W17" s="1064" t="str">
        <f t="shared" si="4"/>
        <v/>
      </c>
      <c r="X17" s="1064" t="str">
        <f t="shared" si="5"/>
        <v/>
      </c>
      <c r="Y17" s="1064" t="str">
        <f t="shared" si="6"/>
        <v/>
      </c>
      <c r="Z17" s="1064" t="str">
        <f t="shared" si="7"/>
        <v/>
      </c>
      <c r="AA17" s="1064" t="str">
        <f t="shared" si="8"/>
        <v/>
      </c>
      <c r="AB17" s="1064" t="str">
        <f t="shared" si="9"/>
        <v/>
      </c>
      <c r="AC17" s="1064" t="str">
        <f t="shared" si="10"/>
        <v/>
      </c>
      <c r="AD17" s="1064" t="str">
        <f t="shared" si="11"/>
        <v/>
      </c>
      <c r="AE17" s="1064" t="str">
        <f t="shared" si="12"/>
        <v/>
      </c>
      <c r="AF17" s="1064" t="str">
        <f t="shared" si="13"/>
        <v/>
      </c>
      <c r="AG17" s="1064" t="str">
        <f t="shared" si="14"/>
        <v/>
      </c>
      <c r="AH17" s="1064" t="str">
        <f t="shared" si="15"/>
        <v/>
      </c>
      <c r="AI17" s="1064" t="str">
        <f t="shared" si="16"/>
        <v/>
      </c>
      <c r="AJ17" s="1064" t="str">
        <f t="shared" si="17"/>
        <v/>
      </c>
      <c r="AK17" s="1064" t="str">
        <f t="shared" si="18"/>
        <v/>
      </c>
      <c r="AL17" s="1064" t="str">
        <f t="shared" si="19"/>
        <v/>
      </c>
      <c r="AM17" s="1064" t="str">
        <f t="shared" si="20"/>
        <v/>
      </c>
      <c r="AN17" s="1064" t="str">
        <f t="shared" si="21"/>
        <v/>
      </c>
      <c r="AO17" s="1064" t="str">
        <f t="shared" si="22"/>
        <v/>
      </c>
      <c r="AP17" s="1064" t="str">
        <f t="shared" si="23"/>
        <v/>
      </c>
      <c r="AQ17" s="1064" t="str">
        <f t="shared" si="24"/>
        <v/>
      </c>
      <c r="AR17" s="1064" t="str">
        <f t="shared" si="25"/>
        <v/>
      </c>
      <c r="AS17" s="1064" t="str">
        <f t="shared" si="26"/>
        <v/>
      </c>
      <c r="AT17" s="1064" t="str">
        <f t="shared" si="27"/>
        <v/>
      </c>
      <c r="AU17" s="1064" t="str">
        <f t="shared" si="28"/>
        <v/>
      </c>
      <c r="AV17" s="1064" t="str">
        <f t="shared" si="29"/>
        <v/>
      </c>
      <c r="AW17" s="1064" t="str">
        <f t="shared" si="30"/>
        <v/>
      </c>
      <c r="AX17" s="1064" t="str">
        <f t="shared" si="31"/>
        <v/>
      </c>
      <c r="AY17" s="1064" t="str">
        <f t="shared" si="32"/>
        <v/>
      </c>
      <c r="AZ17" s="1064" t="str">
        <f t="shared" si="33"/>
        <v/>
      </c>
      <c r="BA17" s="1064" t="str">
        <f t="shared" si="34"/>
        <v/>
      </c>
      <c r="BB17" s="1064" t="str">
        <f t="shared" si="35"/>
        <v/>
      </c>
      <c r="BC17" s="1064" t="str">
        <f t="shared" si="36"/>
        <v/>
      </c>
      <c r="BD17" s="1064" t="str">
        <f t="shared" si="37"/>
        <v/>
      </c>
      <c r="BE17" s="1064" t="str">
        <f t="shared" si="38"/>
        <v/>
      </c>
      <c r="BF17" s="1064" t="str">
        <f t="shared" si="39"/>
        <v/>
      </c>
      <c r="BG17" s="1064" t="str">
        <f t="shared" si="40"/>
        <v/>
      </c>
      <c r="BH17" s="1064" t="str">
        <f t="shared" si="41"/>
        <v/>
      </c>
      <c r="BI17" s="1064" t="str">
        <f t="shared" si="42"/>
        <v/>
      </c>
      <c r="BJ17" s="1064" t="str">
        <f t="shared" si="43"/>
        <v/>
      </c>
      <c r="BK17" s="1064" t="str">
        <f t="shared" si="44"/>
        <v/>
      </c>
      <c r="BL17" s="1064" t="str">
        <f t="shared" si="45"/>
        <v/>
      </c>
      <c r="BM17" s="1064" t="str">
        <f t="shared" si="46"/>
        <v/>
      </c>
      <c r="BN17" s="1064" t="str">
        <f t="shared" si="47"/>
        <v/>
      </c>
      <c r="BO17" s="1064" t="str">
        <f t="shared" si="48"/>
        <v/>
      </c>
      <c r="BP17" s="1064" t="str">
        <f t="shared" si="49"/>
        <v/>
      </c>
      <c r="BQ17" s="1064" t="str">
        <f t="shared" si="50"/>
        <v/>
      </c>
      <c r="BR17" s="1064" t="str">
        <f t="shared" si="51"/>
        <v/>
      </c>
      <c r="BS17" s="1064" t="str">
        <f t="shared" si="52"/>
        <v/>
      </c>
      <c r="BT17" s="1064" t="str">
        <f t="shared" si="53"/>
        <v/>
      </c>
      <c r="BU17" s="1064" t="str">
        <f t="shared" si="54"/>
        <v/>
      </c>
      <c r="BV17" s="1064" t="str">
        <f t="shared" si="55"/>
        <v/>
      </c>
      <c r="BW17" s="1064" t="str">
        <f t="shared" si="56"/>
        <v/>
      </c>
      <c r="BX17" s="1064" t="str">
        <f t="shared" si="57"/>
        <v/>
      </c>
      <c r="BY17" s="1064" t="str">
        <f t="shared" si="58"/>
        <v/>
      </c>
      <c r="BZ17" s="1064" t="str">
        <f t="shared" si="59"/>
        <v/>
      </c>
      <c r="CA17" s="1064" t="str">
        <f t="shared" si="60"/>
        <v/>
      </c>
      <c r="CB17" s="1064" t="str">
        <f t="shared" si="61"/>
        <v/>
      </c>
      <c r="CC17" s="1064" t="str">
        <f t="shared" si="62"/>
        <v/>
      </c>
      <c r="CD17" s="1064" t="str">
        <f t="shared" si="63"/>
        <v/>
      </c>
      <c r="CE17" s="1064" t="str">
        <f t="shared" si="64"/>
        <v/>
      </c>
      <c r="CF17" s="1064" t="str">
        <f t="shared" si="65"/>
        <v/>
      </c>
      <c r="CG17" s="1064" t="str">
        <f t="shared" si="66"/>
        <v/>
      </c>
      <c r="CH17" s="1064" t="str">
        <f t="shared" si="67"/>
        <v/>
      </c>
      <c r="CI17" s="1064" t="str">
        <f t="shared" si="68"/>
        <v/>
      </c>
      <c r="CJ17" s="1064" t="str">
        <f t="shared" si="69"/>
        <v/>
      </c>
      <c r="CK17" s="1064" t="str">
        <f t="shared" si="70"/>
        <v/>
      </c>
      <c r="CL17" s="1064" t="str">
        <f t="shared" si="71"/>
        <v/>
      </c>
      <c r="CM17" s="1064" t="str">
        <f t="shared" si="72"/>
        <v/>
      </c>
      <c r="CN17" s="1064" t="str">
        <f t="shared" si="73"/>
        <v/>
      </c>
      <c r="CO17" s="1064" t="str">
        <f t="shared" si="74"/>
        <v/>
      </c>
      <c r="CP17" s="1064" t="str">
        <f t="shared" si="75"/>
        <v/>
      </c>
      <c r="CQ17" s="1064" t="str">
        <f t="shared" si="76"/>
        <v/>
      </c>
      <c r="CR17" s="1064" t="str">
        <f t="shared" si="77"/>
        <v/>
      </c>
      <c r="CS17" s="1064" t="str">
        <f t="shared" si="78"/>
        <v/>
      </c>
      <c r="CT17" s="1064" t="str">
        <f t="shared" si="79"/>
        <v/>
      </c>
      <c r="CU17" s="1064" t="str">
        <f t="shared" si="80"/>
        <v/>
      </c>
      <c r="CV17" s="1064" t="str">
        <f t="shared" si="81"/>
        <v/>
      </c>
      <c r="CW17" s="1064" t="str">
        <f t="shared" si="82"/>
        <v/>
      </c>
      <c r="CX17" s="1064" t="str">
        <f t="shared" si="83"/>
        <v/>
      </c>
      <c r="CY17" s="1064" t="str">
        <f t="shared" si="84"/>
        <v/>
      </c>
      <c r="CZ17" s="1064" t="str">
        <f t="shared" si="85"/>
        <v/>
      </c>
      <c r="DA17" s="1064" t="str">
        <f t="shared" si="86"/>
        <v/>
      </c>
      <c r="DB17" s="1064" t="str">
        <f t="shared" si="87"/>
        <v/>
      </c>
      <c r="DC17" s="1064" t="str">
        <f t="shared" si="88"/>
        <v/>
      </c>
      <c r="DD17" s="1064" t="str">
        <f t="shared" si="89"/>
        <v/>
      </c>
      <c r="DE17" s="1064" t="str">
        <f t="shared" si="90"/>
        <v/>
      </c>
      <c r="DF17" s="1064" t="str">
        <f t="shared" si="91"/>
        <v/>
      </c>
      <c r="DG17" s="1064" t="str">
        <f t="shared" si="92"/>
        <v/>
      </c>
      <c r="DH17" s="1064" t="str">
        <f t="shared" si="93"/>
        <v/>
      </c>
      <c r="DI17" s="1064" t="str">
        <f t="shared" si="94"/>
        <v/>
      </c>
      <c r="DJ17" s="1064" t="str">
        <f t="shared" si="95"/>
        <v/>
      </c>
      <c r="DK17" s="1064" t="str">
        <f t="shared" si="96"/>
        <v/>
      </c>
      <c r="DL17" s="1064" t="str">
        <f t="shared" si="97"/>
        <v/>
      </c>
      <c r="DM17" s="1064" t="str">
        <f t="shared" si="98"/>
        <v/>
      </c>
      <c r="DN17" s="1064" t="str">
        <f t="shared" si="99"/>
        <v/>
      </c>
      <c r="DO17" s="1064" t="str">
        <f t="shared" si="100"/>
        <v/>
      </c>
      <c r="DP17" s="1064" t="str">
        <f t="shared" si="101"/>
        <v/>
      </c>
      <c r="DQ17" s="1064" t="str">
        <f t="shared" si="102"/>
        <v/>
      </c>
      <c r="DR17" s="1064" t="str">
        <f t="shared" si="103"/>
        <v/>
      </c>
      <c r="DS17" s="1064" t="str">
        <f t="shared" si="104"/>
        <v/>
      </c>
      <c r="DT17" s="1064" t="str">
        <f t="shared" si="105"/>
        <v/>
      </c>
      <c r="DU17" s="1064" t="str">
        <f t="shared" si="106"/>
        <v/>
      </c>
      <c r="DV17" s="1064" t="str">
        <f t="shared" si="107"/>
        <v/>
      </c>
      <c r="DW17" s="1064" t="str">
        <f t="shared" si="108"/>
        <v/>
      </c>
      <c r="DX17" s="1064" t="str">
        <f t="shared" si="109"/>
        <v/>
      </c>
      <c r="DY17" s="1064" t="str">
        <f t="shared" si="110"/>
        <v/>
      </c>
      <c r="DZ17" s="1064" t="str">
        <f t="shared" si="111"/>
        <v/>
      </c>
      <c r="EA17" s="1064" t="str">
        <f t="shared" si="112"/>
        <v/>
      </c>
      <c r="EB17" s="1064" t="str">
        <f t="shared" si="113"/>
        <v/>
      </c>
      <c r="EC17" s="1064" t="str">
        <f t="shared" si="114"/>
        <v/>
      </c>
      <c r="ED17" s="1064" t="str">
        <f t="shared" si="115"/>
        <v/>
      </c>
      <c r="EE17" s="1064" t="str">
        <f t="shared" si="116"/>
        <v/>
      </c>
      <c r="EF17" s="1064" t="str">
        <f t="shared" si="117"/>
        <v/>
      </c>
      <c r="EG17" s="1064" t="str">
        <f t="shared" si="313"/>
        <v/>
      </c>
      <c r="EH17" s="1064" t="str">
        <f t="shared" si="118"/>
        <v/>
      </c>
      <c r="EI17" s="1064" t="str">
        <f t="shared" si="119"/>
        <v/>
      </c>
      <c r="EJ17" s="1064" t="str">
        <f t="shared" si="120"/>
        <v/>
      </c>
      <c r="EK17" s="1064" t="str">
        <f t="shared" si="121"/>
        <v/>
      </c>
      <c r="EL17" s="1064" t="str">
        <f t="shared" si="122"/>
        <v/>
      </c>
      <c r="EM17" s="1064" t="str">
        <f t="shared" si="123"/>
        <v/>
      </c>
      <c r="EN17" s="1064" t="str">
        <f t="shared" si="124"/>
        <v/>
      </c>
      <c r="EO17" s="1064" t="str">
        <f t="shared" si="125"/>
        <v/>
      </c>
      <c r="EP17" s="1064" t="str">
        <f t="shared" si="126"/>
        <v/>
      </c>
      <c r="EQ17" s="1064" t="str">
        <f t="shared" si="127"/>
        <v/>
      </c>
      <c r="ER17" s="1064" t="str">
        <f t="shared" si="128"/>
        <v/>
      </c>
      <c r="ES17" s="1064" t="str">
        <f t="shared" si="129"/>
        <v/>
      </c>
      <c r="ET17" s="1064" t="str">
        <f t="shared" si="130"/>
        <v/>
      </c>
      <c r="EU17" s="1064" t="str">
        <f t="shared" si="131"/>
        <v/>
      </c>
      <c r="EV17" s="1064" t="str">
        <f t="shared" si="132"/>
        <v/>
      </c>
      <c r="EW17" s="1064" t="str">
        <f t="shared" si="314"/>
        <v/>
      </c>
      <c r="EX17" s="1064" t="str">
        <f t="shared" si="315"/>
        <v/>
      </c>
      <c r="EY17" s="1064" t="str">
        <f t="shared" si="316"/>
        <v/>
      </c>
      <c r="EZ17" s="1064" t="str">
        <f t="shared" si="317"/>
        <v/>
      </c>
      <c r="FA17" s="1064" t="str">
        <f t="shared" si="318"/>
        <v/>
      </c>
      <c r="FB17" s="1064" t="str">
        <f t="shared" si="133"/>
        <v/>
      </c>
      <c r="FC17" s="1064" t="str">
        <f t="shared" si="134"/>
        <v/>
      </c>
      <c r="FD17" s="1064" t="str">
        <f t="shared" si="135"/>
        <v/>
      </c>
      <c r="FE17" s="1064" t="str">
        <f t="shared" si="136"/>
        <v/>
      </c>
      <c r="FF17" s="1064" t="str">
        <f t="shared" si="137"/>
        <v/>
      </c>
      <c r="FG17" s="1064" t="str">
        <f t="shared" si="319"/>
        <v/>
      </c>
      <c r="FH17" s="1064" t="str">
        <f t="shared" si="320"/>
        <v/>
      </c>
      <c r="FI17" s="1064" t="str">
        <f t="shared" si="321"/>
        <v/>
      </c>
      <c r="FJ17" s="1064" t="str">
        <f t="shared" si="322"/>
        <v/>
      </c>
      <c r="FK17" s="1064" t="str">
        <f t="shared" si="323"/>
        <v/>
      </c>
      <c r="FL17" s="1064" t="str">
        <f t="shared" si="138"/>
        <v/>
      </c>
      <c r="FM17" s="1064" t="str">
        <f t="shared" si="139"/>
        <v/>
      </c>
      <c r="FN17" s="1064" t="str">
        <f t="shared" si="140"/>
        <v/>
      </c>
      <c r="FO17" s="1064" t="str">
        <f t="shared" si="141"/>
        <v/>
      </c>
      <c r="FP17" s="1064" t="str">
        <f t="shared" si="142"/>
        <v/>
      </c>
      <c r="FQ17" s="1064" t="str">
        <f t="shared" si="143"/>
        <v/>
      </c>
      <c r="FR17" s="1064" t="str">
        <f t="shared" si="144"/>
        <v/>
      </c>
      <c r="FS17" s="1064" t="str">
        <f t="shared" si="145"/>
        <v/>
      </c>
      <c r="FT17" s="1064" t="str">
        <f t="shared" si="146"/>
        <v/>
      </c>
      <c r="FU17" s="1064" t="str">
        <f t="shared" si="147"/>
        <v/>
      </c>
      <c r="FV17" s="1064" t="str">
        <f t="shared" si="148"/>
        <v/>
      </c>
      <c r="FW17" s="1064" t="str">
        <f t="shared" si="149"/>
        <v/>
      </c>
      <c r="FX17" s="1064" t="str">
        <f t="shared" si="150"/>
        <v/>
      </c>
      <c r="FY17" s="1064" t="str">
        <f t="shared" si="151"/>
        <v/>
      </c>
      <c r="FZ17" s="1064" t="str">
        <f t="shared" si="152"/>
        <v/>
      </c>
      <c r="GA17" s="1064" t="str">
        <f t="shared" si="153"/>
        <v/>
      </c>
      <c r="GB17" s="1064" t="str">
        <f t="shared" si="154"/>
        <v/>
      </c>
      <c r="GC17" s="1064" t="str">
        <f t="shared" si="155"/>
        <v/>
      </c>
      <c r="GD17" s="1064" t="str">
        <f t="shared" si="156"/>
        <v/>
      </c>
      <c r="GE17" s="1064" t="str">
        <f t="shared" si="157"/>
        <v/>
      </c>
      <c r="GF17" s="1064" t="str">
        <f t="shared" si="158"/>
        <v/>
      </c>
      <c r="GG17" s="1064" t="str">
        <f t="shared" si="159"/>
        <v/>
      </c>
      <c r="GH17" s="1064" t="str">
        <f t="shared" si="160"/>
        <v/>
      </c>
      <c r="GI17" s="1064" t="str">
        <f t="shared" si="161"/>
        <v/>
      </c>
      <c r="GJ17" s="1064" t="str">
        <f t="shared" si="162"/>
        <v/>
      </c>
      <c r="GK17" s="1064" t="str">
        <f t="shared" si="163"/>
        <v/>
      </c>
      <c r="GL17" s="1064" t="str">
        <f t="shared" si="164"/>
        <v/>
      </c>
      <c r="GM17" s="1064" t="str">
        <f t="shared" si="165"/>
        <v/>
      </c>
      <c r="GN17" s="1064" t="str">
        <f t="shared" si="166"/>
        <v/>
      </c>
      <c r="GO17" s="1064" t="str">
        <f t="shared" si="167"/>
        <v/>
      </c>
      <c r="GP17" s="1064" t="str">
        <f t="shared" si="168"/>
        <v/>
      </c>
      <c r="GQ17" s="1064" t="str">
        <f t="shared" si="169"/>
        <v/>
      </c>
      <c r="GR17" s="1064" t="str">
        <f t="shared" si="170"/>
        <v/>
      </c>
      <c r="GS17" s="1064" t="str">
        <f t="shared" si="171"/>
        <v/>
      </c>
      <c r="GT17" s="1064" t="str">
        <f t="shared" si="172"/>
        <v/>
      </c>
      <c r="GU17" s="1064" t="str">
        <f t="shared" si="173"/>
        <v/>
      </c>
      <c r="GV17" s="1064" t="str">
        <f t="shared" si="174"/>
        <v/>
      </c>
      <c r="GW17" s="1064" t="str">
        <f t="shared" si="175"/>
        <v/>
      </c>
      <c r="GX17" s="1064" t="str">
        <f t="shared" si="176"/>
        <v/>
      </c>
      <c r="GY17" s="1064" t="str">
        <f t="shared" si="177"/>
        <v/>
      </c>
      <c r="GZ17" s="1064" t="str">
        <f t="shared" si="178"/>
        <v/>
      </c>
      <c r="HA17" s="1064" t="str">
        <f t="shared" si="179"/>
        <v/>
      </c>
      <c r="HB17" s="1064" t="str">
        <f t="shared" si="180"/>
        <v/>
      </c>
      <c r="HC17" s="1064" t="str">
        <f t="shared" si="181"/>
        <v/>
      </c>
      <c r="HD17" s="1064" t="str">
        <f t="shared" si="182"/>
        <v/>
      </c>
      <c r="HE17" s="1064" t="str">
        <f t="shared" si="183"/>
        <v/>
      </c>
      <c r="HF17" s="1064" t="str">
        <f t="shared" si="184"/>
        <v/>
      </c>
      <c r="HG17" s="1064" t="str">
        <f t="shared" si="185"/>
        <v/>
      </c>
      <c r="HH17" s="1064" t="str">
        <f t="shared" si="186"/>
        <v/>
      </c>
      <c r="HI17" s="1064" t="str">
        <f t="shared" si="187"/>
        <v/>
      </c>
      <c r="HJ17" s="1064" t="str">
        <f t="shared" si="188"/>
        <v/>
      </c>
      <c r="HK17" s="1064" t="str">
        <f t="shared" si="189"/>
        <v/>
      </c>
      <c r="HL17" s="1064" t="str">
        <f t="shared" si="190"/>
        <v/>
      </c>
      <c r="HM17" s="1064" t="str">
        <f t="shared" si="191"/>
        <v/>
      </c>
      <c r="HN17" s="1064" t="str">
        <f t="shared" si="192"/>
        <v/>
      </c>
      <c r="HO17" s="1064" t="str">
        <f t="shared" si="193"/>
        <v/>
      </c>
      <c r="HP17" s="1064" t="str">
        <f t="shared" si="194"/>
        <v/>
      </c>
      <c r="HQ17" s="1064" t="str">
        <f t="shared" si="195"/>
        <v/>
      </c>
      <c r="HR17" s="1064" t="str">
        <f t="shared" si="196"/>
        <v/>
      </c>
      <c r="HS17" s="1064" t="str">
        <f t="shared" si="197"/>
        <v/>
      </c>
      <c r="HT17" s="1064" t="str">
        <f t="shared" si="198"/>
        <v/>
      </c>
      <c r="HU17" s="1064" t="str">
        <f t="shared" si="199"/>
        <v/>
      </c>
      <c r="HV17" s="1064" t="str">
        <f t="shared" si="200"/>
        <v/>
      </c>
      <c r="HW17" s="1064" t="str">
        <f t="shared" si="201"/>
        <v/>
      </c>
      <c r="HX17" s="1064" t="str">
        <f t="shared" si="202"/>
        <v/>
      </c>
      <c r="HY17" s="1097" t="str">
        <f t="shared" si="203"/>
        <v/>
      </c>
      <c r="HZ17" s="1097" t="str">
        <f t="shared" si="204"/>
        <v/>
      </c>
      <c r="IA17" s="1097" t="str">
        <f t="shared" si="205"/>
        <v/>
      </c>
      <c r="IB17" s="1097" t="str">
        <f t="shared" si="206"/>
        <v/>
      </c>
      <c r="IC17" s="1097" t="str">
        <f t="shared" si="207"/>
        <v/>
      </c>
      <c r="ID17" s="1097" t="str">
        <f t="shared" si="208"/>
        <v/>
      </c>
      <c r="IE17" s="1097" t="str">
        <f t="shared" si="209"/>
        <v/>
      </c>
      <c r="IF17" s="1097" t="str">
        <f t="shared" si="210"/>
        <v/>
      </c>
      <c r="IG17" s="1097" t="str">
        <f t="shared" si="211"/>
        <v/>
      </c>
      <c r="IH17" s="1097" t="str">
        <f t="shared" si="212"/>
        <v/>
      </c>
      <c r="II17" s="1097" t="str">
        <f t="shared" si="213"/>
        <v/>
      </c>
      <c r="IJ17" s="1097" t="str">
        <f t="shared" si="214"/>
        <v/>
      </c>
      <c r="IK17" s="1097" t="str">
        <f t="shared" si="215"/>
        <v/>
      </c>
      <c r="IL17" s="1097" t="str">
        <f t="shared" si="216"/>
        <v/>
      </c>
      <c r="IM17" s="1097" t="str">
        <f t="shared" si="217"/>
        <v/>
      </c>
      <c r="IN17" s="1097" t="str">
        <f t="shared" si="218"/>
        <v/>
      </c>
      <c r="IO17" s="1097" t="str">
        <f t="shared" si="219"/>
        <v/>
      </c>
      <c r="IP17" s="1097" t="str">
        <f t="shared" si="220"/>
        <v/>
      </c>
      <c r="IQ17" s="1097" t="str">
        <f t="shared" si="221"/>
        <v/>
      </c>
      <c r="IR17" s="1097" t="str">
        <f t="shared" si="222"/>
        <v/>
      </c>
      <c r="IS17" s="1097" t="str">
        <f t="shared" si="223"/>
        <v/>
      </c>
      <c r="IT17" s="1097" t="str">
        <f t="shared" si="224"/>
        <v/>
      </c>
      <c r="IU17" s="1097" t="str">
        <f t="shared" si="225"/>
        <v/>
      </c>
      <c r="IV17" s="1097" t="str">
        <f t="shared" si="226"/>
        <v/>
      </c>
      <c r="IW17" s="1097" t="str">
        <f t="shared" si="227"/>
        <v/>
      </c>
      <c r="IX17" s="1097" t="str">
        <f t="shared" si="228"/>
        <v/>
      </c>
      <c r="IY17" s="1097" t="str">
        <f t="shared" si="229"/>
        <v/>
      </c>
      <c r="IZ17" s="1097" t="str">
        <f t="shared" si="230"/>
        <v/>
      </c>
      <c r="JA17" s="1097" t="str">
        <f t="shared" si="231"/>
        <v/>
      </c>
      <c r="JB17" s="1097" t="str">
        <f t="shared" si="232"/>
        <v/>
      </c>
      <c r="JC17" s="1097" t="str">
        <f t="shared" si="233"/>
        <v/>
      </c>
      <c r="JD17" s="1097" t="str">
        <f t="shared" si="234"/>
        <v/>
      </c>
      <c r="JE17" s="1097" t="str">
        <f t="shared" si="235"/>
        <v/>
      </c>
      <c r="JF17" s="1097" t="str">
        <f t="shared" si="236"/>
        <v/>
      </c>
      <c r="JG17" s="1097" t="str">
        <f t="shared" si="237"/>
        <v/>
      </c>
      <c r="JH17" s="1097" t="str">
        <f t="shared" si="238"/>
        <v/>
      </c>
      <c r="JI17" s="1097" t="str">
        <f t="shared" si="239"/>
        <v/>
      </c>
      <c r="JJ17" s="1097" t="str">
        <f t="shared" si="240"/>
        <v/>
      </c>
      <c r="JK17" s="1097" t="str">
        <f t="shared" si="241"/>
        <v/>
      </c>
      <c r="JL17" s="1097" t="str">
        <f t="shared" si="242"/>
        <v/>
      </c>
      <c r="JM17" s="1097" t="str">
        <f t="shared" si="243"/>
        <v/>
      </c>
      <c r="JN17" s="1097" t="str">
        <f t="shared" si="244"/>
        <v/>
      </c>
      <c r="JO17" s="1097" t="str">
        <f t="shared" si="245"/>
        <v/>
      </c>
      <c r="JP17" s="1097" t="str">
        <f t="shared" si="246"/>
        <v/>
      </c>
      <c r="JQ17" s="1097" t="str">
        <f t="shared" si="247"/>
        <v/>
      </c>
      <c r="JR17" s="1097" t="str">
        <f t="shared" si="248"/>
        <v/>
      </c>
      <c r="JS17" s="1097" t="str">
        <f t="shared" si="249"/>
        <v/>
      </c>
      <c r="JT17" s="1097" t="str">
        <f t="shared" si="250"/>
        <v/>
      </c>
      <c r="JU17" s="1097" t="str">
        <f t="shared" si="251"/>
        <v/>
      </c>
      <c r="JV17" s="1097" t="str">
        <f t="shared" si="252"/>
        <v/>
      </c>
      <c r="JW17" s="1097" t="str">
        <f t="shared" si="253"/>
        <v/>
      </c>
      <c r="JX17" s="1097" t="str">
        <f t="shared" si="254"/>
        <v/>
      </c>
      <c r="JY17" s="1097" t="str">
        <f t="shared" si="255"/>
        <v/>
      </c>
      <c r="JZ17" s="1097" t="str">
        <f t="shared" si="256"/>
        <v/>
      </c>
      <c r="KA17" s="1097" t="str">
        <f t="shared" si="257"/>
        <v/>
      </c>
      <c r="KB17" s="1097" t="str">
        <f t="shared" si="258"/>
        <v/>
      </c>
      <c r="KC17" s="1097" t="str">
        <f t="shared" si="259"/>
        <v/>
      </c>
      <c r="KD17" s="1097" t="str">
        <f t="shared" si="260"/>
        <v/>
      </c>
      <c r="KE17" s="1097" t="str">
        <f t="shared" si="261"/>
        <v/>
      </c>
      <c r="KF17" s="1097" t="str">
        <f t="shared" si="262"/>
        <v/>
      </c>
      <c r="KG17" s="1097" t="str">
        <f t="shared" si="263"/>
        <v/>
      </c>
      <c r="KH17" s="1097" t="str">
        <f t="shared" si="264"/>
        <v/>
      </c>
      <c r="KI17" s="1097" t="str">
        <f t="shared" si="265"/>
        <v/>
      </c>
      <c r="KJ17" s="1097" t="str">
        <f t="shared" si="266"/>
        <v/>
      </c>
      <c r="KK17" s="1097" t="str">
        <f t="shared" si="267"/>
        <v/>
      </c>
      <c r="KL17" s="1097" t="str">
        <f t="shared" si="268"/>
        <v/>
      </c>
      <c r="KM17" s="1097" t="str">
        <f t="shared" si="269"/>
        <v/>
      </c>
      <c r="KN17" s="1097" t="str">
        <f t="shared" si="270"/>
        <v/>
      </c>
      <c r="KO17" s="1097" t="str">
        <f t="shared" si="271"/>
        <v/>
      </c>
      <c r="KP17" s="1097" t="str">
        <f t="shared" si="272"/>
        <v/>
      </c>
      <c r="KQ17" s="1097" t="str">
        <f t="shared" si="273"/>
        <v/>
      </c>
      <c r="KR17" s="1097" t="str">
        <f t="shared" si="274"/>
        <v/>
      </c>
      <c r="KS17" s="1097" t="str">
        <f t="shared" si="275"/>
        <v/>
      </c>
      <c r="KT17" s="1097" t="str">
        <f t="shared" si="276"/>
        <v/>
      </c>
      <c r="KU17" s="1097" t="str">
        <f t="shared" si="277"/>
        <v/>
      </c>
      <c r="KV17" s="1097" t="str">
        <f t="shared" si="278"/>
        <v/>
      </c>
      <c r="KW17" s="1097" t="str">
        <f t="shared" si="279"/>
        <v/>
      </c>
      <c r="KX17" s="1097" t="str">
        <f t="shared" si="280"/>
        <v/>
      </c>
      <c r="KY17" s="1097" t="str">
        <f t="shared" si="281"/>
        <v/>
      </c>
      <c r="KZ17" s="1097" t="str">
        <f t="shared" si="282"/>
        <v/>
      </c>
      <c r="LA17" s="1097" t="str">
        <f t="shared" si="283"/>
        <v/>
      </c>
      <c r="LB17" s="1097" t="str">
        <f t="shared" si="284"/>
        <v/>
      </c>
      <c r="LC17" s="1097" t="str">
        <f t="shared" si="285"/>
        <v/>
      </c>
      <c r="LD17" s="1097" t="str">
        <f t="shared" si="286"/>
        <v/>
      </c>
      <c r="LE17" s="1097" t="str">
        <f t="shared" si="287"/>
        <v/>
      </c>
      <c r="LF17" s="1098" t="str">
        <f t="shared" si="288"/>
        <v/>
      </c>
      <c r="LG17" s="1098" t="str">
        <f t="shared" si="289"/>
        <v/>
      </c>
      <c r="LH17" s="1098" t="str">
        <f t="shared" si="290"/>
        <v/>
      </c>
      <c r="LI17" s="1098" t="str">
        <f t="shared" si="291"/>
        <v/>
      </c>
      <c r="LJ17" s="1098" t="str">
        <f t="shared" si="292"/>
        <v/>
      </c>
      <c r="LK17" s="1064" t="str">
        <f t="shared" si="293"/>
        <v/>
      </c>
      <c r="LL17" s="1064" t="str">
        <f t="shared" si="294"/>
        <v/>
      </c>
      <c r="LM17" s="1064" t="str">
        <f t="shared" si="295"/>
        <v/>
      </c>
      <c r="LN17" s="1064" t="str">
        <f t="shared" si="296"/>
        <v/>
      </c>
      <c r="LO17" s="1064" t="str">
        <f t="shared" si="297"/>
        <v/>
      </c>
      <c r="LP17" s="1064" t="str">
        <f t="shared" si="298"/>
        <v/>
      </c>
      <c r="LQ17" s="1064" t="str">
        <f t="shared" si="299"/>
        <v/>
      </c>
      <c r="LR17" s="1064" t="str">
        <f t="shared" si="300"/>
        <v/>
      </c>
      <c r="LS17" s="1064" t="str">
        <f t="shared" si="301"/>
        <v/>
      </c>
      <c r="LT17" s="1064" t="str">
        <f t="shared" si="302"/>
        <v/>
      </c>
      <c r="LU17" s="1064" t="str">
        <f t="shared" si="303"/>
        <v/>
      </c>
      <c r="LV17" s="1064" t="str">
        <f t="shared" si="304"/>
        <v/>
      </c>
      <c r="LW17" s="1064" t="str">
        <f t="shared" si="305"/>
        <v/>
      </c>
      <c r="LX17" s="1064" t="str">
        <f t="shared" si="306"/>
        <v/>
      </c>
      <c r="LY17" s="1064" t="str">
        <f t="shared" si="307"/>
        <v/>
      </c>
      <c r="LZ17" s="1064" t="str">
        <f t="shared" si="308"/>
        <v/>
      </c>
      <c r="MA17" s="1064" t="str">
        <f t="shared" si="309"/>
        <v/>
      </c>
      <c r="MB17" s="1064" t="str">
        <f t="shared" si="310"/>
        <v/>
      </c>
      <c r="MC17" s="1064" t="str">
        <f t="shared" si="311"/>
        <v/>
      </c>
      <c r="MD17" s="1064" t="str">
        <f t="shared" si="312"/>
        <v/>
      </c>
      <c r="ME17" s="1081">
        <f t="shared" si="324"/>
        <v>0</v>
      </c>
      <c r="MF17" s="1081">
        <f t="shared" si="325"/>
        <v>0</v>
      </c>
      <c r="MG17" s="1081">
        <f t="shared" si="326"/>
        <v>0</v>
      </c>
      <c r="MH17" s="1081">
        <f t="shared" si="327"/>
        <v>0</v>
      </c>
      <c r="MI17" s="1081">
        <f t="shared" si="328"/>
        <v>0</v>
      </c>
      <c r="MJ17" s="1081">
        <f t="shared" si="329"/>
        <v>0</v>
      </c>
      <c r="MK17" s="1081">
        <f t="shared" si="330"/>
        <v>0</v>
      </c>
      <c r="ML17" s="1081">
        <f t="shared" si="331"/>
        <v>0</v>
      </c>
      <c r="MM17" s="1081">
        <f t="shared" si="332"/>
        <v>0</v>
      </c>
      <c r="MN17" s="1081">
        <f t="shared" si="333"/>
        <v>0</v>
      </c>
      <c r="MO17" s="1081">
        <f t="shared" si="334"/>
        <v>0</v>
      </c>
      <c r="MP17" s="1081">
        <f t="shared" si="335"/>
        <v>0</v>
      </c>
      <c r="MQ17" s="1081">
        <f t="shared" si="336"/>
        <v>0</v>
      </c>
      <c r="MR17" s="1081">
        <f t="shared" si="337"/>
        <v>0</v>
      </c>
      <c r="MS17" s="1081">
        <f t="shared" si="338"/>
        <v>0</v>
      </c>
    </row>
    <row r="18" spans="1:357" ht="12" customHeight="1">
      <c r="A18" s="1088" t="str">
        <f t="shared" si="0"/>
        <v/>
      </c>
      <c r="B18" s="44">
        <v>30</v>
      </c>
      <c r="C18" s="41"/>
      <c r="D18" s="42"/>
      <c r="E18" s="43"/>
      <c r="F18" s="43"/>
      <c r="G18" s="43"/>
      <c r="H18" s="43"/>
      <c r="I18" s="1100">
        <f>IF(C18="",0,HLOOKUP(C18,'Part V-Utility Allowances'!$I$11:$M$22,12))</f>
        <v>0</v>
      </c>
      <c r="J18" s="810"/>
      <c r="K18" s="512">
        <f t="shared" si="1"/>
        <v>0</v>
      </c>
      <c r="L18" s="512">
        <f t="shared" si="2"/>
        <v>0</v>
      </c>
      <c r="M18" s="1101"/>
      <c r="N18" s="1101"/>
      <c r="O18" s="1101"/>
      <c r="P18" s="1102"/>
      <c r="Q18" s="1103" t="str">
        <f t="shared" si="3"/>
        <v/>
      </c>
      <c r="R18" s="1104" t="str">
        <f>IF(H18="","",IF(C18="Efficiency",Q18/($O$6*VLOOKUP(0,'DCA Underwriting Assumptions'!$J$146:$K$151,2,FALSE)),Q18/($O$6*VLOOKUP(C18,'DCA Underwriting Assumptions'!$J$146:$K$151,2,FALSE))))</f>
        <v/>
      </c>
      <c r="S18" s="1105"/>
      <c r="T18" s="1106"/>
      <c r="U18" s="2314"/>
      <c r="V18" s="2316"/>
      <c r="W18" s="1064" t="str">
        <f t="shared" si="4"/>
        <v/>
      </c>
      <c r="X18" s="1064" t="str">
        <f t="shared" si="5"/>
        <v/>
      </c>
      <c r="Y18" s="1064" t="str">
        <f t="shared" si="6"/>
        <v/>
      </c>
      <c r="Z18" s="1064" t="str">
        <f t="shared" si="7"/>
        <v/>
      </c>
      <c r="AA18" s="1064" t="str">
        <f t="shared" si="8"/>
        <v/>
      </c>
      <c r="AB18" s="1064" t="str">
        <f t="shared" si="9"/>
        <v/>
      </c>
      <c r="AC18" s="1064" t="str">
        <f t="shared" si="10"/>
        <v/>
      </c>
      <c r="AD18" s="1064" t="str">
        <f t="shared" si="11"/>
        <v/>
      </c>
      <c r="AE18" s="1064" t="str">
        <f t="shared" si="12"/>
        <v/>
      </c>
      <c r="AF18" s="1064" t="str">
        <f t="shared" si="13"/>
        <v/>
      </c>
      <c r="AG18" s="1064" t="str">
        <f t="shared" si="14"/>
        <v/>
      </c>
      <c r="AH18" s="1064" t="str">
        <f t="shared" si="15"/>
        <v/>
      </c>
      <c r="AI18" s="1064" t="str">
        <f t="shared" si="16"/>
        <v/>
      </c>
      <c r="AJ18" s="1064" t="str">
        <f t="shared" si="17"/>
        <v/>
      </c>
      <c r="AK18" s="1064" t="str">
        <f t="shared" si="18"/>
        <v/>
      </c>
      <c r="AL18" s="1064" t="str">
        <f t="shared" si="19"/>
        <v/>
      </c>
      <c r="AM18" s="1064" t="str">
        <f t="shared" si="20"/>
        <v/>
      </c>
      <c r="AN18" s="1064" t="str">
        <f t="shared" si="21"/>
        <v/>
      </c>
      <c r="AO18" s="1064" t="str">
        <f t="shared" si="22"/>
        <v/>
      </c>
      <c r="AP18" s="1064" t="str">
        <f t="shared" si="23"/>
        <v/>
      </c>
      <c r="AQ18" s="1064" t="str">
        <f t="shared" si="24"/>
        <v/>
      </c>
      <c r="AR18" s="1064" t="str">
        <f t="shared" si="25"/>
        <v/>
      </c>
      <c r="AS18" s="1064" t="str">
        <f t="shared" si="26"/>
        <v/>
      </c>
      <c r="AT18" s="1064" t="str">
        <f t="shared" si="27"/>
        <v/>
      </c>
      <c r="AU18" s="1064" t="str">
        <f t="shared" si="28"/>
        <v/>
      </c>
      <c r="AV18" s="1064" t="str">
        <f t="shared" si="29"/>
        <v/>
      </c>
      <c r="AW18" s="1064" t="str">
        <f t="shared" si="30"/>
        <v/>
      </c>
      <c r="AX18" s="1064" t="str">
        <f t="shared" si="31"/>
        <v/>
      </c>
      <c r="AY18" s="1064" t="str">
        <f t="shared" si="32"/>
        <v/>
      </c>
      <c r="AZ18" s="1064" t="str">
        <f t="shared" si="33"/>
        <v/>
      </c>
      <c r="BA18" s="1064" t="str">
        <f t="shared" si="34"/>
        <v/>
      </c>
      <c r="BB18" s="1064" t="str">
        <f t="shared" si="35"/>
        <v/>
      </c>
      <c r="BC18" s="1064" t="str">
        <f t="shared" si="36"/>
        <v/>
      </c>
      <c r="BD18" s="1064" t="str">
        <f t="shared" si="37"/>
        <v/>
      </c>
      <c r="BE18" s="1064" t="str">
        <f t="shared" si="38"/>
        <v/>
      </c>
      <c r="BF18" s="1064" t="str">
        <f t="shared" si="39"/>
        <v/>
      </c>
      <c r="BG18" s="1064" t="str">
        <f t="shared" si="40"/>
        <v/>
      </c>
      <c r="BH18" s="1064" t="str">
        <f t="shared" si="41"/>
        <v/>
      </c>
      <c r="BI18" s="1064" t="str">
        <f t="shared" si="42"/>
        <v/>
      </c>
      <c r="BJ18" s="1064" t="str">
        <f t="shared" si="43"/>
        <v/>
      </c>
      <c r="BK18" s="1064" t="str">
        <f t="shared" si="44"/>
        <v/>
      </c>
      <c r="BL18" s="1064" t="str">
        <f t="shared" si="45"/>
        <v/>
      </c>
      <c r="BM18" s="1064" t="str">
        <f t="shared" si="46"/>
        <v/>
      </c>
      <c r="BN18" s="1064" t="str">
        <f t="shared" si="47"/>
        <v/>
      </c>
      <c r="BO18" s="1064" t="str">
        <f t="shared" si="48"/>
        <v/>
      </c>
      <c r="BP18" s="1064" t="str">
        <f t="shared" si="49"/>
        <v/>
      </c>
      <c r="BQ18" s="1064" t="str">
        <f t="shared" si="50"/>
        <v/>
      </c>
      <c r="BR18" s="1064" t="str">
        <f t="shared" si="51"/>
        <v/>
      </c>
      <c r="BS18" s="1064" t="str">
        <f t="shared" si="52"/>
        <v/>
      </c>
      <c r="BT18" s="1064" t="str">
        <f t="shared" si="53"/>
        <v/>
      </c>
      <c r="BU18" s="1064" t="str">
        <f t="shared" si="54"/>
        <v/>
      </c>
      <c r="BV18" s="1064" t="str">
        <f t="shared" si="55"/>
        <v/>
      </c>
      <c r="BW18" s="1064" t="str">
        <f t="shared" si="56"/>
        <v/>
      </c>
      <c r="BX18" s="1064" t="str">
        <f t="shared" si="57"/>
        <v/>
      </c>
      <c r="BY18" s="1064" t="str">
        <f t="shared" si="58"/>
        <v/>
      </c>
      <c r="BZ18" s="1064" t="str">
        <f t="shared" si="59"/>
        <v/>
      </c>
      <c r="CA18" s="1064" t="str">
        <f t="shared" si="60"/>
        <v/>
      </c>
      <c r="CB18" s="1064" t="str">
        <f t="shared" si="61"/>
        <v/>
      </c>
      <c r="CC18" s="1064" t="str">
        <f t="shared" si="62"/>
        <v/>
      </c>
      <c r="CD18" s="1064" t="str">
        <f t="shared" si="63"/>
        <v/>
      </c>
      <c r="CE18" s="1064" t="str">
        <f t="shared" si="64"/>
        <v/>
      </c>
      <c r="CF18" s="1064" t="str">
        <f t="shared" si="65"/>
        <v/>
      </c>
      <c r="CG18" s="1064" t="str">
        <f t="shared" si="66"/>
        <v/>
      </c>
      <c r="CH18" s="1064" t="str">
        <f t="shared" si="67"/>
        <v/>
      </c>
      <c r="CI18" s="1064" t="str">
        <f t="shared" si="68"/>
        <v/>
      </c>
      <c r="CJ18" s="1064" t="str">
        <f t="shared" si="69"/>
        <v/>
      </c>
      <c r="CK18" s="1064" t="str">
        <f t="shared" si="70"/>
        <v/>
      </c>
      <c r="CL18" s="1064" t="str">
        <f t="shared" si="71"/>
        <v/>
      </c>
      <c r="CM18" s="1064" t="str">
        <f t="shared" si="72"/>
        <v/>
      </c>
      <c r="CN18" s="1064" t="str">
        <f t="shared" si="73"/>
        <v/>
      </c>
      <c r="CO18" s="1064" t="str">
        <f t="shared" si="74"/>
        <v/>
      </c>
      <c r="CP18" s="1064" t="str">
        <f t="shared" si="75"/>
        <v/>
      </c>
      <c r="CQ18" s="1064" t="str">
        <f t="shared" si="76"/>
        <v/>
      </c>
      <c r="CR18" s="1064" t="str">
        <f t="shared" si="77"/>
        <v/>
      </c>
      <c r="CS18" s="1064" t="str">
        <f t="shared" si="78"/>
        <v/>
      </c>
      <c r="CT18" s="1064" t="str">
        <f t="shared" si="79"/>
        <v/>
      </c>
      <c r="CU18" s="1064" t="str">
        <f t="shared" si="80"/>
        <v/>
      </c>
      <c r="CV18" s="1064" t="str">
        <f t="shared" si="81"/>
        <v/>
      </c>
      <c r="CW18" s="1064" t="str">
        <f t="shared" si="82"/>
        <v/>
      </c>
      <c r="CX18" s="1064" t="str">
        <f t="shared" si="83"/>
        <v/>
      </c>
      <c r="CY18" s="1064" t="str">
        <f t="shared" si="84"/>
        <v/>
      </c>
      <c r="CZ18" s="1064" t="str">
        <f t="shared" si="85"/>
        <v/>
      </c>
      <c r="DA18" s="1064" t="str">
        <f t="shared" si="86"/>
        <v/>
      </c>
      <c r="DB18" s="1064" t="str">
        <f t="shared" si="87"/>
        <v/>
      </c>
      <c r="DC18" s="1064" t="str">
        <f t="shared" si="88"/>
        <v/>
      </c>
      <c r="DD18" s="1064" t="str">
        <f t="shared" si="89"/>
        <v/>
      </c>
      <c r="DE18" s="1064" t="str">
        <f t="shared" si="90"/>
        <v/>
      </c>
      <c r="DF18" s="1064" t="str">
        <f t="shared" si="91"/>
        <v/>
      </c>
      <c r="DG18" s="1064" t="str">
        <f t="shared" si="92"/>
        <v/>
      </c>
      <c r="DH18" s="1064" t="str">
        <f t="shared" si="93"/>
        <v/>
      </c>
      <c r="DI18" s="1064" t="str">
        <f t="shared" si="94"/>
        <v/>
      </c>
      <c r="DJ18" s="1064" t="str">
        <f t="shared" si="95"/>
        <v/>
      </c>
      <c r="DK18" s="1064" t="str">
        <f t="shared" si="96"/>
        <v/>
      </c>
      <c r="DL18" s="1064" t="str">
        <f t="shared" si="97"/>
        <v/>
      </c>
      <c r="DM18" s="1064" t="str">
        <f t="shared" si="98"/>
        <v/>
      </c>
      <c r="DN18" s="1064" t="str">
        <f t="shared" si="99"/>
        <v/>
      </c>
      <c r="DO18" s="1064" t="str">
        <f t="shared" si="100"/>
        <v/>
      </c>
      <c r="DP18" s="1064" t="str">
        <f t="shared" si="101"/>
        <v/>
      </c>
      <c r="DQ18" s="1064" t="str">
        <f t="shared" si="102"/>
        <v/>
      </c>
      <c r="DR18" s="1064" t="str">
        <f t="shared" si="103"/>
        <v/>
      </c>
      <c r="DS18" s="1064" t="str">
        <f t="shared" si="104"/>
        <v/>
      </c>
      <c r="DT18" s="1064" t="str">
        <f t="shared" si="105"/>
        <v/>
      </c>
      <c r="DU18" s="1064" t="str">
        <f t="shared" si="106"/>
        <v/>
      </c>
      <c r="DV18" s="1064" t="str">
        <f t="shared" si="107"/>
        <v/>
      </c>
      <c r="DW18" s="1064" t="str">
        <f t="shared" si="108"/>
        <v/>
      </c>
      <c r="DX18" s="1064" t="str">
        <f t="shared" si="109"/>
        <v/>
      </c>
      <c r="DY18" s="1064" t="str">
        <f t="shared" si="110"/>
        <v/>
      </c>
      <c r="DZ18" s="1064" t="str">
        <f t="shared" si="111"/>
        <v/>
      </c>
      <c r="EA18" s="1064" t="str">
        <f t="shared" si="112"/>
        <v/>
      </c>
      <c r="EB18" s="1064" t="str">
        <f t="shared" si="113"/>
        <v/>
      </c>
      <c r="EC18" s="1064" t="str">
        <f t="shared" si="114"/>
        <v/>
      </c>
      <c r="ED18" s="1064" t="str">
        <f t="shared" si="115"/>
        <v/>
      </c>
      <c r="EE18" s="1064" t="str">
        <f t="shared" si="116"/>
        <v/>
      </c>
      <c r="EF18" s="1064" t="str">
        <f t="shared" si="117"/>
        <v/>
      </c>
      <c r="EG18" s="1064" t="str">
        <f t="shared" si="313"/>
        <v/>
      </c>
      <c r="EH18" s="1064" t="str">
        <f t="shared" si="118"/>
        <v/>
      </c>
      <c r="EI18" s="1064" t="str">
        <f t="shared" si="119"/>
        <v/>
      </c>
      <c r="EJ18" s="1064" t="str">
        <f t="shared" si="120"/>
        <v/>
      </c>
      <c r="EK18" s="1064" t="str">
        <f t="shared" si="121"/>
        <v/>
      </c>
      <c r="EL18" s="1064" t="str">
        <f t="shared" si="122"/>
        <v/>
      </c>
      <c r="EM18" s="1064" t="str">
        <f t="shared" si="123"/>
        <v/>
      </c>
      <c r="EN18" s="1064" t="str">
        <f t="shared" si="124"/>
        <v/>
      </c>
      <c r="EO18" s="1064" t="str">
        <f t="shared" si="125"/>
        <v/>
      </c>
      <c r="EP18" s="1064" t="str">
        <f t="shared" si="126"/>
        <v/>
      </c>
      <c r="EQ18" s="1064" t="str">
        <f t="shared" si="127"/>
        <v/>
      </c>
      <c r="ER18" s="1064" t="str">
        <f t="shared" si="128"/>
        <v/>
      </c>
      <c r="ES18" s="1064" t="str">
        <f t="shared" si="129"/>
        <v/>
      </c>
      <c r="ET18" s="1064" t="str">
        <f t="shared" si="130"/>
        <v/>
      </c>
      <c r="EU18" s="1064" t="str">
        <f t="shared" si="131"/>
        <v/>
      </c>
      <c r="EV18" s="1064" t="str">
        <f t="shared" si="132"/>
        <v/>
      </c>
      <c r="EW18" s="1064" t="str">
        <f t="shared" si="314"/>
        <v/>
      </c>
      <c r="EX18" s="1064" t="str">
        <f t="shared" si="315"/>
        <v/>
      </c>
      <c r="EY18" s="1064" t="str">
        <f t="shared" si="316"/>
        <v/>
      </c>
      <c r="EZ18" s="1064" t="str">
        <f t="shared" si="317"/>
        <v/>
      </c>
      <c r="FA18" s="1064" t="str">
        <f t="shared" si="318"/>
        <v/>
      </c>
      <c r="FB18" s="1064" t="str">
        <f t="shared" si="133"/>
        <v/>
      </c>
      <c r="FC18" s="1064" t="str">
        <f t="shared" si="134"/>
        <v/>
      </c>
      <c r="FD18" s="1064" t="str">
        <f t="shared" si="135"/>
        <v/>
      </c>
      <c r="FE18" s="1064" t="str">
        <f t="shared" si="136"/>
        <v/>
      </c>
      <c r="FF18" s="1064" t="str">
        <f t="shared" si="137"/>
        <v/>
      </c>
      <c r="FG18" s="1064" t="str">
        <f t="shared" si="319"/>
        <v/>
      </c>
      <c r="FH18" s="1064" t="str">
        <f t="shared" si="320"/>
        <v/>
      </c>
      <c r="FI18" s="1064" t="str">
        <f t="shared" si="321"/>
        <v/>
      </c>
      <c r="FJ18" s="1064" t="str">
        <f t="shared" si="322"/>
        <v/>
      </c>
      <c r="FK18" s="1064" t="str">
        <f t="shared" si="323"/>
        <v/>
      </c>
      <c r="FL18" s="1064" t="str">
        <f t="shared" si="138"/>
        <v/>
      </c>
      <c r="FM18" s="1064" t="str">
        <f t="shared" si="139"/>
        <v/>
      </c>
      <c r="FN18" s="1064" t="str">
        <f t="shared" si="140"/>
        <v/>
      </c>
      <c r="FO18" s="1064" t="str">
        <f t="shared" si="141"/>
        <v/>
      </c>
      <c r="FP18" s="1064" t="str">
        <f t="shared" si="142"/>
        <v/>
      </c>
      <c r="FQ18" s="1064" t="str">
        <f t="shared" si="143"/>
        <v/>
      </c>
      <c r="FR18" s="1064" t="str">
        <f t="shared" si="144"/>
        <v/>
      </c>
      <c r="FS18" s="1064" t="str">
        <f t="shared" si="145"/>
        <v/>
      </c>
      <c r="FT18" s="1064" t="str">
        <f t="shared" si="146"/>
        <v/>
      </c>
      <c r="FU18" s="1064" t="str">
        <f t="shared" si="147"/>
        <v/>
      </c>
      <c r="FV18" s="1064" t="str">
        <f t="shared" si="148"/>
        <v/>
      </c>
      <c r="FW18" s="1064" t="str">
        <f t="shared" si="149"/>
        <v/>
      </c>
      <c r="FX18" s="1064" t="str">
        <f t="shared" si="150"/>
        <v/>
      </c>
      <c r="FY18" s="1064" t="str">
        <f t="shared" si="151"/>
        <v/>
      </c>
      <c r="FZ18" s="1064" t="str">
        <f t="shared" si="152"/>
        <v/>
      </c>
      <c r="GA18" s="1064" t="str">
        <f t="shared" si="153"/>
        <v/>
      </c>
      <c r="GB18" s="1064" t="str">
        <f t="shared" si="154"/>
        <v/>
      </c>
      <c r="GC18" s="1064" t="str">
        <f t="shared" si="155"/>
        <v/>
      </c>
      <c r="GD18" s="1064" t="str">
        <f t="shared" si="156"/>
        <v/>
      </c>
      <c r="GE18" s="1064" t="str">
        <f t="shared" si="157"/>
        <v/>
      </c>
      <c r="GF18" s="1064" t="str">
        <f t="shared" si="158"/>
        <v/>
      </c>
      <c r="GG18" s="1064" t="str">
        <f t="shared" si="159"/>
        <v/>
      </c>
      <c r="GH18" s="1064" t="str">
        <f t="shared" si="160"/>
        <v/>
      </c>
      <c r="GI18" s="1064" t="str">
        <f t="shared" si="161"/>
        <v/>
      </c>
      <c r="GJ18" s="1064" t="str">
        <f t="shared" si="162"/>
        <v/>
      </c>
      <c r="GK18" s="1064" t="str">
        <f t="shared" si="163"/>
        <v/>
      </c>
      <c r="GL18" s="1064" t="str">
        <f t="shared" si="164"/>
        <v/>
      </c>
      <c r="GM18" s="1064" t="str">
        <f t="shared" si="165"/>
        <v/>
      </c>
      <c r="GN18" s="1064" t="str">
        <f t="shared" si="166"/>
        <v/>
      </c>
      <c r="GO18" s="1064" t="str">
        <f t="shared" si="167"/>
        <v/>
      </c>
      <c r="GP18" s="1064" t="str">
        <f t="shared" si="168"/>
        <v/>
      </c>
      <c r="GQ18" s="1064" t="str">
        <f t="shared" si="169"/>
        <v/>
      </c>
      <c r="GR18" s="1064" t="str">
        <f t="shared" si="170"/>
        <v/>
      </c>
      <c r="GS18" s="1064" t="str">
        <f t="shared" si="171"/>
        <v/>
      </c>
      <c r="GT18" s="1064" t="str">
        <f t="shared" si="172"/>
        <v/>
      </c>
      <c r="GU18" s="1064" t="str">
        <f t="shared" si="173"/>
        <v/>
      </c>
      <c r="GV18" s="1064" t="str">
        <f t="shared" si="174"/>
        <v/>
      </c>
      <c r="GW18" s="1064" t="str">
        <f t="shared" si="175"/>
        <v/>
      </c>
      <c r="GX18" s="1064" t="str">
        <f t="shared" si="176"/>
        <v/>
      </c>
      <c r="GY18" s="1064" t="str">
        <f t="shared" si="177"/>
        <v/>
      </c>
      <c r="GZ18" s="1064" t="str">
        <f t="shared" si="178"/>
        <v/>
      </c>
      <c r="HA18" s="1064" t="str">
        <f t="shared" si="179"/>
        <v/>
      </c>
      <c r="HB18" s="1064" t="str">
        <f t="shared" si="180"/>
        <v/>
      </c>
      <c r="HC18" s="1064" t="str">
        <f t="shared" si="181"/>
        <v/>
      </c>
      <c r="HD18" s="1064" t="str">
        <f t="shared" si="182"/>
        <v/>
      </c>
      <c r="HE18" s="1064" t="str">
        <f t="shared" si="183"/>
        <v/>
      </c>
      <c r="HF18" s="1064" t="str">
        <f t="shared" si="184"/>
        <v/>
      </c>
      <c r="HG18" s="1064" t="str">
        <f t="shared" si="185"/>
        <v/>
      </c>
      <c r="HH18" s="1064" t="str">
        <f t="shared" si="186"/>
        <v/>
      </c>
      <c r="HI18" s="1064" t="str">
        <f t="shared" si="187"/>
        <v/>
      </c>
      <c r="HJ18" s="1064" t="str">
        <f t="shared" si="188"/>
        <v/>
      </c>
      <c r="HK18" s="1064" t="str">
        <f t="shared" si="189"/>
        <v/>
      </c>
      <c r="HL18" s="1064" t="str">
        <f t="shared" si="190"/>
        <v/>
      </c>
      <c r="HM18" s="1064" t="str">
        <f t="shared" si="191"/>
        <v/>
      </c>
      <c r="HN18" s="1064" t="str">
        <f t="shared" si="192"/>
        <v/>
      </c>
      <c r="HO18" s="1064" t="str">
        <f t="shared" si="193"/>
        <v/>
      </c>
      <c r="HP18" s="1064" t="str">
        <f t="shared" si="194"/>
        <v/>
      </c>
      <c r="HQ18" s="1064" t="str">
        <f t="shared" si="195"/>
        <v/>
      </c>
      <c r="HR18" s="1064" t="str">
        <f t="shared" si="196"/>
        <v/>
      </c>
      <c r="HS18" s="1064" t="str">
        <f t="shared" si="197"/>
        <v/>
      </c>
      <c r="HT18" s="1064" t="str">
        <f t="shared" si="198"/>
        <v/>
      </c>
      <c r="HU18" s="1064" t="str">
        <f t="shared" si="199"/>
        <v/>
      </c>
      <c r="HV18" s="1064" t="str">
        <f t="shared" si="200"/>
        <v/>
      </c>
      <c r="HW18" s="1064" t="str">
        <f t="shared" si="201"/>
        <v/>
      </c>
      <c r="HX18" s="1064" t="str">
        <f t="shared" si="202"/>
        <v/>
      </c>
      <c r="HY18" s="1097" t="str">
        <f t="shared" si="203"/>
        <v/>
      </c>
      <c r="HZ18" s="1097" t="str">
        <f t="shared" si="204"/>
        <v/>
      </c>
      <c r="IA18" s="1097" t="str">
        <f t="shared" si="205"/>
        <v/>
      </c>
      <c r="IB18" s="1097" t="str">
        <f t="shared" si="206"/>
        <v/>
      </c>
      <c r="IC18" s="1097" t="str">
        <f t="shared" si="207"/>
        <v/>
      </c>
      <c r="ID18" s="1097" t="str">
        <f t="shared" si="208"/>
        <v/>
      </c>
      <c r="IE18" s="1097" t="str">
        <f t="shared" si="209"/>
        <v/>
      </c>
      <c r="IF18" s="1097" t="str">
        <f t="shared" si="210"/>
        <v/>
      </c>
      <c r="IG18" s="1097" t="str">
        <f t="shared" si="211"/>
        <v/>
      </c>
      <c r="IH18" s="1097" t="str">
        <f t="shared" si="212"/>
        <v/>
      </c>
      <c r="II18" s="1097" t="str">
        <f t="shared" si="213"/>
        <v/>
      </c>
      <c r="IJ18" s="1097" t="str">
        <f t="shared" si="214"/>
        <v/>
      </c>
      <c r="IK18" s="1097" t="str">
        <f t="shared" si="215"/>
        <v/>
      </c>
      <c r="IL18" s="1097" t="str">
        <f t="shared" si="216"/>
        <v/>
      </c>
      <c r="IM18" s="1097" t="str">
        <f t="shared" si="217"/>
        <v/>
      </c>
      <c r="IN18" s="1097" t="str">
        <f t="shared" si="218"/>
        <v/>
      </c>
      <c r="IO18" s="1097" t="str">
        <f t="shared" si="219"/>
        <v/>
      </c>
      <c r="IP18" s="1097" t="str">
        <f t="shared" si="220"/>
        <v/>
      </c>
      <c r="IQ18" s="1097" t="str">
        <f t="shared" si="221"/>
        <v/>
      </c>
      <c r="IR18" s="1097" t="str">
        <f t="shared" si="222"/>
        <v/>
      </c>
      <c r="IS18" s="1097" t="str">
        <f t="shared" si="223"/>
        <v/>
      </c>
      <c r="IT18" s="1097" t="str">
        <f t="shared" si="224"/>
        <v/>
      </c>
      <c r="IU18" s="1097" t="str">
        <f t="shared" si="225"/>
        <v/>
      </c>
      <c r="IV18" s="1097" t="str">
        <f t="shared" si="226"/>
        <v/>
      </c>
      <c r="IW18" s="1097" t="str">
        <f t="shared" si="227"/>
        <v/>
      </c>
      <c r="IX18" s="1097" t="str">
        <f t="shared" si="228"/>
        <v/>
      </c>
      <c r="IY18" s="1097" t="str">
        <f t="shared" si="229"/>
        <v/>
      </c>
      <c r="IZ18" s="1097" t="str">
        <f t="shared" si="230"/>
        <v/>
      </c>
      <c r="JA18" s="1097" t="str">
        <f t="shared" si="231"/>
        <v/>
      </c>
      <c r="JB18" s="1097" t="str">
        <f t="shared" si="232"/>
        <v/>
      </c>
      <c r="JC18" s="1097" t="str">
        <f t="shared" si="233"/>
        <v/>
      </c>
      <c r="JD18" s="1097" t="str">
        <f t="shared" si="234"/>
        <v/>
      </c>
      <c r="JE18" s="1097" t="str">
        <f t="shared" si="235"/>
        <v/>
      </c>
      <c r="JF18" s="1097" t="str">
        <f t="shared" si="236"/>
        <v/>
      </c>
      <c r="JG18" s="1097" t="str">
        <f t="shared" si="237"/>
        <v/>
      </c>
      <c r="JH18" s="1097" t="str">
        <f t="shared" si="238"/>
        <v/>
      </c>
      <c r="JI18" s="1097" t="str">
        <f t="shared" si="239"/>
        <v/>
      </c>
      <c r="JJ18" s="1097" t="str">
        <f t="shared" si="240"/>
        <v/>
      </c>
      <c r="JK18" s="1097" t="str">
        <f t="shared" si="241"/>
        <v/>
      </c>
      <c r="JL18" s="1097" t="str">
        <f t="shared" si="242"/>
        <v/>
      </c>
      <c r="JM18" s="1097" t="str">
        <f t="shared" si="243"/>
        <v/>
      </c>
      <c r="JN18" s="1097" t="str">
        <f t="shared" si="244"/>
        <v/>
      </c>
      <c r="JO18" s="1097" t="str">
        <f t="shared" si="245"/>
        <v/>
      </c>
      <c r="JP18" s="1097" t="str">
        <f t="shared" si="246"/>
        <v/>
      </c>
      <c r="JQ18" s="1097" t="str">
        <f t="shared" si="247"/>
        <v/>
      </c>
      <c r="JR18" s="1097" t="str">
        <f t="shared" si="248"/>
        <v/>
      </c>
      <c r="JS18" s="1097" t="str">
        <f t="shared" si="249"/>
        <v/>
      </c>
      <c r="JT18" s="1097" t="str">
        <f t="shared" si="250"/>
        <v/>
      </c>
      <c r="JU18" s="1097" t="str">
        <f t="shared" si="251"/>
        <v/>
      </c>
      <c r="JV18" s="1097" t="str">
        <f t="shared" si="252"/>
        <v/>
      </c>
      <c r="JW18" s="1097" t="str">
        <f t="shared" si="253"/>
        <v/>
      </c>
      <c r="JX18" s="1097" t="str">
        <f t="shared" si="254"/>
        <v/>
      </c>
      <c r="JY18" s="1097" t="str">
        <f t="shared" si="255"/>
        <v/>
      </c>
      <c r="JZ18" s="1097" t="str">
        <f t="shared" si="256"/>
        <v/>
      </c>
      <c r="KA18" s="1097" t="str">
        <f t="shared" si="257"/>
        <v/>
      </c>
      <c r="KB18" s="1097" t="str">
        <f t="shared" si="258"/>
        <v/>
      </c>
      <c r="KC18" s="1097" t="str">
        <f t="shared" si="259"/>
        <v/>
      </c>
      <c r="KD18" s="1097" t="str">
        <f t="shared" si="260"/>
        <v/>
      </c>
      <c r="KE18" s="1097" t="str">
        <f t="shared" si="261"/>
        <v/>
      </c>
      <c r="KF18" s="1097" t="str">
        <f t="shared" si="262"/>
        <v/>
      </c>
      <c r="KG18" s="1097" t="str">
        <f t="shared" si="263"/>
        <v/>
      </c>
      <c r="KH18" s="1097" t="str">
        <f t="shared" si="264"/>
        <v/>
      </c>
      <c r="KI18" s="1097" t="str">
        <f t="shared" si="265"/>
        <v/>
      </c>
      <c r="KJ18" s="1097" t="str">
        <f t="shared" si="266"/>
        <v/>
      </c>
      <c r="KK18" s="1097" t="str">
        <f t="shared" si="267"/>
        <v/>
      </c>
      <c r="KL18" s="1097" t="str">
        <f t="shared" si="268"/>
        <v/>
      </c>
      <c r="KM18" s="1097" t="str">
        <f t="shared" si="269"/>
        <v/>
      </c>
      <c r="KN18" s="1097" t="str">
        <f t="shared" si="270"/>
        <v/>
      </c>
      <c r="KO18" s="1097" t="str">
        <f t="shared" si="271"/>
        <v/>
      </c>
      <c r="KP18" s="1097" t="str">
        <f t="shared" si="272"/>
        <v/>
      </c>
      <c r="KQ18" s="1097" t="str">
        <f t="shared" si="273"/>
        <v/>
      </c>
      <c r="KR18" s="1097" t="str">
        <f t="shared" si="274"/>
        <v/>
      </c>
      <c r="KS18" s="1097" t="str">
        <f t="shared" si="275"/>
        <v/>
      </c>
      <c r="KT18" s="1097" t="str">
        <f t="shared" si="276"/>
        <v/>
      </c>
      <c r="KU18" s="1097" t="str">
        <f t="shared" si="277"/>
        <v/>
      </c>
      <c r="KV18" s="1097" t="str">
        <f t="shared" si="278"/>
        <v/>
      </c>
      <c r="KW18" s="1097" t="str">
        <f t="shared" si="279"/>
        <v/>
      </c>
      <c r="KX18" s="1097" t="str">
        <f t="shared" si="280"/>
        <v/>
      </c>
      <c r="KY18" s="1097" t="str">
        <f t="shared" si="281"/>
        <v/>
      </c>
      <c r="KZ18" s="1097" t="str">
        <f t="shared" si="282"/>
        <v/>
      </c>
      <c r="LA18" s="1097" t="str">
        <f t="shared" si="283"/>
        <v/>
      </c>
      <c r="LB18" s="1097" t="str">
        <f t="shared" si="284"/>
        <v/>
      </c>
      <c r="LC18" s="1097" t="str">
        <f t="shared" si="285"/>
        <v/>
      </c>
      <c r="LD18" s="1097" t="str">
        <f t="shared" si="286"/>
        <v/>
      </c>
      <c r="LE18" s="1097" t="str">
        <f t="shared" si="287"/>
        <v/>
      </c>
      <c r="LF18" s="1098" t="str">
        <f t="shared" si="288"/>
        <v/>
      </c>
      <c r="LG18" s="1098" t="str">
        <f t="shared" si="289"/>
        <v/>
      </c>
      <c r="LH18" s="1098" t="str">
        <f t="shared" si="290"/>
        <v/>
      </c>
      <c r="LI18" s="1098" t="str">
        <f t="shared" si="291"/>
        <v/>
      </c>
      <c r="LJ18" s="1098" t="str">
        <f t="shared" si="292"/>
        <v/>
      </c>
      <c r="LK18" s="1064" t="str">
        <f t="shared" si="293"/>
        <v/>
      </c>
      <c r="LL18" s="1064" t="str">
        <f t="shared" si="294"/>
        <v/>
      </c>
      <c r="LM18" s="1064" t="str">
        <f t="shared" si="295"/>
        <v/>
      </c>
      <c r="LN18" s="1064" t="str">
        <f t="shared" si="296"/>
        <v/>
      </c>
      <c r="LO18" s="1064" t="str">
        <f t="shared" si="297"/>
        <v/>
      </c>
      <c r="LP18" s="1064" t="str">
        <f t="shared" si="298"/>
        <v/>
      </c>
      <c r="LQ18" s="1064" t="str">
        <f t="shared" si="299"/>
        <v/>
      </c>
      <c r="LR18" s="1064" t="str">
        <f t="shared" si="300"/>
        <v/>
      </c>
      <c r="LS18" s="1064" t="str">
        <f t="shared" si="301"/>
        <v/>
      </c>
      <c r="LT18" s="1064" t="str">
        <f t="shared" si="302"/>
        <v/>
      </c>
      <c r="LU18" s="1064" t="str">
        <f t="shared" si="303"/>
        <v/>
      </c>
      <c r="LV18" s="1064" t="str">
        <f t="shared" si="304"/>
        <v/>
      </c>
      <c r="LW18" s="1064" t="str">
        <f t="shared" si="305"/>
        <v/>
      </c>
      <c r="LX18" s="1064" t="str">
        <f t="shared" si="306"/>
        <v/>
      </c>
      <c r="LY18" s="1064" t="str">
        <f t="shared" si="307"/>
        <v/>
      </c>
      <c r="LZ18" s="1064" t="str">
        <f t="shared" si="308"/>
        <v/>
      </c>
      <c r="MA18" s="1064" t="str">
        <f t="shared" si="309"/>
        <v/>
      </c>
      <c r="MB18" s="1064" t="str">
        <f t="shared" si="310"/>
        <v/>
      </c>
      <c r="MC18" s="1064" t="str">
        <f t="shared" si="311"/>
        <v/>
      </c>
      <c r="MD18" s="1064" t="str">
        <f t="shared" si="312"/>
        <v/>
      </c>
      <c r="ME18" s="1081">
        <f t="shared" si="324"/>
        <v>0</v>
      </c>
      <c r="MF18" s="1081">
        <f t="shared" si="325"/>
        <v>0</v>
      </c>
      <c r="MG18" s="1081">
        <f t="shared" si="326"/>
        <v>0</v>
      </c>
      <c r="MH18" s="1081">
        <f t="shared" si="327"/>
        <v>0</v>
      </c>
      <c r="MI18" s="1081">
        <f t="shared" si="328"/>
        <v>0</v>
      </c>
      <c r="MJ18" s="1081">
        <f t="shared" si="329"/>
        <v>0</v>
      </c>
      <c r="MK18" s="1081">
        <f t="shared" si="330"/>
        <v>0</v>
      </c>
      <c r="ML18" s="1081">
        <f t="shared" si="331"/>
        <v>0</v>
      </c>
      <c r="MM18" s="1081">
        <f t="shared" si="332"/>
        <v>0</v>
      </c>
      <c r="MN18" s="1081">
        <f t="shared" si="333"/>
        <v>0</v>
      </c>
      <c r="MO18" s="1081">
        <f t="shared" si="334"/>
        <v>0</v>
      </c>
      <c r="MP18" s="1081">
        <f t="shared" si="335"/>
        <v>0</v>
      </c>
      <c r="MQ18" s="1081">
        <f t="shared" si="336"/>
        <v>0</v>
      </c>
      <c r="MR18" s="1081">
        <f t="shared" si="337"/>
        <v>0</v>
      </c>
      <c r="MS18" s="1081">
        <f t="shared" si="338"/>
        <v>0</v>
      </c>
    </row>
    <row r="19" spans="1:357" ht="12" customHeight="1">
      <c r="A19" s="1088" t="str">
        <f t="shared" si="0"/>
        <v/>
      </c>
      <c r="B19" s="44">
        <v>30</v>
      </c>
      <c r="C19" s="41"/>
      <c r="D19" s="42"/>
      <c r="E19" s="43"/>
      <c r="F19" s="43"/>
      <c r="G19" s="43"/>
      <c r="H19" s="43"/>
      <c r="I19" s="1100">
        <f>IF(C19="",0,HLOOKUP(C19,'Part V-Utility Allowances'!$I$11:$M$22,12))</f>
        <v>0</v>
      </c>
      <c r="J19" s="810"/>
      <c r="K19" s="512">
        <f t="shared" si="1"/>
        <v>0</v>
      </c>
      <c r="L19" s="512">
        <f t="shared" si="2"/>
        <v>0</v>
      </c>
      <c r="M19" s="1101"/>
      <c r="N19" s="1101"/>
      <c r="O19" s="1101"/>
      <c r="P19" s="1102"/>
      <c r="Q19" s="1103" t="str">
        <f t="shared" si="3"/>
        <v/>
      </c>
      <c r="R19" s="1104" t="str">
        <f>IF(H19="","",IF(C19="Efficiency",Q19/($O$6*VLOOKUP(0,'DCA Underwriting Assumptions'!$J$146:$K$151,2,FALSE)),Q19/($O$6*VLOOKUP(C19,'DCA Underwriting Assumptions'!$J$146:$K$151,2,FALSE))))</f>
        <v/>
      </c>
      <c r="S19" s="1105"/>
      <c r="T19" s="1106"/>
      <c r="U19" s="2314"/>
      <c r="V19" s="2316"/>
      <c r="W19" s="1064" t="str">
        <f t="shared" si="4"/>
        <v/>
      </c>
      <c r="X19" s="1064" t="str">
        <f t="shared" si="5"/>
        <v/>
      </c>
      <c r="Y19" s="1064" t="str">
        <f t="shared" si="6"/>
        <v/>
      </c>
      <c r="Z19" s="1064" t="str">
        <f t="shared" si="7"/>
        <v/>
      </c>
      <c r="AA19" s="1064" t="str">
        <f t="shared" si="8"/>
        <v/>
      </c>
      <c r="AB19" s="1064" t="str">
        <f t="shared" si="9"/>
        <v/>
      </c>
      <c r="AC19" s="1064" t="str">
        <f t="shared" si="10"/>
        <v/>
      </c>
      <c r="AD19" s="1064" t="str">
        <f t="shared" si="11"/>
        <v/>
      </c>
      <c r="AE19" s="1064" t="str">
        <f t="shared" si="12"/>
        <v/>
      </c>
      <c r="AF19" s="1064" t="str">
        <f t="shared" si="13"/>
        <v/>
      </c>
      <c r="AG19" s="1064" t="str">
        <f t="shared" si="14"/>
        <v/>
      </c>
      <c r="AH19" s="1064" t="str">
        <f t="shared" si="15"/>
        <v/>
      </c>
      <c r="AI19" s="1064" t="str">
        <f t="shared" si="16"/>
        <v/>
      </c>
      <c r="AJ19" s="1064" t="str">
        <f t="shared" si="17"/>
        <v/>
      </c>
      <c r="AK19" s="1064" t="str">
        <f t="shared" si="18"/>
        <v/>
      </c>
      <c r="AL19" s="1064" t="str">
        <f t="shared" si="19"/>
        <v/>
      </c>
      <c r="AM19" s="1064" t="str">
        <f t="shared" si="20"/>
        <v/>
      </c>
      <c r="AN19" s="1064" t="str">
        <f t="shared" si="21"/>
        <v/>
      </c>
      <c r="AO19" s="1064" t="str">
        <f t="shared" si="22"/>
        <v/>
      </c>
      <c r="AP19" s="1064" t="str">
        <f t="shared" si="23"/>
        <v/>
      </c>
      <c r="AQ19" s="1064" t="str">
        <f t="shared" si="24"/>
        <v/>
      </c>
      <c r="AR19" s="1064" t="str">
        <f t="shared" si="25"/>
        <v/>
      </c>
      <c r="AS19" s="1064" t="str">
        <f t="shared" si="26"/>
        <v/>
      </c>
      <c r="AT19" s="1064" t="str">
        <f t="shared" si="27"/>
        <v/>
      </c>
      <c r="AU19" s="1064" t="str">
        <f t="shared" si="28"/>
        <v/>
      </c>
      <c r="AV19" s="1064" t="str">
        <f t="shared" si="29"/>
        <v/>
      </c>
      <c r="AW19" s="1064" t="str">
        <f t="shared" si="30"/>
        <v/>
      </c>
      <c r="AX19" s="1064" t="str">
        <f t="shared" si="31"/>
        <v/>
      </c>
      <c r="AY19" s="1064" t="str">
        <f t="shared" si="32"/>
        <v/>
      </c>
      <c r="AZ19" s="1064" t="str">
        <f t="shared" si="33"/>
        <v/>
      </c>
      <c r="BA19" s="1064" t="str">
        <f t="shared" si="34"/>
        <v/>
      </c>
      <c r="BB19" s="1064" t="str">
        <f t="shared" si="35"/>
        <v/>
      </c>
      <c r="BC19" s="1064" t="str">
        <f t="shared" si="36"/>
        <v/>
      </c>
      <c r="BD19" s="1064" t="str">
        <f t="shared" si="37"/>
        <v/>
      </c>
      <c r="BE19" s="1064" t="str">
        <f t="shared" si="38"/>
        <v/>
      </c>
      <c r="BF19" s="1064" t="str">
        <f t="shared" si="39"/>
        <v/>
      </c>
      <c r="BG19" s="1064" t="str">
        <f t="shared" si="40"/>
        <v/>
      </c>
      <c r="BH19" s="1064" t="str">
        <f t="shared" si="41"/>
        <v/>
      </c>
      <c r="BI19" s="1064" t="str">
        <f t="shared" si="42"/>
        <v/>
      </c>
      <c r="BJ19" s="1064" t="str">
        <f t="shared" si="43"/>
        <v/>
      </c>
      <c r="BK19" s="1064" t="str">
        <f t="shared" si="44"/>
        <v/>
      </c>
      <c r="BL19" s="1064" t="str">
        <f t="shared" si="45"/>
        <v/>
      </c>
      <c r="BM19" s="1064" t="str">
        <f t="shared" si="46"/>
        <v/>
      </c>
      <c r="BN19" s="1064" t="str">
        <f t="shared" si="47"/>
        <v/>
      </c>
      <c r="BO19" s="1064" t="str">
        <f t="shared" si="48"/>
        <v/>
      </c>
      <c r="BP19" s="1064" t="str">
        <f t="shared" si="49"/>
        <v/>
      </c>
      <c r="BQ19" s="1064" t="str">
        <f t="shared" si="50"/>
        <v/>
      </c>
      <c r="BR19" s="1064" t="str">
        <f t="shared" si="51"/>
        <v/>
      </c>
      <c r="BS19" s="1064" t="str">
        <f t="shared" si="52"/>
        <v/>
      </c>
      <c r="BT19" s="1064" t="str">
        <f t="shared" si="53"/>
        <v/>
      </c>
      <c r="BU19" s="1064" t="str">
        <f t="shared" si="54"/>
        <v/>
      </c>
      <c r="BV19" s="1064" t="str">
        <f t="shared" si="55"/>
        <v/>
      </c>
      <c r="BW19" s="1064" t="str">
        <f t="shared" si="56"/>
        <v/>
      </c>
      <c r="BX19" s="1064" t="str">
        <f t="shared" si="57"/>
        <v/>
      </c>
      <c r="BY19" s="1064" t="str">
        <f t="shared" si="58"/>
        <v/>
      </c>
      <c r="BZ19" s="1064" t="str">
        <f t="shared" si="59"/>
        <v/>
      </c>
      <c r="CA19" s="1064" t="str">
        <f t="shared" si="60"/>
        <v/>
      </c>
      <c r="CB19" s="1064" t="str">
        <f t="shared" si="61"/>
        <v/>
      </c>
      <c r="CC19" s="1064" t="str">
        <f t="shared" si="62"/>
        <v/>
      </c>
      <c r="CD19" s="1064" t="str">
        <f t="shared" si="63"/>
        <v/>
      </c>
      <c r="CE19" s="1064" t="str">
        <f t="shared" si="64"/>
        <v/>
      </c>
      <c r="CF19" s="1064" t="str">
        <f t="shared" si="65"/>
        <v/>
      </c>
      <c r="CG19" s="1064" t="str">
        <f t="shared" si="66"/>
        <v/>
      </c>
      <c r="CH19" s="1064" t="str">
        <f t="shared" si="67"/>
        <v/>
      </c>
      <c r="CI19" s="1064" t="str">
        <f t="shared" si="68"/>
        <v/>
      </c>
      <c r="CJ19" s="1064" t="str">
        <f t="shared" si="69"/>
        <v/>
      </c>
      <c r="CK19" s="1064" t="str">
        <f t="shared" si="70"/>
        <v/>
      </c>
      <c r="CL19" s="1064" t="str">
        <f t="shared" si="71"/>
        <v/>
      </c>
      <c r="CM19" s="1064" t="str">
        <f t="shared" si="72"/>
        <v/>
      </c>
      <c r="CN19" s="1064" t="str">
        <f t="shared" si="73"/>
        <v/>
      </c>
      <c r="CO19" s="1064" t="str">
        <f t="shared" si="74"/>
        <v/>
      </c>
      <c r="CP19" s="1064" t="str">
        <f t="shared" si="75"/>
        <v/>
      </c>
      <c r="CQ19" s="1064" t="str">
        <f t="shared" si="76"/>
        <v/>
      </c>
      <c r="CR19" s="1064" t="str">
        <f t="shared" si="77"/>
        <v/>
      </c>
      <c r="CS19" s="1064" t="str">
        <f t="shared" si="78"/>
        <v/>
      </c>
      <c r="CT19" s="1064" t="str">
        <f t="shared" si="79"/>
        <v/>
      </c>
      <c r="CU19" s="1064" t="str">
        <f t="shared" si="80"/>
        <v/>
      </c>
      <c r="CV19" s="1064" t="str">
        <f t="shared" si="81"/>
        <v/>
      </c>
      <c r="CW19" s="1064" t="str">
        <f t="shared" si="82"/>
        <v/>
      </c>
      <c r="CX19" s="1064" t="str">
        <f t="shared" si="83"/>
        <v/>
      </c>
      <c r="CY19" s="1064" t="str">
        <f t="shared" si="84"/>
        <v/>
      </c>
      <c r="CZ19" s="1064" t="str">
        <f t="shared" si="85"/>
        <v/>
      </c>
      <c r="DA19" s="1064" t="str">
        <f t="shared" si="86"/>
        <v/>
      </c>
      <c r="DB19" s="1064" t="str">
        <f t="shared" si="87"/>
        <v/>
      </c>
      <c r="DC19" s="1064" t="str">
        <f t="shared" si="88"/>
        <v/>
      </c>
      <c r="DD19" s="1064" t="str">
        <f t="shared" si="89"/>
        <v/>
      </c>
      <c r="DE19" s="1064" t="str">
        <f t="shared" si="90"/>
        <v/>
      </c>
      <c r="DF19" s="1064" t="str">
        <f t="shared" si="91"/>
        <v/>
      </c>
      <c r="DG19" s="1064" t="str">
        <f t="shared" si="92"/>
        <v/>
      </c>
      <c r="DH19" s="1064" t="str">
        <f t="shared" si="93"/>
        <v/>
      </c>
      <c r="DI19" s="1064" t="str">
        <f t="shared" si="94"/>
        <v/>
      </c>
      <c r="DJ19" s="1064" t="str">
        <f t="shared" si="95"/>
        <v/>
      </c>
      <c r="DK19" s="1064" t="str">
        <f t="shared" si="96"/>
        <v/>
      </c>
      <c r="DL19" s="1064" t="str">
        <f t="shared" si="97"/>
        <v/>
      </c>
      <c r="DM19" s="1064" t="str">
        <f t="shared" si="98"/>
        <v/>
      </c>
      <c r="DN19" s="1064" t="str">
        <f t="shared" si="99"/>
        <v/>
      </c>
      <c r="DO19" s="1064" t="str">
        <f t="shared" si="100"/>
        <v/>
      </c>
      <c r="DP19" s="1064" t="str">
        <f t="shared" si="101"/>
        <v/>
      </c>
      <c r="DQ19" s="1064" t="str">
        <f t="shared" si="102"/>
        <v/>
      </c>
      <c r="DR19" s="1064" t="str">
        <f t="shared" si="103"/>
        <v/>
      </c>
      <c r="DS19" s="1064" t="str">
        <f t="shared" si="104"/>
        <v/>
      </c>
      <c r="DT19" s="1064" t="str">
        <f t="shared" si="105"/>
        <v/>
      </c>
      <c r="DU19" s="1064" t="str">
        <f t="shared" si="106"/>
        <v/>
      </c>
      <c r="DV19" s="1064" t="str">
        <f t="shared" si="107"/>
        <v/>
      </c>
      <c r="DW19" s="1064" t="str">
        <f t="shared" si="108"/>
        <v/>
      </c>
      <c r="DX19" s="1064" t="str">
        <f t="shared" si="109"/>
        <v/>
      </c>
      <c r="DY19" s="1064" t="str">
        <f t="shared" si="110"/>
        <v/>
      </c>
      <c r="DZ19" s="1064" t="str">
        <f t="shared" si="111"/>
        <v/>
      </c>
      <c r="EA19" s="1064" t="str">
        <f t="shared" si="112"/>
        <v/>
      </c>
      <c r="EB19" s="1064" t="str">
        <f t="shared" si="113"/>
        <v/>
      </c>
      <c r="EC19" s="1064" t="str">
        <f t="shared" si="114"/>
        <v/>
      </c>
      <c r="ED19" s="1064" t="str">
        <f t="shared" si="115"/>
        <v/>
      </c>
      <c r="EE19" s="1064" t="str">
        <f t="shared" si="116"/>
        <v/>
      </c>
      <c r="EF19" s="1064" t="str">
        <f t="shared" si="117"/>
        <v/>
      </c>
      <c r="EG19" s="1064" t="str">
        <f t="shared" si="313"/>
        <v/>
      </c>
      <c r="EH19" s="1064" t="str">
        <f t="shared" si="118"/>
        <v/>
      </c>
      <c r="EI19" s="1064" t="str">
        <f t="shared" si="119"/>
        <v/>
      </c>
      <c r="EJ19" s="1064" t="str">
        <f t="shared" si="120"/>
        <v/>
      </c>
      <c r="EK19" s="1064" t="str">
        <f t="shared" si="121"/>
        <v/>
      </c>
      <c r="EL19" s="1064" t="str">
        <f t="shared" si="122"/>
        <v/>
      </c>
      <c r="EM19" s="1064" t="str">
        <f t="shared" si="123"/>
        <v/>
      </c>
      <c r="EN19" s="1064" t="str">
        <f t="shared" si="124"/>
        <v/>
      </c>
      <c r="EO19" s="1064" t="str">
        <f t="shared" si="125"/>
        <v/>
      </c>
      <c r="EP19" s="1064" t="str">
        <f t="shared" si="126"/>
        <v/>
      </c>
      <c r="EQ19" s="1064" t="str">
        <f t="shared" si="127"/>
        <v/>
      </c>
      <c r="ER19" s="1064" t="str">
        <f t="shared" si="128"/>
        <v/>
      </c>
      <c r="ES19" s="1064" t="str">
        <f t="shared" si="129"/>
        <v/>
      </c>
      <c r="ET19" s="1064" t="str">
        <f t="shared" si="130"/>
        <v/>
      </c>
      <c r="EU19" s="1064" t="str">
        <f t="shared" si="131"/>
        <v/>
      </c>
      <c r="EV19" s="1064" t="str">
        <f t="shared" si="132"/>
        <v/>
      </c>
      <c r="EW19" s="1064" t="str">
        <f t="shared" si="314"/>
        <v/>
      </c>
      <c r="EX19" s="1064" t="str">
        <f t="shared" si="315"/>
        <v/>
      </c>
      <c r="EY19" s="1064" t="str">
        <f t="shared" si="316"/>
        <v/>
      </c>
      <c r="EZ19" s="1064" t="str">
        <f t="shared" si="317"/>
        <v/>
      </c>
      <c r="FA19" s="1064" t="str">
        <f t="shared" si="318"/>
        <v/>
      </c>
      <c r="FB19" s="1064" t="str">
        <f t="shared" si="133"/>
        <v/>
      </c>
      <c r="FC19" s="1064" t="str">
        <f t="shared" si="134"/>
        <v/>
      </c>
      <c r="FD19" s="1064" t="str">
        <f t="shared" si="135"/>
        <v/>
      </c>
      <c r="FE19" s="1064" t="str">
        <f t="shared" si="136"/>
        <v/>
      </c>
      <c r="FF19" s="1064" t="str">
        <f t="shared" si="137"/>
        <v/>
      </c>
      <c r="FG19" s="1064" t="str">
        <f t="shared" si="319"/>
        <v/>
      </c>
      <c r="FH19" s="1064" t="str">
        <f t="shared" si="320"/>
        <v/>
      </c>
      <c r="FI19" s="1064" t="str">
        <f t="shared" si="321"/>
        <v/>
      </c>
      <c r="FJ19" s="1064" t="str">
        <f t="shared" si="322"/>
        <v/>
      </c>
      <c r="FK19" s="1064" t="str">
        <f t="shared" si="323"/>
        <v/>
      </c>
      <c r="FL19" s="1064" t="str">
        <f t="shared" si="138"/>
        <v/>
      </c>
      <c r="FM19" s="1064" t="str">
        <f t="shared" si="139"/>
        <v/>
      </c>
      <c r="FN19" s="1064" t="str">
        <f t="shared" si="140"/>
        <v/>
      </c>
      <c r="FO19" s="1064" t="str">
        <f t="shared" si="141"/>
        <v/>
      </c>
      <c r="FP19" s="1064" t="str">
        <f t="shared" si="142"/>
        <v/>
      </c>
      <c r="FQ19" s="1064" t="str">
        <f t="shared" si="143"/>
        <v/>
      </c>
      <c r="FR19" s="1064" t="str">
        <f t="shared" si="144"/>
        <v/>
      </c>
      <c r="FS19" s="1064" t="str">
        <f t="shared" si="145"/>
        <v/>
      </c>
      <c r="FT19" s="1064" t="str">
        <f t="shared" si="146"/>
        <v/>
      </c>
      <c r="FU19" s="1064" t="str">
        <f t="shared" si="147"/>
        <v/>
      </c>
      <c r="FV19" s="1064" t="str">
        <f t="shared" si="148"/>
        <v/>
      </c>
      <c r="FW19" s="1064" t="str">
        <f t="shared" si="149"/>
        <v/>
      </c>
      <c r="FX19" s="1064" t="str">
        <f t="shared" si="150"/>
        <v/>
      </c>
      <c r="FY19" s="1064" t="str">
        <f t="shared" si="151"/>
        <v/>
      </c>
      <c r="FZ19" s="1064" t="str">
        <f t="shared" si="152"/>
        <v/>
      </c>
      <c r="GA19" s="1064" t="str">
        <f t="shared" si="153"/>
        <v/>
      </c>
      <c r="GB19" s="1064" t="str">
        <f t="shared" si="154"/>
        <v/>
      </c>
      <c r="GC19" s="1064" t="str">
        <f t="shared" si="155"/>
        <v/>
      </c>
      <c r="GD19" s="1064" t="str">
        <f t="shared" si="156"/>
        <v/>
      </c>
      <c r="GE19" s="1064" t="str">
        <f t="shared" si="157"/>
        <v/>
      </c>
      <c r="GF19" s="1064" t="str">
        <f t="shared" si="158"/>
        <v/>
      </c>
      <c r="GG19" s="1064" t="str">
        <f t="shared" si="159"/>
        <v/>
      </c>
      <c r="GH19" s="1064" t="str">
        <f t="shared" si="160"/>
        <v/>
      </c>
      <c r="GI19" s="1064" t="str">
        <f t="shared" si="161"/>
        <v/>
      </c>
      <c r="GJ19" s="1064" t="str">
        <f t="shared" si="162"/>
        <v/>
      </c>
      <c r="GK19" s="1064" t="str">
        <f t="shared" si="163"/>
        <v/>
      </c>
      <c r="GL19" s="1064" t="str">
        <f t="shared" si="164"/>
        <v/>
      </c>
      <c r="GM19" s="1064" t="str">
        <f t="shared" si="165"/>
        <v/>
      </c>
      <c r="GN19" s="1064" t="str">
        <f t="shared" si="166"/>
        <v/>
      </c>
      <c r="GO19" s="1064" t="str">
        <f t="shared" si="167"/>
        <v/>
      </c>
      <c r="GP19" s="1064" t="str">
        <f t="shared" si="168"/>
        <v/>
      </c>
      <c r="GQ19" s="1064" t="str">
        <f t="shared" si="169"/>
        <v/>
      </c>
      <c r="GR19" s="1064" t="str">
        <f t="shared" si="170"/>
        <v/>
      </c>
      <c r="GS19" s="1064" t="str">
        <f t="shared" si="171"/>
        <v/>
      </c>
      <c r="GT19" s="1064" t="str">
        <f t="shared" si="172"/>
        <v/>
      </c>
      <c r="GU19" s="1064" t="str">
        <f t="shared" si="173"/>
        <v/>
      </c>
      <c r="GV19" s="1064" t="str">
        <f t="shared" si="174"/>
        <v/>
      </c>
      <c r="GW19" s="1064" t="str">
        <f t="shared" si="175"/>
        <v/>
      </c>
      <c r="GX19" s="1064" t="str">
        <f t="shared" si="176"/>
        <v/>
      </c>
      <c r="GY19" s="1064" t="str">
        <f t="shared" si="177"/>
        <v/>
      </c>
      <c r="GZ19" s="1064" t="str">
        <f t="shared" si="178"/>
        <v/>
      </c>
      <c r="HA19" s="1064" t="str">
        <f t="shared" si="179"/>
        <v/>
      </c>
      <c r="HB19" s="1064" t="str">
        <f t="shared" si="180"/>
        <v/>
      </c>
      <c r="HC19" s="1064" t="str">
        <f t="shared" si="181"/>
        <v/>
      </c>
      <c r="HD19" s="1064" t="str">
        <f t="shared" si="182"/>
        <v/>
      </c>
      <c r="HE19" s="1064" t="str">
        <f t="shared" si="183"/>
        <v/>
      </c>
      <c r="HF19" s="1064" t="str">
        <f t="shared" si="184"/>
        <v/>
      </c>
      <c r="HG19" s="1064" t="str">
        <f t="shared" si="185"/>
        <v/>
      </c>
      <c r="HH19" s="1064" t="str">
        <f t="shared" si="186"/>
        <v/>
      </c>
      <c r="HI19" s="1064" t="str">
        <f t="shared" si="187"/>
        <v/>
      </c>
      <c r="HJ19" s="1064" t="str">
        <f t="shared" si="188"/>
        <v/>
      </c>
      <c r="HK19" s="1064" t="str">
        <f t="shared" si="189"/>
        <v/>
      </c>
      <c r="HL19" s="1064" t="str">
        <f t="shared" si="190"/>
        <v/>
      </c>
      <c r="HM19" s="1064" t="str">
        <f t="shared" si="191"/>
        <v/>
      </c>
      <c r="HN19" s="1064" t="str">
        <f t="shared" si="192"/>
        <v/>
      </c>
      <c r="HO19" s="1064" t="str">
        <f t="shared" si="193"/>
        <v/>
      </c>
      <c r="HP19" s="1064" t="str">
        <f t="shared" si="194"/>
        <v/>
      </c>
      <c r="HQ19" s="1064" t="str">
        <f t="shared" si="195"/>
        <v/>
      </c>
      <c r="HR19" s="1064" t="str">
        <f t="shared" si="196"/>
        <v/>
      </c>
      <c r="HS19" s="1064" t="str">
        <f t="shared" si="197"/>
        <v/>
      </c>
      <c r="HT19" s="1064" t="str">
        <f t="shared" si="198"/>
        <v/>
      </c>
      <c r="HU19" s="1064" t="str">
        <f t="shared" si="199"/>
        <v/>
      </c>
      <c r="HV19" s="1064" t="str">
        <f t="shared" si="200"/>
        <v/>
      </c>
      <c r="HW19" s="1064" t="str">
        <f t="shared" si="201"/>
        <v/>
      </c>
      <c r="HX19" s="1064" t="str">
        <f t="shared" si="202"/>
        <v/>
      </c>
      <c r="HY19" s="1097" t="str">
        <f t="shared" si="203"/>
        <v/>
      </c>
      <c r="HZ19" s="1097" t="str">
        <f t="shared" si="204"/>
        <v/>
      </c>
      <c r="IA19" s="1097" t="str">
        <f t="shared" si="205"/>
        <v/>
      </c>
      <c r="IB19" s="1097" t="str">
        <f t="shared" si="206"/>
        <v/>
      </c>
      <c r="IC19" s="1097" t="str">
        <f t="shared" si="207"/>
        <v/>
      </c>
      <c r="ID19" s="1097" t="str">
        <f t="shared" si="208"/>
        <v/>
      </c>
      <c r="IE19" s="1097" t="str">
        <f t="shared" si="209"/>
        <v/>
      </c>
      <c r="IF19" s="1097" t="str">
        <f t="shared" si="210"/>
        <v/>
      </c>
      <c r="IG19" s="1097" t="str">
        <f t="shared" si="211"/>
        <v/>
      </c>
      <c r="IH19" s="1097" t="str">
        <f t="shared" si="212"/>
        <v/>
      </c>
      <c r="II19" s="1097" t="str">
        <f t="shared" si="213"/>
        <v/>
      </c>
      <c r="IJ19" s="1097" t="str">
        <f t="shared" si="214"/>
        <v/>
      </c>
      <c r="IK19" s="1097" t="str">
        <f t="shared" si="215"/>
        <v/>
      </c>
      <c r="IL19" s="1097" t="str">
        <f t="shared" si="216"/>
        <v/>
      </c>
      <c r="IM19" s="1097" t="str">
        <f t="shared" si="217"/>
        <v/>
      </c>
      <c r="IN19" s="1097" t="str">
        <f t="shared" si="218"/>
        <v/>
      </c>
      <c r="IO19" s="1097" t="str">
        <f t="shared" si="219"/>
        <v/>
      </c>
      <c r="IP19" s="1097" t="str">
        <f t="shared" si="220"/>
        <v/>
      </c>
      <c r="IQ19" s="1097" t="str">
        <f t="shared" si="221"/>
        <v/>
      </c>
      <c r="IR19" s="1097" t="str">
        <f t="shared" si="222"/>
        <v/>
      </c>
      <c r="IS19" s="1097" t="str">
        <f t="shared" si="223"/>
        <v/>
      </c>
      <c r="IT19" s="1097" t="str">
        <f t="shared" si="224"/>
        <v/>
      </c>
      <c r="IU19" s="1097" t="str">
        <f t="shared" si="225"/>
        <v/>
      </c>
      <c r="IV19" s="1097" t="str">
        <f t="shared" si="226"/>
        <v/>
      </c>
      <c r="IW19" s="1097" t="str">
        <f t="shared" si="227"/>
        <v/>
      </c>
      <c r="IX19" s="1097" t="str">
        <f t="shared" si="228"/>
        <v/>
      </c>
      <c r="IY19" s="1097" t="str">
        <f t="shared" si="229"/>
        <v/>
      </c>
      <c r="IZ19" s="1097" t="str">
        <f t="shared" si="230"/>
        <v/>
      </c>
      <c r="JA19" s="1097" t="str">
        <f t="shared" si="231"/>
        <v/>
      </c>
      <c r="JB19" s="1097" t="str">
        <f t="shared" si="232"/>
        <v/>
      </c>
      <c r="JC19" s="1097" t="str">
        <f t="shared" si="233"/>
        <v/>
      </c>
      <c r="JD19" s="1097" t="str">
        <f t="shared" si="234"/>
        <v/>
      </c>
      <c r="JE19" s="1097" t="str">
        <f t="shared" si="235"/>
        <v/>
      </c>
      <c r="JF19" s="1097" t="str">
        <f t="shared" si="236"/>
        <v/>
      </c>
      <c r="JG19" s="1097" t="str">
        <f t="shared" si="237"/>
        <v/>
      </c>
      <c r="JH19" s="1097" t="str">
        <f t="shared" si="238"/>
        <v/>
      </c>
      <c r="JI19" s="1097" t="str">
        <f t="shared" si="239"/>
        <v/>
      </c>
      <c r="JJ19" s="1097" t="str">
        <f t="shared" si="240"/>
        <v/>
      </c>
      <c r="JK19" s="1097" t="str">
        <f t="shared" si="241"/>
        <v/>
      </c>
      <c r="JL19" s="1097" t="str">
        <f t="shared" si="242"/>
        <v/>
      </c>
      <c r="JM19" s="1097" t="str">
        <f t="shared" si="243"/>
        <v/>
      </c>
      <c r="JN19" s="1097" t="str">
        <f t="shared" si="244"/>
        <v/>
      </c>
      <c r="JO19" s="1097" t="str">
        <f t="shared" si="245"/>
        <v/>
      </c>
      <c r="JP19" s="1097" t="str">
        <f t="shared" si="246"/>
        <v/>
      </c>
      <c r="JQ19" s="1097" t="str">
        <f t="shared" si="247"/>
        <v/>
      </c>
      <c r="JR19" s="1097" t="str">
        <f t="shared" si="248"/>
        <v/>
      </c>
      <c r="JS19" s="1097" t="str">
        <f t="shared" si="249"/>
        <v/>
      </c>
      <c r="JT19" s="1097" t="str">
        <f t="shared" si="250"/>
        <v/>
      </c>
      <c r="JU19" s="1097" t="str">
        <f t="shared" si="251"/>
        <v/>
      </c>
      <c r="JV19" s="1097" t="str">
        <f t="shared" si="252"/>
        <v/>
      </c>
      <c r="JW19" s="1097" t="str">
        <f t="shared" si="253"/>
        <v/>
      </c>
      <c r="JX19" s="1097" t="str">
        <f t="shared" si="254"/>
        <v/>
      </c>
      <c r="JY19" s="1097" t="str">
        <f t="shared" si="255"/>
        <v/>
      </c>
      <c r="JZ19" s="1097" t="str">
        <f t="shared" si="256"/>
        <v/>
      </c>
      <c r="KA19" s="1097" t="str">
        <f t="shared" si="257"/>
        <v/>
      </c>
      <c r="KB19" s="1097" t="str">
        <f t="shared" si="258"/>
        <v/>
      </c>
      <c r="KC19" s="1097" t="str">
        <f t="shared" si="259"/>
        <v/>
      </c>
      <c r="KD19" s="1097" t="str">
        <f t="shared" si="260"/>
        <v/>
      </c>
      <c r="KE19" s="1097" t="str">
        <f t="shared" si="261"/>
        <v/>
      </c>
      <c r="KF19" s="1097" t="str">
        <f t="shared" si="262"/>
        <v/>
      </c>
      <c r="KG19" s="1097" t="str">
        <f t="shared" si="263"/>
        <v/>
      </c>
      <c r="KH19" s="1097" t="str">
        <f t="shared" si="264"/>
        <v/>
      </c>
      <c r="KI19" s="1097" t="str">
        <f t="shared" si="265"/>
        <v/>
      </c>
      <c r="KJ19" s="1097" t="str">
        <f t="shared" si="266"/>
        <v/>
      </c>
      <c r="KK19" s="1097" t="str">
        <f t="shared" si="267"/>
        <v/>
      </c>
      <c r="KL19" s="1097" t="str">
        <f t="shared" si="268"/>
        <v/>
      </c>
      <c r="KM19" s="1097" t="str">
        <f t="shared" si="269"/>
        <v/>
      </c>
      <c r="KN19" s="1097" t="str">
        <f t="shared" si="270"/>
        <v/>
      </c>
      <c r="KO19" s="1097" t="str">
        <f t="shared" si="271"/>
        <v/>
      </c>
      <c r="KP19" s="1097" t="str">
        <f t="shared" si="272"/>
        <v/>
      </c>
      <c r="KQ19" s="1097" t="str">
        <f t="shared" si="273"/>
        <v/>
      </c>
      <c r="KR19" s="1097" t="str">
        <f t="shared" si="274"/>
        <v/>
      </c>
      <c r="KS19" s="1097" t="str">
        <f t="shared" si="275"/>
        <v/>
      </c>
      <c r="KT19" s="1097" t="str">
        <f t="shared" si="276"/>
        <v/>
      </c>
      <c r="KU19" s="1097" t="str">
        <f t="shared" si="277"/>
        <v/>
      </c>
      <c r="KV19" s="1097" t="str">
        <f t="shared" si="278"/>
        <v/>
      </c>
      <c r="KW19" s="1097" t="str">
        <f t="shared" si="279"/>
        <v/>
      </c>
      <c r="KX19" s="1097" t="str">
        <f t="shared" si="280"/>
        <v/>
      </c>
      <c r="KY19" s="1097" t="str">
        <f t="shared" si="281"/>
        <v/>
      </c>
      <c r="KZ19" s="1097" t="str">
        <f t="shared" si="282"/>
        <v/>
      </c>
      <c r="LA19" s="1097" t="str">
        <f t="shared" si="283"/>
        <v/>
      </c>
      <c r="LB19" s="1097" t="str">
        <f t="shared" si="284"/>
        <v/>
      </c>
      <c r="LC19" s="1097" t="str">
        <f t="shared" si="285"/>
        <v/>
      </c>
      <c r="LD19" s="1097" t="str">
        <f t="shared" si="286"/>
        <v/>
      </c>
      <c r="LE19" s="1097" t="str">
        <f t="shared" si="287"/>
        <v/>
      </c>
      <c r="LF19" s="1098" t="str">
        <f t="shared" si="288"/>
        <v/>
      </c>
      <c r="LG19" s="1098" t="str">
        <f t="shared" si="289"/>
        <v/>
      </c>
      <c r="LH19" s="1098" t="str">
        <f t="shared" si="290"/>
        <v/>
      </c>
      <c r="LI19" s="1098" t="str">
        <f t="shared" si="291"/>
        <v/>
      </c>
      <c r="LJ19" s="1098" t="str">
        <f t="shared" si="292"/>
        <v/>
      </c>
      <c r="LK19" s="1064" t="str">
        <f t="shared" si="293"/>
        <v/>
      </c>
      <c r="LL19" s="1064" t="str">
        <f t="shared" si="294"/>
        <v/>
      </c>
      <c r="LM19" s="1064" t="str">
        <f t="shared" si="295"/>
        <v/>
      </c>
      <c r="LN19" s="1064" t="str">
        <f t="shared" si="296"/>
        <v/>
      </c>
      <c r="LO19" s="1064" t="str">
        <f t="shared" si="297"/>
        <v/>
      </c>
      <c r="LP19" s="1064" t="str">
        <f t="shared" si="298"/>
        <v/>
      </c>
      <c r="LQ19" s="1064" t="str">
        <f t="shared" si="299"/>
        <v/>
      </c>
      <c r="LR19" s="1064" t="str">
        <f t="shared" si="300"/>
        <v/>
      </c>
      <c r="LS19" s="1064" t="str">
        <f t="shared" si="301"/>
        <v/>
      </c>
      <c r="LT19" s="1064" t="str">
        <f t="shared" si="302"/>
        <v/>
      </c>
      <c r="LU19" s="1064" t="str">
        <f t="shared" si="303"/>
        <v/>
      </c>
      <c r="LV19" s="1064" t="str">
        <f t="shared" si="304"/>
        <v/>
      </c>
      <c r="LW19" s="1064" t="str">
        <f t="shared" si="305"/>
        <v/>
      </c>
      <c r="LX19" s="1064" t="str">
        <f t="shared" si="306"/>
        <v/>
      </c>
      <c r="LY19" s="1064" t="str">
        <f t="shared" si="307"/>
        <v/>
      </c>
      <c r="LZ19" s="1064" t="str">
        <f t="shared" si="308"/>
        <v/>
      </c>
      <c r="MA19" s="1064" t="str">
        <f t="shared" si="309"/>
        <v/>
      </c>
      <c r="MB19" s="1064" t="str">
        <f t="shared" si="310"/>
        <v/>
      </c>
      <c r="MC19" s="1064" t="str">
        <f t="shared" si="311"/>
        <v/>
      </c>
      <c r="MD19" s="1064" t="str">
        <f t="shared" si="312"/>
        <v/>
      </c>
      <c r="ME19" s="1081">
        <f t="shared" si="324"/>
        <v>0</v>
      </c>
      <c r="MF19" s="1081">
        <f t="shared" si="325"/>
        <v>0</v>
      </c>
      <c r="MG19" s="1081">
        <f t="shared" si="326"/>
        <v>0</v>
      </c>
      <c r="MH19" s="1081">
        <f t="shared" si="327"/>
        <v>0</v>
      </c>
      <c r="MI19" s="1081">
        <f t="shared" si="328"/>
        <v>0</v>
      </c>
      <c r="MJ19" s="1081">
        <f t="shared" si="329"/>
        <v>0</v>
      </c>
      <c r="MK19" s="1081">
        <f t="shared" si="330"/>
        <v>0</v>
      </c>
      <c r="ML19" s="1081">
        <f t="shared" si="331"/>
        <v>0</v>
      </c>
      <c r="MM19" s="1081">
        <f t="shared" si="332"/>
        <v>0</v>
      </c>
      <c r="MN19" s="1081">
        <f t="shared" si="333"/>
        <v>0</v>
      </c>
      <c r="MO19" s="1081">
        <f t="shared" si="334"/>
        <v>0</v>
      </c>
      <c r="MP19" s="1081">
        <f t="shared" si="335"/>
        <v>0</v>
      </c>
      <c r="MQ19" s="1081">
        <f t="shared" si="336"/>
        <v>0</v>
      </c>
      <c r="MR19" s="1081">
        <f t="shared" si="337"/>
        <v>0</v>
      </c>
      <c r="MS19" s="1081">
        <f t="shared" si="338"/>
        <v>0</v>
      </c>
    </row>
    <row r="20" spans="1:357" ht="12" customHeight="1">
      <c r="A20" s="1088" t="str">
        <f t="shared" si="0"/>
        <v/>
      </c>
      <c r="B20" s="44">
        <v>60</v>
      </c>
      <c r="C20" s="41"/>
      <c r="D20" s="42"/>
      <c r="E20" s="43"/>
      <c r="F20" s="43"/>
      <c r="G20" s="43"/>
      <c r="H20" s="43"/>
      <c r="I20" s="1100">
        <f>IF(C20="",0,HLOOKUP(C20,'Part V-Utility Allowances'!$I$11:$M$22,12))</f>
        <v>0</v>
      </c>
      <c r="J20" s="810"/>
      <c r="K20" s="512">
        <f t="shared" si="1"/>
        <v>0</v>
      </c>
      <c r="L20" s="512">
        <f t="shared" si="2"/>
        <v>0</v>
      </c>
      <c r="M20" s="1101"/>
      <c r="N20" s="1101"/>
      <c r="O20" s="1101"/>
      <c r="P20" s="1102"/>
      <c r="Q20" s="1103" t="str">
        <f t="shared" si="3"/>
        <v/>
      </c>
      <c r="R20" s="1104" t="str">
        <f>IF(H20="","",IF(C20="Efficiency",Q20/($O$6*VLOOKUP(0,'DCA Underwriting Assumptions'!$J$146:$K$151,2,FALSE)),Q20/($O$6*VLOOKUP(C20,'DCA Underwriting Assumptions'!$J$146:$K$151,2,FALSE))))</f>
        <v/>
      </c>
      <c r="S20" s="1105"/>
      <c r="T20" s="1106"/>
      <c r="U20" s="2314"/>
      <c r="V20" s="2316"/>
      <c r="W20" s="1064" t="str">
        <f t="shared" si="4"/>
        <v/>
      </c>
      <c r="X20" s="1064" t="str">
        <f t="shared" si="5"/>
        <v/>
      </c>
      <c r="Y20" s="1064" t="str">
        <f t="shared" si="6"/>
        <v/>
      </c>
      <c r="Z20" s="1064" t="str">
        <f t="shared" si="7"/>
        <v/>
      </c>
      <c r="AA20" s="1064" t="str">
        <f t="shared" si="8"/>
        <v/>
      </c>
      <c r="AB20" s="1064" t="str">
        <f t="shared" si="9"/>
        <v/>
      </c>
      <c r="AC20" s="1064" t="str">
        <f t="shared" si="10"/>
        <v/>
      </c>
      <c r="AD20" s="1064" t="str">
        <f t="shared" si="11"/>
        <v/>
      </c>
      <c r="AE20" s="1064" t="str">
        <f t="shared" si="12"/>
        <v/>
      </c>
      <c r="AF20" s="1064" t="str">
        <f t="shared" si="13"/>
        <v/>
      </c>
      <c r="AG20" s="1064" t="str">
        <f t="shared" si="14"/>
        <v/>
      </c>
      <c r="AH20" s="1064" t="str">
        <f t="shared" si="15"/>
        <v/>
      </c>
      <c r="AI20" s="1064" t="str">
        <f t="shared" si="16"/>
        <v/>
      </c>
      <c r="AJ20" s="1064" t="str">
        <f t="shared" si="17"/>
        <v/>
      </c>
      <c r="AK20" s="1064" t="str">
        <f t="shared" si="18"/>
        <v/>
      </c>
      <c r="AL20" s="1064" t="str">
        <f t="shared" si="19"/>
        <v/>
      </c>
      <c r="AM20" s="1064" t="str">
        <f t="shared" si="20"/>
        <v/>
      </c>
      <c r="AN20" s="1064" t="str">
        <f t="shared" si="21"/>
        <v/>
      </c>
      <c r="AO20" s="1064" t="str">
        <f t="shared" si="22"/>
        <v/>
      </c>
      <c r="AP20" s="1064" t="str">
        <f t="shared" si="23"/>
        <v/>
      </c>
      <c r="AQ20" s="1064" t="str">
        <f t="shared" si="24"/>
        <v/>
      </c>
      <c r="AR20" s="1064" t="str">
        <f t="shared" si="25"/>
        <v/>
      </c>
      <c r="AS20" s="1064" t="str">
        <f t="shared" si="26"/>
        <v/>
      </c>
      <c r="AT20" s="1064" t="str">
        <f t="shared" si="27"/>
        <v/>
      </c>
      <c r="AU20" s="1064" t="str">
        <f t="shared" si="28"/>
        <v/>
      </c>
      <c r="AV20" s="1064" t="str">
        <f t="shared" si="29"/>
        <v/>
      </c>
      <c r="AW20" s="1064" t="str">
        <f t="shared" si="30"/>
        <v/>
      </c>
      <c r="AX20" s="1064" t="str">
        <f t="shared" si="31"/>
        <v/>
      </c>
      <c r="AY20" s="1064" t="str">
        <f t="shared" si="32"/>
        <v/>
      </c>
      <c r="AZ20" s="1064" t="str">
        <f t="shared" si="33"/>
        <v/>
      </c>
      <c r="BA20" s="1064" t="str">
        <f t="shared" si="34"/>
        <v/>
      </c>
      <c r="BB20" s="1064" t="str">
        <f t="shared" si="35"/>
        <v/>
      </c>
      <c r="BC20" s="1064" t="str">
        <f t="shared" si="36"/>
        <v/>
      </c>
      <c r="BD20" s="1064" t="str">
        <f t="shared" si="37"/>
        <v/>
      </c>
      <c r="BE20" s="1064" t="str">
        <f t="shared" si="38"/>
        <v/>
      </c>
      <c r="BF20" s="1064" t="str">
        <f t="shared" si="39"/>
        <v/>
      </c>
      <c r="BG20" s="1064" t="str">
        <f t="shared" si="40"/>
        <v/>
      </c>
      <c r="BH20" s="1064" t="str">
        <f t="shared" si="41"/>
        <v/>
      </c>
      <c r="BI20" s="1064" t="str">
        <f t="shared" si="42"/>
        <v/>
      </c>
      <c r="BJ20" s="1064" t="str">
        <f t="shared" si="43"/>
        <v/>
      </c>
      <c r="BK20" s="1064" t="str">
        <f t="shared" si="44"/>
        <v/>
      </c>
      <c r="BL20" s="1064" t="str">
        <f t="shared" si="45"/>
        <v/>
      </c>
      <c r="BM20" s="1064" t="str">
        <f t="shared" si="46"/>
        <v/>
      </c>
      <c r="BN20" s="1064" t="str">
        <f t="shared" si="47"/>
        <v/>
      </c>
      <c r="BO20" s="1064" t="str">
        <f t="shared" si="48"/>
        <v/>
      </c>
      <c r="BP20" s="1064" t="str">
        <f t="shared" si="49"/>
        <v/>
      </c>
      <c r="BQ20" s="1064" t="str">
        <f t="shared" si="50"/>
        <v/>
      </c>
      <c r="BR20" s="1064" t="str">
        <f t="shared" si="51"/>
        <v/>
      </c>
      <c r="BS20" s="1064" t="str">
        <f t="shared" si="52"/>
        <v/>
      </c>
      <c r="BT20" s="1064" t="str">
        <f t="shared" si="53"/>
        <v/>
      </c>
      <c r="BU20" s="1064" t="str">
        <f t="shared" si="54"/>
        <v/>
      </c>
      <c r="BV20" s="1064" t="str">
        <f t="shared" si="55"/>
        <v/>
      </c>
      <c r="BW20" s="1064" t="str">
        <f t="shared" si="56"/>
        <v/>
      </c>
      <c r="BX20" s="1064" t="str">
        <f t="shared" si="57"/>
        <v/>
      </c>
      <c r="BY20" s="1064" t="str">
        <f t="shared" si="58"/>
        <v/>
      </c>
      <c r="BZ20" s="1064" t="str">
        <f t="shared" si="59"/>
        <v/>
      </c>
      <c r="CA20" s="1064" t="str">
        <f t="shared" si="60"/>
        <v/>
      </c>
      <c r="CB20" s="1064" t="str">
        <f t="shared" si="61"/>
        <v/>
      </c>
      <c r="CC20" s="1064" t="str">
        <f t="shared" si="62"/>
        <v/>
      </c>
      <c r="CD20" s="1064" t="str">
        <f t="shared" si="63"/>
        <v/>
      </c>
      <c r="CE20" s="1064" t="str">
        <f t="shared" si="64"/>
        <v/>
      </c>
      <c r="CF20" s="1064" t="str">
        <f t="shared" si="65"/>
        <v/>
      </c>
      <c r="CG20" s="1064" t="str">
        <f t="shared" si="66"/>
        <v/>
      </c>
      <c r="CH20" s="1064" t="str">
        <f t="shared" si="67"/>
        <v/>
      </c>
      <c r="CI20" s="1064" t="str">
        <f t="shared" si="68"/>
        <v/>
      </c>
      <c r="CJ20" s="1064" t="str">
        <f t="shared" si="69"/>
        <v/>
      </c>
      <c r="CK20" s="1064" t="str">
        <f t="shared" si="70"/>
        <v/>
      </c>
      <c r="CL20" s="1064" t="str">
        <f t="shared" si="71"/>
        <v/>
      </c>
      <c r="CM20" s="1064" t="str">
        <f t="shared" si="72"/>
        <v/>
      </c>
      <c r="CN20" s="1064" t="str">
        <f t="shared" si="73"/>
        <v/>
      </c>
      <c r="CO20" s="1064" t="str">
        <f t="shared" si="74"/>
        <v/>
      </c>
      <c r="CP20" s="1064" t="str">
        <f t="shared" si="75"/>
        <v/>
      </c>
      <c r="CQ20" s="1064" t="str">
        <f t="shared" si="76"/>
        <v/>
      </c>
      <c r="CR20" s="1064" t="str">
        <f t="shared" si="77"/>
        <v/>
      </c>
      <c r="CS20" s="1064" t="str">
        <f t="shared" si="78"/>
        <v/>
      </c>
      <c r="CT20" s="1064" t="str">
        <f t="shared" si="79"/>
        <v/>
      </c>
      <c r="CU20" s="1064" t="str">
        <f t="shared" si="80"/>
        <v/>
      </c>
      <c r="CV20" s="1064" t="str">
        <f t="shared" si="81"/>
        <v/>
      </c>
      <c r="CW20" s="1064" t="str">
        <f t="shared" si="82"/>
        <v/>
      </c>
      <c r="CX20" s="1064" t="str">
        <f t="shared" si="83"/>
        <v/>
      </c>
      <c r="CY20" s="1064" t="str">
        <f t="shared" si="84"/>
        <v/>
      </c>
      <c r="CZ20" s="1064" t="str">
        <f t="shared" si="85"/>
        <v/>
      </c>
      <c r="DA20" s="1064" t="str">
        <f t="shared" si="86"/>
        <v/>
      </c>
      <c r="DB20" s="1064" t="str">
        <f t="shared" si="87"/>
        <v/>
      </c>
      <c r="DC20" s="1064" t="str">
        <f t="shared" si="88"/>
        <v/>
      </c>
      <c r="DD20" s="1064" t="str">
        <f t="shared" si="89"/>
        <v/>
      </c>
      <c r="DE20" s="1064" t="str">
        <f t="shared" si="90"/>
        <v/>
      </c>
      <c r="DF20" s="1064" t="str">
        <f t="shared" si="91"/>
        <v/>
      </c>
      <c r="DG20" s="1064" t="str">
        <f t="shared" si="92"/>
        <v/>
      </c>
      <c r="DH20" s="1064" t="str">
        <f t="shared" si="93"/>
        <v/>
      </c>
      <c r="DI20" s="1064" t="str">
        <f t="shared" si="94"/>
        <v/>
      </c>
      <c r="DJ20" s="1064" t="str">
        <f t="shared" si="95"/>
        <v/>
      </c>
      <c r="DK20" s="1064" t="str">
        <f t="shared" si="96"/>
        <v/>
      </c>
      <c r="DL20" s="1064" t="str">
        <f t="shared" si="97"/>
        <v/>
      </c>
      <c r="DM20" s="1064" t="str">
        <f t="shared" si="98"/>
        <v/>
      </c>
      <c r="DN20" s="1064" t="str">
        <f t="shared" si="99"/>
        <v/>
      </c>
      <c r="DO20" s="1064" t="str">
        <f t="shared" si="100"/>
        <v/>
      </c>
      <c r="DP20" s="1064" t="str">
        <f t="shared" si="101"/>
        <v/>
      </c>
      <c r="DQ20" s="1064" t="str">
        <f t="shared" si="102"/>
        <v/>
      </c>
      <c r="DR20" s="1064" t="str">
        <f t="shared" si="103"/>
        <v/>
      </c>
      <c r="DS20" s="1064" t="str">
        <f t="shared" si="104"/>
        <v/>
      </c>
      <c r="DT20" s="1064" t="str">
        <f t="shared" si="105"/>
        <v/>
      </c>
      <c r="DU20" s="1064" t="str">
        <f t="shared" si="106"/>
        <v/>
      </c>
      <c r="DV20" s="1064" t="str">
        <f t="shared" si="107"/>
        <v/>
      </c>
      <c r="DW20" s="1064" t="str">
        <f t="shared" si="108"/>
        <v/>
      </c>
      <c r="DX20" s="1064" t="str">
        <f t="shared" si="109"/>
        <v/>
      </c>
      <c r="DY20" s="1064" t="str">
        <f t="shared" si="110"/>
        <v/>
      </c>
      <c r="DZ20" s="1064" t="str">
        <f t="shared" si="111"/>
        <v/>
      </c>
      <c r="EA20" s="1064" t="str">
        <f t="shared" si="112"/>
        <v/>
      </c>
      <c r="EB20" s="1064" t="str">
        <f t="shared" si="113"/>
        <v/>
      </c>
      <c r="EC20" s="1064" t="str">
        <f t="shared" si="114"/>
        <v/>
      </c>
      <c r="ED20" s="1064" t="str">
        <f t="shared" si="115"/>
        <v/>
      </c>
      <c r="EE20" s="1064" t="str">
        <f t="shared" si="116"/>
        <v/>
      </c>
      <c r="EF20" s="1064" t="str">
        <f t="shared" si="117"/>
        <v/>
      </c>
      <c r="EG20" s="1064" t="str">
        <f t="shared" si="313"/>
        <v/>
      </c>
      <c r="EH20" s="1064" t="str">
        <f t="shared" si="118"/>
        <v/>
      </c>
      <c r="EI20" s="1064" t="str">
        <f t="shared" si="119"/>
        <v/>
      </c>
      <c r="EJ20" s="1064" t="str">
        <f t="shared" si="120"/>
        <v/>
      </c>
      <c r="EK20" s="1064" t="str">
        <f t="shared" si="121"/>
        <v/>
      </c>
      <c r="EL20" s="1064" t="str">
        <f t="shared" si="122"/>
        <v/>
      </c>
      <c r="EM20" s="1064" t="str">
        <f t="shared" si="123"/>
        <v/>
      </c>
      <c r="EN20" s="1064" t="str">
        <f t="shared" si="124"/>
        <v/>
      </c>
      <c r="EO20" s="1064" t="str">
        <f t="shared" si="125"/>
        <v/>
      </c>
      <c r="EP20" s="1064" t="str">
        <f t="shared" si="126"/>
        <v/>
      </c>
      <c r="EQ20" s="1064" t="str">
        <f t="shared" si="127"/>
        <v/>
      </c>
      <c r="ER20" s="1064" t="str">
        <f t="shared" si="128"/>
        <v/>
      </c>
      <c r="ES20" s="1064" t="str">
        <f t="shared" si="129"/>
        <v/>
      </c>
      <c r="ET20" s="1064" t="str">
        <f t="shared" si="130"/>
        <v/>
      </c>
      <c r="EU20" s="1064" t="str">
        <f t="shared" si="131"/>
        <v/>
      </c>
      <c r="EV20" s="1064" t="str">
        <f t="shared" si="132"/>
        <v/>
      </c>
      <c r="EW20" s="1064" t="str">
        <f t="shared" si="314"/>
        <v/>
      </c>
      <c r="EX20" s="1064" t="str">
        <f t="shared" si="315"/>
        <v/>
      </c>
      <c r="EY20" s="1064" t="str">
        <f t="shared" si="316"/>
        <v/>
      </c>
      <c r="EZ20" s="1064" t="str">
        <f t="shared" si="317"/>
        <v/>
      </c>
      <c r="FA20" s="1064" t="str">
        <f t="shared" si="318"/>
        <v/>
      </c>
      <c r="FB20" s="1064" t="str">
        <f t="shared" si="133"/>
        <v/>
      </c>
      <c r="FC20" s="1064" t="str">
        <f t="shared" si="134"/>
        <v/>
      </c>
      <c r="FD20" s="1064" t="str">
        <f t="shared" si="135"/>
        <v/>
      </c>
      <c r="FE20" s="1064" t="str">
        <f t="shared" si="136"/>
        <v/>
      </c>
      <c r="FF20" s="1064" t="str">
        <f t="shared" si="137"/>
        <v/>
      </c>
      <c r="FG20" s="1064" t="str">
        <f t="shared" si="319"/>
        <v/>
      </c>
      <c r="FH20" s="1064" t="str">
        <f t="shared" si="320"/>
        <v/>
      </c>
      <c r="FI20" s="1064" t="str">
        <f t="shared" si="321"/>
        <v/>
      </c>
      <c r="FJ20" s="1064" t="str">
        <f t="shared" si="322"/>
        <v/>
      </c>
      <c r="FK20" s="1064" t="str">
        <f t="shared" si="323"/>
        <v/>
      </c>
      <c r="FL20" s="1064" t="str">
        <f t="shared" si="138"/>
        <v/>
      </c>
      <c r="FM20" s="1064" t="str">
        <f t="shared" si="139"/>
        <v/>
      </c>
      <c r="FN20" s="1064" t="str">
        <f t="shared" si="140"/>
        <v/>
      </c>
      <c r="FO20" s="1064" t="str">
        <f t="shared" si="141"/>
        <v/>
      </c>
      <c r="FP20" s="1064" t="str">
        <f t="shared" si="142"/>
        <v/>
      </c>
      <c r="FQ20" s="1064" t="str">
        <f t="shared" si="143"/>
        <v/>
      </c>
      <c r="FR20" s="1064" t="str">
        <f t="shared" si="144"/>
        <v/>
      </c>
      <c r="FS20" s="1064" t="str">
        <f t="shared" si="145"/>
        <v/>
      </c>
      <c r="FT20" s="1064" t="str">
        <f t="shared" si="146"/>
        <v/>
      </c>
      <c r="FU20" s="1064" t="str">
        <f t="shared" si="147"/>
        <v/>
      </c>
      <c r="FV20" s="1064" t="str">
        <f t="shared" si="148"/>
        <v/>
      </c>
      <c r="FW20" s="1064" t="str">
        <f t="shared" si="149"/>
        <v/>
      </c>
      <c r="FX20" s="1064" t="str">
        <f t="shared" si="150"/>
        <v/>
      </c>
      <c r="FY20" s="1064" t="str">
        <f t="shared" si="151"/>
        <v/>
      </c>
      <c r="FZ20" s="1064" t="str">
        <f t="shared" si="152"/>
        <v/>
      </c>
      <c r="GA20" s="1064" t="str">
        <f t="shared" si="153"/>
        <v/>
      </c>
      <c r="GB20" s="1064" t="str">
        <f t="shared" si="154"/>
        <v/>
      </c>
      <c r="GC20" s="1064" t="str">
        <f t="shared" si="155"/>
        <v/>
      </c>
      <c r="GD20" s="1064" t="str">
        <f t="shared" si="156"/>
        <v/>
      </c>
      <c r="GE20" s="1064" t="str">
        <f t="shared" si="157"/>
        <v/>
      </c>
      <c r="GF20" s="1064" t="str">
        <f t="shared" si="158"/>
        <v/>
      </c>
      <c r="GG20" s="1064" t="str">
        <f t="shared" si="159"/>
        <v/>
      </c>
      <c r="GH20" s="1064" t="str">
        <f t="shared" si="160"/>
        <v/>
      </c>
      <c r="GI20" s="1064" t="str">
        <f t="shared" si="161"/>
        <v/>
      </c>
      <c r="GJ20" s="1064" t="str">
        <f t="shared" si="162"/>
        <v/>
      </c>
      <c r="GK20" s="1064" t="str">
        <f t="shared" si="163"/>
        <v/>
      </c>
      <c r="GL20" s="1064" t="str">
        <f t="shared" si="164"/>
        <v/>
      </c>
      <c r="GM20" s="1064" t="str">
        <f t="shared" si="165"/>
        <v/>
      </c>
      <c r="GN20" s="1064" t="str">
        <f t="shared" si="166"/>
        <v/>
      </c>
      <c r="GO20" s="1064" t="str">
        <f t="shared" si="167"/>
        <v/>
      </c>
      <c r="GP20" s="1064" t="str">
        <f t="shared" si="168"/>
        <v/>
      </c>
      <c r="GQ20" s="1064" t="str">
        <f t="shared" si="169"/>
        <v/>
      </c>
      <c r="GR20" s="1064" t="str">
        <f t="shared" si="170"/>
        <v/>
      </c>
      <c r="GS20" s="1064" t="str">
        <f t="shared" si="171"/>
        <v/>
      </c>
      <c r="GT20" s="1064" t="str">
        <f t="shared" si="172"/>
        <v/>
      </c>
      <c r="GU20" s="1064" t="str">
        <f t="shared" si="173"/>
        <v/>
      </c>
      <c r="GV20" s="1064" t="str">
        <f t="shared" si="174"/>
        <v/>
      </c>
      <c r="GW20" s="1064" t="str">
        <f t="shared" si="175"/>
        <v/>
      </c>
      <c r="GX20" s="1064" t="str">
        <f t="shared" si="176"/>
        <v/>
      </c>
      <c r="GY20" s="1064" t="str">
        <f t="shared" si="177"/>
        <v/>
      </c>
      <c r="GZ20" s="1064" t="str">
        <f t="shared" si="178"/>
        <v/>
      </c>
      <c r="HA20" s="1064" t="str">
        <f t="shared" si="179"/>
        <v/>
      </c>
      <c r="HB20" s="1064" t="str">
        <f t="shared" si="180"/>
        <v/>
      </c>
      <c r="HC20" s="1064" t="str">
        <f t="shared" si="181"/>
        <v/>
      </c>
      <c r="HD20" s="1064" t="str">
        <f t="shared" si="182"/>
        <v/>
      </c>
      <c r="HE20" s="1064" t="str">
        <f t="shared" si="183"/>
        <v/>
      </c>
      <c r="HF20" s="1064" t="str">
        <f t="shared" si="184"/>
        <v/>
      </c>
      <c r="HG20" s="1064" t="str">
        <f t="shared" si="185"/>
        <v/>
      </c>
      <c r="HH20" s="1064" t="str">
        <f t="shared" si="186"/>
        <v/>
      </c>
      <c r="HI20" s="1064" t="str">
        <f t="shared" si="187"/>
        <v/>
      </c>
      <c r="HJ20" s="1064" t="str">
        <f t="shared" si="188"/>
        <v/>
      </c>
      <c r="HK20" s="1064" t="str">
        <f t="shared" si="189"/>
        <v/>
      </c>
      <c r="HL20" s="1064" t="str">
        <f t="shared" si="190"/>
        <v/>
      </c>
      <c r="HM20" s="1064" t="str">
        <f t="shared" si="191"/>
        <v/>
      </c>
      <c r="HN20" s="1064" t="str">
        <f t="shared" si="192"/>
        <v/>
      </c>
      <c r="HO20" s="1064" t="str">
        <f t="shared" si="193"/>
        <v/>
      </c>
      <c r="HP20" s="1064" t="str">
        <f t="shared" si="194"/>
        <v/>
      </c>
      <c r="HQ20" s="1064" t="str">
        <f t="shared" si="195"/>
        <v/>
      </c>
      <c r="HR20" s="1064" t="str">
        <f t="shared" si="196"/>
        <v/>
      </c>
      <c r="HS20" s="1064" t="str">
        <f t="shared" si="197"/>
        <v/>
      </c>
      <c r="HT20" s="1064" t="str">
        <f t="shared" si="198"/>
        <v/>
      </c>
      <c r="HU20" s="1064" t="str">
        <f t="shared" si="199"/>
        <v/>
      </c>
      <c r="HV20" s="1064" t="str">
        <f t="shared" si="200"/>
        <v/>
      </c>
      <c r="HW20" s="1064" t="str">
        <f t="shared" si="201"/>
        <v/>
      </c>
      <c r="HX20" s="1064" t="str">
        <f t="shared" si="202"/>
        <v/>
      </c>
      <c r="HY20" s="1097" t="str">
        <f t="shared" si="203"/>
        <v/>
      </c>
      <c r="HZ20" s="1097" t="str">
        <f t="shared" si="204"/>
        <v/>
      </c>
      <c r="IA20" s="1097" t="str">
        <f t="shared" si="205"/>
        <v/>
      </c>
      <c r="IB20" s="1097" t="str">
        <f t="shared" si="206"/>
        <v/>
      </c>
      <c r="IC20" s="1097" t="str">
        <f t="shared" si="207"/>
        <v/>
      </c>
      <c r="ID20" s="1097" t="str">
        <f t="shared" si="208"/>
        <v/>
      </c>
      <c r="IE20" s="1097" t="str">
        <f t="shared" si="209"/>
        <v/>
      </c>
      <c r="IF20" s="1097" t="str">
        <f t="shared" si="210"/>
        <v/>
      </c>
      <c r="IG20" s="1097" t="str">
        <f t="shared" si="211"/>
        <v/>
      </c>
      <c r="IH20" s="1097" t="str">
        <f t="shared" si="212"/>
        <v/>
      </c>
      <c r="II20" s="1097" t="str">
        <f t="shared" si="213"/>
        <v/>
      </c>
      <c r="IJ20" s="1097" t="str">
        <f t="shared" si="214"/>
        <v/>
      </c>
      <c r="IK20" s="1097" t="str">
        <f t="shared" si="215"/>
        <v/>
      </c>
      <c r="IL20" s="1097" t="str">
        <f t="shared" si="216"/>
        <v/>
      </c>
      <c r="IM20" s="1097" t="str">
        <f t="shared" si="217"/>
        <v/>
      </c>
      <c r="IN20" s="1097" t="str">
        <f t="shared" si="218"/>
        <v/>
      </c>
      <c r="IO20" s="1097" t="str">
        <f t="shared" si="219"/>
        <v/>
      </c>
      <c r="IP20" s="1097" t="str">
        <f t="shared" si="220"/>
        <v/>
      </c>
      <c r="IQ20" s="1097" t="str">
        <f t="shared" si="221"/>
        <v/>
      </c>
      <c r="IR20" s="1097" t="str">
        <f t="shared" si="222"/>
        <v/>
      </c>
      <c r="IS20" s="1097" t="str">
        <f t="shared" si="223"/>
        <v/>
      </c>
      <c r="IT20" s="1097" t="str">
        <f t="shared" si="224"/>
        <v/>
      </c>
      <c r="IU20" s="1097" t="str">
        <f t="shared" si="225"/>
        <v/>
      </c>
      <c r="IV20" s="1097" t="str">
        <f t="shared" si="226"/>
        <v/>
      </c>
      <c r="IW20" s="1097" t="str">
        <f t="shared" si="227"/>
        <v/>
      </c>
      <c r="IX20" s="1097" t="str">
        <f t="shared" si="228"/>
        <v/>
      </c>
      <c r="IY20" s="1097" t="str">
        <f t="shared" si="229"/>
        <v/>
      </c>
      <c r="IZ20" s="1097" t="str">
        <f t="shared" si="230"/>
        <v/>
      </c>
      <c r="JA20" s="1097" t="str">
        <f t="shared" si="231"/>
        <v/>
      </c>
      <c r="JB20" s="1097" t="str">
        <f t="shared" si="232"/>
        <v/>
      </c>
      <c r="JC20" s="1097" t="str">
        <f t="shared" si="233"/>
        <v/>
      </c>
      <c r="JD20" s="1097" t="str">
        <f t="shared" si="234"/>
        <v/>
      </c>
      <c r="JE20" s="1097" t="str">
        <f t="shared" si="235"/>
        <v/>
      </c>
      <c r="JF20" s="1097" t="str">
        <f t="shared" si="236"/>
        <v/>
      </c>
      <c r="JG20" s="1097" t="str">
        <f t="shared" si="237"/>
        <v/>
      </c>
      <c r="JH20" s="1097" t="str">
        <f t="shared" si="238"/>
        <v/>
      </c>
      <c r="JI20" s="1097" t="str">
        <f t="shared" si="239"/>
        <v/>
      </c>
      <c r="JJ20" s="1097" t="str">
        <f t="shared" si="240"/>
        <v/>
      </c>
      <c r="JK20" s="1097" t="str">
        <f t="shared" si="241"/>
        <v/>
      </c>
      <c r="JL20" s="1097" t="str">
        <f t="shared" si="242"/>
        <v/>
      </c>
      <c r="JM20" s="1097" t="str">
        <f t="shared" si="243"/>
        <v/>
      </c>
      <c r="JN20" s="1097" t="str">
        <f t="shared" si="244"/>
        <v/>
      </c>
      <c r="JO20" s="1097" t="str">
        <f t="shared" si="245"/>
        <v/>
      </c>
      <c r="JP20" s="1097" t="str">
        <f t="shared" si="246"/>
        <v/>
      </c>
      <c r="JQ20" s="1097" t="str">
        <f t="shared" si="247"/>
        <v/>
      </c>
      <c r="JR20" s="1097" t="str">
        <f t="shared" si="248"/>
        <v/>
      </c>
      <c r="JS20" s="1097" t="str">
        <f t="shared" si="249"/>
        <v/>
      </c>
      <c r="JT20" s="1097" t="str">
        <f t="shared" si="250"/>
        <v/>
      </c>
      <c r="JU20" s="1097" t="str">
        <f t="shared" si="251"/>
        <v/>
      </c>
      <c r="JV20" s="1097" t="str">
        <f t="shared" si="252"/>
        <v/>
      </c>
      <c r="JW20" s="1097" t="str">
        <f t="shared" si="253"/>
        <v/>
      </c>
      <c r="JX20" s="1097" t="str">
        <f t="shared" si="254"/>
        <v/>
      </c>
      <c r="JY20" s="1097" t="str">
        <f t="shared" si="255"/>
        <v/>
      </c>
      <c r="JZ20" s="1097" t="str">
        <f t="shared" si="256"/>
        <v/>
      </c>
      <c r="KA20" s="1097" t="str">
        <f t="shared" si="257"/>
        <v/>
      </c>
      <c r="KB20" s="1097" t="str">
        <f t="shared" si="258"/>
        <v/>
      </c>
      <c r="KC20" s="1097" t="str">
        <f t="shared" si="259"/>
        <v/>
      </c>
      <c r="KD20" s="1097" t="str">
        <f t="shared" si="260"/>
        <v/>
      </c>
      <c r="KE20" s="1097" t="str">
        <f t="shared" si="261"/>
        <v/>
      </c>
      <c r="KF20" s="1097" t="str">
        <f t="shared" si="262"/>
        <v/>
      </c>
      <c r="KG20" s="1097" t="str">
        <f t="shared" si="263"/>
        <v/>
      </c>
      <c r="KH20" s="1097" t="str">
        <f t="shared" si="264"/>
        <v/>
      </c>
      <c r="KI20" s="1097" t="str">
        <f t="shared" si="265"/>
        <v/>
      </c>
      <c r="KJ20" s="1097" t="str">
        <f t="shared" si="266"/>
        <v/>
      </c>
      <c r="KK20" s="1097" t="str">
        <f t="shared" si="267"/>
        <v/>
      </c>
      <c r="KL20" s="1097" t="str">
        <f t="shared" si="268"/>
        <v/>
      </c>
      <c r="KM20" s="1097" t="str">
        <f t="shared" si="269"/>
        <v/>
      </c>
      <c r="KN20" s="1097" t="str">
        <f t="shared" si="270"/>
        <v/>
      </c>
      <c r="KO20" s="1097" t="str">
        <f t="shared" si="271"/>
        <v/>
      </c>
      <c r="KP20" s="1097" t="str">
        <f t="shared" si="272"/>
        <v/>
      </c>
      <c r="KQ20" s="1097" t="str">
        <f t="shared" si="273"/>
        <v/>
      </c>
      <c r="KR20" s="1097" t="str">
        <f t="shared" si="274"/>
        <v/>
      </c>
      <c r="KS20" s="1097" t="str">
        <f t="shared" si="275"/>
        <v/>
      </c>
      <c r="KT20" s="1097" t="str">
        <f t="shared" si="276"/>
        <v/>
      </c>
      <c r="KU20" s="1097" t="str">
        <f t="shared" si="277"/>
        <v/>
      </c>
      <c r="KV20" s="1097" t="str">
        <f t="shared" si="278"/>
        <v/>
      </c>
      <c r="KW20" s="1097" t="str">
        <f t="shared" si="279"/>
        <v/>
      </c>
      <c r="KX20" s="1097" t="str">
        <f t="shared" si="280"/>
        <v/>
      </c>
      <c r="KY20" s="1097" t="str">
        <f t="shared" si="281"/>
        <v/>
      </c>
      <c r="KZ20" s="1097" t="str">
        <f t="shared" si="282"/>
        <v/>
      </c>
      <c r="LA20" s="1097" t="str">
        <f t="shared" si="283"/>
        <v/>
      </c>
      <c r="LB20" s="1097" t="str">
        <f t="shared" si="284"/>
        <v/>
      </c>
      <c r="LC20" s="1097" t="str">
        <f t="shared" si="285"/>
        <v/>
      </c>
      <c r="LD20" s="1097" t="str">
        <f t="shared" si="286"/>
        <v/>
      </c>
      <c r="LE20" s="1097" t="str">
        <f t="shared" si="287"/>
        <v/>
      </c>
      <c r="LF20" s="1098" t="str">
        <f t="shared" si="288"/>
        <v/>
      </c>
      <c r="LG20" s="1098" t="str">
        <f t="shared" si="289"/>
        <v/>
      </c>
      <c r="LH20" s="1098" t="str">
        <f t="shared" si="290"/>
        <v/>
      </c>
      <c r="LI20" s="1098" t="str">
        <f t="shared" si="291"/>
        <v/>
      </c>
      <c r="LJ20" s="1098" t="str">
        <f t="shared" si="292"/>
        <v/>
      </c>
      <c r="LK20" s="1064" t="str">
        <f t="shared" si="293"/>
        <v/>
      </c>
      <c r="LL20" s="1064" t="str">
        <f t="shared" si="294"/>
        <v/>
      </c>
      <c r="LM20" s="1064" t="str">
        <f t="shared" si="295"/>
        <v/>
      </c>
      <c r="LN20" s="1064" t="str">
        <f t="shared" si="296"/>
        <v/>
      </c>
      <c r="LO20" s="1064" t="str">
        <f t="shared" si="297"/>
        <v/>
      </c>
      <c r="LP20" s="1064" t="str">
        <f t="shared" si="298"/>
        <v/>
      </c>
      <c r="LQ20" s="1064" t="str">
        <f t="shared" si="299"/>
        <v/>
      </c>
      <c r="LR20" s="1064" t="str">
        <f t="shared" si="300"/>
        <v/>
      </c>
      <c r="LS20" s="1064" t="str">
        <f t="shared" si="301"/>
        <v/>
      </c>
      <c r="LT20" s="1064" t="str">
        <f t="shared" si="302"/>
        <v/>
      </c>
      <c r="LU20" s="1064" t="str">
        <f t="shared" si="303"/>
        <v/>
      </c>
      <c r="LV20" s="1064" t="str">
        <f t="shared" si="304"/>
        <v/>
      </c>
      <c r="LW20" s="1064" t="str">
        <f t="shared" si="305"/>
        <v/>
      </c>
      <c r="LX20" s="1064" t="str">
        <f t="shared" si="306"/>
        <v/>
      </c>
      <c r="LY20" s="1064" t="str">
        <f t="shared" si="307"/>
        <v/>
      </c>
      <c r="LZ20" s="1064" t="str">
        <f t="shared" si="308"/>
        <v/>
      </c>
      <c r="MA20" s="1064" t="str">
        <f t="shared" si="309"/>
        <v/>
      </c>
      <c r="MB20" s="1064" t="str">
        <f t="shared" si="310"/>
        <v/>
      </c>
      <c r="MC20" s="1064" t="str">
        <f t="shared" si="311"/>
        <v/>
      </c>
      <c r="MD20" s="1064" t="str">
        <f t="shared" si="312"/>
        <v/>
      </c>
      <c r="ME20" s="1081">
        <f t="shared" si="324"/>
        <v>0</v>
      </c>
      <c r="MF20" s="1081">
        <f t="shared" si="325"/>
        <v>0</v>
      </c>
      <c r="MG20" s="1081">
        <f t="shared" si="326"/>
        <v>0</v>
      </c>
      <c r="MH20" s="1081">
        <f t="shared" si="327"/>
        <v>0</v>
      </c>
      <c r="MI20" s="1081">
        <f t="shared" si="328"/>
        <v>0</v>
      </c>
      <c r="MJ20" s="1081">
        <f t="shared" si="329"/>
        <v>0</v>
      </c>
      <c r="MK20" s="1081">
        <f t="shared" si="330"/>
        <v>0</v>
      </c>
      <c r="ML20" s="1081">
        <f t="shared" si="331"/>
        <v>0</v>
      </c>
      <c r="MM20" s="1081">
        <f t="shared" si="332"/>
        <v>0</v>
      </c>
      <c r="MN20" s="1081">
        <f t="shared" si="333"/>
        <v>0</v>
      </c>
      <c r="MO20" s="1081">
        <f t="shared" si="334"/>
        <v>0</v>
      </c>
      <c r="MP20" s="1081">
        <f t="shared" si="335"/>
        <v>0</v>
      </c>
      <c r="MQ20" s="1081">
        <f t="shared" si="336"/>
        <v>0</v>
      </c>
      <c r="MR20" s="1081">
        <f t="shared" si="337"/>
        <v>0</v>
      </c>
      <c r="MS20" s="1081">
        <f t="shared" si="338"/>
        <v>0</v>
      </c>
    </row>
    <row r="21" spans="1:357" ht="12" customHeight="1">
      <c r="A21" s="1088" t="str">
        <f t="shared" si="0"/>
        <v/>
      </c>
      <c r="B21" s="44">
        <v>60</v>
      </c>
      <c r="C21" s="41"/>
      <c r="D21" s="42"/>
      <c r="E21" s="43"/>
      <c r="F21" s="43"/>
      <c r="G21" s="43"/>
      <c r="H21" s="43"/>
      <c r="I21" s="1100">
        <f>IF(C21="",0,HLOOKUP(C21,'Part V-Utility Allowances'!$I$11:$M$22,12))</f>
        <v>0</v>
      </c>
      <c r="J21" s="810"/>
      <c r="K21" s="512">
        <f t="shared" si="1"/>
        <v>0</v>
      </c>
      <c r="L21" s="512">
        <f t="shared" si="2"/>
        <v>0</v>
      </c>
      <c r="M21" s="1101"/>
      <c r="N21" s="1101"/>
      <c r="O21" s="1101"/>
      <c r="P21" s="1102"/>
      <c r="Q21" s="1103" t="str">
        <f t="shared" si="3"/>
        <v/>
      </c>
      <c r="R21" s="1104" t="str">
        <f>IF(H21="","",IF(C21="Efficiency",Q21/($O$6*VLOOKUP(0,'DCA Underwriting Assumptions'!$J$146:$K$151,2,FALSE)),Q21/($O$6*VLOOKUP(C21,'DCA Underwriting Assumptions'!$J$146:$K$151,2,FALSE))))</f>
        <v/>
      </c>
      <c r="S21" s="1105"/>
      <c r="T21" s="1106"/>
      <c r="U21" s="2314"/>
      <c r="V21" s="2316"/>
      <c r="W21" s="1064" t="str">
        <f t="shared" si="4"/>
        <v/>
      </c>
      <c r="X21" s="1064" t="str">
        <f t="shared" si="5"/>
        <v/>
      </c>
      <c r="Y21" s="1064" t="str">
        <f t="shared" si="6"/>
        <v/>
      </c>
      <c r="Z21" s="1064" t="str">
        <f t="shared" si="7"/>
        <v/>
      </c>
      <c r="AA21" s="1064" t="str">
        <f t="shared" si="8"/>
        <v/>
      </c>
      <c r="AB21" s="1064" t="str">
        <f t="shared" si="9"/>
        <v/>
      </c>
      <c r="AC21" s="1064" t="str">
        <f t="shared" si="10"/>
        <v/>
      </c>
      <c r="AD21" s="1064" t="str">
        <f t="shared" si="11"/>
        <v/>
      </c>
      <c r="AE21" s="1064" t="str">
        <f t="shared" si="12"/>
        <v/>
      </c>
      <c r="AF21" s="1064" t="str">
        <f t="shared" si="13"/>
        <v/>
      </c>
      <c r="AG21" s="1064" t="str">
        <f t="shared" si="14"/>
        <v/>
      </c>
      <c r="AH21" s="1064" t="str">
        <f t="shared" si="15"/>
        <v/>
      </c>
      <c r="AI21" s="1064" t="str">
        <f t="shared" si="16"/>
        <v/>
      </c>
      <c r="AJ21" s="1064" t="str">
        <f t="shared" si="17"/>
        <v/>
      </c>
      <c r="AK21" s="1064" t="str">
        <f t="shared" si="18"/>
        <v/>
      </c>
      <c r="AL21" s="1064" t="str">
        <f t="shared" si="19"/>
        <v/>
      </c>
      <c r="AM21" s="1064" t="str">
        <f t="shared" si="20"/>
        <v/>
      </c>
      <c r="AN21" s="1064" t="str">
        <f t="shared" si="21"/>
        <v/>
      </c>
      <c r="AO21" s="1064" t="str">
        <f t="shared" si="22"/>
        <v/>
      </c>
      <c r="AP21" s="1064" t="str">
        <f t="shared" si="23"/>
        <v/>
      </c>
      <c r="AQ21" s="1064" t="str">
        <f t="shared" si="24"/>
        <v/>
      </c>
      <c r="AR21" s="1064" t="str">
        <f t="shared" si="25"/>
        <v/>
      </c>
      <c r="AS21" s="1064" t="str">
        <f t="shared" si="26"/>
        <v/>
      </c>
      <c r="AT21" s="1064" t="str">
        <f t="shared" si="27"/>
        <v/>
      </c>
      <c r="AU21" s="1064" t="str">
        <f t="shared" si="28"/>
        <v/>
      </c>
      <c r="AV21" s="1064" t="str">
        <f t="shared" si="29"/>
        <v/>
      </c>
      <c r="AW21" s="1064" t="str">
        <f t="shared" si="30"/>
        <v/>
      </c>
      <c r="AX21" s="1064" t="str">
        <f t="shared" si="31"/>
        <v/>
      </c>
      <c r="AY21" s="1064" t="str">
        <f t="shared" si="32"/>
        <v/>
      </c>
      <c r="AZ21" s="1064" t="str">
        <f t="shared" si="33"/>
        <v/>
      </c>
      <c r="BA21" s="1064" t="str">
        <f t="shared" si="34"/>
        <v/>
      </c>
      <c r="BB21" s="1064" t="str">
        <f t="shared" si="35"/>
        <v/>
      </c>
      <c r="BC21" s="1064" t="str">
        <f t="shared" si="36"/>
        <v/>
      </c>
      <c r="BD21" s="1064" t="str">
        <f t="shared" si="37"/>
        <v/>
      </c>
      <c r="BE21" s="1064" t="str">
        <f t="shared" si="38"/>
        <v/>
      </c>
      <c r="BF21" s="1064" t="str">
        <f t="shared" si="39"/>
        <v/>
      </c>
      <c r="BG21" s="1064" t="str">
        <f t="shared" si="40"/>
        <v/>
      </c>
      <c r="BH21" s="1064" t="str">
        <f t="shared" si="41"/>
        <v/>
      </c>
      <c r="BI21" s="1064" t="str">
        <f t="shared" si="42"/>
        <v/>
      </c>
      <c r="BJ21" s="1064" t="str">
        <f t="shared" si="43"/>
        <v/>
      </c>
      <c r="BK21" s="1064" t="str">
        <f t="shared" si="44"/>
        <v/>
      </c>
      <c r="BL21" s="1064" t="str">
        <f t="shared" si="45"/>
        <v/>
      </c>
      <c r="BM21" s="1064" t="str">
        <f t="shared" si="46"/>
        <v/>
      </c>
      <c r="BN21" s="1064" t="str">
        <f t="shared" si="47"/>
        <v/>
      </c>
      <c r="BO21" s="1064" t="str">
        <f t="shared" si="48"/>
        <v/>
      </c>
      <c r="BP21" s="1064" t="str">
        <f t="shared" si="49"/>
        <v/>
      </c>
      <c r="BQ21" s="1064" t="str">
        <f t="shared" si="50"/>
        <v/>
      </c>
      <c r="BR21" s="1064" t="str">
        <f t="shared" si="51"/>
        <v/>
      </c>
      <c r="BS21" s="1064" t="str">
        <f t="shared" si="52"/>
        <v/>
      </c>
      <c r="BT21" s="1064" t="str">
        <f t="shared" si="53"/>
        <v/>
      </c>
      <c r="BU21" s="1064" t="str">
        <f t="shared" si="54"/>
        <v/>
      </c>
      <c r="BV21" s="1064" t="str">
        <f t="shared" si="55"/>
        <v/>
      </c>
      <c r="BW21" s="1064" t="str">
        <f t="shared" si="56"/>
        <v/>
      </c>
      <c r="BX21" s="1064" t="str">
        <f t="shared" si="57"/>
        <v/>
      </c>
      <c r="BY21" s="1064" t="str">
        <f t="shared" si="58"/>
        <v/>
      </c>
      <c r="BZ21" s="1064" t="str">
        <f t="shared" si="59"/>
        <v/>
      </c>
      <c r="CA21" s="1064" t="str">
        <f t="shared" si="60"/>
        <v/>
      </c>
      <c r="CB21" s="1064" t="str">
        <f t="shared" si="61"/>
        <v/>
      </c>
      <c r="CC21" s="1064" t="str">
        <f t="shared" si="62"/>
        <v/>
      </c>
      <c r="CD21" s="1064" t="str">
        <f t="shared" si="63"/>
        <v/>
      </c>
      <c r="CE21" s="1064" t="str">
        <f t="shared" si="64"/>
        <v/>
      </c>
      <c r="CF21" s="1064" t="str">
        <f t="shared" si="65"/>
        <v/>
      </c>
      <c r="CG21" s="1064" t="str">
        <f t="shared" si="66"/>
        <v/>
      </c>
      <c r="CH21" s="1064" t="str">
        <f t="shared" si="67"/>
        <v/>
      </c>
      <c r="CI21" s="1064" t="str">
        <f t="shared" si="68"/>
        <v/>
      </c>
      <c r="CJ21" s="1064" t="str">
        <f t="shared" si="69"/>
        <v/>
      </c>
      <c r="CK21" s="1064" t="str">
        <f t="shared" si="70"/>
        <v/>
      </c>
      <c r="CL21" s="1064" t="str">
        <f t="shared" si="71"/>
        <v/>
      </c>
      <c r="CM21" s="1064" t="str">
        <f t="shared" si="72"/>
        <v/>
      </c>
      <c r="CN21" s="1064" t="str">
        <f t="shared" si="73"/>
        <v/>
      </c>
      <c r="CO21" s="1064" t="str">
        <f t="shared" si="74"/>
        <v/>
      </c>
      <c r="CP21" s="1064" t="str">
        <f t="shared" si="75"/>
        <v/>
      </c>
      <c r="CQ21" s="1064" t="str">
        <f t="shared" si="76"/>
        <v/>
      </c>
      <c r="CR21" s="1064" t="str">
        <f t="shared" si="77"/>
        <v/>
      </c>
      <c r="CS21" s="1064" t="str">
        <f t="shared" si="78"/>
        <v/>
      </c>
      <c r="CT21" s="1064" t="str">
        <f t="shared" si="79"/>
        <v/>
      </c>
      <c r="CU21" s="1064" t="str">
        <f t="shared" si="80"/>
        <v/>
      </c>
      <c r="CV21" s="1064" t="str">
        <f t="shared" si="81"/>
        <v/>
      </c>
      <c r="CW21" s="1064" t="str">
        <f t="shared" si="82"/>
        <v/>
      </c>
      <c r="CX21" s="1064" t="str">
        <f t="shared" si="83"/>
        <v/>
      </c>
      <c r="CY21" s="1064" t="str">
        <f t="shared" si="84"/>
        <v/>
      </c>
      <c r="CZ21" s="1064" t="str">
        <f t="shared" si="85"/>
        <v/>
      </c>
      <c r="DA21" s="1064" t="str">
        <f t="shared" si="86"/>
        <v/>
      </c>
      <c r="DB21" s="1064" t="str">
        <f t="shared" si="87"/>
        <v/>
      </c>
      <c r="DC21" s="1064" t="str">
        <f t="shared" si="88"/>
        <v/>
      </c>
      <c r="DD21" s="1064" t="str">
        <f t="shared" si="89"/>
        <v/>
      </c>
      <c r="DE21" s="1064" t="str">
        <f t="shared" si="90"/>
        <v/>
      </c>
      <c r="DF21" s="1064" t="str">
        <f t="shared" si="91"/>
        <v/>
      </c>
      <c r="DG21" s="1064" t="str">
        <f t="shared" si="92"/>
        <v/>
      </c>
      <c r="DH21" s="1064" t="str">
        <f t="shared" si="93"/>
        <v/>
      </c>
      <c r="DI21" s="1064" t="str">
        <f t="shared" si="94"/>
        <v/>
      </c>
      <c r="DJ21" s="1064" t="str">
        <f t="shared" si="95"/>
        <v/>
      </c>
      <c r="DK21" s="1064" t="str">
        <f t="shared" si="96"/>
        <v/>
      </c>
      <c r="DL21" s="1064" t="str">
        <f t="shared" si="97"/>
        <v/>
      </c>
      <c r="DM21" s="1064" t="str">
        <f t="shared" si="98"/>
        <v/>
      </c>
      <c r="DN21" s="1064" t="str">
        <f t="shared" si="99"/>
        <v/>
      </c>
      <c r="DO21" s="1064" t="str">
        <f t="shared" si="100"/>
        <v/>
      </c>
      <c r="DP21" s="1064" t="str">
        <f t="shared" si="101"/>
        <v/>
      </c>
      <c r="DQ21" s="1064" t="str">
        <f t="shared" si="102"/>
        <v/>
      </c>
      <c r="DR21" s="1064" t="str">
        <f t="shared" si="103"/>
        <v/>
      </c>
      <c r="DS21" s="1064" t="str">
        <f t="shared" si="104"/>
        <v/>
      </c>
      <c r="DT21" s="1064" t="str">
        <f t="shared" si="105"/>
        <v/>
      </c>
      <c r="DU21" s="1064" t="str">
        <f t="shared" si="106"/>
        <v/>
      </c>
      <c r="DV21" s="1064" t="str">
        <f t="shared" si="107"/>
        <v/>
      </c>
      <c r="DW21" s="1064" t="str">
        <f t="shared" si="108"/>
        <v/>
      </c>
      <c r="DX21" s="1064" t="str">
        <f t="shared" si="109"/>
        <v/>
      </c>
      <c r="DY21" s="1064" t="str">
        <f t="shared" si="110"/>
        <v/>
      </c>
      <c r="DZ21" s="1064" t="str">
        <f t="shared" si="111"/>
        <v/>
      </c>
      <c r="EA21" s="1064" t="str">
        <f t="shared" si="112"/>
        <v/>
      </c>
      <c r="EB21" s="1064" t="str">
        <f t="shared" si="113"/>
        <v/>
      </c>
      <c r="EC21" s="1064" t="str">
        <f t="shared" si="114"/>
        <v/>
      </c>
      <c r="ED21" s="1064" t="str">
        <f t="shared" si="115"/>
        <v/>
      </c>
      <c r="EE21" s="1064" t="str">
        <f t="shared" si="116"/>
        <v/>
      </c>
      <c r="EF21" s="1064" t="str">
        <f t="shared" si="117"/>
        <v/>
      </c>
      <c r="EG21" s="1064" t="str">
        <f t="shared" si="313"/>
        <v/>
      </c>
      <c r="EH21" s="1064" t="str">
        <f t="shared" si="118"/>
        <v/>
      </c>
      <c r="EI21" s="1064" t="str">
        <f t="shared" si="119"/>
        <v/>
      </c>
      <c r="EJ21" s="1064" t="str">
        <f t="shared" si="120"/>
        <v/>
      </c>
      <c r="EK21" s="1064" t="str">
        <f t="shared" si="121"/>
        <v/>
      </c>
      <c r="EL21" s="1064" t="str">
        <f t="shared" si="122"/>
        <v/>
      </c>
      <c r="EM21" s="1064" t="str">
        <f t="shared" si="123"/>
        <v/>
      </c>
      <c r="EN21" s="1064" t="str">
        <f t="shared" si="124"/>
        <v/>
      </c>
      <c r="EO21" s="1064" t="str">
        <f t="shared" si="125"/>
        <v/>
      </c>
      <c r="EP21" s="1064" t="str">
        <f t="shared" si="126"/>
        <v/>
      </c>
      <c r="EQ21" s="1064" t="str">
        <f t="shared" si="127"/>
        <v/>
      </c>
      <c r="ER21" s="1064" t="str">
        <f t="shared" si="128"/>
        <v/>
      </c>
      <c r="ES21" s="1064" t="str">
        <f t="shared" si="129"/>
        <v/>
      </c>
      <c r="ET21" s="1064" t="str">
        <f t="shared" si="130"/>
        <v/>
      </c>
      <c r="EU21" s="1064" t="str">
        <f t="shared" si="131"/>
        <v/>
      </c>
      <c r="EV21" s="1064" t="str">
        <f t="shared" si="132"/>
        <v/>
      </c>
      <c r="EW21" s="1064" t="str">
        <f t="shared" si="314"/>
        <v/>
      </c>
      <c r="EX21" s="1064" t="str">
        <f t="shared" si="315"/>
        <v/>
      </c>
      <c r="EY21" s="1064" t="str">
        <f t="shared" si="316"/>
        <v/>
      </c>
      <c r="EZ21" s="1064" t="str">
        <f t="shared" si="317"/>
        <v/>
      </c>
      <c r="FA21" s="1064" t="str">
        <f t="shared" si="318"/>
        <v/>
      </c>
      <c r="FB21" s="1064" t="str">
        <f t="shared" si="133"/>
        <v/>
      </c>
      <c r="FC21" s="1064" t="str">
        <f t="shared" si="134"/>
        <v/>
      </c>
      <c r="FD21" s="1064" t="str">
        <f t="shared" si="135"/>
        <v/>
      </c>
      <c r="FE21" s="1064" t="str">
        <f t="shared" si="136"/>
        <v/>
      </c>
      <c r="FF21" s="1064" t="str">
        <f t="shared" si="137"/>
        <v/>
      </c>
      <c r="FG21" s="1064" t="str">
        <f t="shared" si="319"/>
        <v/>
      </c>
      <c r="FH21" s="1064" t="str">
        <f t="shared" si="320"/>
        <v/>
      </c>
      <c r="FI21" s="1064" t="str">
        <f t="shared" si="321"/>
        <v/>
      </c>
      <c r="FJ21" s="1064" t="str">
        <f t="shared" si="322"/>
        <v/>
      </c>
      <c r="FK21" s="1064" t="str">
        <f t="shared" si="323"/>
        <v/>
      </c>
      <c r="FL21" s="1064" t="str">
        <f t="shared" si="138"/>
        <v/>
      </c>
      <c r="FM21" s="1064" t="str">
        <f t="shared" si="139"/>
        <v/>
      </c>
      <c r="FN21" s="1064" t="str">
        <f t="shared" si="140"/>
        <v/>
      </c>
      <c r="FO21" s="1064" t="str">
        <f t="shared" si="141"/>
        <v/>
      </c>
      <c r="FP21" s="1064" t="str">
        <f t="shared" si="142"/>
        <v/>
      </c>
      <c r="FQ21" s="1064" t="str">
        <f t="shared" si="143"/>
        <v/>
      </c>
      <c r="FR21" s="1064" t="str">
        <f t="shared" si="144"/>
        <v/>
      </c>
      <c r="FS21" s="1064" t="str">
        <f t="shared" si="145"/>
        <v/>
      </c>
      <c r="FT21" s="1064" t="str">
        <f t="shared" si="146"/>
        <v/>
      </c>
      <c r="FU21" s="1064" t="str">
        <f t="shared" si="147"/>
        <v/>
      </c>
      <c r="FV21" s="1064" t="str">
        <f t="shared" si="148"/>
        <v/>
      </c>
      <c r="FW21" s="1064" t="str">
        <f t="shared" si="149"/>
        <v/>
      </c>
      <c r="FX21" s="1064" t="str">
        <f t="shared" si="150"/>
        <v/>
      </c>
      <c r="FY21" s="1064" t="str">
        <f t="shared" si="151"/>
        <v/>
      </c>
      <c r="FZ21" s="1064" t="str">
        <f t="shared" si="152"/>
        <v/>
      </c>
      <c r="GA21" s="1064" t="str">
        <f t="shared" si="153"/>
        <v/>
      </c>
      <c r="GB21" s="1064" t="str">
        <f t="shared" si="154"/>
        <v/>
      </c>
      <c r="GC21" s="1064" t="str">
        <f t="shared" si="155"/>
        <v/>
      </c>
      <c r="GD21" s="1064" t="str">
        <f t="shared" si="156"/>
        <v/>
      </c>
      <c r="GE21" s="1064" t="str">
        <f t="shared" si="157"/>
        <v/>
      </c>
      <c r="GF21" s="1064" t="str">
        <f t="shared" si="158"/>
        <v/>
      </c>
      <c r="GG21" s="1064" t="str">
        <f t="shared" si="159"/>
        <v/>
      </c>
      <c r="GH21" s="1064" t="str">
        <f t="shared" si="160"/>
        <v/>
      </c>
      <c r="GI21" s="1064" t="str">
        <f t="shared" si="161"/>
        <v/>
      </c>
      <c r="GJ21" s="1064" t="str">
        <f t="shared" si="162"/>
        <v/>
      </c>
      <c r="GK21" s="1064" t="str">
        <f t="shared" si="163"/>
        <v/>
      </c>
      <c r="GL21" s="1064" t="str">
        <f t="shared" si="164"/>
        <v/>
      </c>
      <c r="GM21" s="1064" t="str">
        <f t="shared" si="165"/>
        <v/>
      </c>
      <c r="GN21" s="1064" t="str">
        <f t="shared" si="166"/>
        <v/>
      </c>
      <c r="GO21" s="1064" t="str">
        <f t="shared" si="167"/>
        <v/>
      </c>
      <c r="GP21" s="1064" t="str">
        <f t="shared" si="168"/>
        <v/>
      </c>
      <c r="GQ21" s="1064" t="str">
        <f t="shared" si="169"/>
        <v/>
      </c>
      <c r="GR21" s="1064" t="str">
        <f t="shared" si="170"/>
        <v/>
      </c>
      <c r="GS21" s="1064" t="str">
        <f t="shared" si="171"/>
        <v/>
      </c>
      <c r="GT21" s="1064" t="str">
        <f t="shared" si="172"/>
        <v/>
      </c>
      <c r="GU21" s="1064" t="str">
        <f t="shared" si="173"/>
        <v/>
      </c>
      <c r="GV21" s="1064" t="str">
        <f t="shared" si="174"/>
        <v/>
      </c>
      <c r="GW21" s="1064" t="str">
        <f t="shared" si="175"/>
        <v/>
      </c>
      <c r="GX21" s="1064" t="str">
        <f t="shared" si="176"/>
        <v/>
      </c>
      <c r="GY21" s="1064" t="str">
        <f t="shared" si="177"/>
        <v/>
      </c>
      <c r="GZ21" s="1064" t="str">
        <f t="shared" si="178"/>
        <v/>
      </c>
      <c r="HA21" s="1064" t="str">
        <f t="shared" si="179"/>
        <v/>
      </c>
      <c r="HB21" s="1064" t="str">
        <f t="shared" si="180"/>
        <v/>
      </c>
      <c r="HC21" s="1064" t="str">
        <f t="shared" si="181"/>
        <v/>
      </c>
      <c r="HD21" s="1064" t="str">
        <f t="shared" si="182"/>
        <v/>
      </c>
      <c r="HE21" s="1064" t="str">
        <f t="shared" si="183"/>
        <v/>
      </c>
      <c r="HF21" s="1064" t="str">
        <f t="shared" si="184"/>
        <v/>
      </c>
      <c r="HG21" s="1064" t="str">
        <f t="shared" si="185"/>
        <v/>
      </c>
      <c r="HH21" s="1064" t="str">
        <f t="shared" si="186"/>
        <v/>
      </c>
      <c r="HI21" s="1064" t="str">
        <f t="shared" si="187"/>
        <v/>
      </c>
      <c r="HJ21" s="1064" t="str">
        <f t="shared" si="188"/>
        <v/>
      </c>
      <c r="HK21" s="1064" t="str">
        <f t="shared" si="189"/>
        <v/>
      </c>
      <c r="HL21" s="1064" t="str">
        <f t="shared" si="190"/>
        <v/>
      </c>
      <c r="HM21" s="1064" t="str">
        <f t="shared" si="191"/>
        <v/>
      </c>
      <c r="HN21" s="1064" t="str">
        <f t="shared" si="192"/>
        <v/>
      </c>
      <c r="HO21" s="1064" t="str">
        <f t="shared" si="193"/>
        <v/>
      </c>
      <c r="HP21" s="1064" t="str">
        <f t="shared" si="194"/>
        <v/>
      </c>
      <c r="HQ21" s="1064" t="str">
        <f t="shared" si="195"/>
        <v/>
      </c>
      <c r="HR21" s="1064" t="str">
        <f t="shared" si="196"/>
        <v/>
      </c>
      <c r="HS21" s="1064" t="str">
        <f t="shared" si="197"/>
        <v/>
      </c>
      <c r="HT21" s="1064" t="str">
        <f t="shared" si="198"/>
        <v/>
      </c>
      <c r="HU21" s="1064" t="str">
        <f t="shared" si="199"/>
        <v/>
      </c>
      <c r="HV21" s="1064" t="str">
        <f t="shared" si="200"/>
        <v/>
      </c>
      <c r="HW21" s="1064" t="str">
        <f t="shared" si="201"/>
        <v/>
      </c>
      <c r="HX21" s="1064" t="str">
        <f t="shared" si="202"/>
        <v/>
      </c>
      <c r="HY21" s="1097" t="str">
        <f t="shared" si="203"/>
        <v/>
      </c>
      <c r="HZ21" s="1097" t="str">
        <f t="shared" si="204"/>
        <v/>
      </c>
      <c r="IA21" s="1097" t="str">
        <f t="shared" si="205"/>
        <v/>
      </c>
      <c r="IB21" s="1097" t="str">
        <f t="shared" si="206"/>
        <v/>
      </c>
      <c r="IC21" s="1097" t="str">
        <f t="shared" si="207"/>
        <v/>
      </c>
      <c r="ID21" s="1097" t="str">
        <f t="shared" si="208"/>
        <v/>
      </c>
      <c r="IE21" s="1097" t="str">
        <f t="shared" si="209"/>
        <v/>
      </c>
      <c r="IF21" s="1097" t="str">
        <f t="shared" si="210"/>
        <v/>
      </c>
      <c r="IG21" s="1097" t="str">
        <f t="shared" si="211"/>
        <v/>
      </c>
      <c r="IH21" s="1097" t="str">
        <f t="shared" si="212"/>
        <v/>
      </c>
      <c r="II21" s="1097" t="str">
        <f t="shared" si="213"/>
        <v/>
      </c>
      <c r="IJ21" s="1097" t="str">
        <f t="shared" si="214"/>
        <v/>
      </c>
      <c r="IK21" s="1097" t="str">
        <f t="shared" si="215"/>
        <v/>
      </c>
      <c r="IL21" s="1097" t="str">
        <f t="shared" si="216"/>
        <v/>
      </c>
      <c r="IM21" s="1097" t="str">
        <f t="shared" si="217"/>
        <v/>
      </c>
      <c r="IN21" s="1097" t="str">
        <f t="shared" si="218"/>
        <v/>
      </c>
      <c r="IO21" s="1097" t="str">
        <f t="shared" si="219"/>
        <v/>
      </c>
      <c r="IP21" s="1097" t="str">
        <f t="shared" si="220"/>
        <v/>
      </c>
      <c r="IQ21" s="1097" t="str">
        <f t="shared" si="221"/>
        <v/>
      </c>
      <c r="IR21" s="1097" t="str">
        <f t="shared" si="222"/>
        <v/>
      </c>
      <c r="IS21" s="1097" t="str">
        <f t="shared" si="223"/>
        <v/>
      </c>
      <c r="IT21" s="1097" t="str">
        <f t="shared" si="224"/>
        <v/>
      </c>
      <c r="IU21" s="1097" t="str">
        <f t="shared" si="225"/>
        <v/>
      </c>
      <c r="IV21" s="1097" t="str">
        <f t="shared" si="226"/>
        <v/>
      </c>
      <c r="IW21" s="1097" t="str">
        <f t="shared" si="227"/>
        <v/>
      </c>
      <c r="IX21" s="1097" t="str">
        <f t="shared" si="228"/>
        <v/>
      </c>
      <c r="IY21" s="1097" t="str">
        <f t="shared" si="229"/>
        <v/>
      </c>
      <c r="IZ21" s="1097" t="str">
        <f t="shared" si="230"/>
        <v/>
      </c>
      <c r="JA21" s="1097" t="str">
        <f t="shared" si="231"/>
        <v/>
      </c>
      <c r="JB21" s="1097" t="str">
        <f t="shared" si="232"/>
        <v/>
      </c>
      <c r="JC21" s="1097" t="str">
        <f t="shared" si="233"/>
        <v/>
      </c>
      <c r="JD21" s="1097" t="str">
        <f t="shared" si="234"/>
        <v/>
      </c>
      <c r="JE21" s="1097" t="str">
        <f t="shared" si="235"/>
        <v/>
      </c>
      <c r="JF21" s="1097" t="str">
        <f t="shared" si="236"/>
        <v/>
      </c>
      <c r="JG21" s="1097" t="str">
        <f t="shared" si="237"/>
        <v/>
      </c>
      <c r="JH21" s="1097" t="str">
        <f t="shared" si="238"/>
        <v/>
      </c>
      <c r="JI21" s="1097" t="str">
        <f t="shared" si="239"/>
        <v/>
      </c>
      <c r="JJ21" s="1097" t="str">
        <f t="shared" si="240"/>
        <v/>
      </c>
      <c r="JK21" s="1097" t="str">
        <f t="shared" si="241"/>
        <v/>
      </c>
      <c r="JL21" s="1097" t="str">
        <f t="shared" si="242"/>
        <v/>
      </c>
      <c r="JM21" s="1097" t="str">
        <f t="shared" si="243"/>
        <v/>
      </c>
      <c r="JN21" s="1097" t="str">
        <f t="shared" si="244"/>
        <v/>
      </c>
      <c r="JO21" s="1097" t="str">
        <f t="shared" si="245"/>
        <v/>
      </c>
      <c r="JP21" s="1097" t="str">
        <f t="shared" si="246"/>
        <v/>
      </c>
      <c r="JQ21" s="1097" t="str">
        <f t="shared" si="247"/>
        <v/>
      </c>
      <c r="JR21" s="1097" t="str">
        <f t="shared" si="248"/>
        <v/>
      </c>
      <c r="JS21" s="1097" t="str">
        <f t="shared" si="249"/>
        <v/>
      </c>
      <c r="JT21" s="1097" t="str">
        <f t="shared" si="250"/>
        <v/>
      </c>
      <c r="JU21" s="1097" t="str">
        <f t="shared" si="251"/>
        <v/>
      </c>
      <c r="JV21" s="1097" t="str">
        <f t="shared" si="252"/>
        <v/>
      </c>
      <c r="JW21" s="1097" t="str">
        <f t="shared" si="253"/>
        <v/>
      </c>
      <c r="JX21" s="1097" t="str">
        <f t="shared" si="254"/>
        <v/>
      </c>
      <c r="JY21" s="1097" t="str">
        <f t="shared" si="255"/>
        <v/>
      </c>
      <c r="JZ21" s="1097" t="str">
        <f t="shared" si="256"/>
        <v/>
      </c>
      <c r="KA21" s="1097" t="str">
        <f t="shared" si="257"/>
        <v/>
      </c>
      <c r="KB21" s="1097" t="str">
        <f t="shared" si="258"/>
        <v/>
      </c>
      <c r="KC21" s="1097" t="str">
        <f t="shared" si="259"/>
        <v/>
      </c>
      <c r="KD21" s="1097" t="str">
        <f t="shared" si="260"/>
        <v/>
      </c>
      <c r="KE21" s="1097" t="str">
        <f t="shared" si="261"/>
        <v/>
      </c>
      <c r="KF21" s="1097" t="str">
        <f t="shared" si="262"/>
        <v/>
      </c>
      <c r="KG21" s="1097" t="str">
        <f t="shared" si="263"/>
        <v/>
      </c>
      <c r="KH21" s="1097" t="str">
        <f t="shared" si="264"/>
        <v/>
      </c>
      <c r="KI21" s="1097" t="str">
        <f t="shared" si="265"/>
        <v/>
      </c>
      <c r="KJ21" s="1097" t="str">
        <f t="shared" si="266"/>
        <v/>
      </c>
      <c r="KK21" s="1097" t="str">
        <f t="shared" si="267"/>
        <v/>
      </c>
      <c r="KL21" s="1097" t="str">
        <f t="shared" si="268"/>
        <v/>
      </c>
      <c r="KM21" s="1097" t="str">
        <f t="shared" si="269"/>
        <v/>
      </c>
      <c r="KN21" s="1097" t="str">
        <f t="shared" si="270"/>
        <v/>
      </c>
      <c r="KO21" s="1097" t="str">
        <f t="shared" si="271"/>
        <v/>
      </c>
      <c r="KP21" s="1097" t="str">
        <f t="shared" si="272"/>
        <v/>
      </c>
      <c r="KQ21" s="1097" t="str">
        <f t="shared" si="273"/>
        <v/>
      </c>
      <c r="KR21" s="1097" t="str">
        <f t="shared" si="274"/>
        <v/>
      </c>
      <c r="KS21" s="1097" t="str">
        <f t="shared" si="275"/>
        <v/>
      </c>
      <c r="KT21" s="1097" t="str">
        <f t="shared" si="276"/>
        <v/>
      </c>
      <c r="KU21" s="1097" t="str">
        <f t="shared" si="277"/>
        <v/>
      </c>
      <c r="KV21" s="1097" t="str">
        <f t="shared" si="278"/>
        <v/>
      </c>
      <c r="KW21" s="1097" t="str">
        <f t="shared" si="279"/>
        <v/>
      </c>
      <c r="KX21" s="1097" t="str">
        <f t="shared" si="280"/>
        <v/>
      </c>
      <c r="KY21" s="1097" t="str">
        <f t="shared" si="281"/>
        <v/>
      </c>
      <c r="KZ21" s="1097" t="str">
        <f t="shared" si="282"/>
        <v/>
      </c>
      <c r="LA21" s="1097" t="str">
        <f t="shared" si="283"/>
        <v/>
      </c>
      <c r="LB21" s="1097" t="str">
        <f t="shared" si="284"/>
        <v/>
      </c>
      <c r="LC21" s="1097" t="str">
        <f t="shared" si="285"/>
        <v/>
      </c>
      <c r="LD21" s="1097" t="str">
        <f t="shared" si="286"/>
        <v/>
      </c>
      <c r="LE21" s="1097" t="str">
        <f t="shared" si="287"/>
        <v/>
      </c>
      <c r="LF21" s="1098" t="str">
        <f t="shared" si="288"/>
        <v/>
      </c>
      <c r="LG21" s="1098" t="str">
        <f t="shared" si="289"/>
        <v/>
      </c>
      <c r="LH21" s="1098" t="str">
        <f t="shared" si="290"/>
        <v/>
      </c>
      <c r="LI21" s="1098" t="str">
        <f t="shared" si="291"/>
        <v/>
      </c>
      <c r="LJ21" s="1098" t="str">
        <f t="shared" si="292"/>
        <v/>
      </c>
      <c r="LK21" s="1064" t="str">
        <f t="shared" si="293"/>
        <v/>
      </c>
      <c r="LL21" s="1064" t="str">
        <f t="shared" si="294"/>
        <v/>
      </c>
      <c r="LM21" s="1064" t="str">
        <f t="shared" si="295"/>
        <v/>
      </c>
      <c r="LN21" s="1064" t="str">
        <f t="shared" si="296"/>
        <v/>
      </c>
      <c r="LO21" s="1064" t="str">
        <f t="shared" si="297"/>
        <v/>
      </c>
      <c r="LP21" s="1064" t="str">
        <f t="shared" si="298"/>
        <v/>
      </c>
      <c r="LQ21" s="1064" t="str">
        <f t="shared" si="299"/>
        <v/>
      </c>
      <c r="LR21" s="1064" t="str">
        <f t="shared" si="300"/>
        <v/>
      </c>
      <c r="LS21" s="1064" t="str">
        <f t="shared" si="301"/>
        <v/>
      </c>
      <c r="LT21" s="1064" t="str">
        <f t="shared" si="302"/>
        <v/>
      </c>
      <c r="LU21" s="1064" t="str">
        <f t="shared" si="303"/>
        <v/>
      </c>
      <c r="LV21" s="1064" t="str">
        <f t="shared" si="304"/>
        <v/>
      </c>
      <c r="LW21" s="1064" t="str">
        <f t="shared" si="305"/>
        <v/>
      </c>
      <c r="LX21" s="1064" t="str">
        <f t="shared" si="306"/>
        <v/>
      </c>
      <c r="LY21" s="1064" t="str">
        <f t="shared" si="307"/>
        <v/>
      </c>
      <c r="LZ21" s="1064" t="str">
        <f t="shared" si="308"/>
        <v/>
      </c>
      <c r="MA21" s="1064" t="str">
        <f t="shared" si="309"/>
        <v/>
      </c>
      <c r="MB21" s="1064" t="str">
        <f t="shared" si="310"/>
        <v/>
      </c>
      <c r="MC21" s="1064" t="str">
        <f t="shared" si="311"/>
        <v/>
      </c>
      <c r="MD21" s="1064" t="str">
        <f t="shared" si="312"/>
        <v/>
      </c>
      <c r="ME21" s="1081">
        <f t="shared" si="324"/>
        <v>0</v>
      </c>
      <c r="MF21" s="1081">
        <f t="shared" si="325"/>
        <v>0</v>
      </c>
      <c r="MG21" s="1081">
        <f t="shared" si="326"/>
        <v>0</v>
      </c>
      <c r="MH21" s="1081">
        <f t="shared" si="327"/>
        <v>0</v>
      </c>
      <c r="MI21" s="1081">
        <f t="shared" si="328"/>
        <v>0</v>
      </c>
      <c r="MJ21" s="1081">
        <f t="shared" si="329"/>
        <v>0</v>
      </c>
      <c r="MK21" s="1081">
        <f t="shared" si="330"/>
        <v>0</v>
      </c>
      <c r="ML21" s="1081">
        <f t="shared" si="331"/>
        <v>0</v>
      </c>
      <c r="MM21" s="1081">
        <f t="shared" si="332"/>
        <v>0</v>
      </c>
      <c r="MN21" s="1081">
        <f t="shared" si="333"/>
        <v>0</v>
      </c>
      <c r="MO21" s="1081">
        <f t="shared" si="334"/>
        <v>0</v>
      </c>
      <c r="MP21" s="1081">
        <f t="shared" si="335"/>
        <v>0</v>
      </c>
      <c r="MQ21" s="1081">
        <f t="shared" si="336"/>
        <v>0</v>
      </c>
      <c r="MR21" s="1081">
        <f t="shared" si="337"/>
        <v>0</v>
      </c>
      <c r="MS21" s="1081">
        <f t="shared" si="338"/>
        <v>0</v>
      </c>
    </row>
    <row r="22" spans="1:357" ht="12" customHeight="1">
      <c r="A22" s="1088" t="str">
        <f t="shared" si="0"/>
        <v/>
      </c>
      <c r="B22" s="44">
        <v>70</v>
      </c>
      <c r="C22" s="41"/>
      <c r="D22" s="42"/>
      <c r="E22" s="43"/>
      <c r="F22" s="43"/>
      <c r="G22" s="43"/>
      <c r="H22" s="43"/>
      <c r="I22" s="1100">
        <f>IF(C22="",0,HLOOKUP(C22,'Part V-Utility Allowances'!$I$11:$M$22,12))</f>
        <v>0</v>
      </c>
      <c r="J22" s="810"/>
      <c r="K22" s="512">
        <f t="shared" si="1"/>
        <v>0</v>
      </c>
      <c r="L22" s="512">
        <f t="shared" si="2"/>
        <v>0</v>
      </c>
      <c r="M22" s="1101"/>
      <c r="N22" s="1101"/>
      <c r="O22" s="1101"/>
      <c r="P22" s="1102"/>
      <c r="Q22" s="1103" t="str">
        <f t="shared" si="3"/>
        <v/>
      </c>
      <c r="R22" s="1104" t="str">
        <f>IF(H22="","",IF(C22="Efficiency",Q22/($O$6*VLOOKUP(0,'DCA Underwriting Assumptions'!$J$146:$K$151,2,FALSE)),Q22/($O$6*VLOOKUP(C22,'DCA Underwriting Assumptions'!$J$146:$K$151,2,FALSE))))</f>
        <v/>
      </c>
      <c r="S22" s="1105"/>
      <c r="T22" s="1106"/>
      <c r="U22" s="2314"/>
      <c r="V22" s="2316"/>
      <c r="W22" s="1064" t="str">
        <f t="shared" si="4"/>
        <v/>
      </c>
      <c r="X22" s="1064" t="str">
        <f t="shared" si="5"/>
        <v/>
      </c>
      <c r="Y22" s="1064" t="str">
        <f t="shared" si="6"/>
        <v/>
      </c>
      <c r="Z22" s="1064" t="str">
        <f t="shared" si="7"/>
        <v/>
      </c>
      <c r="AA22" s="1064" t="str">
        <f t="shared" si="8"/>
        <v/>
      </c>
      <c r="AB22" s="1064" t="str">
        <f t="shared" si="9"/>
        <v/>
      </c>
      <c r="AC22" s="1064" t="str">
        <f t="shared" si="10"/>
        <v/>
      </c>
      <c r="AD22" s="1064" t="str">
        <f t="shared" si="11"/>
        <v/>
      </c>
      <c r="AE22" s="1064" t="str">
        <f t="shared" si="12"/>
        <v/>
      </c>
      <c r="AF22" s="1064" t="str">
        <f t="shared" si="13"/>
        <v/>
      </c>
      <c r="AG22" s="1064" t="str">
        <f t="shared" si="14"/>
        <v/>
      </c>
      <c r="AH22" s="1064" t="str">
        <f t="shared" si="15"/>
        <v/>
      </c>
      <c r="AI22" s="1064" t="str">
        <f t="shared" si="16"/>
        <v/>
      </c>
      <c r="AJ22" s="1064" t="str">
        <f t="shared" si="17"/>
        <v/>
      </c>
      <c r="AK22" s="1064" t="str">
        <f t="shared" si="18"/>
        <v/>
      </c>
      <c r="AL22" s="1064" t="str">
        <f t="shared" si="19"/>
        <v/>
      </c>
      <c r="AM22" s="1064" t="str">
        <f t="shared" si="20"/>
        <v/>
      </c>
      <c r="AN22" s="1064" t="str">
        <f t="shared" si="21"/>
        <v/>
      </c>
      <c r="AO22" s="1064" t="str">
        <f t="shared" si="22"/>
        <v/>
      </c>
      <c r="AP22" s="1064" t="str">
        <f t="shared" si="23"/>
        <v/>
      </c>
      <c r="AQ22" s="1064" t="str">
        <f t="shared" si="24"/>
        <v/>
      </c>
      <c r="AR22" s="1064" t="str">
        <f t="shared" si="25"/>
        <v/>
      </c>
      <c r="AS22" s="1064" t="str">
        <f t="shared" si="26"/>
        <v/>
      </c>
      <c r="AT22" s="1064" t="str">
        <f t="shared" si="27"/>
        <v/>
      </c>
      <c r="AU22" s="1064" t="str">
        <f t="shared" si="28"/>
        <v/>
      </c>
      <c r="AV22" s="1064" t="str">
        <f t="shared" si="29"/>
        <v/>
      </c>
      <c r="AW22" s="1064" t="str">
        <f t="shared" si="30"/>
        <v/>
      </c>
      <c r="AX22" s="1064" t="str">
        <f t="shared" si="31"/>
        <v/>
      </c>
      <c r="AY22" s="1064" t="str">
        <f t="shared" si="32"/>
        <v/>
      </c>
      <c r="AZ22" s="1064" t="str">
        <f t="shared" si="33"/>
        <v/>
      </c>
      <c r="BA22" s="1064" t="str">
        <f t="shared" si="34"/>
        <v/>
      </c>
      <c r="BB22" s="1064" t="str">
        <f t="shared" si="35"/>
        <v/>
      </c>
      <c r="BC22" s="1064" t="str">
        <f t="shared" si="36"/>
        <v/>
      </c>
      <c r="BD22" s="1064" t="str">
        <f t="shared" si="37"/>
        <v/>
      </c>
      <c r="BE22" s="1064" t="str">
        <f t="shared" si="38"/>
        <v/>
      </c>
      <c r="BF22" s="1064" t="str">
        <f t="shared" si="39"/>
        <v/>
      </c>
      <c r="BG22" s="1064" t="str">
        <f t="shared" si="40"/>
        <v/>
      </c>
      <c r="BH22" s="1064" t="str">
        <f t="shared" si="41"/>
        <v/>
      </c>
      <c r="BI22" s="1064" t="str">
        <f t="shared" si="42"/>
        <v/>
      </c>
      <c r="BJ22" s="1064" t="str">
        <f t="shared" si="43"/>
        <v/>
      </c>
      <c r="BK22" s="1064" t="str">
        <f t="shared" si="44"/>
        <v/>
      </c>
      <c r="BL22" s="1064" t="str">
        <f t="shared" si="45"/>
        <v/>
      </c>
      <c r="BM22" s="1064" t="str">
        <f t="shared" si="46"/>
        <v/>
      </c>
      <c r="BN22" s="1064" t="str">
        <f t="shared" si="47"/>
        <v/>
      </c>
      <c r="BO22" s="1064" t="str">
        <f t="shared" si="48"/>
        <v/>
      </c>
      <c r="BP22" s="1064" t="str">
        <f t="shared" si="49"/>
        <v/>
      </c>
      <c r="BQ22" s="1064" t="str">
        <f t="shared" si="50"/>
        <v/>
      </c>
      <c r="BR22" s="1064" t="str">
        <f t="shared" si="51"/>
        <v/>
      </c>
      <c r="BS22" s="1064" t="str">
        <f t="shared" si="52"/>
        <v/>
      </c>
      <c r="BT22" s="1064" t="str">
        <f t="shared" si="53"/>
        <v/>
      </c>
      <c r="BU22" s="1064" t="str">
        <f t="shared" si="54"/>
        <v/>
      </c>
      <c r="BV22" s="1064" t="str">
        <f t="shared" si="55"/>
        <v/>
      </c>
      <c r="BW22" s="1064" t="str">
        <f t="shared" si="56"/>
        <v/>
      </c>
      <c r="BX22" s="1064" t="str">
        <f t="shared" si="57"/>
        <v/>
      </c>
      <c r="BY22" s="1064" t="str">
        <f t="shared" si="58"/>
        <v/>
      </c>
      <c r="BZ22" s="1064" t="str">
        <f t="shared" si="59"/>
        <v/>
      </c>
      <c r="CA22" s="1064" t="str">
        <f t="shared" si="60"/>
        <v/>
      </c>
      <c r="CB22" s="1064" t="str">
        <f t="shared" si="61"/>
        <v/>
      </c>
      <c r="CC22" s="1064" t="str">
        <f t="shared" si="62"/>
        <v/>
      </c>
      <c r="CD22" s="1064" t="str">
        <f t="shared" si="63"/>
        <v/>
      </c>
      <c r="CE22" s="1064" t="str">
        <f t="shared" si="64"/>
        <v/>
      </c>
      <c r="CF22" s="1064" t="str">
        <f t="shared" si="65"/>
        <v/>
      </c>
      <c r="CG22" s="1064" t="str">
        <f t="shared" si="66"/>
        <v/>
      </c>
      <c r="CH22" s="1064" t="str">
        <f t="shared" si="67"/>
        <v/>
      </c>
      <c r="CI22" s="1064" t="str">
        <f t="shared" si="68"/>
        <v/>
      </c>
      <c r="CJ22" s="1064" t="str">
        <f t="shared" si="69"/>
        <v/>
      </c>
      <c r="CK22" s="1064" t="str">
        <f t="shared" si="70"/>
        <v/>
      </c>
      <c r="CL22" s="1064" t="str">
        <f t="shared" si="71"/>
        <v/>
      </c>
      <c r="CM22" s="1064" t="str">
        <f t="shared" si="72"/>
        <v/>
      </c>
      <c r="CN22" s="1064" t="str">
        <f t="shared" si="73"/>
        <v/>
      </c>
      <c r="CO22" s="1064" t="str">
        <f t="shared" si="74"/>
        <v/>
      </c>
      <c r="CP22" s="1064" t="str">
        <f t="shared" si="75"/>
        <v/>
      </c>
      <c r="CQ22" s="1064" t="str">
        <f t="shared" si="76"/>
        <v/>
      </c>
      <c r="CR22" s="1064" t="str">
        <f t="shared" si="77"/>
        <v/>
      </c>
      <c r="CS22" s="1064" t="str">
        <f t="shared" si="78"/>
        <v/>
      </c>
      <c r="CT22" s="1064" t="str">
        <f t="shared" si="79"/>
        <v/>
      </c>
      <c r="CU22" s="1064" t="str">
        <f t="shared" si="80"/>
        <v/>
      </c>
      <c r="CV22" s="1064" t="str">
        <f t="shared" si="81"/>
        <v/>
      </c>
      <c r="CW22" s="1064" t="str">
        <f t="shared" si="82"/>
        <v/>
      </c>
      <c r="CX22" s="1064" t="str">
        <f t="shared" si="83"/>
        <v/>
      </c>
      <c r="CY22" s="1064" t="str">
        <f t="shared" si="84"/>
        <v/>
      </c>
      <c r="CZ22" s="1064" t="str">
        <f t="shared" si="85"/>
        <v/>
      </c>
      <c r="DA22" s="1064" t="str">
        <f t="shared" si="86"/>
        <v/>
      </c>
      <c r="DB22" s="1064" t="str">
        <f t="shared" si="87"/>
        <v/>
      </c>
      <c r="DC22" s="1064" t="str">
        <f t="shared" si="88"/>
        <v/>
      </c>
      <c r="DD22" s="1064" t="str">
        <f t="shared" si="89"/>
        <v/>
      </c>
      <c r="DE22" s="1064" t="str">
        <f t="shared" si="90"/>
        <v/>
      </c>
      <c r="DF22" s="1064" t="str">
        <f t="shared" si="91"/>
        <v/>
      </c>
      <c r="DG22" s="1064" t="str">
        <f t="shared" si="92"/>
        <v/>
      </c>
      <c r="DH22" s="1064" t="str">
        <f t="shared" si="93"/>
        <v/>
      </c>
      <c r="DI22" s="1064" t="str">
        <f t="shared" si="94"/>
        <v/>
      </c>
      <c r="DJ22" s="1064" t="str">
        <f t="shared" si="95"/>
        <v/>
      </c>
      <c r="DK22" s="1064" t="str">
        <f t="shared" si="96"/>
        <v/>
      </c>
      <c r="DL22" s="1064" t="str">
        <f t="shared" si="97"/>
        <v/>
      </c>
      <c r="DM22" s="1064" t="str">
        <f t="shared" si="98"/>
        <v/>
      </c>
      <c r="DN22" s="1064" t="str">
        <f t="shared" si="99"/>
        <v/>
      </c>
      <c r="DO22" s="1064" t="str">
        <f t="shared" si="100"/>
        <v/>
      </c>
      <c r="DP22" s="1064" t="str">
        <f t="shared" si="101"/>
        <v/>
      </c>
      <c r="DQ22" s="1064" t="str">
        <f t="shared" si="102"/>
        <v/>
      </c>
      <c r="DR22" s="1064" t="str">
        <f t="shared" si="103"/>
        <v/>
      </c>
      <c r="DS22" s="1064" t="str">
        <f t="shared" si="104"/>
        <v/>
      </c>
      <c r="DT22" s="1064" t="str">
        <f t="shared" si="105"/>
        <v/>
      </c>
      <c r="DU22" s="1064" t="str">
        <f t="shared" si="106"/>
        <v/>
      </c>
      <c r="DV22" s="1064" t="str">
        <f t="shared" si="107"/>
        <v/>
      </c>
      <c r="DW22" s="1064" t="str">
        <f t="shared" si="108"/>
        <v/>
      </c>
      <c r="DX22" s="1064" t="str">
        <f t="shared" si="109"/>
        <v/>
      </c>
      <c r="DY22" s="1064" t="str">
        <f t="shared" si="110"/>
        <v/>
      </c>
      <c r="DZ22" s="1064" t="str">
        <f t="shared" si="111"/>
        <v/>
      </c>
      <c r="EA22" s="1064" t="str">
        <f t="shared" si="112"/>
        <v/>
      </c>
      <c r="EB22" s="1064" t="str">
        <f t="shared" si="113"/>
        <v/>
      </c>
      <c r="EC22" s="1064" t="str">
        <f t="shared" si="114"/>
        <v/>
      </c>
      <c r="ED22" s="1064" t="str">
        <f t="shared" si="115"/>
        <v/>
      </c>
      <c r="EE22" s="1064" t="str">
        <f t="shared" si="116"/>
        <v/>
      </c>
      <c r="EF22" s="1064" t="str">
        <f t="shared" si="117"/>
        <v/>
      </c>
      <c r="EG22" s="1064" t="str">
        <f t="shared" si="313"/>
        <v/>
      </c>
      <c r="EH22" s="1064" t="str">
        <f t="shared" si="118"/>
        <v/>
      </c>
      <c r="EI22" s="1064" t="str">
        <f t="shared" si="119"/>
        <v/>
      </c>
      <c r="EJ22" s="1064" t="str">
        <f t="shared" si="120"/>
        <v/>
      </c>
      <c r="EK22" s="1064" t="str">
        <f t="shared" si="121"/>
        <v/>
      </c>
      <c r="EL22" s="1064" t="str">
        <f t="shared" si="122"/>
        <v/>
      </c>
      <c r="EM22" s="1064" t="str">
        <f t="shared" si="123"/>
        <v/>
      </c>
      <c r="EN22" s="1064" t="str">
        <f t="shared" si="124"/>
        <v/>
      </c>
      <c r="EO22" s="1064" t="str">
        <f t="shared" si="125"/>
        <v/>
      </c>
      <c r="EP22" s="1064" t="str">
        <f t="shared" si="126"/>
        <v/>
      </c>
      <c r="EQ22" s="1064" t="str">
        <f t="shared" si="127"/>
        <v/>
      </c>
      <c r="ER22" s="1064" t="str">
        <f t="shared" si="128"/>
        <v/>
      </c>
      <c r="ES22" s="1064" t="str">
        <f t="shared" si="129"/>
        <v/>
      </c>
      <c r="ET22" s="1064" t="str">
        <f t="shared" si="130"/>
        <v/>
      </c>
      <c r="EU22" s="1064" t="str">
        <f t="shared" si="131"/>
        <v/>
      </c>
      <c r="EV22" s="1064" t="str">
        <f t="shared" si="132"/>
        <v/>
      </c>
      <c r="EW22" s="1064" t="str">
        <f t="shared" si="314"/>
        <v/>
      </c>
      <c r="EX22" s="1064" t="str">
        <f t="shared" si="315"/>
        <v/>
      </c>
      <c r="EY22" s="1064" t="str">
        <f t="shared" si="316"/>
        <v/>
      </c>
      <c r="EZ22" s="1064" t="str">
        <f t="shared" si="317"/>
        <v/>
      </c>
      <c r="FA22" s="1064" t="str">
        <f t="shared" si="318"/>
        <v/>
      </c>
      <c r="FB22" s="1064" t="str">
        <f t="shared" si="133"/>
        <v/>
      </c>
      <c r="FC22" s="1064" t="str">
        <f t="shared" si="134"/>
        <v/>
      </c>
      <c r="FD22" s="1064" t="str">
        <f t="shared" si="135"/>
        <v/>
      </c>
      <c r="FE22" s="1064" t="str">
        <f t="shared" si="136"/>
        <v/>
      </c>
      <c r="FF22" s="1064" t="str">
        <f t="shared" si="137"/>
        <v/>
      </c>
      <c r="FG22" s="1064" t="str">
        <f t="shared" si="319"/>
        <v/>
      </c>
      <c r="FH22" s="1064" t="str">
        <f t="shared" si="320"/>
        <v/>
      </c>
      <c r="FI22" s="1064" t="str">
        <f t="shared" si="321"/>
        <v/>
      </c>
      <c r="FJ22" s="1064" t="str">
        <f t="shared" si="322"/>
        <v/>
      </c>
      <c r="FK22" s="1064" t="str">
        <f t="shared" si="323"/>
        <v/>
      </c>
      <c r="FL22" s="1064" t="str">
        <f t="shared" si="138"/>
        <v/>
      </c>
      <c r="FM22" s="1064" t="str">
        <f t="shared" si="139"/>
        <v/>
      </c>
      <c r="FN22" s="1064" t="str">
        <f t="shared" si="140"/>
        <v/>
      </c>
      <c r="FO22" s="1064" t="str">
        <f t="shared" si="141"/>
        <v/>
      </c>
      <c r="FP22" s="1064" t="str">
        <f t="shared" si="142"/>
        <v/>
      </c>
      <c r="FQ22" s="1064" t="str">
        <f t="shared" si="143"/>
        <v/>
      </c>
      <c r="FR22" s="1064" t="str">
        <f t="shared" si="144"/>
        <v/>
      </c>
      <c r="FS22" s="1064" t="str">
        <f t="shared" si="145"/>
        <v/>
      </c>
      <c r="FT22" s="1064" t="str">
        <f t="shared" si="146"/>
        <v/>
      </c>
      <c r="FU22" s="1064" t="str">
        <f t="shared" si="147"/>
        <v/>
      </c>
      <c r="FV22" s="1064" t="str">
        <f t="shared" si="148"/>
        <v/>
      </c>
      <c r="FW22" s="1064" t="str">
        <f t="shared" si="149"/>
        <v/>
      </c>
      <c r="FX22" s="1064" t="str">
        <f t="shared" si="150"/>
        <v/>
      </c>
      <c r="FY22" s="1064" t="str">
        <f t="shared" si="151"/>
        <v/>
      </c>
      <c r="FZ22" s="1064" t="str">
        <f t="shared" si="152"/>
        <v/>
      </c>
      <c r="GA22" s="1064" t="str">
        <f t="shared" si="153"/>
        <v/>
      </c>
      <c r="GB22" s="1064" t="str">
        <f t="shared" si="154"/>
        <v/>
      </c>
      <c r="GC22" s="1064" t="str">
        <f t="shared" si="155"/>
        <v/>
      </c>
      <c r="GD22" s="1064" t="str">
        <f t="shared" si="156"/>
        <v/>
      </c>
      <c r="GE22" s="1064" t="str">
        <f t="shared" si="157"/>
        <v/>
      </c>
      <c r="GF22" s="1064" t="str">
        <f t="shared" si="158"/>
        <v/>
      </c>
      <c r="GG22" s="1064" t="str">
        <f t="shared" si="159"/>
        <v/>
      </c>
      <c r="GH22" s="1064" t="str">
        <f t="shared" si="160"/>
        <v/>
      </c>
      <c r="GI22" s="1064" t="str">
        <f t="shared" si="161"/>
        <v/>
      </c>
      <c r="GJ22" s="1064" t="str">
        <f t="shared" si="162"/>
        <v/>
      </c>
      <c r="GK22" s="1064" t="str">
        <f t="shared" si="163"/>
        <v/>
      </c>
      <c r="GL22" s="1064" t="str">
        <f t="shared" si="164"/>
        <v/>
      </c>
      <c r="GM22" s="1064" t="str">
        <f t="shared" si="165"/>
        <v/>
      </c>
      <c r="GN22" s="1064" t="str">
        <f t="shared" si="166"/>
        <v/>
      </c>
      <c r="GO22" s="1064" t="str">
        <f t="shared" si="167"/>
        <v/>
      </c>
      <c r="GP22" s="1064" t="str">
        <f t="shared" si="168"/>
        <v/>
      </c>
      <c r="GQ22" s="1064" t="str">
        <f t="shared" si="169"/>
        <v/>
      </c>
      <c r="GR22" s="1064" t="str">
        <f t="shared" si="170"/>
        <v/>
      </c>
      <c r="GS22" s="1064" t="str">
        <f t="shared" si="171"/>
        <v/>
      </c>
      <c r="GT22" s="1064" t="str">
        <f t="shared" si="172"/>
        <v/>
      </c>
      <c r="GU22" s="1064" t="str">
        <f t="shared" si="173"/>
        <v/>
      </c>
      <c r="GV22" s="1064" t="str">
        <f t="shared" si="174"/>
        <v/>
      </c>
      <c r="GW22" s="1064" t="str">
        <f t="shared" si="175"/>
        <v/>
      </c>
      <c r="GX22" s="1064" t="str">
        <f t="shared" si="176"/>
        <v/>
      </c>
      <c r="GY22" s="1064" t="str">
        <f t="shared" si="177"/>
        <v/>
      </c>
      <c r="GZ22" s="1064" t="str">
        <f t="shared" si="178"/>
        <v/>
      </c>
      <c r="HA22" s="1064" t="str">
        <f t="shared" si="179"/>
        <v/>
      </c>
      <c r="HB22" s="1064" t="str">
        <f t="shared" si="180"/>
        <v/>
      </c>
      <c r="HC22" s="1064" t="str">
        <f t="shared" si="181"/>
        <v/>
      </c>
      <c r="HD22" s="1064" t="str">
        <f t="shared" si="182"/>
        <v/>
      </c>
      <c r="HE22" s="1064" t="str">
        <f t="shared" si="183"/>
        <v/>
      </c>
      <c r="HF22" s="1064" t="str">
        <f t="shared" si="184"/>
        <v/>
      </c>
      <c r="HG22" s="1064" t="str">
        <f t="shared" si="185"/>
        <v/>
      </c>
      <c r="HH22" s="1064" t="str">
        <f t="shared" si="186"/>
        <v/>
      </c>
      <c r="HI22" s="1064" t="str">
        <f t="shared" si="187"/>
        <v/>
      </c>
      <c r="HJ22" s="1064" t="str">
        <f t="shared" si="188"/>
        <v/>
      </c>
      <c r="HK22" s="1064" t="str">
        <f t="shared" si="189"/>
        <v/>
      </c>
      <c r="HL22" s="1064" t="str">
        <f t="shared" si="190"/>
        <v/>
      </c>
      <c r="HM22" s="1064" t="str">
        <f t="shared" si="191"/>
        <v/>
      </c>
      <c r="HN22" s="1064" t="str">
        <f t="shared" si="192"/>
        <v/>
      </c>
      <c r="HO22" s="1064" t="str">
        <f t="shared" si="193"/>
        <v/>
      </c>
      <c r="HP22" s="1064" t="str">
        <f t="shared" si="194"/>
        <v/>
      </c>
      <c r="HQ22" s="1064" t="str">
        <f t="shared" si="195"/>
        <v/>
      </c>
      <c r="HR22" s="1064" t="str">
        <f t="shared" si="196"/>
        <v/>
      </c>
      <c r="HS22" s="1064" t="str">
        <f t="shared" si="197"/>
        <v/>
      </c>
      <c r="HT22" s="1064" t="str">
        <f t="shared" si="198"/>
        <v/>
      </c>
      <c r="HU22" s="1064" t="str">
        <f t="shared" si="199"/>
        <v/>
      </c>
      <c r="HV22" s="1064" t="str">
        <f t="shared" si="200"/>
        <v/>
      </c>
      <c r="HW22" s="1064" t="str">
        <f t="shared" si="201"/>
        <v/>
      </c>
      <c r="HX22" s="1064" t="str">
        <f t="shared" si="202"/>
        <v/>
      </c>
      <c r="HY22" s="1097" t="str">
        <f t="shared" si="203"/>
        <v/>
      </c>
      <c r="HZ22" s="1097" t="str">
        <f t="shared" si="204"/>
        <v/>
      </c>
      <c r="IA22" s="1097" t="str">
        <f t="shared" si="205"/>
        <v/>
      </c>
      <c r="IB22" s="1097" t="str">
        <f t="shared" si="206"/>
        <v/>
      </c>
      <c r="IC22" s="1097" t="str">
        <f t="shared" si="207"/>
        <v/>
      </c>
      <c r="ID22" s="1097" t="str">
        <f t="shared" si="208"/>
        <v/>
      </c>
      <c r="IE22" s="1097" t="str">
        <f t="shared" si="209"/>
        <v/>
      </c>
      <c r="IF22" s="1097" t="str">
        <f t="shared" si="210"/>
        <v/>
      </c>
      <c r="IG22" s="1097" t="str">
        <f t="shared" si="211"/>
        <v/>
      </c>
      <c r="IH22" s="1097" t="str">
        <f t="shared" si="212"/>
        <v/>
      </c>
      <c r="II22" s="1097" t="str">
        <f t="shared" si="213"/>
        <v/>
      </c>
      <c r="IJ22" s="1097" t="str">
        <f t="shared" si="214"/>
        <v/>
      </c>
      <c r="IK22" s="1097" t="str">
        <f t="shared" si="215"/>
        <v/>
      </c>
      <c r="IL22" s="1097" t="str">
        <f t="shared" si="216"/>
        <v/>
      </c>
      <c r="IM22" s="1097" t="str">
        <f t="shared" si="217"/>
        <v/>
      </c>
      <c r="IN22" s="1097" t="str">
        <f t="shared" si="218"/>
        <v/>
      </c>
      <c r="IO22" s="1097" t="str">
        <f t="shared" si="219"/>
        <v/>
      </c>
      <c r="IP22" s="1097" t="str">
        <f t="shared" si="220"/>
        <v/>
      </c>
      <c r="IQ22" s="1097" t="str">
        <f t="shared" si="221"/>
        <v/>
      </c>
      <c r="IR22" s="1097" t="str">
        <f t="shared" si="222"/>
        <v/>
      </c>
      <c r="IS22" s="1097" t="str">
        <f t="shared" si="223"/>
        <v/>
      </c>
      <c r="IT22" s="1097" t="str">
        <f t="shared" si="224"/>
        <v/>
      </c>
      <c r="IU22" s="1097" t="str">
        <f t="shared" si="225"/>
        <v/>
      </c>
      <c r="IV22" s="1097" t="str">
        <f t="shared" si="226"/>
        <v/>
      </c>
      <c r="IW22" s="1097" t="str">
        <f t="shared" si="227"/>
        <v/>
      </c>
      <c r="IX22" s="1097" t="str">
        <f t="shared" si="228"/>
        <v/>
      </c>
      <c r="IY22" s="1097" t="str">
        <f t="shared" si="229"/>
        <v/>
      </c>
      <c r="IZ22" s="1097" t="str">
        <f t="shared" si="230"/>
        <v/>
      </c>
      <c r="JA22" s="1097" t="str">
        <f t="shared" si="231"/>
        <v/>
      </c>
      <c r="JB22" s="1097" t="str">
        <f t="shared" si="232"/>
        <v/>
      </c>
      <c r="JC22" s="1097" t="str">
        <f t="shared" si="233"/>
        <v/>
      </c>
      <c r="JD22" s="1097" t="str">
        <f t="shared" si="234"/>
        <v/>
      </c>
      <c r="JE22" s="1097" t="str">
        <f t="shared" si="235"/>
        <v/>
      </c>
      <c r="JF22" s="1097" t="str">
        <f t="shared" si="236"/>
        <v/>
      </c>
      <c r="JG22" s="1097" t="str">
        <f t="shared" si="237"/>
        <v/>
      </c>
      <c r="JH22" s="1097" t="str">
        <f t="shared" si="238"/>
        <v/>
      </c>
      <c r="JI22" s="1097" t="str">
        <f t="shared" si="239"/>
        <v/>
      </c>
      <c r="JJ22" s="1097" t="str">
        <f t="shared" si="240"/>
        <v/>
      </c>
      <c r="JK22" s="1097" t="str">
        <f t="shared" si="241"/>
        <v/>
      </c>
      <c r="JL22" s="1097" t="str">
        <f t="shared" si="242"/>
        <v/>
      </c>
      <c r="JM22" s="1097" t="str">
        <f t="shared" si="243"/>
        <v/>
      </c>
      <c r="JN22" s="1097" t="str">
        <f t="shared" si="244"/>
        <v/>
      </c>
      <c r="JO22" s="1097" t="str">
        <f t="shared" si="245"/>
        <v/>
      </c>
      <c r="JP22" s="1097" t="str">
        <f t="shared" si="246"/>
        <v/>
      </c>
      <c r="JQ22" s="1097" t="str">
        <f t="shared" si="247"/>
        <v/>
      </c>
      <c r="JR22" s="1097" t="str">
        <f t="shared" si="248"/>
        <v/>
      </c>
      <c r="JS22" s="1097" t="str">
        <f t="shared" si="249"/>
        <v/>
      </c>
      <c r="JT22" s="1097" t="str">
        <f t="shared" si="250"/>
        <v/>
      </c>
      <c r="JU22" s="1097" t="str">
        <f t="shared" si="251"/>
        <v/>
      </c>
      <c r="JV22" s="1097" t="str">
        <f t="shared" si="252"/>
        <v/>
      </c>
      <c r="JW22" s="1097" t="str">
        <f t="shared" si="253"/>
        <v/>
      </c>
      <c r="JX22" s="1097" t="str">
        <f t="shared" si="254"/>
        <v/>
      </c>
      <c r="JY22" s="1097" t="str">
        <f t="shared" si="255"/>
        <v/>
      </c>
      <c r="JZ22" s="1097" t="str">
        <f t="shared" si="256"/>
        <v/>
      </c>
      <c r="KA22" s="1097" t="str">
        <f t="shared" si="257"/>
        <v/>
      </c>
      <c r="KB22" s="1097" t="str">
        <f t="shared" si="258"/>
        <v/>
      </c>
      <c r="KC22" s="1097" t="str">
        <f t="shared" si="259"/>
        <v/>
      </c>
      <c r="KD22" s="1097" t="str">
        <f t="shared" si="260"/>
        <v/>
      </c>
      <c r="KE22" s="1097" t="str">
        <f t="shared" si="261"/>
        <v/>
      </c>
      <c r="KF22" s="1097" t="str">
        <f t="shared" si="262"/>
        <v/>
      </c>
      <c r="KG22" s="1097" t="str">
        <f t="shared" si="263"/>
        <v/>
      </c>
      <c r="KH22" s="1097" t="str">
        <f t="shared" si="264"/>
        <v/>
      </c>
      <c r="KI22" s="1097" t="str">
        <f t="shared" si="265"/>
        <v/>
      </c>
      <c r="KJ22" s="1097" t="str">
        <f t="shared" si="266"/>
        <v/>
      </c>
      <c r="KK22" s="1097" t="str">
        <f t="shared" si="267"/>
        <v/>
      </c>
      <c r="KL22" s="1097" t="str">
        <f t="shared" si="268"/>
        <v/>
      </c>
      <c r="KM22" s="1097" t="str">
        <f t="shared" si="269"/>
        <v/>
      </c>
      <c r="KN22" s="1097" t="str">
        <f t="shared" si="270"/>
        <v/>
      </c>
      <c r="KO22" s="1097" t="str">
        <f t="shared" si="271"/>
        <v/>
      </c>
      <c r="KP22" s="1097" t="str">
        <f t="shared" si="272"/>
        <v/>
      </c>
      <c r="KQ22" s="1097" t="str">
        <f t="shared" si="273"/>
        <v/>
      </c>
      <c r="KR22" s="1097" t="str">
        <f t="shared" si="274"/>
        <v/>
      </c>
      <c r="KS22" s="1097" t="str">
        <f t="shared" si="275"/>
        <v/>
      </c>
      <c r="KT22" s="1097" t="str">
        <f t="shared" si="276"/>
        <v/>
      </c>
      <c r="KU22" s="1097" t="str">
        <f t="shared" si="277"/>
        <v/>
      </c>
      <c r="KV22" s="1097" t="str">
        <f t="shared" si="278"/>
        <v/>
      </c>
      <c r="KW22" s="1097" t="str">
        <f t="shared" si="279"/>
        <v/>
      </c>
      <c r="KX22" s="1097" t="str">
        <f t="shared" si="280"/>
        <v/>
      </c>
      <c r="KY22" s="1097" t="str">
        <f t="shared" si="281"/>
        <v/>
      </c>
      <c r="KZ22" s="1097" t="str">
        <f t="shared" si="282"/>
        <v/>
      </c>
      <c r="LA22" s="1097" t="str">
        <f t="shared" si="283"/>
        <v/>
      </c>
      <c r="LB22" s="1097" t="str">
        <f t="shared" si="284"/>
        <v/>
      </c>
      <c r="LC22" s="1097" t="str">
        <f t="shared" si="285"/>
        <v/>
      </c>
      <c r="LD22" s="1097" t="str">
        <f t="shared" si="286"/>
        <v/>
      </c>
      <c r="LE22" s="1097" t="str">
        <f t="shared" si="287"/>
        <v/>
      </c>
      <c r="LF22" s="1098" t="str">
        <f t="shared" si="288"/>
        <v/>
      </c>
      <c r="LG22" s="1098" t="str">
        <f t="shared" si="289"/>
        <v/>
      </c>
      <c r="LH22" s="1098" t="str">
        <f t="shared" si="290"/>
        <v/>
      </c>
      <c r="LI22" s="1098" t="str">
        <f t="shared" si="291"/>
        <v/>
      </c>
      <c r="LJ22" s="1098" t="str">
        <f t="shared" si="292"/>
        <v/>
      </c>
      <c r="LK22" s="1064" t="str">
        <f t="shared" si="293"/>
        <v/>
      </c>
      <c r="LL22" s="1064" t="str">
        <f t="shared" si="294"/>
        <v/>
      </c>
      <c r="LM22" s="1064" t="str">
        <f t="shared" si="295"/>
        <v/>
      </c>
      <c r="LN22" s="1064" t="str">
        <f t="shared" si="296"/>
        <v/>
      </c>
      <c r="LO22" s="1064" t="str">
        <f t="shared" si="297"/>
        <v/>
      </c>
      <c r="LP22" s="1064" t="str">
        <f t="shared" si="298"/>
        <v/>
      </c>
      <c r="LQ22" s="1064" t="str">
        <f t="shared" si="299"/>
        <v/>
      </c>
      <c r="LR22" s="1064" t="str">
        <f t="shared" si="300"/>
        <v/>
      </c>
      <c r="LS22" s="1064" t="str">
        <f t="shared" si="301"/>
        <v/>
      </c>
      <c r="LT22" s="1064" t="str">
        <f t="shared" si="302"/>
        <v/>
      </c>
      <c r="LU22" s="1064" t="str">
        <f t="shared" si="303"/>
        <v/>
      </c>
      <c r="LV22" s="1064" t="str">
        <f t="shared" si="304"/>
        <v/>
      </c>
      <c r="LW22" s="1064" t="str">
        <f t="shared" si="305"/>
        <v/>
      </c>
      <c r="LX22" s="1064" t="str">
        <f t="shared" si="306"/>
        <v/>
      </c>
      <c r="LY22" s="1064" t="str">
        <f t="shared" si="307"/>
        <v/>
      </c>
      <c r="LZ22" s="1064" t="str">
        <f t="shared" si="308"/>
        <v/>
      </c>
      <c r="MA22" s="1064" t="str">
        <f t="shared" si="309"/>
        <v/>
      </c>
      <c r="MB22" s="1064" t="str">
        <f t="shared" si="310"/>
        <v/>
      </c>
      <c r="MC22" s="1064" t="str">
        <f t="shared" si="311"/>
        <v/>
      </c>
      <c r="MD22" s="1064" t="str">
        <f t="shared" si="312"/>
        <v/>
      </c>
      <c r="ME22" s="1081">
        <f t="shared" si="324"/>
        <v>0</v>
      </c>
      <c r="MF22" s="1081">
        <f t="shared" si="325"/>
        <v>0</v>
      </c>
      <c r="MG22" s="1081">
        <f t="shared" si="326"/>
        <v>0</v>
      </c>
      <c r="MH22" s="1081">
        <f t="shared" si="327"/>
        <v>0</v>
      </c>
      <c r="MI22" s="1081">
        <f t="shared" si="328"/>
        <v>0</v>
      </c>
      <c r="MJ22" s="1081">
        <f t="shared" si="329"/>
        <v>0</v>
      </c>
      <c r="MK22" s="1081">
        <f t="shared" si="330"/>
        <v>0</v>
      </c>
      <c r="ML22" s="1081">
        <f t="shared" si="331"/>
        <v>0</v>
      </c>
      <c r="MM22" s="1081">
        <f t="shared" si="332"/>
        <v>0</v>
      </c>
      <c r="MN22" s="1081">
        <f t="shared" si="333"/>
        <v>0</v>
      </c>
      <c r="MO22" s="1081">
        <f t="shared" si="334"/>
        <v>0</v>
      </c>
      <c r="MP22" s="1081">
        <f t="shared" si="335"/>
        <v>0</v>
      </c>
      <c r="MQ22" s="1081">
        <f t="shared" si="336"/>
        <v>0</v>
      </c>
      <c r="MR22" s="1081">
        <f t="shared" si="337"/>
        <v>0</v>
      </c>
      <c r="MS22" s="1081">
        <f t="shared" si="338"/>
        <v>0</v>
      </c>
    </row>
    <row r="23" spans="1:357" ht="12" customHeight="1">
      <c r="A23" s="1088" t="str">
        <f t="shared" si="0"/>
        <v/>
      </c>
      <c r="B23" s="44">
        <v>80</v>
      </c>
      <c r="C23" s="41"/>
      <c r="D23" s="42"/>
      <c r="E23" s="43"/>
      <c r="F23" s="43"/>
      <c r="G23" s="43"/>
      <c r="H23" s="43"/>
      <c r="I23" s="1100">
        <f>IF(C23="",0,HLOOKUP(C23,'Part V-Utility Allowances'!$I$11:$M$22,12))</f>
        <v>0</v>
      </c>
      <c r="J23" s="810"/>
      <c r="K23" s="512">
        <f t="shared" si="1"/>
        <v>0</v>
      </c>
      <c r="L23" s="512">
        <f t="shared" si="2"/>
        <v>0</v>
      </c>
      <c r="M23" s="1101"/>
      <c r="N23" s="1101"/>
      <c r="O23" s="1101"/>
      <c r="P23" s="1102"/>
      <c r="Q23" s="1103" t="str">
        <f t="shared" si="3"/>
        <v/>
      </c>
      <c r="R23" s="1104" t="str">
        <f>IF(H23="","",IF(C23="Efficiency",Q23/($O$6*VLOOKUP(0,'DCA Underwriting Assumptions'!$J$146:$K$151,2,FALSE)),Q23/($O$6*VLOOKUP(C23,'DCA Underwriting Assumptions'!$J$146:$K$151,2,FALSE))))</f>
        <v/>
      </c>
      <c r="S23" s="1105"/>
      <c r="T23" s="1106"/>
      <c r="U23" s="2314"/>
      <c r="V23" s="2316"/>
      <c r="W23" s="1064" t="str">
        <f t="shared" si="4"/>
        <v/>
      </c>
      <c r="X23" s="1064" t="str">
        <f t="shared" si="5"/>
        <v/>
      </c>
      <c r="Y23" s="1064" t="str">
        <f t="shared" si="6"/>
        <v/>
      </c>
      <c r="Z23" s="1064" t="str">
        <f t="shared" si="7"/>
        <v/>
      </c>
      <c r="AA23" s="1064" t="str">
        <f t="shared" si="8"/>
        <v/>
      </c>
      <c r="AB23" s="1064" t="str">
        <f t="shared" si="9"/>
        <v/>
      </c>
      <c r="AC23" s="1064" t="str">
        <f t="shared" si="10"/>
        <v/>
      </c>
      <c r="AD23" s="1064" t="str">
        <f t="shared" si="11"/>
        <v/>
      </c>
      <c r="AE23" s="1064" t="str">
        <f t="shared" si="12"/>
        <v/>
      </c>
      <c r="AF23" s="1064" t="str">
        <f t="shared" si="13"/>
        <v/>
      </c>
      <c r="AG23" s="1064" t="str">
        <f t="shared" si="14"/>
        <v/>
      </c>
      <c r="AH23" s="1064" t="str">
        <f t="shared" si="15"/>
        <v/>
      </c>
      <c r="AI23" s="1064" t="str">
        <f t="shared" si="16"/>
        <v/>
      </c>
      <c r="AJ23" s="1064" t="str">
        <f t="shared" si="17"/>
        <v/>
      </c>
      <c r="AK23" s="1064" t="str">
        <f t="shared" si="18"/>
        <v/>
      </c>
      <c r="AL23" s="1064" t="str">
        <f t="shared" si="19"/>
        <v/>
      </c>
      <c r="AM23" s="1064" t="str">
        <f t="shared" si="20"/>
        <v/>
      </c>
      <c r="AN23" s="1064" t="str">
        <f t="shared" si="21"/>
        <v/>
      </c>
      <c r="AO23" s="1064" t="str">
        <f t="shared" si="22"/>
        <v/>
      </c>
      <c r="AP23" s="1064" t="str">
        <f t="shared" si="23"/>
        <v/>
      </c>
      <c r="AQ23" s="1064" t="str">
        <f t="shared" si="24"/>
        <v/>
      </c>
      <c r="AR23" s="1064" t="str">
        <f t="shared" si="25"/>
        <v/>
      </c>
      <c r="AS23" s="1064" t="str">
        <f t="shared" si="26"/>
        <v/>
      </c>
      <c r="AT23" s="1064" t="str">
        <f t="shared" si="27"/>
        <v/>
      </c>
      <c r="AU23" s="1064" t="str">
        <f t="shared" si="28"/>
        <v/>
      </c>
      <c r="AV23" s="1064" t="str">
        <f t="shared" si="29"/>
        <v/>
      </c>
      <c r="AW23" s="1064" t="str">
        <f t="shared" si="30"/>
        <v/>
      </c>
      <c r="AX23" s="1064" t="str">
        <f t="shared" si="31"/>
        <v/>
      </c>
      <c r="AY23" s="1064" t="str">
        <f t="shared" si="32"/>
        <v/>
      </c>
      <c r="AZ23" s="1064" t="str">
        <f t="shared" si="33"/>
        <v/>
      </c>
      <c r="BA23" s="1064" t="str">
        <f t="shared" si="34"/>
        <v/>
      </c>
      <c r="BB23" s="1064" t="str">
        <f t="shared" si="35"/>
        <v/>
      </c>
      <c r="BC23" s="1064" t="str">
        <f t="shared" si="36"/>
        <v/>
      </c>
      <c r="BD23" s="1064" t="str">
        <f t="shared" si="37"/>
        <v/>
      </c>
      <c r="BE23" s="1064" t="str">
        <f t="shared" si="38"/>
        <v/>
      </c>
      <c r="BF23" s="1064" t="str">
        <f t="shared" si="39"/>
        <v/>
      </c>
      <c r="BG23" s="1064" t="str">
        <f t="shared" si="40"/>
        <v/>
      </c>
      <c r="BH23" s="1064" t="str">
        <f t="shared" si="41"/>
        <v/>
      </c>
      <c r="BI23" s="1064" t="str">
        <f t="shared" si="42"/>
        <v/>
      </c>
      <c r="BJ23" s="1064" t="str">
        <f t="shared" si="43"/>
        <v/>
      </c>
      <c r="BK23" s="1064" t="str">
        <f t="shared" si="44"/>
        <v/>
      </c>
      <c r="BL23" s="1064" t="str">
        <f t="shared" si="45"/>
        <v/>
      </c>
      <c r="BM23" s="1064" t="str">
        <f t="shared" si="46"/>
        <v/>
      </c>
      <c r="BN23" s="1064" t="str">
        <f t="shared" si="47"/>
        <v/>
      </c>
      <c r="BO23" s="1064" t="str">
        <f t="shared" si="48"/>
        <v/>
      </c>
      <c r="BP23" s="1064" t="str">
        <f t="shared" si="49"/>
        <v/>
      </c>
      <c r="BQ23" s="1064" t="str">
        <f t="shared" si="50"/>
        <v/>
      </c>
      <c r="BR23" s="1064" t="str">
        <f t="shared" si="51"/>
        <v/>
      </c>
      <c r="BS23" s="1064" t="str">
        <f t="shared" si="52"/>
        <v/>
      </c>
      <c r="BT23" s="1064" t="str">
        <f t="shared" si="53"/>
        <v/>
      </c>
      <c r="BU23" s="1064" t="str">
        <f t="shared" si="54"/>
        <v/>
      </c>
      <c r="BV23" s="1064" t="str">
        <f t="shared" si="55"/>
        <v/>
      </c>
      <c r="BW23" s="1064" t="str">
        <f t="shared" si="56"/>
        <v/>
      </c>
      <c r="BX23" s="1064" t="str">
        <f t="shared" si="57"/>
        <v/>
      </c>
      <c r="BY23" s="1064" t="str">
        <f t="shared" si="58"/>
        <v/>
      </c>
      <c r="BZ23" s="1064" t="str">
        <f t="shared" si="59"/>
        <v/>
      </c>
      <c r="CA23" s="1064" t="str">
        <f t="shared" si="60"/>
        <v/>
      </c>
      <c r="CB23" s="1064" t="str">
        <f t="shared" si="61"/>
        <v/>
      </c>
      <c r="CC23" s="1064" t="str">
        <f t="shared" si="62"/>
        <v/>
      </c>
      <c r="CD23" s="1064" t="str">
        <f t="shared" si="63"/>
        <v/>
      </c>
      <c r="CE23" s="1064" t="str">
        <f t="shared" si="64"/>
        <v/>
      </c>
      <c r="CF23" s="1064" t="str">
        <f t="shared" si="65"/>
        <v/>
      </c>
      <c r="CG23" s="1064" t="str">
        <f t="shared" si="66"/>
        <v/>
      </c>
      <c r="CH23" s="1064" t="str">
        <f t="shared" si="67"/>
        <v/>
      </c>
      <c r="CI23" s="1064" t="str">
        <f t="shared" si="68"/>
        <v/>
      </c>
      <c r="CJ23" s="1064" t="str">
        <f t="shared" si="69"/>
        <v/>
      </c>
      <c r="CK23" s="1064" t="str">
        <f t="shared" si="70"/>
        <v/>
      </c>
      <c r="CL23" s="1064" t="str">
        <f t="shared" si="71"/>
        <v/>
      </c>
      <c r="CM23" s="1064" t="str">
        <f t="shared" si="72"/>
        <v/>
      </c>
      <c r="CN23" s="1064" t="str">
        <f t="shared" si="73"/>
        <v/>
      </c>
      <c r="CO23" s="1064" t="str">
        <f t="shared" si="74"/>
        <v/>
      </c>
      <c r="CP23" s="1064" t="str">
        <f t="shared" si="75"/>
        <v/>
      </c>
      <c r="CQ23" s="1064" t="str">
        <f t="shared" si="76"/>
        <v/>
      </c>
      <c r="CR23" s="1064" t="str">
        <f t="shared" si="77"/>
        <v/>
      </c>
      <c r="CS23" s="1064" t="str">
        <f t="shared" si="78"/>
        <v/>
      </c>
      <c r="CT23" s="1064" t="str">
        <f t="shared" si="79"/>
        <v/>
      </c>
      <c r="CU23" s="1064" t="str">
        <f t="shared" si="80"/>
        <v/>
      </c>
      <c r="CV23" s="1064" t="str">
        <f t="shared" si="81"/>
        <v/>
      </c>
      <c r="CW23" s="1064" t="str">
        <f t="shared" si="82"/>
        <v/>
      </c>
      <c r="CX23" s="1064" t="str">
        <f t="shared" si="83"/>
        <v/>
      </c>
      <c r="CY23" s="1064" t="str">
        <f t="shared" si="84"/>
        <v/>
      </c>
      <c r="CZ23" s="1064" t="str">
        <f t="shared" si="85"/>
        <v/>
      </c>
      <c r="DA23" s="1064" t="str">
        <f t="shared" si="86"/>
        <v/>
      </c>
      <c r="DB23" s="1064" t="str">
        <f t="shared" si="87"/>
        <v/>
      </c>
      <c r="DC23" s="1064" t="str">
        <f t="shared" si="88"/>
        <v/>
      </c>
      <c r="DD23" s="1064" t="str">
        <f t="shared" si="89"/>
        <v/>
      </c>
      <c r="DE23" s="1064" t="str">
        <f t="shared" si="90"/>
        <v/>
      </c>
      <c r="DF23" s="1064" t="str">
        <f t="shared" si="91"/>
        <v/>
      </c>
      <c r="DG23" s="1064" t="str">
        <f t="shared" si="92"/>
        <v/>
      </c>
      <c r="DH23" s="1064" t="str">
        <f t="shared" si="93"/>
        <v/>
      </c>
      <c r="DI23" s="1064" t="str">
        <f t="shared" si="94"/>
        <v/>
      </c>
      <c r="DJ23" s="1064" t="str">
        <f t="shared" si="95"/>
        <v/>
      </c>
      <c r="DK23" s="1064" t="str">
        <f t="shared" si="96"/>
        <v/>
      </c>
      <c r="DL23" s="1064" t="str">
        <f t="shared" si="97"/>
        <v/>
      </c>
      <c r="DM23" s="1064" t="str">
        <f t="shared" si="98"/>
        <v/>
      </c>
      <c r="DN23" s="1064" t="str">
        <f t="shared" si="99"/>
        <v/>
      </c>
      <c r="DO23" s="1064" t="str">
        <f t="shared" si="100"/>
        <v/>
      </c>
      <c r="DP23" s="1064" t="str">
        <f t="shared" si="101"/>
        <v/>
      </c>
      <c r="DQ23" s="1064" t="str">
        <f t="shared" si="102"/>
        <v/>
      </c>
      <c r="DR23" s="1064" t="str">
        <f t="shared" si="103"/>
        <v/>
      </c>
      <c r="DS23" s="1064" t="str">
        <f t="shared" si="104"/>
        <v/>
      </c>
      <c r="DT23" s="1064" t="str">
        <f t="shared" si="105"/>
        <v/>
      </c>
      <c r="DU23" s="1064" t="str">
        <f t="shared" si="106"/>
        <v/>
      </c>
      <c r="DV23" s="1064" t="str">
        <f t="shared" si="107"/>
        <v/>
      </c>
      <c r="DW23" s="1064" t="str">
        <f t="shared" si="108"/>
        <v/>
      </c>
      <c r="DX23" s="1064" t="str">
        <f t="shared" si="109"/>
        <v/>
      </c>
      <c r="DY23" s="1064" t="str">
        <f t="shared" si="110"/>
        <v/>
      </c>
      <c r="DZ23" s="1064" t="str">
        <f t="shared" si="111"/>
        <v/>
      </c>
      <c r="EA23" s="1064" t="str">
        <f t="shared" si="112"/>
        <v/>
      </c>
      <c r="EB23" s="1064" t="str">
        <f t="shared" si="113"/>
        <v/>
      </c>
      <c r="EC23" s="1064" t="str">
        <f t="shared" si="114"/>
        <v/>
      </c>
      <c r="ED23" s="1064" t="str">
        <f t="shared" si="115"/>
        <v/>
      </c>
      <c r="EE23" s="1064" t="str">
        <f t="shared" si="116"/>
        <v/>
      </c>
      <c r="EF23" s="1064" t="str">
        <f t="shared" si="117"/>
        <v/>
      </c>
      <c r="EG23" s="1064" t="str">
        <f t="shared" si="313"/>
        <v/>
      </c>
      <c r="EH23" s="1064" t="str">
        <f t="shared" si="118"/>
        <v/>
      </c>
      <c r="EI23" s="1064" t="str">
        <f t="shared" si="119"/>
        <v/>
      </c>
      <c r="EJ23" s="1064" t="str">
        <f t="shared" si="120"/>
        <v/>
      </c>
      <c r="EK23" s="1064" t="str">
        <f t="shared" si="121"/>
        <v/>
      </c>
      <c r="EL23" s="1064" t="str">
        <f t="shared" si="122"/>
        <v/>
      </c>
      <c r="EM23" s="1064" t="str">
        <f t="shared" si="123"/>
        <v/>
      </c>
      <c r="EN23" s="1064" t="str">
        <f t="shared" si="124"/>
        <v/>
      </c>
      <c r="EO23" s="1064" t="str">
        <f t="shared" si="125"/>
        <v/>
      </c>
      <c r="EP23" s="1064" t="str">
        <f t="shared" si="126"/>
        <v/>
      </c>
      <c r="EQ23" s="1064" t="str">
        <f t="shared" si="127"/>
        <v/>
      </c>
      <c r="ER23" s="1064" t="str">
        <f t="shared" si="128"/>
        <v/>
      </c>
      <c r="ES23" s="1064" t="str">
        <f t="shared" si="129"/>
        <v/>
      </c>
      <c r="ET23" s="1064" t="str">
        <f t="shared" si="130"/>
        <v/>
      </c>
      <c r="EU23" s="1064" t="str">
        <f t="shared" si="131"/>
        <v/>
      </c>
      <c r="EV23" s="1064" t="str">
        <f t="shared" si="132"/>
        <v/>
      </c>
      <c r="EW23" s="1064" t="str">
        <f t="shared" si="314"/>
        <v/>
      </c>
      <c r="EX23" s="1064" t="str">
        <f t="shared" si="315"/>
        <v/>
      </c>
      <c r="EY23" s="1064" t="str">
        <f t="shared" si="316"/>
        <v/>
      </c>
      <c r="EZ23" s="1064" t="str">
        <f t="shared" si="317"/>
        <v/>
      </c>
      <c r="FA23" s="1064" t="str">
        <f t="shared" si="318"/>
        <v/>
      </c>
      <c r="FB23" s="1064" t="str">
        <f t="shared" si="133"/>
        <v/>
      </c>
      <c r="FC23" s="1064" t="str">
        <f t="shared" si="134"/>
        <v/>
      </c>
      <c r="FD23" s="1064" t="str">
        <f t="shared" si="135"/>
        <v/>
      </c>
      <c r="FE23" s="1064" t="str">
        <f t="shared" si="136"/>
        <v/>
      </c>
      <c r="FF23" s="1064" t="str">
        <f t="shared" si="137"/>
        <v/>
      </c>
      <c r="FG23" s="1064" t="str">
        <f t="shared" si="319"/>
        <v/>
      </c>
      <c r="FH23" s="1064" t="str">
        <f t="shared" si="320"/>
        <v/>
      </c>
      <c r="FI23" s="1064" t="str">
        <f t="shared" si="321"/>
        <v/>
      </c>
      <c r="FJ23" s="1064" t="str">
        <f t="shared" si="322"/>
        <v/>
      </c>
      <c r="FK23" s="1064" t="str">
        <f t="shared" si="323"/>
        <v/>
      </c>
      <c r="FL23" s="1064" t="str">
        <f t="shared" si="138"/>
        <v/>
      </c>
      <c r="FM23" s="1064" t="str">
        <f t="shared" si="139"/>
        <v/>
      </c>
      <c r="FN23" s="1064" t="str">
        <f t="shared" si="140"/>
        <v/>
      </c>
      <c r="FO23" s="1064" t="str">
        <f t="shared" si="141"/>
        <v/>
      </c>
      <c r="FP23" s="1064" t="str">
        <f t="shared" si="142"/>
        <v/>
      </c>
      <c r="FQ23" s="1064" t="str">
        <f t="shared" si="143"/>
        <v/>
      </c>
      <c r="FR23" s="1064" t="str">
        <f t="shared" si="144"/>
        <v/>
      </c>
      <c r="FS23" s="1064" t="str">
        <f t="shared" si="145"/>
        <v/>
      </c>
      <c r="FT23" s="1064" t="str">
        <f t="shared" si="146"/>
        <v/>
      </c>
      <c r="FU23" s="1064" t="str">
        <f t="shared" si="147"/>
        <v/>
      </c>
      <c r="FV23" s="1064" t="str">
        <f t="shared" si="148"/>
        <v/>
      </c>
      <c r="FW23" s="1064" t="str">
        <f t="shared" si="149"/>
        <v/>
      </c>
      <c r="FX23" s="1064" t="str">
        <f t="shared" si="150"/>
        <v/>
      </c>
      <c r="FY23" s="1064" t="str">
        <f t="shared" si="151"/>
        <v/>
      </c>
      <c r="FZ23" s="1064" t="str">
        <f t="shared" si="152"/>
        <v/>
      </c>
      <c r="GA23" s="1064" t="str">
        <f t="shared" si="153"/>
        <v/>
      </c>
      <c r="GB23" s="1064" t="str">
        <f t="shared" si="154"/>
        <v/>
      </c>
      <c r="GC23" s="1064" t="str">
        <f t="shared" si="155"/>
        <v/>
      </c>
      <c r="GD23" s="1064" t="str">
        <f t="shared" si="156"/>
        <v/>
      </c>
      <c r="GE23" s="1064" t="str">
        <f t="shared" si="157"/>
        <v/>
      </c>
      <c r="GF23" s="1064" t="str">
        <f t="shared" si="158"/>
        <v/>
      </c>
      <c r="GG23" s="1064" t="str">
        <f t="shared" si="159"/>
        <v/>
      </c>
      <c r="GH23" s="1064" t="str">
        <f t="shared" si="160"/>
        <v/>
      </c>
      <c r="GI23" s="1064" t="str">
        <f t="shared" si="161"/>
        <v/>
      </c>
      <c r="GJ23" s="1064" t="str">
        <f t="shared" si="162"/>
        <v/>
      </c>
      <c r="GK23" s="1064" t="str">
        <f t="shared" si="163"/>
        <v/>
      </c>
      <c r="GL23" s="1064" t="str">
        <f t="shared" si="164"/>
        <v/>
      </c>
      <c r="GM23" s="1064" t="str">
        <f t="shared" si="165"/>
        <v/>
      </c>
      <c r="GN23" s="1064" t="str">
        <f t="shared" si="166"/>
        <v/>
      </c>
      <c r="GO23" s="1064" t="str">
        <f t="shared" si="167"/>
        <v/>
      </c>
      <c r="GP23" s="1064" t="str">
        <f t="shared" si="168"/>
        <v/>
      </c>
      <c r="GQ23" s="1064" t="str">
        <f t="shared" si="169"/>
        <v/>
      </c>
      <c r="GR23" s="1064" t="str">
        <f t="shared" si="170"/>
        <v/>
      </c>
      <c r="GS23" s="1064" t="str">
        <f t="shared" si="171"/>
        <v/>
      </c>
      <c r="GT23" s="1064" t="str">
        <f t="shared" si="172"/>
        <v/>
      </c>
      <c r="GU23" s="1064" t="str">
        <f t="shared" si="173"/>
        <v/>
      </c>
      <c r="GV23" s="1064" t="str">
        <f t="shared" si="174"/>
        <v/>
      </c>
      <c r="GW23" s="1064" t="str">
        <f t="shared" si="175"/>
        <v/>
      </c>
      <c r="GX23" s="1064" t="str">
        <f t="shared" si="176"/>
        <v/>
      </c>
      <c r="GY23" s="1064" t="str">
        <f t="shared" si="177"/>
        <v/>
      </c>
      <c r="GZ23" s="1064" t="str">
        <f t="shared" si="178"/>
        <v/>
      </c>
      <c r="HA23" s="1064" t="str">
        <f t="shared" si="179"/>
        <v/>
      </c>
      <c r="HB23" s="1064" t="str">
        <f t="shared" si="180"/>
        <v/>
      </c>
      <c r="HC23" s="1064" t="str">
        <f t="shared" si="181"/>
        <v/>
      </c>
      <c r="HD23" s="1064" t="str">
        <f t="shared" si="182"/>
        <v/>
      </c>
      <c r="HE23" s="1064" t="str">
        <f t="shared" si="183"/>
        <v/>
      </c>
      <c r="HF23" s="1064" t="str">
        <f t="shared" si="184"/>
        <v/>
      </c>
      <c r="HG23" s="1064" t="str">
        <f t="shared" si="185"/>
        <v/>
      </c>
      <c r="HH23" s="1064" t="str">
        <f t="shared" si="186"/>
        <v/>
      </c>
      <c r="HI23" s="1064" t="str">
        <f t="shared" si="187"/>
        <v/>
      </c>
      <c r="HJ23" s="1064" t="str">
        <f t="shared" si="188"/>
        <v/>
      </c>
      <c r="HK23" s="1064" t="str">
        <f t="shared" si="189"/>
        <v/>
      </c>
      <c r="HL23" s="1064" t="str">
        <f t="shared" si="190"/>
        <v/>
      </c>
      <c r="HM23" s="1064" t="str">
        <f t="shared" si="191"/>
        <v/>
      </c>
      <c r="HN23" s="1064" t="str">
        <f t="shared" si="192"/>
        <v/>
      </c>
      <c r="HO23" s="1064" t="str">
        <f t="shared" si="193"/>
        <v/>
      </c>
      <c r="HP23" s="1064" t="str">
        <f t="shared" si="194"/>
        <v/>
      </c>
      <c r="HQ23" s="1064" t="str">
        <f t="shared" si="195"/>
        <v/>
      </c>
      <c r="HR23" s="1064" t="str">
        <f t="shared" si="196"/>
        <v/>
      </c>
      <c r="HS23" s="1064" t="str">
        <f t="shared" si="197"/>
        <v/>
      </c>
      <c r="HT23" s="1064" t="str">
        <f t="shared" si="198"/>
        <v/>
      </c>
      <c r="HU23" s="1064" t="str">
        <f t="shared" si="199"/>
        <v/>
      </c>
      <c r="HV23" s="1064" t="str">
        <f t="shared" si="200"/>
        <v/>
      </c>
      <c r="HW23" s="1064" t="str">
        <f t="shared" si="201"/>
        <v/>
      </c>
      <c r="HX23" s="1064" t="str">
        <f t="shared" si="202"/>
        <v/>
      </c>
      <c r="HY23" s="1097" t="str">
        <f t="shared" si="203"/>
        <v/>
      </c>
      <c r="HZ23" s="1097" t="str">
        <f t="shared" si="204"/>
        <v/>
      </c>
      <c r="IA23" s="1097" t="str">
        <f t="shared" si="205"/>
        <v/>
      </c>
      <c r="IB23" s="1097" t="str">
        <f t="shared" si="206"/>
        <v/>
      </c>
      <c r="IC23" s="1097" t="str">
        <f t="shared" si="207"/>
        <v/>
      </c>
      <c r="ID23" s="1097" t="str">
        <f t="shared" si="208"/>
        <v/>
      </c>
      <c r="IE23" s="1097" t="str">
        <f t="shared" si="209"/>
        <v/>
      </c>
      <c r="IF23" s="1097" t="str">
        <f t="shared" si="210"/>
        <v/>
      </c>
      <c r="IG23" s="1097" t="str">
        <f t="shared" si="211"/>
        <v/>
      </c>
      <c r="IH23" s="1097" t="str">
        <f t="shared" si="212"/>
        <v/>
      </c>
      <c r="II23" s="1097" t="str">
        <f t="shared" si="213"/>
        <v/>
      </c>
      <c r="IJ23" s="1097" t="str">
        <f t="shared" si="214"/>
        <v/>
      </c>
      <c r="IK23" s="1097" t="str">
        <f t="shared" si="215"/>
        <v/>
      </c>
      <c r="IL23" s="1097" t="str">
        <f t="shared" si="216"/>
        <v/>
      </c>
      <c r="IM23" s="1097" t="str">
        <f t="shared" si="217"/>
        <v/>
      </c>
      <c r="IN23" s="1097" t="str">
        <f t="shared" si="218"/>
        <v/>
      </c>
      <c r="IO23" s="1097" t="str">
        <f t="shared" si="219"/>
        <v/>
      </c>
      <c r="IP23" s="1097" t="str">
        <f t="shared" si="220"/>
        <v/>
      </c>
      <c r="IQ23" s="1097" t="str">
        <f t="shared" si="221"/>
        <v/>
      </c>
      <c r="IR23" s="1097" t="str">
        <f t="shared" si="222"/>
        <v/>
      </c>
      <c r="IS23" s="1097" t="str">
        <f t="shared" si="223"/>
        <v/>
      </c>
      <c r="IT23" s="1097" t="str">
        <f t="shared" si="224"/>
        <v/>
      </c>
      <c r="IU23" s="1097" t="str">
        <f t="shared" si="225"/>
        <v/>
      </c>
      <c r="IV23" s="1097" t="str">
        <f t="shared" si="226"/>
        <v/>
      </c>
      <c r="IW23" s="1097" t="str">
        <f t="shared" si="227"/>
        <v/>
      </c>
      <c r="IX23" s="1097" t="str">
        <f t="shared" si="228"/>
        <v/>
      </c>
      <c r="IY23" s="1097" t="str">
        <f t="shared" si="229"/>
        <v/>
      </c>
      <c r="IZ23" s="1097" t="str">
        <f t="shared" si="230"/>
        <v/>
      </c>
      <c r="JA23" s="1097" t="str">
        <f t="shared" si="231"/>
        <v/>
      </c>
      <c r="JB23" s="1097" t="str">
        <f t="shared" si="232"/>
        <v/>
      </c>
      <c r="JC23" s="1097" t="str">
        <f t="shared" si="233"/>
        <v/>
      </c>
      <c r="JD23" s="1097" t="str">
        <f t="shared" si="234"/>
        <v/>
      </c>
      <c r="JE23" s="1097" t="str">
        <f t="shared" si="235"/>
        <v/>
      </c>
      <c r="JF23" s="1097" t="str">
        <f t="shared" si="236"/>
        <v/>
      </c>
      <c r="JG23" s="1097" t="str">
        <f t="shared" si="237"/>
        <v/>
      </c>
      <c r="JH23" s="1097" t="str">
        <f t="shared" si="238"/>
        <v/>
      </c>
      <c r="JI23" s="1097" t="str">
        <f t="shared" si="239"/>
        <v/>
      </c>
      <c r="JJ23" s="1097" t="str">
        <f t="shared" si="240"/>
        <v/>
      </c>
      <c r="JK23" s="1097" t="str">
        <f t="shared" si="241"/>
        <v/>
      </c>
      <c r="JL23" s="1097" t="str">
        <f t="shared" si="242"/>
        <v/>
      </c>
      <c r="JM23" s="1097" t="str">
        <f t="shared" si="243"/>
        <v/>
      </c>
      <c r="JN23" s="1097" t="str">
        <f t="shared" si="244"/>
        <v/>
      </c>
      <c r="JO23" s="1097" t="str">
        <f t="shared" si="245"/>
        <v/>
      </c>
      <c r="JP23" s="1097" t="str">
        <f t="shared" si="246"/>
        <v/>
      </c>
      <c r="JQ23" s="1097" t="str">
        <f t="shared" si="247"/>
        <v/>
      </c>
      <c r="JR23" s="1097" t="str">
        <f t="shared" si="248"/>
        <v/>
      </c>
      <c r="JS23" s="1097" t="str">
        <f t="shared" si="249"/>
        <v/>
      </c>
      <c r="JT23" s="1097" t="str">
        <f t="shared" si="250"/>
        <v/>
      </c>
      <c r="JU23" s="1097" t="str">
        <f t="shared" si="251"/>
        <v/>
      </c>
      <c r="JV23" s="1097" t="str">
        <f t="shared" si="252"/>
        <v/>
      </c>
      <c r="JW23" s="1097" t="str">
        <f t="shared" si="253"/>
        <v/>
      </c>
      <c r="JX23" s="1097" t="str">
        <f t="shared" si="254"/>
        <v/>
      </c>
      <c r="JY23" s="1097" t="str">
        <f t="shared" si="255"/>
        <v/>
      </c>
      <c r="JZ23" s="1097" t="str">
        <f t="shared" si="256"/>
        <v/>
      </c>
      <c r="KA23" s="1097" t="str">
        <f t="shared" si="257"/>
        <v/>
      </c>
      <c r="KB23" s="1097" t="str">
        <f t="shared" si="258"/>
        <v/>
      </c>
      <c r="KC23" s="1097" t="str">
        <f t="shared" si="259"/>
        <v/>
      </c>
      <c r="KD23" s="1097" t="str">
        <f t="shared" si="260"/>
        <v/>
      </c>
      <c r="KE23" s="1097" t="str">
        <f t="shared" si="261"/>
        <v/>
      </c>
      <c r="KF23" s="1097" t="str">
        <f t="shared" si="262"/>
        <v/>
      </c>
      <c r="KG23" s="1097" t="str">
        <f t="shared" si="263"/>
        <v/>
      </c>
      <c r="KH23" s="1097" t="str">
        <f t="shared" si="264"/>
        <v/>
      </c>
      <c r="KI23" s="1097" t="str">
        <f t="shared" si="265"/>
        <v/>
      </c>
      <c r="KJ23" s="1097" t="str">
        <f t="shared" si="266"/>
        <v/>
      </c>
      <c r="KK23" s="1097" t="str">
        <f t="shared" si="267"/>
        <v/>
      </c>
      <c r="KL23" s="1097" t="str">
        <f t="shared" si="268"/>
        <v/>
      </c>
      <c r="KM23" s="1097" t="str">
        <f t="shared" si="269"/>
        <v/>
      </c>
      <c r="KN23" s="1097" t="str">
        <f t="shared" si="270"/>
        <v/>
      </c>
      <c r="KO23" s="1097" t="str">
        <f t="shared" si="271"/>
        <v/>
      </c>
      <c r="KP23" s="1097" t="str">
        <f t="shared" si="272"/>
        <v/>
      </c>
      <c r="KQ23" s="1097" t="str">
        <f t="shared" si="273"/>
        <v/>
      </c>
      <c r="KR23" s="1097" t="str">
        <f t="shared" si="274"/>
        <v/>
      </c>
      <c r="KS23" s="1097" t="str">
        <f t="shared" si="275"/>
        <v/>
      </c>
      <c r="KT23" s="1097" t="str">
        <f t="shared" si="276"/>
        <v/>
      </c>
      <c r="KU23" s="1097" t="str">
        <f t="shared" si="277"/>
        <v/>
      </c>
      <c r="KV23" s="1097" t="str">
        <f t="shared" si="278"/>
        <v/>
      </c>
      <c r="KW23" s="1097" t="str">
        <f t="shared" si="279"/>
        <v/>
      </c>
      <c r="KX23" s="1097" t="str">
        <f t="shared" si="280"/>
        <v/>
      </c>
      <c r="KY23" s="1097" t="str">
        <f t="shared" si="281"/>
        <v/>
      </c>
      <c r="KZ23" s="1097" t="str">
        <f t="shared" si="282"/>
        <v/>
      </c>
      <c r="LA23" s="1097" t="str">
        <f t="shared" si="283"/>
        <v/>
      </c>
      <c r="LB23" s="1097" t="str">
        <f t="shared" si="284"/>
        <v/>
      </c>
      <c r="LC23" s="1097" t="str">
        <f t="shared" si="285"/>
        <v/>
      </c>
      <c r="LD23" s="1097" t="str">
        <f t="shared" si="286"/>
        <v/>
      </c>
      <c r="LE23" s="1097" t="str">
        <f t="shared" si="287"/>
        <v/>
      </c>
      <c r="LF23" s="1098" t="str">
        <f t="shared" si="288"/>
        <v/>
      </c>
      <c r="LG23" s="1098" t="str">
        <f t="shared" si="289"/>
        <v/>
      </c>
      <c r="LH23" s="1098" t="str">
        <f t="shared" si="290"/>
        <v/>
      </c>
      <c r="LI23" s="1098" t="str">
        <f t="shared" si="291"/>
        <v/>
      </c>
      <c r="LJ23" s="1098" t="str">
        <f t="shared" si="292"/>
        <v/>
      </c>
      <c r="LK23" s="1064" t="str">
        <f t="shared" si="293"/>
        <v/>
      </c>
      <c r="LL23" s="1064" t="str">
        <f t="shared" si="294"/>
        <v/>
      </c>
      <c r="LM23" s="1064" t="str">
        <f t="shared" si="295"/>
        <v/>
      </c>
      <c r="LN23" s="1064" t="str">
        <f t="shared" si="296"/>
        <v/>
      </c>
      <c r="LO23" s="1064" t="str">
        <f t="shared" si="297"/>
        <v/>
      </c>
      <c r="LP23" s="1064" t="str">
        <f t="shared" si="298"/>
        <v/>
      </c>
      <c r="LQ23" s="1064" t="str">
        <f t="shared" si="299"/>
        <v/>
      </c>
      <c r="LR23" s="1064" t="str">
        <f t="shared" si="300"/>
        <v/>
      </c>
      <c r="LS23" s="1064" t="str">
        <f t="shared" si="301"/>
        <v/>
      </c>
      <c r="LT23" s="1064" t="str">
        <f t="shared" si="302"/>
        <v/>
      </c>
      <c r="LU23" s="1064" t="str">
        <f t="shared" si="303"/>
        <v/>
      </c>
      <c r="LV23" s="1064" t="str">
        <f t="shared" si="304"/>
        <v/>
      </c>
      <c r="LW23" s="1064" t="str">
        <f t="shared" si="305"/>
        <v/>
      </c>
      <c r="LX23" s="1064" t="str">
        <f t="shared" si="306"/>
        <v/>
      </c>
      <c r="LY23" s="1064" t="str">
        <f t="shared" si="307"/>
        <v/>
      </c>
      <c r="LZ23" s="1064" t="str">
        <f t="shared" si="308"/>
        <v/>
      </c>
      <c r="MA23" s="1064" t="str">
        <f t="shared" si="309"/>
        <v/>
      </c>
      <c r="MB23" s="1064" t="str">
        <f t="shared" si="310"/>
        <v/>
      </c>
      <c r="MC23" s="1064" t="str">
        <f t="shared" si="311"/>
        <v/>
      </c>
      <c r="MD23" s="1064" t="str">
        <f t="shared" si="312"/>
        <v/>
      </c>
      <c r="ME23" s="1081">
        <f t="shared" si="324"/>
        <v>0</v>
      </c>
      <c r="MF23" s="1081">
        <f t="shared" si="325"/>
        <v>0</v>
      </c>
      <c r="MG23" s="1081">
        <f t="shared" si="326"/>
        <v>0</v>
      </c>
      <c r="MH23" s="1081">
        <f t="shared" si="327"/>
        <v>0</v>
      </c>
      <c r="MI23" s="1081">
        <f t="shared" si="328"/>
        <v>0</v>
      </c>
      <c r="MJ23" s="1081">
        <f t="shared" si="329"/>
        <v>0</v>
      </c>
      <c r="MK23" s="1081">
        <f t="shared" si="330"/>
        <v>0</v>
      </c>
      <c r="ML23" s="1081">
        <f t="shared" si="331"/>
        <v>0</v>
      </c>
      <c r="MM23" s="1081">
        <f t="shared" si="332"/>
        <v>0</v>
      </c>
      <c r="MN23" s="1081">
        <f t="shared" si="333"/>
        <v>0</v>
      </c>
      <c r="MO23" s="1081">
        <f t="shared" si="334"/>
        <v>0</v>
      </c>
      <c r="MP23" s="1081">
        <f t="shared" si="335"/>
        <v>0</v>
      </c>
      <c r="MQ23" s="1081">
        <f t="shared" si="336"/>
        <v>0</v>
      </c>
      <c r="MR23" s="1081">
        <f t="shared" si="337"/>
        <v>0</v>
      </c>
      <c r="MS23" s="1081">
        <f t="shared" si="338"/>
        <v>0</v>
      </c>
    </row>
    <row r="24" spans="1:357" ht="12" customHeight="1">
      <c r="A24" s="1088" t="str">
        <f t="shared" si="0"/>
        <v/>
      </c>
      <c r="B24" s="44">
        <v>80</v>
      </c>
      <c r="C24" s="41"/>
      <c r="D24" s="42"/>
      <c r="E24" s="43"/>
      <c r="F24" s="43"/>
      <c r="G24" s="43"/>
      <c r="H24" s="43"/>
      <c r="I24" s="1100">
        <f>IF(C24="",0,HLOOKUP(C24,'Part V-Utility Allowances'!$I$11:$M$22,12))</f>
        <v>0</v>
      </c>
      <c r="J24" s="810"/>
      <c r="K24" s="512">
        <f t="shared" si="1"/>
        <v>0</v>
      </c>
      <c r="L24" s="512">
        <f t="shared" si="2"/>
        <v>0</v>
      </c>
      <c r="M24" s="1101"/>
      <c r="N24" s="1101"/>
      <c r="O24" s="1101"/>
      <c r="P24" s="1102"/>
      <c r="Q24" s="1103" t="str">
        <f t="shared" si="3"/>
        <v/>
      </c>
      <c r="R24" s="1104" t="str">
        <f>IF(H24="","",IF(C24="Efficiency",Q24/($O$6*VLOOKUP(0,'DCA Underwriting Assumptions'!$J$146:$K$151,2,FALSE)),Q24/($O$6*VLOOKUP(C24,'DCA Underwriting Assumptions'!$J$146:$K$151,2,FALSE))))</f>
        <v/>
      </c>
      <c r="S24" s="1105"/>
      <c r="T24" s="1106"/>
      <c r="U24" s="2314"/>
      <c r="V24" s="2316"/>
      <c r="W24" s="1064" t="str">
        <f t="shared" si="4"/>
        <v/>
      </c>
      <c r="X24" s="1064" t="str">
        <f t="shared" si="5"/>
        <v/>
      </c>
      <c r="Y24" s="1064" t="str">
        <f t="shared" si="6"/>
        <v/>
      </c>
      <c r="Z24" s="1064" t="str">
        <f t="shared" si="7"/>
        <v/>
      </c>
      <c r="AA24" s="1064" t="str">
        <f t="shared" si="8"/>
        <v/>
      </c>
      <c r="AB24" s="1064" t="str">
        <f t="shared" si="9"/>
        <v/>
      </c>
      <c r="AC24" s="1064" t="str">
        <f t="shared" si="10"/>
        <v/>
      </c>
      <c r="AD24" s="1064" t="str">
        <f t="shared" si="11"/>
        <v/>
      </c>
      <c r="AE24" s="1064" t="str">
        <f t="shared" si="12"/>
        <v/>
      </c>
      <c r="AF24" s="1064" t="str">
        <f t="shared" si="13"/>
        <v/>
      </c>
      <c r="AG24" s="1064" t="str">
        <f t="shared" si="14"/>
        <v/>
      </c>
      <c r="AH24" s="1064" t="str">
        <f t="shared" si="15"/>
        <v/>
      </c>
      <c r="AI24" s="1064" t="str">
        <f t="shared" si="16"/>
        <v/>
      </c>
      <c r="AJ24" s="1064" t="str">
        <f t="shared" si="17"/>
        <v/>
      </c>
      <c r="AK24" s="1064" t="str">
        <f t="shared" si="18"/>
        <v/>
      </c>
      <c r="AL24" s="1064" t="str">
        <f t="shared" si="19"/>
        <v/>
      </c>
      <c r="AM24" s="1064" t="str">
        <f t="shared" si="20"/>
        <v/>
      </c>
      <c r="AN24" s="1064" t="str">
        <f t="shared" si="21"/>
        <v/>
      </c>
      <c r="AO24" s="1064" t="str">
        <f t="shared" si="22"/>
        <v/>
      </c>
      <c r="AP24" s="1064" t="str">
        <f t="shared" si="23"/>
        <v/>
      </c>
      <c r="AQ24" s="1064" t="str">
        <f t="shared" si="24"/>
        <v/>
      </c>
      <c r="AR24" s="1064" t="str">
        <f t="shared" si="25"/>
        <v/>
      </c>
      <c r="AS24" s="1064" t="str">
        <f t="shared" si="26"/>
        <v/>
      </c>
      <c r="AT24" s="1064" t="str">
        <f t="shared" si="27"/>
        <v/>
      </c>
      <c r="AU24" s="1064" t="str">
        <f t="shared" si="28"/>
        <v/>
      </c>
      <c r="AV24" s="1064" t="str">
        <f t="shared" si="29"/>
        <v/>
      </c>
      <c r="AW24" s="1064" t="str">
        <f t="shared" si="30"/>
        <v/>
      </c>
      <c r="AX24" s="1064" t="str">
        <f t="shared" si="31"/>
        <v/>
      </c>
      <c r="AY24" s="1064" t="str">
        <f t="shared" si="32"/>
        <v/>
      </c>
      <c r="AZ24" s="1064" t="str">
        <f t="shared" si="33"/>
        <v/>
      </c>
      <c r="BA24" s="1064" t="str">
        <f t="shared" si="34"/>
        <v/>
      </c>
      <c r="BB24" s="1064" t="str">
        <f t="shared" si="35"/>
        <v/>
      </c>
      <c r="BC24" s="1064" t="str">
        <f t="shared" si="36"/>
        <v/>
      </c>
      <c r="BD24" s="1064" t="str">
        <f t="shared" si="37"/>
        <v/>
      </c>
      <c r="BE24" s="1064" t="str">
        <f t="shared" si="38"/>
        <v/>
      </c>
      <c r="BF24" s="1064" t="str">
        <f t="shared" si="39"/>
        <v/>
      </c>
      <c r="BG24" s="1064" t="str">
        <f t="shared" si="40"/>
        <v/>
      </c>
      <c r="BH24" s="1064" t="str">
        <f t="shared" si="41"/>
        <v/>
      </c>
      <c r="BI24" s="1064" t="str">
        <f t="shared" si="42"/>
        <v/>
      </c>
      <c r="BJ24" s="1064" t="str">
        <f t="shared" si="43"/>
        <v/>
      </c>
      <c r="BK24" s="1064" t="str">
        <f t="shared" si="44"/>
        <v/>
      </c>
      <c r="BL24" s="1064" t="str">
        <f t="shared" si="45"/>
        <v/>
      </c>
      <c r="BM24" s="1064" t="str">
        <f t="shared" si="46"/>
        <v/>
      </c>
      <c r="BN24" s="1064" t="str">
        <f t="shared" si="47"/>
        <v/>
      </c>
      <c r="BO24" s="1064" t="str">
        <f t="shared" si="48"/>
        <v/>
      </c>
      <c r="BP24" s="1064" t="str">
        <f t="shared" si="49"/>
        <v/>
      </c>
      <c r="BQ24" s="1064" t="str">
        <f t="shared" si="50"/>
        <v/>
      </c>
      <c r="BR24" s="1064" t="str">
        <f t="shared" si="51"/>
        <v/>
      </c>
      <c r="BS24" s="1064" t="str">
        <f t="shared" si="52"/>
        <v/>
      </c>
      <c r="BT24" s="1064" t="str">
        <f t="shared" si="53"/>
        <v/>
      </c>
      <c r="BU24" s="1064" t="str">
        <f t="shared" si="54"/>
        <v/>
      </c>
      <c r="BV24" s="1064" t="str">
        <f t="shared" si="55"/>
        <v/>
      </c>
      <c r="BW24" s="1064" t="str">
        <f t="shared" si="56"/>
        <v/>
      </c>
      <c r="BX24" s="1064" t="str">
        <f t="shared" si="57"/>
        <v/>
      </c>
      <c r="BY24" s="1064" t="str">
        <f t="shared" si="58"/>
        <v/>
      </c>
      <c r="BZ24" s="1064" t="str">
        <f t="shared" si="59"/>
        <v/>
      </c>
      <c r="CA24" s="1064" t="str">
        <f t="shared" si="60"/>
        <v/>
      </c>
      <c r="CB24" s="1064" t="str">
        <f t="shared" si="61"/>
        <v/>
      </c>
      <c r="CC24" s="1064" t="str">
        <f t="shared" si="62"/>
        <v/>
      </c>
      <c r="CD24" s="1064" t="str">
        <f t="shared" si="63"/>
        <v/>
      </c>
      <c r="CE24" s="1064" t="str">
        <f t="shared" si="64"/>
        <v/>
      </c>
      <c r="CF24" s="1064" t="str">
        <f t="shared" si="65"/>
        <v/>
      </c>
      <c r="CG24" s="1064" t="str">
        <f t="shared" si="66"/>
        <v/>
      </c>
      <c r="CH24" s="1064" t="str">
        <f t="shared" si="67"/>
        <v/>
      </c>
      <c r="CI24" s="1064" t="str">
        <f t="shared" si="68"/>
        <v/>
      </c>
      <c r="CJ24" s="1064" t="str">
        <f t="shared" si="69"/>
        <v/>
      </c>
      <c r="CK24" s="1064" t="str">
        <f t="shared" si="70"/>
        <v/>
      </c>
      <c r="CL24" s="1064" t="str">
        <f t="shared" si="71"/>
        <v/>
      </c>
      <c r="CM24" s="1064" t="str">
        <f t="shared" si="72"/>
        <v/>
      </c>
      <c r="CN24" s="1064" t="str">
        <f t="shared" si="73"/>
        <v/>
      </c>
      <c r="CO24" s="1064" t="str">
        <f t="shared" si="74"/>
        <v/>
      </c>
      <c r="CP24" s="1064" t="str">
        <f t="shared" si="75"/>
        <v/>
      </c>
      <c r="CQ24" s="1064" t="str">
        <f t="shared" si="76"/>
        <v/>
      </c>
      <c r="CR24" s="1064" t="str">
        <f t="shared" si="77"/>
        <v/>
      </c>
      <c r="CS24" s="1064" t="str">
        <f t="shared" si="78"/>
        <v/>
      </c>
      <c r="CT24" s="1064" t="str">
        <f t="shared" si="79"/>
        <v/>
      </c>
      <c r="CU24" s="1064" t="str">
        <f t="shared" si="80"/>
        <v/>
      </c>
      <c r="CV24" s="1064" t="str">
        <f t="shared" si="81"/>
        <v/>
      </c>
      <c r="CW24" s="1064" t="str">
        <f t="shared" si="82"/>
        <v/>
      </c>
      <c r="CX24" s="1064" t="str">
        <f t="shared" si="83"/>
        <v/>
      </c>
      <c r="CY24" s="1064" t="str">
        <f t="shared" si="84"/>
        <v/>
      </c>
      <c r="CZ24" s="1064" t="str">
        <f t="shared" si="85"/>
        <v/>
      </c>
      <c r="DA24" s="1064" t="str">
        <f t="shared" si="86"/>
        <v/>
      </c>
      <c r="DB24" s="1064" t="str">
        <f t="shared" si="87"/>
        <v/>
      </c>
      <c r="DC24" s="1064" t="str">
        <f t="shared" si="88"/>
        <v/>
      </c>
      <c r="DD24" s="1064" t="str">
        <f t="shared" si="89"/>
        <v/>
      </c>
      <c r="DE24" s="1064" t="str">
        <f t="shared" si="90"/>
        <v/>
      </c>
      <c r="DF24" s="1064" t="str">
        <f t="shared" si="91"/>
        <v/>
      </c>
      <c r="DG24" s="1064" t="str">
        <f t="shared" si="92"/>
        <v/>
      </c>
      <c r="DH24" s="1064" t="str">
        <f t="shared" si="93"/>
        <v/>
      </c>
      <c r="DI24" s="1064" t="str">
        <f t="shared" si="94"/>
        <v/>
      </c>
      <c r="DJ24" s="1064" t="str">
        <f t="shared" si="95"/>
        <v/>
      </c>
      <c r="DK24" s="1064" t="str">
        <f t="shared" si="96"/>
        <v/>
      </c>
      <c r="DL24" s="1064" t="str">
        <f t="shared" si="97"/>
        <v/>
      </c>
      <c r="DM24" s="1064" t="str">
        <f t="shared" si="98"/>
        <v/>
      </c>
      <c r="DN24" s="1064" t="str">
        <f t="shared" si="99"/>
        <v/>
      </c>
      <c r="DO24" s="1064" t="str">
        <f t="shared" si="100"/>
        <v/>
      </c>
      <c r="DP24" s="1064" t="str">
        <f t="shared" si="101"/>
        <v/>
      </c>
      <c r="DQ24" s="1064" t="str">
        <f t="shared" si="102"/>
        <v/>
      </c>
      <c r="DR24" s="1064" t="str">
        <f t="shared" si="103"/>
        <v/>
      </c>
      <c r="DS24" s="1064" t="str">
        <f t="shared" si="104"/>
        <v/>
      </c>
      <c r="DT24" s="1064" t="str">
        <f t="shared" si="105"/>
        <v/>
      </c>
      <c r="DU24" s="1064" t="str">
        <f t="shared" si="106"/>
        <v/>
      </c>
      <c r="DV24" s="1064" t="str">
        <f t="shared" si="107"/>
        <v/>
      </c>
      <c r="DW24" s="1064" t="str">
        <f t="shared" si="108"/>
        <v/>
      </c>
      <c r="DX24" s="1064" t="str">
        <f t="shared" si="109"/>
        <v/>
      </c>
      <c r="DY24" s="1064" t="str">
        <f t="shared" si="110"/>
        <v/>
      </c>
      <c r="DZ24" s="1064" t="str">
        <f t="shared" si="111"/>
        <v/>
      </c>
      <c r="EA24" s="1064" t="str">
        <f t="shared" si="112"/>
        <v/>
      </c>
      <c r="EB24" s="1064" t="str">
        <f t="shared" si="113"/>
        <v/>
      </c>
      <c r="EC24" s="1064" t="str">
        <f t="shared" si="114"/>
        <v/>
      </c>
      <c r="ED24" s="1064" t="str">
        <f t="shared" si="115"/>
        <v/>
      </c>
      <c r="EE24" s="1064" t="str">
        <f t="shared" si="116"/>
        <v/>
      </c>
      <c r="EF24" s="1064" t="str">
        <f t="shared" si="117"/>
        <v/>
      </c>
      <c r="EG24" s="1064" t="str">
        <f t="shared" si="313"/>
        <v/>
      </c>
      <c r="EH24" s="1064" t="str">
        <f t="shared" si="118"/>
        <v/>
      </c>
      <c r="EI24" s="1064" t="str">
        <f t="shared" si="119"/>
        <v/>
      </c>
      <c r="EJ24" s="1064" t="str">
        <f t="shared" si="120"/>
        <v/>
      </c>
      <c r="EK24" s="1064" t="str">
        <f t="shared" si="121"/>
        <v/>
      </c>
      <c r="EL24" s="1064" t="str">
        <f t="shared" si="122"/>
        <v/>
      </c>
      <c r="EM24" s="1064" t="str">
        <f t="shared" si="123"/>
        <v/>
      </c>
      <c r="EN24" s="1064" t="str">
        <f t="shared" si="124"/>
        <v/>
      </c>
      <c r="EO24" s="1064" t="str">
        <f t="shared" si="125"/>
        <v/>
      </c>
      <c r="EP24" s="1064" t="str">
        <f t="shared" si="126"/>
        <v/>
      </c>
      <c r="EQ24" s="1064" t="str">
        <f t="shared" si="127"/>
        <v/>
      </c>
      <c r="ER24" s="1064" t="str">
        <f t="shared" si="128"/>
        <v/>
      </c>
      <c r="ES24" s="1064" t="str">
        <f t="shared" si="129"/>
        <v/>
      </c>
      <c r="ET24" s="1064" t="str">
        <f t="shared" si="130"/>
        <v/>
      </c>
      <c r="EU24" s="1064" t="str">
        <f t="shared" si="131"/>
        <v/>
      </c>
      <c r="EV24" s="1064" t="str">
        <f t="shared" si="132"/>
        <v/>
      </c>
      <c r="EW24" s="1064" t="str">
        <f t="shared" si="314"/>
        <v/>
      </c>
      <c r="EX24" s="1064" t="str">
        <f t="shared" si="315"/>
        <v/>
      </c>
      <c r="EY24" s="1064" t="str">
        <f t="shared" si="316"/>
        <v/>
      </c>
      <c r="EZ24" s="1064" t="str">
        <f t="shared" si="317"/>
        <v/>
      </c>
      <c r="FA24" s="1064" t="str">
        <f t="shared" si="318"/>
        <v/>
      </c>
      <c r="FB24" s="1064" t="str">
        <f t="shared" si="133"/>
        <v/>
      </c>
      <c r="FC24" s="1064" t="str">
        <f t="shared" si="134"/>
        <v/>
      </c>
      <c r="FD24" s="1064" t="str">
        <f t="shared" si="135"/>
        <v/>
      </c>
      <c r="FE24" s="1064" t="str">
        <f t="shared" si="136"/>
        <v/>
      </c>
      <c r="FF24" s="1064" t="str">
        <f t="shared" si="137"/>
        <v/>
      </c>
      <c r="FG24" s="1064" t="str">
        <f t="shared" si="319"/>
        <v/>
      </c>
      <c r="FH24" s="1064" t="str">
        <f t="shared" si="320"/>
        <v/>
      </c>
      <c r="FI24" s="1064" t="str">
        <f t="shared" si="321"/>
        <v/>
      </c>
      <c r="FJ24" s="1064" t="str">
        <f t="shared" si="322"/>
        <v/>
      </c>
      <c r="FK24" s="1064" t="str">
        <f t="shared" si="323"/>
        <v/>
      </c>
      <c r="FL24" s="1064" t="str">
        <f t="shared" si="138"/>
        <v/>
      </c>
      <c r="FM24" s="1064" t="str">
        <f t="shared" si="139"/>
        <v/>
      </c>
      <c r="FN24" s="1064" t="str">
        <f t="shared" si="140"/>
        <v/>
      </c>
      <c r="FO24" s="1064" t="str">
        <f t="shared" si="141"/>
        <v/>
      </c>
      <c r="FP24" s="1064" t="str">
        <f t="shared" si="142"/>
        <v/>
      </c>
      <c r="FQ24" s="1064" t="str">
        <f t="shared" si="143"/>
        <v/>
      </c>
      <c r="FR24" s="1064" t="str">
        <f t="shared" si="144"/>
        <v/>
      </c>
      <c r="FS24" s="1064" t="str">
        <f t="shared" si="145"/>
        <v/>
      </c>
      <c r="FT24" s="1064" t="str">
        <f t="shared" si="146"/>
        <v/>
      </c>
      <c r="FU24" s="1064" t="str">
        <f t="shared" si="147"/>
        <v/>
      </c>
      <c r="FV24" s="1064" t="str">
        <f t="shared" si="148"/>
        <v/>
      </c>
      <c r="FW24" s="1064" t="str">
        <f t="shared" si="149"/>
        <v/>
      </c>
      <c r="FX24" s="1064" t="str">
        <f t="shared" si="150"/>
        <v/>
      </c>
      <c r="FY24" s="1064" t="str">
        <f t="shared" si="151"/>
        <v/>
      </c>
      <c r="FZ24" s="1064" t="str">
        <f t="shared" si="152"/>
        <v/>
      </c>
      <c r="GA24" s="1064" t="str">
        <f t="shared" si="153"/>
        <v/>
      </c>
      <c r="GB24" s="1064" t="str">
        <f t="shared" si="154"/>
        <v/>
      </c>
      <c r="GC24" s="1064" t="str">
        <f t="shared" si="155"/>
        <v/>
      </c>
      <c r="GD24" s="1064" t="str">
        <f t="shared" si="156"/>
        <v/>
      </c>
      <c r="GE24" s="1064" t="str">
        <f t="shared" si="157"/>
        <v/>
      </c>
      <c r="GF24" s="1064" t="str">
        <f t="shared" si="158"/>
        <v/>
      </c>
      <c r="GG24" s="1064" t="str">
        <f t="shared" si="159"/>
        <v/>
      </c>
      <c r="GH24" s="1064" t="str">
        <f t="shared" si="160"/>
        <v/>
      </c>
      <c r="GI24" s="1064" t="str">
        <f t="shared" si="161"/>
        <v/>
      </c>
      <c r="GJ24" s="1064" t="str">
        <f t="shared" si="162"/>
        <v/>
      </c>
      <c r="GK24" s="1064" t="str">
        <f t="shared" si="163"/>
        <v/>
      </c>
      <c r="GL24" s="1064" t="str">
        <f t="shared" si="164"/>
        <v/>
      </c>
      <c r="GM24" s="1064" t="str">
        <f t="shared" si="165"/>
        <v/>
      </c>
      <c r="GN24" s="1064" t="str">
        <f t="shared" si="166"/>
        <v/>
      </c>
      <c r="GO24" s="1064" t="str">
        <f t="shared" si="167"/>
        <v/>
      </c>
      <c r="GP24" s="1064" t="str">
        <f t="shared" si="168"/>
        <v/>
      </c>
      <c r="GQ24" s="1064" t="str">
        <f t="shared" si="169"/>
        <v/>
      </c>
      <c r="GR24" s="1064" t="str">
        <f t="shared" si="170"/>
        <v/>
      </c>
      <c r="GS24" s="1064" t="str">
        <f t="shared" si="171"/>
        <v/>
      </c>
      <c r="GT24" s="1064" t="str">
        <f t="shared" si="172"/>
        <v/>
      </c>
      <c r="GU24" s="1064" t="str">
        <f t="shared" si="173"/>
        <v/>
      </c>
      <c r="GV24" s="1064" t="str">
        <f t="shared" si="174"/>
        <v/>
      </c>
      <c r="GW24" s="1064" t="str">
        <f t="shared" si="175"/>
        <v/>
      </c>
      <c r="GX24" s="1064" t="str">
        <f t="shared" si="176"/>
        <v/>
      </c>
      <c r="GY24" s="1064" t="str">
        <f t="shared" si="177"/>
        <v/>
      </c>
      <c r="GZ24" s="1064" t="str">
        <f t="shared" si="178"/>
        <v/>
      </c>
      <c r="HA24" s="1064" t="str">
        <f t="shared" si="179"/>
        <v/>
      </c>
      <c r="HB24" s="1064" t="str">
        <f t="shared" si="180"/>
        <v/>
      </c>
      <c r="HC24" s="1064" t="str">
        <f t="shared" si="181"/>
        <v/>
      </c>
      <c r="HD24" s="1064" t="str">
        <f t="shared" si="182"/>
        <v/>
      </c>
      <c r="HE24" s="1064" t="str">
        <f t="shared" si="183"/>
        <v/>
      </c>
      <c r="HF24" s="1064" t="str">
        <f t="shared" si="184"/>
        <v/>
      </c>
      <c r="HG24" s="1064" t="str">
        <f t="shared" si="185"/>
        <v/>
      </c>
      <c r="HH24" s="1064" t="str">
        <f t="shared" si="186"/>
        <v/>
      </c>
      <c r="HI24" s="1064" t="str">
        <f t="shared" si="187"/>
        <v/>
      </c>
      <c r="HJ24" s="1064" t="str">
        <f t="shared" si="188"/>
        <v/>
      </c>
      <c r="HK24" s="1064" t="str">
        <f t="shared" si="189"/>
        <v/>
      </c>
      <c r="HL24" s="1064" t="str">
        <f t="shared" si="190"/>
        <v/>
      </c>
      <c r="HM24" s="1064" t="str">
        <f t="shared" si="191"/>
        <v/>
      </c>
      <c r="HN24" s="1064" t="str">
        <f t="shared" si="192"/>
        <v/>
      </c>
      <c r="HO24" s="1064" t="str">
        <f t="shared" si="193"/>
        <v/>
      </c>
      <c r="HP24" s="1064" t="str">
        <f t="shared" si="194"/>
        <v/>
      </c>
      <c r="HQ24" s="1064" t="str">
        <f t="shared" si="195"/>
        <v/>
      </c>
      <c r="HR24" s="1064" t="str">
        <f t="shared" si="196"/>
        <v/>
      </c>
      <c r="HS24" s="1064" t="str">
        <f t="shared" si="197"/>
        <v/>
      </c>
      <c r="HT24" s="1064" t="str">
        <f t="shared" si="198"/>
        <v/>
      </c>
      <c r="HU24" s="1064" t="str">
        <f t="shared" si="199"/>
        <v/>
      </c>
      <c r="HV24" s="1064" t="str">
        <f t="shared" si="200"/>
        <v/>
      </c>
      <c r="HW24" s="1064" t="str">
        <f t="shared" si="201"/>
        <v/>
      </c>
      <c r="HX24" s="1064" t="str">
        <f t="shared" si="202"/>
        <v/>
      </c>
      <c r="HY24" s="1097" t="str">
        <f t="shared" si="203"/>
        <v/>
      </c>
      <c r="HZ24" s="1097" t="str">
        <f t="shared" si="204"/>
        <v/>
      </c>
      <c r="IA24" s="1097" t="str">
        <f t="shared" si="205"/>
        <v/>
      </c>
      <c r="IB24" s="1097" t="str">
        <f t="shared" si="206"/>
        <v/>
      </c>
      <c r="IC24" s="1097" t="str">
        <f t="shared" si="207"/>
        <v/>
      </c>
      <c r="ID24" s="1097" t="str">
        <f t="shared" si="208"/>
        <v/>
      </c>
      <c r="IE24" s="1097" t="str">
        <f t="shared" si="209"/>
        <v/>
      </c>
      <c r="IF24" s="1097" t="str">
        <f t="shared" si="210"/>
        <v/>
      </c>
      <c r="IG24" s="1097" t="str">
        <f t="shared" si="211"/>
        <v/>
      </c>
      <c r="IH24" s="1097" t="str">
        <f t="shared" si="212"/>
        <v/>
      </c>
      <c r="II24" s="1097" t="str">
        <f t="shared" si="213"/>
        <v/>
      </c>
      <c r="IJ24" s="1097" t="str">
        <f t="shared" si="214"/>
        <v/>
      </c>
      <c r="IK24" s="1097" t="str">
        <f t="shared" si="215"/>
        <v/>
      </c>
      <c r="IL24" s="1097" t="str">
        <f t="shared" si="216"/>
        <v/>
      </c>
      <c r="IM24" s="1097" t="str">
        <f t="shared" si="217"/>
        <v/>
      </c>
      <c r="IN24" s="1097" t="str">
        <f t="shared" si="218"/>
        <v/>
      </c>
      <c r="IO24" s="1097" t="str">
        <f t="shared" si="219"/>
        <v/>
      </c>
      <c r="IP24" s="1097" t="str">
        <f t="shared" si="220"/>
        <v/>
      </c>
      <c r="IQ24" s="1097" t="str">
        <f t="shared" si="221"/>
        <v/>
      </c>
      <c r="IR24" s="1097" t="str">
        <f t="shared" si="222"/>
        <v/>
      </c>
      <c r="IS24" s="1097" t="str">
        <f t="shared" si="223"/>
        <v/>
      </c>
      <c r="IT24" s="1097" t="str">
        <f t="shared" si="224"/>
        <v/>
      </c>
      <c r="IU24" s="1097" t="str">
        <f t="shared" si="225"/>
        <v/>
      </c>
      <c r="IV24" s="1097" t="str">
        <f t="shared" si="226"/>
        <v/>
      </c>
      <c r="IW24" s="1097" t="str">
        <f t="shared" si="227"/>
        <v/>
      </c>
      <c r="IX24" s="1097" t="str">
        <f t="shared" si="228"/>
        <v/>
      </c>
      <c r="IY24" s="1097" t="str">
        <f t="shared" si="229"/>
        <v/>
      </c>
      <c r="IZ24" s="1097" t="str">
        <f t="shared" si="230"/>
        <v/>
      </c>
      <c r="JA24" s="1097" t="str">
        <f t="shared" si="231"/>
        <v/>
      </c>
      <c r="JB24" s="1097" t="str">
        <f t="shared" si="232"/>
        <v/>
      </c>
      <c r="JC24" s="1097" t="str">
        <f t="shared" si="233"/>
        <v/>
      </c>
      <c r="JD24" s="1097" t="str">
        <f t="shared" si="234"/>
        <v/>
      </c>
      <c r="JE24" s="1097" t="str">
        <f t="shared" si="235"/>
        <v/>
      </c>
      <c r="JF24" s="1097" t="str">
        <f t="shared" si="236"/>
        <v/>
      </c>
      <c r="JG24" s="1097" t="str">
        <f t="shared" si="237"/>
        <v/>
      </c>
      <c r="JH24" s="1097" t="str">
        <f t="shared" si="238"/>
        <v/>
      </c>
      <c r="JI24" s="1097" t="str">
        <f t="shared" si="239"/>
        <v/>
      </c>
      <c r="JJ24" s="1097" t="str">
        <f t="shared" si="240"/>
        <v/>
      </c>
      <c r="JK24" s="1097" t="str">
        <f t="shared" si="241"/>
        <v/>
      </c>
      <c r="JL24" s="1097" t="str">
        <f t="shared" si="242"/>
        <v/>
      </c>
      <c r="JM24" s="1097" t="str">
        <f t="shared" si="243"/>
        <v/>
      </c>
      <c r="JN24" s="1097" t="str">
        <f t="shared" si="244"/>
        <v/>
      </c>
      <c r="JO24" s="1097" t="str">
        <f t="shared" si="245"/>
        <v/>
      </c>
      <c r="JP24" s="1097" t="str">
        <f t="shared" si="246"/>
        <v/>
      </c>
      <c r="JQ24" s="1097" t="str">
        <f t="shared" si="247"/>
        <v/>
      </c>
      <c r="JR24" s="1097" t="str">
        <f t="shared" si="248"/>
        <v/>
      </c>
      <c r="JS24" s="1097" t="str">
        <f t="shared" si="249"/>
        <v/>
      </c>
      <c r="JT24" s="1097" t="str">
        <f t="shared" si="250"/>
        <v/>
      </c>
      <c r="JU24" s="1097" t="str">
        <f t="shared" si="251"/>
        <v/>
      </c>
      <c r="JV24" s="1097" t="str">
        <f t="shared" si="252"/>
        <v/>
      </c>
      <c r="JW24" s="1097" t="str">
        <f t="shared" si="253"/>
        <v/>
      </c>
      <c r="JX24" s="1097" t="str">
        <f t="shared" si="254"/>
        <v/>
      </c>
      <c r="JY24" s="1097" t="str">
        <f t="shared" si="255"/>
        <v/>
      </c>
      <c r="JZ24" s="1097" t="str">
        <f t="shared" si="256"/>
        <v/>
      </c>
      <c r="KA24" s="1097" t="str">
        <f t="shared" si="257"/>
        <v/>
      </c>
      <c r="KB24" s="1097" t="str">
        <f t="shared" si="258"/>
        <v/>
      </c>
      <c r="KC24" s="1097" t="str">
        <f t="shared" si="259"/>
        <v/>
      </c>
      <c r="KD24" s="1097" t="str">
        <f t="shared" si="260"/>
        <v/>
      </c>
      <c r="KE24" s="1097" t="str">
        <f t="shared" si="261"/>
        <v/>
      </c>
      <c r="KF24" s="1097" t="str">
        <f t="shared" si="262"/>
        <v/>
      </c>
      <c r="KG24" s="1097" t="str">
        <f t="shared" si="263"/>
        <v/>
      </c>
      <c r="KH24" s="1097" t="str">
        <f t="shared" si="264"/>
        <v/>
      </c>
      <c r="KI24" s="1097" t="str">
        <f t="shared" si="265"/>
        <v/>
      </c>
      <c r="KJ24" s="1097" t="str">
        <f t="shared" si="266"/>
        <v/>
      </c>
      <c r="KK24" s="1097" t="str">
        <f t="shared" si="267"/>
        <v/>
      </c>
      <c r="KL24" s="1097" t="str">
        <f t="shared" si="268"/>
        <v/>
      </c>
      <c r="KM24" s="1097" t="str">
        <f t="shared" si="269"/>
        <v/>
      </c>
      <c r="KN24" s="1097" t="str">
        <f t="shared" si="270"/>
        <v/>
      </c>
      <c r="KO24" s="1097" t="str">
        <f t="shared" si="271"/>
        <v/>
      </c>
      <c r="KP24" s="1097" t="str">
        <f t="shared" si="272"/>
        <v/>
      </c>
      <c r="KQ24" s="1097" t="str">
        <f t="shared" si="273"/>
        <v/>
      </c>
      <c r="KR24" s="1097" t="str">
        <f t="shared" si="274"/>
        <v/>
      </c>
      <c r="KS24" s="1097" t="str">
        <f t="shared" si="275"/>
        <v/>
      </c>
      <c r="KT24" s="1097" t="str">
        <f t="shared" si="276"/>
        <v/>
      </c>
      <c r="KU24" s="1097" t="str">
        <f t="shared" si="277"/>
        <v/>
      </c>
      <c r="KV24" s="1097" t="str">
        <f t="shared" si="278"/>
        <v/>
      </c>
      <c r="KW24" s="1097" t="str">
        <f t="shared" si="279"/>
        <v/>
      </c>
      <c r="KX24" s="1097" t="str">
        <f t="shared" si="280"/>
        <v/>
      </c>
      <c r="KY24" s="1097" t="str">
        <f t="shared" si="281"/>
        <v/>
      </c>
      <c r="KZ24" s="1097" t="str">
        <f t="shared" si="282"/>
        <v/>
      </c>
      <c r="LA24" s="1097" t="str">
        <f t="shared" si="283"/>
        <v/>
      </c>
      <c r="LB24" s="1097" t="str">
        <f t="shared" si="284"/>
        <v/>
      </c>
      <c r="LC24" s="1097" t="str">
        <f t="shared" si="285"/>
        <v/>
      </c>
      <c r="LD24" s="1097" t="str">
        <f t="shared" si="286"/>
        <v/>
      </c>
      <c r="LE24" s="1097" t="str">
        <f t="shared" si="287"/>
        <v/>
      </c>
      <c r="LF24" s="1098" t="str">
        <f t="shared" si="288"/>
        <v/>
      </c>
      <c r="LG24" s="1098" t="str">
        <f t="shared" si="289"/>
        <v/>
      </c>
      <c r="LH24" s="1098" t="str">
        <f t="shared" si="290"/>
        <v/>
      </c>
      <c r="LI24" s="1098" t="str">
        <f t="shared" si="291"/>
        <v/>
      </c>
      <c r="LJ24" s="1098" t="str">
        <f t="shared" si="292"/>
        <v/>
      </c>
      <c r="LK24" s="1064" t="str">
        <f t="shared" si="293"/>
        <v/>
      </c>
      <c r="LL24" s="1064" t="str">
        <f t="shared" si="294"/>
        <v/>
      </c>
      <c r="LM24" s="1064" t="str">
        <f t="shared" si="295"/>
        <v/>
      </c>
      <c r="LN24" s="1064" t="str">
        <f t="shared" si="296"/>
        <v/>
      </c>
      <c r="LO24" s="1064" t="str">
        <f t="shared" si="297"/>
        <v/>
      </c>
      <c r="LP24" s="1064" t="str">
        <f t="shared" si="298"/>
        <v/>
      </c>
      <c r="LQ24" s="1064" t="str">
        <f t="shared" si="299"/>
        <v/>
      </c>
      <c r="LR24" s="1064" t="str">
        <f t="shared" si="300"/>
        <v/>
      </c>
      <c r="LS24" s="1064" t="str">
        <f t="shared" si="301"/>
        <v/>
      </c>
      <c r="LT24" s="1064" t="str">
        <f t="shared" si="302"/>
        <v/>
      </c>
      <c r="LU24" s="1064" t="str">
        <f t="shared" si="303"/>
        <v/>
      </c>
      <c r="LV24" s="1064" t="str">
        <f t="shared" si="304"/>
        <v/>
      </c>
      <c r="LW24" s="1064" t="str">
        <f t="shared" si="305"/>
        <v/>
      </c>
      <c r="LX24" s="1064" t="str">
        <f t="shared" si="306"/>
        <v/>
      </c>
      <c r="LY24" s="1064" t="str">
        <f t="shared" si="307"/>
        <v/>
      </c>
      <c r="LZ24" s="1064" t="str">
        <f t="shared" si="308"/>
        <v/>
      </c>
      <c r="MA24" s="1064" t="str">
        <f t="shared" si="309"/>
        <v/>
      </c>
      <c r="MB24" s="1064" t="str">
        <f t="shared" si="310"/>
        <v/>
      </c>
      <c r="MC24" s="1064" t="str">
        <f t="shared" si="311"/>
        <v/>
      </c>
      <c r="MD24" s="1064" t="str">
        <f t="shared" si="312"/>
        <v/>
      </c>
      <c r="ME24" s="1081">
        <f t="shared" si="324"/>
        <v>0</v>
      </c>
      <c r="MF24" s="1081">
        <f t="shared" si="325"/>
        <v>0</v>
      </c>
      <c r="MG24" s="1081">
        <f t="shared" si="326"/>
        <v>0</v>
      </c>
      <c r="MH24" s="1081">
        <f t="shared" si="327"/>
        <v>0</v>
      </c>
      <c r="MI24" s="1081">
        <f t="shared" si="328"/>
        <v>0</v>
      </c>
      <c r="MJ24" s="1081">
        <f t="shared" si="329"/>
        <v>0</v>
      </c>
      <c r="MK24" s="1081">
        <f t="shared" si="330"/>
        <v>0</v>
      </c>
      <c r="ML24" s="1081">
        <f t="shared" si="331"/>
        <v>0</v>
      </c>
      <c r="MM24" s="1081">
        <f t="shared" si="332"/>
        <v>0</v>
      </c>
      <c r="MN24" s="1081">
        <f t="shared" si="333"/>
        <v>0</v>
      </c>
      <c r="MO24" s="1081">
        <f t="shared" si="334"/>
        <v>0</v>
      </c>
      <c r="MP24" s="1081">
        <f t="shared" si="335"/>
        <v>0</v>
      </c>
      <c r="MQ24" s="1081">
        <f t="shared" si="336"/>
        <v>0</v>
      </c>
      <c r="MR24" s="1081">
        <f t="shared" si="337"/>
        <v>0</v>
      </c>
      <c r="MS24" s="1081">
        <f t="shared" si="338"/>
        <v>0</v>
      </c>
    </row>
    <row r="25" spans="1:357" ht="12" customHeight="1">
      <c r="A25" s="1088" t="str">
        <f t="shared" si="0"/>
        <v/>
      </c>
      <c r="B25" s="44"/>
      <c r="C25" s="41"/>
      <c r="D25" s="42"/>
      <c r="E25" s="43"/>
      <c r="F25" s="43"/>
      <c r="G25" s="43"/>
      <c r="H25" s="43"/>
      <c r="I25" s="1100">
        <f>IF(C25="",0,HLOOKUP(C25,'Part V-Utility Allowances'!$I$11:$M$22,12))</f>
        <v>0</v>
      </c>
      <c r="J25" s="810"/>
      <c r="K25" s="512">
        <f t="shared" si="1"/>
        <v>0</v>
      </c>
      <c r="L25" s="512">
        <f t="shared" si="2"/>
        <v>0</v>
      </c>
      <c r="M25" s="1101"/>
      <c r="N25" s="1101"/>
      <c r="O25" s="1101"/>
      <c r="P25" s="1102"/>
      <c r="Q25" s="1103" t="str">
        <f t="shared" si="3"/>
        <v/>
      </c>
      <c r="R25" s="1104" t="str">
        <f>IF(H25="","",IF(C25="Efficiency",Q25/($O$6*VLOOKUP(0,'DCA Underwriting Assumptions'!$J$146:$K$151,2,FALSE)),Q25/($O$6*VLOOKUP(C25,'DCA Underwriting Assumptions'!$J$146:$K$151,2,FALSE))))</f>
        <v/>
      </c>
      <c r="S25" s="1105"/>
      <c r="T25" s="1106"/>
      <c r="U25" s="2314"/>
      <c r="V25" s="2316"/>
      <c r="W25" s="1064" t="str">
        <f t="shared" si="4"/>
        <v/>
      </c>
      <c r="X25" s="1064" t="str">
        <f t="shared" si="5"/>
        <v/>
      </c>
      <c r="Y25" s="1064" t="str">
        <f t="shared" si="6"/>
        <v/>
      </c>
      <c r="Z25" s="1064" t="str">
        <f t="shared" si="7"/>
        <v/>
      </c>
      <c r="AA25" s="1064" t="str">
        <f t="shared" si="8"/>
        <v/>
      </c>
      <c r="AB25" s="1064" t="str">
        <f t="shared" si="9"/>
        <v/>
      </c>
      <c r="AC25" s="1064" t="str">
        <f t="shared" si="10"/>
        <v/>
      </c>
      <c r="AD25" s="1064" t="str">
        <f t="shared" si="11"/>
        <v/>
      </c>
      <c r="AE25" s="1064" t="str">
        <f t="shared" si="12"/>
        <v/>
      </c>
      <c r="AF25" s="1064" t="str">
        <f t="shared" si="13"/>
        <v/>
      </c>
      <c r="AG25" s="1064" t="str">
        <f t="shared" si="14"/>
        <v/>
      </c>
      <c r="AH25" s="1064" t="str">
        <f t="shared" si="15"/>
        <v/>
      </c>
      <c r="AI25" s="1064" t="str">
        <f t="shared" si="16"/>
        <v/>
      </c>
      <c r="AJ25" s="1064" t="str">
        <f t="shared" si="17"/>
        <v/>
      </c>
      <c r="AK25" s="1064" t="str">
        <f t="shared" si="18"/>
        <v/>
      </c>
      <c r="AL25" s="1064" t="str">
        <f t="shared" si="19"/>
        <v/>
      </c>
      <c r="AM25" s="1064" t="str">
        <f t="shared" si="20"/>
        <v/>
      </c>
      <c r="AN25" s="1064" t="str">
        <f t="shared" si="21"/>
        <v/>
      </c>
      <c r="AO25" s="1064" t="str">
        <f t="shared" si="22"/>
        <v/>
      </c>
      <c r="AP25" s="1064" t="str">
        <f t="shared" si="23"/>
        <v/>
      </c>
      <c r="AQ25" s="1064" t="str">
        <f t="shared" si="24"/>
        <v/>
      </c>
      <c r="AR25" s="1064" t="str">
        <f t="shared" si="25"/>
        <v/>
      </c>
      <c r="AS25" s="1064" t="str">
        <f t="shared" si="26"/>
        <v/>
      </c>
      <c r="AT25" s="1064" t="str">
        <f t="shared" si="27"/>
        <v/>
      </c>
      <c r="AU25" s="1064" t="str">
        <f t="shared" si="28"/>
        <v/>
      </c>
      <c r="AV25" s="1064" t="str">
        <f t="shared" si="29"/>
        <v/>
      </c>
      <c r="AW25" s="1064" t="str">
        <f t="shared" si="30"/>
        <v/>
      </c>
      <c r="AX25" s="1064" t="str">
        <f t="shared" si="31"/>
        <v/>
      </c>
      <c r="AY25" s="1064" t="str">
        <f t="shared" si="32"/>
        <v/>
      </c>
      <c r="AZ25" s="1064" t="str">
        <f t="shared" si="33"/>
        <v/>
      </c>
      <c r="BA25" s="1064" t="str">
        <f t="shared" si="34"/>
        <v/>
      </c>
      <c r="BB25" s="1064" t="str">
        <f t="shared" si="35"/>
        <v/>
      </c>
      <c r="BC25" s="1064" t="str">
        <f t="shared" si="36"/>
        <v/>
      </c>
      <c r="BD25" s="1064" t="str">
        <f t="shared" si="37"/>
        <v/>
      </c>
      <c r="BE25" s="1064" t="str">
        <f t="shared" si="38"/>
        <v/>
      </c>
      <c r="BF25" s="1064" t="str">
        <f t="shared" si="39"/>
        <v/>
      </c>
      <c r="BG25" s="1064" t="str">
        <f t="shared" si="40"/>
        <v/>
      </c>
      <c r="BH25" s="1064" t="str">
        <f t="shared" si="41"/>
        <v/>
      </c>
      <c r="BI25" s="1064" t="str">
        <f t="shared" si="42"/>
        <v/>
      </c>
      <c r="BJ25" s="1064" t="str">
        <f t="shared" si="43"/>
        <v/>
      </c>
      <c r="BK25" s="1064" t="str">
        <f t="shared" si="44"/>
        <v/>
      </c>
      <c r="BL25" s="1064" t="str">
        <f t="shared" si="45"/>
        <v/>
      </c>
      <c r="BM25" s="1064" t="str">
        <f t="shared" si="46"/>
        <v/>
      </c>
      <c r="BN25" s="1064" t="str">
        <f t="shared" si="47"/>
        <v/>
      </c>
      <c r="BO25" s="1064" t="str">
        <f t="shared" si="48"/>
        <v/>
      </c>
      <c r="BP25" s="1064" t="str">
        <f t="shared" si="49"/>
        <v/>
      </c>
      <c r="BQ25" s="1064" t="str">
        <f t="shared" si="50"/>
        <v/>
      </c>
      <c r="BR25" s="1064" t="str">
        <f t="shared" si="51"/>
        <v/>
      </c>
      <c r="BS25" s="1064" t="str">
        <f t="shared" si="52"/>
        <v/>
      </c>
      <c r="BT25" s="1064" t="str">
        <f t="shared" si="53"/>
        <v/>
      </c>
      <c r="BU25" s="1064" t="str">
        <f t="shared" si="54"/>
        <v/>
      </c>
      <c r="BV25" s="1064" t="str">
        <f t="shared" si="55"/>
        <v/>
      </c>
      <c r="BW25" s="1064" t="str">
        <f t="shared" si="56"/>
        <v/>
      </c>
      <c r="BX25" s="1064" t="str">
        <f t="shared" si="57"/>
        <v/>
      </c>
      <c r="BY25" s="1064" t="str">
        <f t="shared" si="58"/>
        <v/>
      </c>
      <c r="BZ25" s="1064" t="str">
        <f t="shared" si="59"/>
        <v/>
      </c>
      <c r="CA25" s="1064" t="str">
        <f t="shared" si="60"/>
        <v/>
      </c>
      <c r="CB25" s="1064" t="str">
        <f t="shared" si="61"/>
        <v/>
      </c>
      <c r="CC25" s="1064" t="str">
        <f t="shared" si="62"/>
        <v/>
      </c>
      <c r="CD25" s="1064" t="str">
        <f t="shared" si="63"/>
        <v/>
      </c>
      <c r="CE25" s="1064" t="str">
        <f t="shared" si="64"/>
        <v/>
      </c>
      <c r="CF25" s="1064" t="str">
        <f t="shared" si="65"/>
        <v/>
      </c>
      <c r="CG25" s="1064" t="str">
        <f t="shared" si="66"/>
        <v/>
      </c>
      <c r="CH25" s="1064" t="str">
        <f t="shared" si="67"/>
        <v/>
      </c>
      <c r="CI25" s="1064" t="str">
        <f t="shared" si="68"/>
        <v/>
      </c>
      <c r="CJ25" s="1064" t="str">
        <f t="shared" si="69"/>
        <v/>
      </c>
      <c r="CK25" s="1064" t="str">
        <f t="shared" si="70"/>
        <v/>
      </c>
      <c r="CL25" s="1064" t="str">
        <f t="shared" si="71"/>
        <v/>
      </c>
      <c r="CM25" s="1064" t="str">
        <f t="shared" si="72"/>
        <v/>
      </c>
      <c r="CN25" s="1064" t="str">
        <f t="shared" si="73"/>
        <v/>
      </c>
      <c r="CO25" s="1064" t="str">
        <f t="shared" si="74"/>
        <v/>
      </c>
      <c r="CP25" s="1064" t="str">
        <f t="shared" si="75"/>
        <v/>
      </c>
      <c r="CQ25" s="1064" t="str">
        <f t="shared" si="76"/>
        <v/>
      </c>
      <c r="CR25" s="1064" t="str">
        <f t="shared" si="77"/>
        <v/>
      </c>
      <c r="CS25" s="1064" t="str">
        <f t="shared" si="78"/>
        <v/>
      </c>
      <c r="CT25" s="1064" t="str">
        <f t="shared" si="79"/>
        <v/>
      </c>
      <c r="CU25" s="1064" t="str">
        <f t="shared" si="80"/>
        <v/>
      </c>
      <c r="CV25" s="1064" t="str">
        <f t="shared" si="81"/>
        <v/>
      </c>
      <c r="CW25" s="1064" t="str">
        <f t="shared" si="82"/>
        <v/>
      </c>
      <c r="CX25" s="1064" t="str">
        <f t="shared" si="83"/>
        <v/>
      </c>
      <c r="CY25" s="1064" t="str">
        <f t="shared" si="84"/>
        <v/>
      </c>
      <c r="CZ25" s="1064" t="str">
        <f t="shared" si="85"/>
        <v/>
      </c>
      <c r="DA25" s="1064" t="str">
        <f t="shared" si="86"/>
        <v/>
      </c>
      <c r="DB25" s="1064" t="str">
        <f t="shared" si="87"/>
        <v/>
      </c>
      <c r="DC25" s="1064" t="str">
        <f t="shared" si="88"/>
        <v/>
      </c>
      <c r="DD25" s="1064" t="str">
        <f t="shared" si="89"/>
        <v/>
      </c>
      <c r="DE25" s="1064" t="str">
        <f t="shared" si="90"/>
        <v/>
      </c>
      <c r="DF25" s="1064" t="str">
        <f t="shared" si="91"/>
        <v/>
      </c>
      <c r="DG25" s="1064" t="str">
        <f t="shared" si="92"/>
        <v/>
      </c>
      <c r="DH25" s="1064" t="str">
        <f t="shared" si="93"/>
        <v/>
      </c>
      <c r="DI25" s="1064" t="str">
        <f t="shared" si="94"/>
        <v/>
      </c>
      <c r="DJ25" s="1064" t="str">
        <f t="shared" si="95"/>
        <v/>
      </c>
      <c r="DK25" s="1064" t="str">
        <f t="shared" si="96"/>
        <v/>
      </c>
      <c r="DL25" s="1064" t="str">
        <f t="shared" si="97"/>
        <v/>
      </c>
      <c r="DM25" s="1064" t="str">
        <f t="shared" si="98"/>
        <v/>
      </c>
      <c r="DN25" s="1064" t="str">
        <f t="shared" si="99"/>
        <v/>
      </c>
      <c r="DO25" s="1064" t="str">
        <f t="shared" si="100"/>
        <v/>
      </c>
      <c r="DP25" s="1064" t="str">
        <f t="shared" si="101"/>
        <v/>
      </c>
      <c r="DQ25" s="1064" t="str">
        <f t="shared" si="102"/>
        <v/>
      </c>
      <c r="DR25" s="1064" t="str">
        <f t="shared" si="103"/>
        <v/>
      </c>
      <c r="DS25" s="1064" t="str">
        <f t="shared" si="104"/>
        <v/>
      </c>
      <c r="DT25" s="1064" t="str">
        <f t="shared" si="105"/>
        <v/>
      </c>
      <c r="DU25" s="1064" t="str">
        <f t="shared" si="106"/>
        <v/>
      </c>
      <c r="DV25" s="1064" t="str">
        <f t="shared" si="107"/>
        <v/>
      </c>
      <c r="DW25" s="1064" t="str">
        <f t="shared" si="108"/>
        <v/>
      </c>
      <c r="DX25" s="1064" t="str">
        <f t="shared" si="109"/>
        <v/>
      </c>
      <c r="DY25" s="1064" t="str">
        <f t="shared" si="110"/>
        <v/>
      </c>
      <c r="DZ25" s="1064" t="str">
        <f t="shared" si="111"/>
        <v/>
      </c>
      <c r="EA25" s="1064" t="str">
        <f t="shared" si="112"/>
        <v/>
      </c>
      <c r="EB25" s="1064" t="str">
        <f t="shared" si="113"/>
        <v/>
      </c>
      <c r="EC25" s="1064" t="str">
        <f t="shared" si="114"/>
        <v/>
      </c>
      <c r="ED25" s="1064" t="str">
        <f t="shared" si="115"/>
        <v/>
      </c>
      <c r="EE25" s="1064" t="str">
        <f t="shared" si="116"/>
        <v/>
      </c>
      <c r="EF25" s="1064" t="str">
        <f t="shared" si="117"/>
        <v/>
      </c>
      <c r="EG25" s="1064" t="str">
        <f t="shared" si="313"/>
        <v/>
      </c>
      <c r="EH25" s="1064" t="str">
        <f t="shared" si="118"/>
        <v/>
      </c>
      <c r="EI25" s="1064" t="str">
        <f t="shared" si="119"/>
        <v/>
      </c>
      <c r="EJ25" s="1064" t="str">
        <f t="shared" si="120"/>
        <v/>
      </c>
      <c r="EK25" s="1064" t="str">
        <f t="shared" si="121"/>
        <v/>
      </c>
      <c r="EL25" s="1064" t="str">
        <f t="shared" si="122"/>
        <v/>
      </c>
      <c r="EM25" s="1064" t="str">
        <f t="shared" si="123"/>
        <v/>
      </c>
      <c r="EN25" s="1064" t="str">
        <f t="shared" si="124"/>
        <v/>
      </c>
      <c r="EO25" s="1064" t="str">
        <f t="shared" si="125"/>
        <v/>
      </c>
      <c r="EP25" s="1064" t="str">
        <f t="shared" si="126"/>
        <v/>
      </c>
      <c r="EQ25" s="1064" t="str">
        <f t="shared" si="127"/>
        <v/>
      </c>
      <c r="ER25" s="1064" t="str">
        <f t="shared" si="128"/>
        <v/>
      </c>
      <c r="ES25" s="1064" t="str">
        <f t="shared" si="129"/>
        <v/>
      </c>
      <c r="ET25" s="1064" t="str">
        <f t="shared" si="130"/>
        <v/>
      </c>
      <c r="EU25" s="1064" t="str">
        <f t="shared" si="131"/>
        <v/>
      </c>
      <c r="EV25" s="1064" t="str">
        <f t="shared" si="132"/>
        <v/>
      </c>
      <c r="EW25" s="1064" t="str">
        <f t="shared" si="314"/>
        <v/>
      </c>
      <c r="EX25" s="1064" t="str">
        <f t="shared" si="315"/>
        <v/>
      </c>
      <c r="EY25" s="1064" t="str">
        <f t="shared" si="316"/>
        <v/>
      </c>
      <c r="EZ25" s="1064" t="str">
        <f t="shared" si="317"/>
        <v/>
      </c>
      <c r="FA25" s="1064" t="str">
        <f t="shared" si="318"/>
        <v/>
      </c>
      <c r="FB25" s="1064" t="str">
        <f t="shared" si="133"/>
        <v/>
      </c>
      <c r="FC25" s="1064" t="str">
        <f t="shared" si="134"/>
        <v/>
      </c>
      <c r="FD25" s="1064" t="str">
        <f t="shared" si="135"/>
        <v/>
      </c>
      <c r="FE25" s="1064" t="str">
        <f t="shared" si="136"/>
        <v/>
      </c>
      <c r="FF25" s="1064" t="str">
        <f t="shared" si="137"/>
        <v/>
      </c>
      <c r="FG25" s="1064" t="str">
        <f t="shared" si="319"/>
        <v/>
      </c>
      <c r="FH25" s="1064" t="str">
        <f t="shared" si="320"/>
        <v/>
      </c>
      <c r="FI25" s="1064" t="str">
        <f t="shared" si="321"/>
        <v/>
      </c>
      <c r="FJ25" s="1064" t="str">
        <f t="shared" si="322"/>
        <v/>
      </c>
      <c r="FK25" s="1064" t="str">
        <f t="shared" si="323"/>
        <v/>
      </c>
      <c r="FL25" s="1064" t="str">
        <f t="shared" si="138"/>
        <v/>
      </c>
      <c r="FM25" s="1064" t="str">
        <f t="shared" si="139"/>
        <v/>
      </c>
      <c r="FN25" s="1064" t="str">
        <f t="shared" si="140"/>
        <v/>
      </c>
      <c r="FO25" s="1064" t="str">
        <f t="shared" si="141"/>
        <v/>
      </c>
      <c r="FP25" s="1064" t="str">
        <f t="shared" si="142"/>
        <v/>
      </c>
      <c r="FQ25" s="1064" t="str">
        <f t="shared" si="143"/>
        <v/>
      </c>
      <c r="FR25" s="1064" t="str">
        <f t="shared" si="144"/>
        <v/>
      </c>
      <c r="FS25" s="1064" t="str">
        <f t="shared" si="145"/>
        <v/>
      </c>
      <c r="FT25" s="1064" t="str">
        <f t="shared" si="146"/>
        <v/>
      </c>
      <c r="FU25" s="1064" t="str">
        <f t="shared" si="147"/>
        <v/>
      </c>
      <c r="FV25" s="1064" t="str">
        <f t="shared" si="148"/>
        <v/>
      </c>
      <c r="FW25" s="1064" t="str">
        <f t="shared" si="149"/>
        <v/>
      </c>
      <c r="FX25" s="1064" t="str">
        <f t="shared" si="150"/>
        <v/>
      </c>
      <c r="FY25" s="1064" t="str">
        <f t="shared" si="151"/>
        <v/>
      </c>
      <c r="FZ25" s="1064" t="str">
        <f t="shared" si="152"/>
        <v/>
      </c>
      <c r="GA25" s="1064" t="str">
        <f t="shared" si="153"/>
        <v/>
      </c>
      <c r="GB25" s="1064" t="str">
        <f t="shared" si="154"/>
        <v/>
      </c>
      <c r="GC25" s="1064" t="str">
        <f t="shared" si="155"/>
        <v/>
      </c>
      <c r="GD25" s="1064" t="str">
        <f t="shared" si="156"/>
        <v/>
      </c>
      <c r="GE25" s="1064" t="str">
        <f t="shared" si="157"/>
        <v/>
      </c>
      <c r="GF25" s="1064" t="str">
        <f t="shared" si="158"/>
        <v/>
      </c>
      <c r="GG25" s="1064" t="str">
        <f t="shared" si="159"/>
        <v/>
      </c>
      <c r="GH25" s="1064" t="str">
        <f t="shared" si="160"/>
        <v/>
      </c>
      <c r="GI25" s="1064" t="str">
        <f t="shared" si="161"/>
        <v/>
      </c>
      <c r="GJ25" s="1064" t="str">
        <f t="shared" si="162"/>
        <v/>
      </c>
      <c r="GK25" s="1064" t="str">
        <f t="shared" si="163"/>
        <v/>
      </c>
      <c r="GL25" s="1064" t="str">
        <f t="shared" si="164"/>
        <v/>
      </c>
      <c r="GM25" s="1064" t="str">
        <f t="shared" si="165"/>
        <v/>
      </c>
      <c r="GN25" s="1064" t="str">
        <f t="shared" si="166"/>
        <v/>
      </c>
      <c r="GO25" s="1064" t="str">
        <f t="shared" si="167"/>
        <v/>
      </c>
      <c r="GP25" s="1064" t="str">
        <f t="shared" si="168"/>
        <v/>
      </c>
      <c r="GQ25" s="1064" t="str">
        <f t="shared" si="169"/>
        <v/>
      </c>
      <c r="GR25" s="1064" t="str">
        <f t="shared" si="170"/>
        <v/>
      </c>
      <c r="GS25" s="1064" t="str">
        <f t="shared" si="171"/>
        <v/>
      </c>
      <c r="GT25" s="1064" t="str">
        <f t="shared" si="172"/>
        <v/>
      </c>
      <c r="GU25" s="1064" t="str">
        <f t="shared" si="173"/>
        <v/>
      </c>
      <c r="GV25" s="1064" t="str">
        <f t="shared" si="174"/>
        <v/>
      </c>
      <c r="GW25" s="1064" t="str">
        <f t="shared" si="175"/>
        <v/>
      </c>
      <c r="GX25" s="1064" t="str">
        <f t="shared" si="176"/>
        <v/>
      </c>
      <c r="GY25" s="1064" t="str">
        <f t="shared" si="177"/>
        <v/>
      </c>
      <c r="GZ25" s="1064" t="str">
        <f t="shared" si="178"/>
        <v/>
      </c>
      <c r="HA25" s="1064" t="str">
        <f t="shared" si="179"/>
        <v/>
      </c>
      <c r="HB25" s="1064" t="str">
        <f t="shared" si="180"/>
        <v/>
      </c>
      <c r="HC25" s="1064" t="str">
        <f t="shared" si="181"/>
        <v/>
      </c>
      <c r="HD25" s="1064" t="str">
        <f t="shared" si="182"/>
        <v/>
      </c>
      <c r="HE25" s="1064" t="str">
        <f t="shared" si="183"/>
        <v/>
      </c>
      <c r="HF25" s="1064" t="str">
        <f t="shared" si="184"/>
        <v/>
      </c>
      <c r="HG25" s="1064" t="str">
        <f t="shared" si="185"/>
        <v/>
      </c>
      <c r="HH25" s="1064" t="str">
        <f t="shared" si="186"/>
        <v/>
      </c>
      <c r="HI25" s="1064" t="str">
        <f t="shared" si="187"/>
        <v/>
      </c>
      <c r="HJ25" s="1064" t="str">
        <f t="shared" si="188"/>
        <v/>
      </c>
      <c r="HK25" s="1064" t="str">
        <f t="shared" si="189"/>
        <v/>
      </c>
      <c r="HL25" s="1064" t="str">
        <f t="shared" si="190"/>
        <v/>
      </c>
      <c r="HM25" s="1064" t="str">
        <f t="shared" si="191"/>
        <v/>
      </c>
      <c r="HN25" s="1064" t="str">
        <f t="shared" si="192"/>
        <v/>
      </c>
      <c r="HO25" s="1064" t="str">
        <f t="shared" si="193"/>
        <v/>
      </c>
      <c r="HP25" s="1064" t="str">
        <f t="shared" si="194"/>
        <v/>
      </c>
      <c r="HQ25" s="1064" t="str">
        <f t="shared" si="195"/>
        <v/>
      </c>
      <c r="HR25" s="1064" t="str">
        <f t="shared" si="196"/>
        <v/>
      </c>
      <c r="HS25" s="1064" t="str">
        <f t="shared" si="197"/>
        <v/>
      </c>
      <c r="HT25" s="1064" t="str">
        <f t="shared" si="198"/>
        <v/>
      </c>
      <c r="HU25" s="1064" t="str">
        <f t="shared" si="199"/>
        <v/>
      </c>
      <c r="HV25" s="1064" t="str">
        <f t="shared" si="200"/>
        <v/>
      </c>
      <c r="HW25" s="1064" t="str">
        <f t="shared" si="201"/>
        <v/>
      </c>
      <c r="HX25" s="1064" t="str">
        <f t="shared" si="202"/>
        <v/>
      </c>
      <c r="HY25" s="1097" t="str">
        <f t="shared" si="203"/>
        <v/>
      </c>
      <c r="HZ25" s="1097" t="str">
        <f t="shared" si="204"/>
        <v/>
      </c>
      <c r="IA25" s="1097" t="str">
        <f t="shared" si="205"/>
        <v/>
      </c>
      <c r="IB25" s="1097" t="str">
        <f t="shared" si="206"/>
        <v/>
      </c>
      <c r="IC25" s="1097" t="str">
        <f t="shared" si="207"/>
        <v/>
      </c>
      <c r="ID25" s="1097" t="str">
        <f t="shared" si="208"/>
        <v/>
      </c>
      <c r="IE25" s="1097" t="str">
        <f t="shared" si="209"/>
        <v/>
      </c>
      <c r="IF25" s="1097" t="str">
        <f t="shared" si="210"/>
        <v/>
      </c>
      <c r="IG25" s="1097" t="str">
        <f t="shared" si="211"/>
        <v/>
      </c>
      <c r="IH25" s="1097" t="str">
        <f t="shared" si="212"/>
        <v/>
      </c>
      <c r="II25" s="1097" t="str">
        <f t="shared" si="213"/>
        <v/>
      </c>
      <c r="IJ25" s="1097" t="str">
        <f t="shared" si="214"/>
        <v/>
      </c>
      <c r="IK25" s="1097" t="str">
        <f t="shared" si="215"/>
        <v/>
      </c>
      <c r="IL25" s="1097" t="str">
        <f t="shared" si="216"/>
        <v/>
      </c>
      <c r="IM25" s="1097" t="str">
        <f t="shared" si="217"/>
        <v/>
      </c>
      <c r="IN25" s="1097" t="str">
        <f t="shared" si="218"/>
        <v/>
      </c>
      <c r="IO25" s="1097" t="str">
        <f t="shared" si="219"/>
        <v/>
      </c>
      <c r="IP25" s="1097" t="str">
        <f t="shared" si="220"/>
        <v/>
      </c>
      <c r="IQ25" s="1097" t="str">
        <f t="shared" si="221"/>
        <v/>
      </c>
      <c r="IR25" s="1097" t="str">
        <f t="shared" si="222"/>
        <v/>
      </c>
      <c r="IS25" s="1097" t="str">
        <f t="shared" si="223"/>
        <v/>
      </c>
      <c r="IT25" s="1097" t="str">
        <f t="shared" si="224"/>
        <v/>
      </c>
      <c r="IU25" s="1097" t="str">
        <f t="shared" si="225"/>
        <v/>
      </c>
      <c r="IV25" s="1097" t="str">
        <f t="shared" si="226"/>
        <v/>
      </c>
      <c r="IW25" s="1097" t="str">
        <f t="shared" si="227"/>
        <v/>
      </c>
      <c r="IX25" s="1097" t="str">
        <f t="shared" si="228"/>
        <v/>
      </c>
      <c r="IY25" s="1097" t="str">
        <f t="shared" si="229"/>
        <v/>
      </c>
      <c r="IZ25" s="1097" t="str">
        <f t="shared" si="230"/>
        <v/>
      </c>
      <c r="JA25" s="1097" t="str">
        <f t="shared" si="231"/>
        <v/>
      </c>
      <c r="JB25" s="1097" t="str">
        <f t="shared" si="232"/>
        <v/>
      </c>
      <c r="JC25" s="1097" t="str">
        <f t="shared" si="233"/>
        <v/>
      </c>
      <c r="JD25" s="1097" t="str">
        <f t="shared" si="234"/>
        <v/>
      </c>
      <c r="JE25" s="1097" t="str">
        <f t="shared" si="235"/>
        <v/>
      </c>
      <c r="JF25" s="1097" t="str">
        <f t="shared" si="236"/>
        <v/>
      </c>
      <c r="JG25" s="1097" t="str">
        <f t="shared" si="237"/>
        <v/>
      </c>
      <c r="JH25" s="1097" t="str">
        <f t="shared" si="238"/>
        <v/>
      </c>
      <c r="JI25" s="1097" t="str">
        <f t="shared" si="239"/>
        <v/>
      </c>
      <c r="JJ25" s="1097" t="str">
        <f t="shared" si="240"/>
        <v/>
      </c>
      <c r="JK25" s="1097" t="str">
        <f t="shared" si="241"/>
        <v/>
      </c>
      <c r="JL25" s="1097" t="str">
        <f t="shared" si="242"/>
        <v/>
      </c>
      <c r="JM25" s="1097" t="str">
        <f t="shared" si="243"/>
        <v/>
      </c>
      <c r="JN25" s="1097" t="str">
        <f t="shared" si="244"/>
        <v/>
      </c>
      <c r="JO25" s="1097" t="str">
        <f t="shared" si="245"/>
        <v/>
      </c>
      <c r="JP25" s="1097" t="str">
        <f t="shared" si="246"/>
        <v/>
      </c>
      <c r="JQ25" s="1097" t="str">
        <f t="shared" si="247"/>
        <v/>
      </c>
      <c r="JR25" s="1097" t="str">
        <f t="shared" si="248"/>
        <v/>
      </c>
      <c r="JS25" s="1097" t="str">
        <f t="shared" si="249"/>
        <v/>
      </c>
      <c r="JT25" s="1097" t="str">
        <f t="shared" si="250"/>
        <v/>
      </c>
      <c r="JU25" s="1097" t="str">
        <f t="shared" si="251"/>
        <v/>
      </c>
      <c r="JV25" s="1097" t="str">
        <f t="shared" si="252"/>
        <v/>
      </c>
      <c r="JW25" s="1097" t="str">
        <f t="shared" si="253"/>
        <v/>
      </c>
      <c r="JX25" s="1097" t="str">
        <f t="shared" si="254"/>
        <v/>
      </c>
      <c r="JY25" s="1097" t="str">
        <f t="shared" si="255"/>
        <v/>
      </c>
      <c r="JZ25" s="1097" t="str">
        <f t="shared" si="256"/>
        <v/>
      </c>
      <c r="KA25" s="1097" t="str">
        <f t="shared" si="257"/>
        <v/>
      </c>
      <c r="KB25" s="1097" t="str">
        <f t="shared" si="258"/>
        <v/>
      </c>
      <c r="KC25" s="1097" t="str">
        <f t="shared" si="259"/>
        <v/>
      </c>
      <c r="KD25" s="1097" t="str">
        <f t="shared" si="260"/>
        <v/>
      </c>
      <c r="KE25" s="1097" t="str">
        <f t="shared" si="261"/>
        <v/>
      </c>
      <c r="KF25" s="1097" t="str">
        <f t="shared" si="262"/>
        <v/>
      </c>
      <c r="KG25" s="1097" t="str">
        <f t="shared" si="263"/>
        <v/>
      </c>
      <c r="KH25" s="1097" t="str">
        <f t="shared" si="264"/>
        <v/>
      </c>
      <c r="KI25" s="1097" t="str">
        <f t="shared" si="265"/>
        <v/>
      </c>
      <c r="KJ25" s="1097" t="str">
        <f t="shared" si="266"/>
        <v/>
      </c>
      <c r="KK25" s="1097" t="str">
        <f t="shared" si="267"/>
        <v/>
      </c>
      <c r="KL25" s="1097" t="str">
        <f t="shared" si="268"/>
        <v/>
      </c>
      <c r="KM25" s="1097" t="str">
        <f t="shared" si="269"/>
        <v/>
      </c>
      <c r="KN25" s="1097" t="str">
        <f t="shared" si="270"/>
        <v/>
      </c>
      <c r="KO25" s="1097" t="str">
        <f t="shared" si="271"/>
        <v/>
      </c>
      <c r="KP25" s="1097" t="str">
        <f t="shared" si="272"/>
        <v/>
      </c>
      <c r="KQ25" s="1097" t="str">
        <f t="shared" si="273"/>
        <v/>
      </c>
      <c r="KR25" s="1097" t="str">
        <f t="shared" si="274"/>
        <v/>
      </c>
      <c r="KS25" s="1097" t="str">
        <f t="shared" si="275"/>
        <v/>
      </c>
      <c r="KT25" s="1097" t="str">
        <f t="shared" si="276"/>
        <v/>
      </c>
      <c r="KU25" s="1097" t="str">
        <f t="shared" si="277"/>
        <v/>
      </c>
      <c r="KV25" s="1097" t="str">
        <f t="shared" si="278"/>
        <v/>
      </c>
      <c r="KW25" s="1097" t="str">
        <f t="shared" si="279"/>
        <v/>
      </c>
      <c r="KX25" s="1097" t="str">
        <f t="shared" si="280"/>
        <v/>
      </c>
      <c r="KY25" s="1097" t="str">
        <f t="shared" si="281"/>
        <v/>
      </c>
      <c r="KZ25" s="1097" t="str">
        <f t="shared" si="282"/>
        <v/>
      </c>
      <c r="LA25" s="1097" t="str">
        <f t="shared" si="283"/>
        <v/>
      </c>
      <c r="LB25" s="1097" t="str">
        <f t="shared" si="284"/>
        <v/>
      </c>
      <c r="LC25" s="1097" t="str">
        <f t="shared" si="285"/>
        <v/>
      </c>
      <c r="LD25" s="1097" t="str">
        <f t="shared" si="286"/>
        <v/>
      </c>
      <c r="LE25" s="1097" t="str">
        <f t="shared" si="287"/>
        <v/>
      </c>
      <c r="LF25" s="1098" t="str">
        <f t="shared" si="288"/>
        <v/>
      </c>
      <c r="LG25" s="1098" t="str">
        <f t="shared" si="289"/>
        <v/>
      </c>
      <c r="LH25" s="1098" t="str">
        <f t="shared" si="290"/>
        <v/>
      </c>
      <c r="LI25" s="1098" t="str">
        <f t="shared" si="291"/>
        <v/>
      </c>
      <c r="LJ25" s="1098" t="str">
        <f t="shared" si="292"/>
        <v/>
      </c>
      <c r="LK25" s="1064" t="str">
        <f t="shared" si="293"/>
        <v/>
      </c>
      <c r="LL25" s="1064" t="str">
        <f t="shared" si="294"/>
        <v/>
      </c>
      <c r="LM25" s="1064" t="str">
        <f t="shared" si="295"/>
        <v/>
      </c>
      <c r="LN25" s="1064" t="str">
        <f t="shared" si="296"/>
        <v/>
      </c>
      <c r="LO25" s="1064" t="str">
        <f t="shared" si="297"/>
        <v/>
      </c>
      <c r="LP25" s="1064" t="str">
        <f t="shared" si="298"/>
        <v/>
      </c>
      <c r="LQ25" s="1064" t="str">
        <f t="shared" si="299"/>
        <v/>
      </c>
      <c r="LR25" s="1064" t="str">
        <f t="shared" si="300"/>
        <v/>
      </c>
      <c r="LS25" s="1064" t="str">
        <f t="shared" si="301"/>
        <v/>
      </c>
      <c r="LT25" s="1064" t="str">
        <f t="shared" si="302"/>
        <v/>
      </c>
      <c r="LU25" s="1064" t="str">
        <f t="shared" si="303"/>
        <v/>
      </c>
      <c r="LV25" s="1064" t="str">
        <f t="shared" si="304"/>
        <v/>
      </c>
      <c r="LW25" s="1064" t="str">
        <f t="shared" si="305"/>
        <v/>
      </c>
      <c r="LX25" s="1064" t="str">
        <f t="shared" si="306"/>
        <v/>
      </c>
      <c r="LY25" s="1064" t="str">
        <f t="shared" si="307"/>
        <v/>
      </c>
      <c r="LZ25" s="1064" t="str">
        <f t="shared" si="308"/>
        <v/>
      </c>
      <c r="MA25" s="1064" t="str">
        <f t="shared" si="309"/>
        <v/>
      </c>
      <c r="MB25" s="1064" t="str">
        <f t="shared" si="310"/>
        <v/>
      </c>
      <c r="MC25" s="1064" t="str">
        <f t="shared" si="311"/>
        <v/>
      </c>
      <c r="MD25" s="1064" t="str">
        <f t="shared" si="312"/>
        <v/>
      </c>
      <c r="ME25" s="1081">
        <f t="shared" si="324"/>
        <v>0</v>
      </c>
      <c r="MF25" s="1081">
        <f t="shared" si="325"/>
        <v>0</v>
      </c>
      <c r="MG25" s="1081">
        <f t="shared" si="326"/>
        <v>0</v>
      </c>
      <c r="MH25" s="1081">
        <f t="shared" si="327"/>
        <v>0</v>
      </c>
      <c r="MI25" s="1081">
        <f t="shared" si="328"/>
        <v>0</v>
      </c>
      <c r="MJ25" s="1081">
        <f t="shared" si="329"/>
        <v>0</v>
      </c>
      <c r="MK25" s="1081">
        <f t="shared" si="330"/>
        <v>0</v>
      </c>
      <c r="ML25" s="1081">
        <f t="shared" si="331"/>
        <v>0</v>
      </c>
      <c r="MM25" s="1081">
        <f t="shared" si="332"/>
        <v>0</v>
      </c>
      <c r="MN25" s="1081">
        <f t="shared" si="333"/>
        <v>0</v>
      </c>
      <c r="MO25" s="1081">
        <f t="shared" si="334"/>
        <v>0</v>
      </c>
      <c r="MP25" s="1081">
        <f t="shared" si="335"/>
        <v>0</v>
      </c>
      <c r="MQ25" s="1081">
        <f t="shared" si="336"/>
        <v>0</v>
      </c>
      <c r="MR25" s="1081">
        <f t="shared" si="337"/>
        <v>0</v>
      </c>
      <c r="MS25" s="1081">
        <f t="shared" si="338"/>
        <v>0</v>
      </c>
    </row>
    <row r="26" spans="1:357" ht="12" customHeight="1">
      <c r="A26" s="1088" t="str">
        <f t="shared" si="0"/>
        <v/>
      </c>
      <c r="B26" s="44"/>
      <c r="C26" s="41"/>
      <c r="D26" s="42"/>
      <c r="E26" s="43"/>
      <c r="F26" s="43"/>
      <c r="G26" s="43"/>
      <c r="H26" s="43"/>
      <c r="I26" s="1100">
        <f>IF(C26="",0,HLOOKUP(C26,'Part V-Utility Allowances'!$I$11:$M$22,12))</f>
        <v>0</v>
      </c>
      <c r="J26" s="810"/>
      <c r="K26" s="512">
        <f t="shared" si="1"/>
        <v>0</v>
      </c>
      <c r="L26" s="512">
        <f t="shared" si="2"/>
        <v>0</v>
      </c>
      <c r="M26" s="1101"/>
      <c r="N26" s="1101"/>
      <c r="O26" s="1101"/>
      <c r="P26" s="1102"/>
      <c r="Q26" s="1103" t="str">
        <f t="shared" si="3"/>
        <v/>
      </c>
      <c r="R26" s="1104" t="str">
        <f>IF(H26="","",IF(C26="Efficiency",Q26/($O$6*VLOOKUP(0,'DCA Underwriting Assumptions'!$J$146:$K$151,2,FALSE)),Q26/($O$6*VLOOKUP(C26,'DCA Underwriting Assumptions'!$J$146:$K$151,2,FALSE))))</f>
        <v/>
      </c>
      <c r="S26" s="1105"/>
      <c r="T26" s="1106"/>
      <c r="U26" s="2314"/>
      <c r="V26" s="2316"/>
      <c r="W26" s="1064" t="str">
        <f t="shared" si="4"/>
        <v/>
      </c>
      <c r="X26" s="1064" t="str">
        <f t="shared" si="5"/>
        <v/>
      </c>
      <c r="Y26" s="1064" t="str">
        <f t="shared" si="6"/>
        <v/>
      </c>
      <c r="Z26" s="1064" t="str">
        <f t="shared" si="7"/>
        <v/>
      </c>
      <c r="AA26" s="1064" t="str">
        <f t="shared" si="8"/>
        <v/>
      </c>
      <c r="AB26" s="1064" t="str">
        <f t="shared" si="9"/>
        <v/>
      </c>
      <c r="AC26" s="1064" t="str">
        <f t="shared" si="10"/>
        <v/>
      </c>
      <c r="AD26" s="1064" t="str">
        <f t="shared" si="11"/>
        <v/>
      </c>
      <c r="AE26" s="1064" t="str">
        <f t="shared" si="12"/>
        <v/>
      </c>
      <c r="AF26" s="1064" t="str">
        <f t="shared" si="13"/>
        <v/>
      </c>
      <c r="AG26" s="1064" t="str">
        <f t="shared" si="14"/>
        <v/>
      </c>
      <c r="AH26" s="1064" t="str">
        <f t="shared" si="15"/>
        <v/>
      </c>
      <c r="AI26" s="1064" t="str">
        <f t="shared" si="16"/>
        <v/>
      </c>
      <c r="AJ26" s="1064" t="str">
        <f t="shared" si="17"/>
        <v/>
      </c>
      <c r="AK26" s="1064" t="str">
        <f t="shared" si="18"/>
        <v/>
      </c>
      <c r="AL26" s="1064" t="str">
        <f t="shared" si="19"/>
        <v/>
      </c>
      <c r="AM26" s="1064" t="str">
        <f t="shared" si="20"/>
        <v/>
      </c>
      <c r="AN26" s="1064" t="str">
        <f t="shared" si="21"/>
        <v/>
      </c>
      <c r="AO26" s="1064" t="str">
        <f t="shared" si="22"/>
        <v/>
      </c>
      <c r="AP26" s="1064" t="str">
        <f t="shared" si="23"/>
        <v/>
      </c>
      <c r="AQ26" s="1064" t="str">
        <f t="shared" si="24"/>
        <v/>
      </c>
      <c r="AR26" s="1064" t="str">
        <f t="shared" si="25"/>
        <v/>
      </c>
      <c r="AS26" s="1064" t="str">
        <f t="shared" si="26"/>
        <v/>
      </c>
      <c r="AT26" s="1064" t="str">
        <f t="shared" si="27"/>
        <v/>
      </c>
      <c r="AU26" s="1064" t="str">
        <f t="shared" si="28"/>
        <v/>
      </c>
      <c r="AV26" s="1064" t="str">
        <f t="shared" si="29"/>
        <v/>
      </c>
      <c r="AW26" s="1064" t="str">
        <f t="shared" si="30"/>
        <v/>
      </c>
      <c r="AX26" s="1064" t="str">
        <f t="shared" si="31"/>
        <v/>
      </c>
      <c r="AY26" s="1064" t="str">
        <f t="shared" si="32"/>
        <v/>
      </c>
      <c r="AZ26" s="1064" t="str">
        <f t="shared" si="33"/>
        <v/>
      </c>
      <c r="BA26" s="1064" t="str">
        <f t="shared" si="34"/>
        <v/>
      </c>
      <c r="BB26" s="1064" t="str">
        <f t="shared" si="35"/>
        <v/>
      </c>
      <c r="BC26" s="1064" t="str">
        <f t="shared" si="36"/>
        <v/>
      </c>
      <c r="BD26" s="1064" t="str">
        <f t="shared" si="37"/>
        <v/>
      </c>
      <c r="BE26" s="1064" t="str">
        <f t="shared" si="38"/>
        <v/>
      </c>
      <c r="BF26" s="1064" t="str">
        <f t="shared" si="39"/>
        <v/>
      </c>
      <c r="BG26" s="1064" t="str">
        <f t="shared" si="40"/>
        <v/>
      </c>
      <c r="BH26" s="1064" t="str">
        <f t="shared" si="41"/>
        <v/>
      </c>
      <c r="BI26" s="1064" t="str">
        <f t="shared" si="42"/>
        <v/>
      </c>
      <c r="BJ26" s="1064" t="str">
        <f t="shared" si="43"/>
        <v/>
      </c>
      <c r="BK26" s="1064" t="str">
        <f t="shared" si="44"/>
        <v/>
      </c>
      <c r="BL26" s="1064" t="str">
        <f t="shared" si="45"/>
        <v/>
      </c>
      <c r="BM26" s="1064" t="str">
        <f t="shared" si="46"/>
        <v/>
      </c>
      <c r="BN26" s="1064" t="str">
        <f t="shared" si="47"/>
        <v/>
      </c>
      <c r="BO26" s="1064" t="str">
        <f t="shared" si="48"/>
        <v/>
      </c>
      <c r="BP26" s="1064" t="str">
        <f t="shared" si="49"/>
        <v/>
      </c>
      <c r="BQ26" s="1064" t="str">
        <f t="shared" si="50"/>
        <v/>
      </c>
      <c r="BR26" s="1064" t="str">
        <f t="shared" si="51"/>
        <v/>
      </c>
      <c r="BS26" s="1064" t="str">
        <f t="shared" si="52"/>
        <v/>
      </c>
      <c r="BT26" s="1064" t="str">
        <f t="shared" si="53"/>
        <v/>
      </c>
      <c r="BU26" s="1064" t="str">
        <f t="shared" si="54"/>
        <v/>
      </c>
      <c r="BV26" s="1064" t="str">
        <f t="shared" si="55"/>
        <v/>
      </c>
      <c r="BW26" s="1064" t="str">
        <f t="shared" si="56"/>
        <v/>
      </c>
      <c r="BX26" s="1064" t="str">
        <f t="shared" si="57"/>
        <v/>
      </c>
      <c r="BY26" s="1064" t="str">
        <f t="shared" si="58"/>
        <v/>
      </c>
      <c r="BZ26" s="1064" t="str">
        <f t="shared" si="59"/>
        <v/>
      </c>
      <c r="CA26" s="1064" t="str">
        <f t="shared" si="60"/>
        <v/>
      </c>
      <c r="CB26" s="1064" t="str">
        <f t="shared" si="61"/>
        <v/>
      </c>
      <c r="CC26" s="1064" t="str">
        <f t="shared" si="62"/>
        <v/>
      </c>
      <c r="CD26" s="1064" t="str">
        <f t="shared" si="63"/>
        <v/>
      </c>
      <c r="CE26" s="1064" t="str">
        <f t="shared" si="64"/>
        <v/>
      </c>
      <c r="CF26" s="1064" t="str">
        <f t="shared" si="65"/>
        <v/>
      </c>
      <c r="CG26" s="1064" t="str">
        <f t="shared" si="66"/>
        <v/>
      </c>
      <c r="CH26" s="1064" t="str">
        <f t="shared" si="67"/>
        <v/>
      </c>
      <c r="CI26" s="1064" t="str">
        <f t="shared" si="68"/>
        <v/>
      </c>
      <c r="CJ26" s="1064" t="str">
        <f t="shared" si="69"/>
        <v/>
      </c>
      <c r="CK26" s="1064" t="str">
        <f t="shared" si="70"/>
        <v/>
      </c>
      <c r="CL26" s="1064" t="str">
        <f t="shared" si="71"/>
        <v/>
      </c>
      <c r="CM26" s="1064" t="str">
        <f t="shared" si="72"/>
        <v/>
      </c>
      <c r="CN26" s="1064" t="str">
        <f t="shared" si="73"/>
        <v/>
      </c>
      <c r="CO26" s="1064" t="str">
        <f t="shared" si="74"/>
        <v/>
      </c>
      <c r="CP26" s="1064" t="str">
        <f t="shared" si="75"/>
        <v/>
      </c>
      <c r="CQ26" s="1064" t="str">
        <f t="shared" si="76"/>
        <v/>
      </c>
      <c r="CR26" s="1064" t="str">
        <f t="shared" si="77"/>
        <v/>
      </c>
      <c r="CS26" s="1064" t="str">
        <f t="shared" si="78"/>
        <v/>
      </c>
      <c r="CT26" s="1064" t="str">
        <f t="shared" si="79"/>
        <v/>
      </c>
      <c r="CU26" s="1064" t="str">
        <f t="shared" si="80"/>
        <v/>
      </c>
      <c r="CV26" s="1064" t="str">
        <f t="shared" si="81"/>
        <v/>
      </c>
      <c r="CW26" s="1064" t="str">
        <f t="shared" si="82"/>
        <v/>
      </c>
      <c r="CX26" s="1064" t="str">
        <f t="shared" si="83"/>
        <v/>
      </c>
      <c r="CY26" s="1064" t="str">
        <f t="shared" si="84"/>
        <v/>
      </c>
      <c r="CZ26" s="1064" t="str">
        <f t="shared" si="85"/>
        <v/>
      </c>
      <c r="DA26" s="1064" t="str">
        <f t="shared" si="86"/>
        <v/>
      </c>
      <c r="DB26" s="1064" t="str">
        <f t="shared" si="87"/>
        <v/>
      </c>
      <c r="DC26" s="1064" t="str">
        <f t="shared" si="88"/>
        <v/>
      </c>
      <c r="DD26" s="1064" t="str">
        <f t="shared" si="89"/>
        <v/>
      </c>
      <c r="DE26" s="1064" t="str">
        <f t="shared" si="90"/>
        <v/>
      </c>
      <c r="DF26" s="1064" t="str">
        <f t="shared" si="91"/>
        <v/>
      </c>
      <c r="DG26" s="1064" t="str">
        <f t="shared" si="92"/>
        <v/>
      </c>
      <c r="DH26" s="1064" t="str">
        <f t="shared" si="93"/>
        <v/>
      </c>
      <c r="DI26" s="1064" t="str">
        <f t="shared" si="94"/>
        <v/>
      </c>
      <c r="DJ26" s="1064" t="str">
        <f t="shared" si="95"/>
        <v/>
      </c>
      <c r="DK26" s="1064" t="str">
        <f t="shared" si="96"/>
        <v/>
      </c>
      <c r="DL26" s="1064" t="str">
        <f t="shared" si="97"/>
        <v/>
      </c>
      <c r="DM26" s="1064" t="str">
        <f t="shared" si="98"/>
        <v/>
      </c>
      <c r="DN26" s="1064" t="str">
        <f t="shared" si="99"/>
        <v/>
      </c>
      <c r="DO26" s="1064" t="str">
        <f t="shared" si="100"/>
        <v/>
      </c>
      <c r="DP26" s="1064" t="str">
        <f t="shared" si="101"/>
        <v/>
      </c>
      <c r="DQ26" s="1064" t="str">
        <f t="shared" si="102"/>
        <v/>
      </c>
      <c r="DR26" s="1064" t="str">
        <f t="shared" si="103"/>
        <v/>
      </c>
      <c r="DS26" s="1064" t="str">
        <f t="shared" si="104"/>
        <v/>
      </c>
      <c r="DT26" s="1064" t="str">
        <f t="shared" si="105"/>
        <v/>
      </c>
      <c r="DU26" s="1064" t="str">
        <f t="shared" si="106"/>
        <v/>
      </c>
      <c r="DV26" s="1064" t="str">
        <f t="shared" si="107"/>
        <v/>
      </c>
      <c r="DW26" s="1064" t="str">
        <f t="shared" si="108"/>
        <v/>
      </c>
      <c r="DX26" s="1064" t="str">
        <f t="shared" si="109"/>
        <v/>
      </c>
      <c r="DY26" s="1064" t="str">
        <f t="shared" si="110"/>
        <v/>
      </c>
      <c r="DZ26" s="1064" t="str">
        <f t="shared" si="111"/>
        <v/>
      </c>
      <c r="EA26" s="1064" t="str">
        <f t="shared" si="112"/>
        <v/>
      </c>
      <c r="EB26" s="1064" t="str">
        <f t="shared" si="113"/>
        <v/>
      </c>
      <c r="EC26" s="1064" t="str">
        <f t="shared" si="114"/>
        <v/>
      </c>
      <c r="ED26" s="1064" t="str">
        <f t="shared" si="115"/>
        <v/>
      </c>
      <c r="EE26" s="1064" t="str">
        <f t="shared" si="116"/>
        <v/>
      </c>
      <c r="EF26" s="1064" t="str">
        <f t="shared" si="117"/>
        <v/>
      </c>
      <c r="EG26" s="1064" t="str">
        <f t="shared" si="313"/>
        <v/>
      </c>
      <c r="EH26" s="1064" t="str">
        <f t="shared" si="118"/>
        <v/>
      </c>
      <c r="EI26" s="1064" t="str">
        <f t="shared" si="119"/>
        <v/>
      </c>
      <c r="EJ26" s="1064" t="str">
        <f t="shared" si="120"/>
        <v/>
      </c>
      <c r="EK26" s="1064" t="str">
        <f t="shared" si="121"/>
        <v/>
      </c>
      <c r="EL26" s="1064" t="str">
        <f t="shared" si="122"/>
        <v/>
      </c>
      <c r="EM26" s="1064" t="str">
        <f t="shared" si="123"/>
        <v/>
      </c>
      <c r="EN26" s="1064" t="str">
        <f t="shared" si="124"/>
        <v/>
      </c>
      <c r="EO26" s="1064" t="str">
        <f t="shared" si="125"/>
        <v/>
      </c>
      <c r="EP26" s="1064" t="str">
        <f t="shared" si="126"/>
        <v/>
      </c>
      <c r="EQ26" s="1064" t="str">
        <f t="shared" si="127"/>
        <v/>
      </c>
      <c r="ER26" s="1064" t="str">
        <f t="shared" si="128"/>
        <v/>
      </c>
      <c r="ES26" s="1064" t="str">
        <f t="shared" si="129"/>
        <v/>
      </c>
      <c r="ET26" s="1064" t="str">
        <f t="shared" si="130"/>
        <v/>
      </c>
      <c r="EU26" s="1064" t="str">
        <f t="shared" si="131"/>
        <v/>
      </c>
      <c r="EV26" s="1064" t="str">
        <f t="shared" si="132"/>
        <v/>
      </c>
      <c r="EW26" s="1064" t="str">
        <f t="shared" si="314"/>
        <v/>
      </c>
      <c r="EX26" s="1064" t="str">
        <f t="shared" si="315"/>
        <v/>
      </c>
      <c r="EY26" s="1064" t="str">
        <f t="shared" si="316"/>
        <v/>
      </c>
      <c r="EZ26" s="1064" t="str">
        <f t="shared" si="317"/>
        <v/>
      </c>
      <c r="FA26" s="1064" t="str">
        <f t="shared" si="318"/>
        <v/>
      </c>
      <c r="FB26" s="1064" t="str">
        <f t="shared" si="133"/>
        <v/>
      </c>
      <c r="FC26" s="1064" t="str">
        <f t="shared" si="134"/>
        <v/>
      </c>
      <c r="FD26" s="1064" t="str">
        <f t="shared" si="135"/>
        <v/>
      </c>
      <c r="FE26" s="1064" t="str">
        <f t="shared" si="136"/>
        <v/>
      </c>
      <c r="FF26" s="1064" t="str">
        <f t="shared" si="137"/>
        <v/>
      </c>
      <c r="FG26" s="1064" t="str">
        <f t="shared" si="319"/>
        <v/>
      </c>
      <c r="FH26" s="1064" t="str">
        <f t="shared" si="320"/>
        <v/>
      </c>
      <c r="FI26" s="1064" t="str">
        <f t="shared" si="321"/>
        <v/>
      </c>
      <c r="FJ26" s="1064" t="str">
        <f t="shared" si="322"/>
        <v/>
      </c>
      <c r="FK26" s="1064" t="str">
        <f t="shared" si="323"/>
        <v/>
      </c>
      <c r="FL26" s="1064" t="str">
        <f t="shared" si="138"/>
        <v/>
      </c>
      <c r="FM26" s="1064" t="str">
        <f t="shared" si="139"/>
        <v/>
      </c>
      <c r="FN26" s="1064" t="str">
        <f t="shared" si="140"/>
        <v/>
      </c>
      <c r="FO26" s="1064" t="str">
        <f t="shared" si="141"/>
        <v/>
      </c>
      <c r="FP26" s="1064" t="str">
        <f t="shared" si="142"/>
        <v/>
      </c>
      <c r="FQ26" s="1064" t="str">
        <f t="shared" si="143"/>
        <v/>
      </c>
      <c r="FR26" s="1064" t="str">
        <f t="shared" si="144"/>
        <v/>
      </c>
      <c r="FS26" s="1064" t="str">
        <f t="shared" si="145"/>
        <v/>
      </c>
      <c r="FT26" s="1064" t="str">
        <f t="shared" si="146"/>
        <v/>
      </c>
      <c r="FU26" s="1064" t="str">
        <f t="shared" si="147"/>
        <v/>
      </c>
      <c r="FV26" s="1064" t="str">
        <f t="shared" si="148"/>
        <v/>
      </c>
      <c r="FW26" s="1064" t="str">
        <f t="shared" si="149"/>
        <v/>
      </c>
      <c r="FX26" s="1064" t="str">
        <f t="shared" si="150"/>
        <v/>
      </c>
      <c r="FY26" s="1064" t="str">
        <f t="shared" si="151"/>
        <v/>
      </c>
      <c r="FZ26" s="1064" t="str">
        <f t="shared" si="152"/>
        <v/>
      </c>
      <c r="GA26" s="1064" t="str">
        <f t="shared" si="153"/>
        <v/>
      </c>
      <c r="GB26" s="1064" t="str">
        <f t="shared" si="154"/>
        <v/>
      </c>
      <c r="GC26" s="1064" t="str">
        <f t="shared" si="155"/>
        <v/>
      </c>
      <c r="GD26" s="1064" t="str">
        <f t="shared" si="156"/>
        <v/>
      </c>
      <c r="GE26" s="1064" t="str">
        <f t="shared" si="157"/>
        <v/>
      </c>
      <c r="GF26" s="1064" t="str">
        <f t="shared" si="158"/>
        <v/>
      </c>
      <c r="GG26" s="1064" t="str">
        <f t="shared" si="159"/>
        <v/>
      </c>
      <c r="GH26" s="1064" t="str">
        <f t="shared" si="160"/>
        <v/>
      </c>
      <c r="GI26" s="1064" t="str">
        <f t="shared" si="161"/>
        <v/>
      </c>
      <c r="GJ26" s="1064" t="str">
        <f t="shared" si="162"/>
        <v/>
      </c>
      <c r="GK26" s="1064" t="str">
        <f t="shared" si="163"/>
        <v/>
      </c>
      <c r="GL26" s="1064" t="str">
        <f t="shared" si="164"/>
        <v/>
      </c>
      <c r="GM26" s="1064" t="str">
        <f t="shared" si="165"/>
        <v/>
      </c>
      <c r="GN26" s="1064" t="str">
        <f t="shared" si="166"/>
        <v/>
      </c>
      <c r="GO26" s="1064" t="str">
        <f t="shared" si="167"/>
        <v/>
      </c>
      <c r="GP26" s="1064" t="str">
        <f t="shared" si="168"/>
        <v/>
      </c>
      <c r="GQ26" s="1064" t="str">
        <f t="shared" si="169"/>
        <v/>
      </c>
      <c r="GR26" s="1064" t="str">
        <f t="shared" si="170"/>
        <v/>
      </c>
      <c r="GS26" s="1064" t="str">
        <f t="shared" si="171"/>
        <v/>
      </c>
      <c r="GT26" s="1064" t="str">
        <f t="shared" si="172"/>
        <v/>
      </c>
      <c r="GU26" s="1064" t="str">
        <f t="shared" si="173"/>
        <v/>
      </c>
      <c r="GV26" s="1064" t="str">
        <f t="shared" si="174"/>
        <v/>
      </c>
      <c r="GW26" s="1064" t="str">
        <f t="shared" si="175"/>
        <v/>
      </c>
      <c r="GX26" s="1064" t="str">
        <f t="shared" si="176"/>
        <v/>
      </c>
      <c r="GY26" s="1064" t="str">
        <f t="shared" si="177"/>
        <v/>
      </c>
      <c r="GZ26" s="1064" t="str">
        <f t="shared" si="178"/>
        <v/>
      </c>
      <c r="HA26" s="1064" t="str">
        <f t="shared" si="179"/>
        <v/>
      </c>
      <c r="HB26" s="1064" t="str">
        <f t="shared" si="180"/>
        <v/>
      </c>
      <c r="HC26" s="1064" t="str">
        <f t="shared" si="181"/>
        <v/>
      </c>
      <c r="HD26" s="1064" t="str">
        <f t="shared" si="182"/>
        <v/>
      </c>
      <c r="HE26" s="1064" t="str">
        <f t="shared" si="183"/>
        <v/>
      </c>
      <c r="HF26" s="1064" t="str">
        <f t="shared" si="184"/>
        <v/>
      </c>
      <c r="HG26" s="1064" t="str">
        <f t="shared" si="185"/>
        <v/>
      </c>
      <c r="HH26" s="1064" t="str">
        <f t="shared" si="186"/>
        <v/>
      </c>
      <c r="HI26" s="1064" t="str">
        <f t="shared" si="187"/>
        <v/>
      </c>
      <c r="HJ26" s="1064" t="str">
        <f t="shared" si="188"/>
        <v/>
      </c>
      <c r="HK26" s="1064" t="str">
        <f t="shared" si="189"/>
        <v/>
      </c>
      <c r="HL26" s="1064" t="str">
        <f t="shared" si="190"/>
        <v/>
      </c>
      <c r="HM26" s="1064" t="str">
        <f t="shared" si="191"/>
        <v/>
      </c>
      <c r="HN26" s="1064" t="str">
        <f t="shared" si="192"/>
        <v/>
      </c>
      <c r="HO26" s="1064" t="str">
        <f t="shared" si="193"/>
        <v/>
      </c>
      <c r="HP26" s="1064" t="str">
        <f t="shared" si="194"/>
        <v/>
      </c>
      <c r="HQ26" s="1064" t="str">
        <f t="shared" si="195"/>
        <v/>
      </c>
      <c r="HR26" s="1064" t="str">
        <f t="shared" si="196"/>
        <v/>
      </c>
      <c r="HS26" s="1064" t="str">
        <f t="shared" si="197"/>
        <v/>
      </c>
      <c r="HT26" s="1064" t="str">
        <f t="shared" si="198"/>
        <v/>
      </c>
      <c r="HU26" s="1064" t="str">
        <f t="shared" si="199"/>
        <v/>
      </c>
      <c r="HV26" s="1064" t="str">
        <f t="shared" si="200"/>
        <v/>
      </c>
      <c r="HW26" s="1064" t="str">
        <f t="shared" si="201"/>
        <v/>
      </c>
      <c r="HX26" s="1064" t="str">
        <f t="shared" si="202"/>
        <v/>
      </c>
      <c r="HY26" s="1097" t="str">
        <f t="shared" si="203"/>
        <v/>
      </c>
      <c r="HZ26" s="1097" t="str">
        <f t="shared" si="204"/>
        <v/>
      </c>
      <c r="IA26" s="1097" t="str">
        <f t="shared" si="205"/>
        <v/>
      </c>
      <c r="IB26" s="1097" t="str">
        <f t="shared" si="206"/>
        <v/>
      </c>
      <c r="IC26" s="1097" t="str">
        <f t="shared" si="207"/>
        <v/>
      </c>
      <c r="ID26" s="1097" t="str">
        <f t="shared" si="208"/>
        <v/>
      </c>
      <c r="IE26" s="1097" t="str">
        <f t="shared" si="209"/>
        <v/>
      </c>
      <c r="IF26" s="1097" t="str">
        <f t="shared" si="210"/>
        <v/>
      </c>
      <c r="IG26" s="1097" t="str">
        <f t="shared" si="211"/>
        <v/>
      </c>
      <c r="IH26" s="1097" t="str">
        <f t="shared" si="212"/>
        <v/>
      </c>
      <c r="II26" s="1097" t="str">
        <f t="shared" si="213"/>
        <v/>
      </c>
      <c r="IJ26" s="1097" t="str">
        <f t="shared" si="214"/>
        <v/>
      </c>
      <c r="IK26" s="1097" t="str">
        <f t="shared" si="215"/>
        <v/>
      </c>
      <c r="IL26" s="1097" t="str">
        <f t="shared" si="216"/>
        <v/>
      </c>
      <c r="IM26" s="1097" t="str">
        <f t="shared" si="217"/>
        <v/>
      </c>
      <c r="IN26" s="1097" t="str">
        <f t="shared" si="218"/>
        <v/>
      </c>
      <c r="IO26" s="1097" t="str">
        <f t="shared" si="219"/>
        <v/>
      </c>
      <c r="IP26" s="1097" t="str">
        <f t="shared" si="220"/>
        <v/>
      </c>
      <c r="IQ26" s="1097" t="str">
        <f t="shared" si="221"/>
        <v/>
      </c>
      <c r="IR26" s="1097" t="str">
        <f t="shared" si="222"/>
        <v/>
      </c>
      <c r="IS26" s="1097" t="str">
        <f t="shared" si="223"/>
        <v/>
      </c>
      <c r="IT26" s="1097" t="str">
        <f t="shared" si="224"/>
        <v/>
      </c>
      <c r="IU26" s="1097" t="str">
        <f t="shared" si="225"/>
        <v/>
      </c>
      <c r="IV26" s="1097" t="str">
        <f t="shared" si="226"/>
        <v/>
      </c>
      <c r="IW26" s="1097" t="str">
        <f t="shared" si="227"/>
        <v/>
      </c>
      <c r="IX26" s="1097" t="str">
        <f t="shared" si="228"/>
        <v/>
      </c>
      <c r="IY26" s="1097" t="str">
        <f t="shared" si="229"/>
        <v/>
      </c>
      <c r="IZ26" s="1097" t="str">
        <f t="shared" si="230"/>
        <v/>
      </c>
      <c r="JA26" s="1097" t="str">
        <f t="shared" si="231"/>
        <v/>
      </c>
      <c r="JB26" s="1097" t="str">
        <f t="shared" si="232"/>
        <v/>
      </c>
      <c r="JC26" s="1097" t="str">
        <f t="shared" si="233"/>
        <v/>
      </c>
      <c r="JD26" s="1097" t="str">
        <f t="shared" si="234"/>
        <v/>
      </c>
      <c r="JE26" s="1097" t="str">
        <f t="shared" si="235"/>
        <v/>
      </c>
      <c r="JF26" s="1097" t="str">
        <f t="shared" si="236"/>
        <v/>
      </c>
      <c r="JG26" s="1097" t="str">
        <f t="shared" si="237"/>
        <v/>
      </c>
      <c r="JH26" s="1097" t="str">
        <f t="shared" si="238"/>
        <v/>
      </c>
      <c r="JI26" s="1097" t="str">
        <f t="shared" si="239"/>
        <v/>
      </c>
      <c r="JJ26" s="1097" t="str">
        <f t="shared" si="240"/>
        <v/>
      </c>
      <c r="JK26" s="1097" t="str">
        <f t="shared" si="241"/>
        <v/>
      </c>
      <c r="JL26" s="1097" t="str">
        <f t="shared" si="242"/>
        <v/>
      </c>
      <c r="JM26" s="1097" t="str">
        <f t="shared" si="243"/>
        <v/>
      </c>
      <c r="JN26" s="1097" t="str">
        <f t="shared" si="244"/>
        <v/>
      </c>
      <c r="JO26" s="1097" t="str">
        <f t="shared" si="245"/>
        <v/>
      </c>
      <c r="JP26" s="1097" t="str">
        <f t="shared" si="246"/>
        <v/>
      </c>
      <c r="JQ26" s="1097" t="str">
        <f t="shared" si="247"/>
        <v/>
      </c>
      <c r="JR26" s="1097" t="str">
        <f t="shared" si="248"/>
        <v/>
      </c>
      <c r="JS26" s="1097" t="str">
        <f t="shared" si="249"/>
        <v/>
      </c>
      <c r="JT26" s="1097" t="str">
        <f t="shared" si="250"/>
        <v/>
      </c>
      <c r="JU26" s="1097" t="str">
        <f t="shared" si="251"/>
        <v/>
      </c>
      <c r="JV26" s="1097" t="str">
        <f t="shared" si="252"/>
        <v/>
      </c>
      <c r="JW26" s="1097" t="str">
        <f t="shared" si="253"/>
        <v/>
      </c>
      <c r="JX26" s="1097" t="str">
        <f t="shared" si="254"/>
        <v/>
      </c>
      <c r="JY26" s="1097" t="str">
        <f t="shared" si="255"/>
        <v/>
      </c>
      <c r="JZ26" s="1097" t="str">
        <f t="shared" si="256"/>
        <v/>
      </c>
      <c r="KA26" s="1097" t="str">
        <f t="shared" si="257"/>
        <v/>
      </c>
      <c r="KB26" s="1097" t="str">
        <f t="shared" si="258"/>
        <v/>
      </c>
      <c r="KC26" s="1097" t="str">
        <f t="shared" si="259"/>
        <v/>
      </c>
      <c r="KD26" s="1097" t="str">
        <f t="shared" si="260"/>
        <v/>
      </c>
      <c r="KE26" s="1097" t="str">
        <f t="shared" si="261"/>
        <v/>
      </c>
      <c r="KF26" s="1097" t="str">
        <f t="shared" si="262"/>
        <v/>
      </c>
      <c r="KG26" s="1097" t="str">
        <f t="shared" si="263"/>
        <v/>
      </c>
      <c r="KH26" s="1097" t="str">
        <f t="shared" si="264"/>
        <v/>
      </c>
      <c r="KI26" s="1097" t="str">
        <f t="shared" si="265"/>
        <v/>
      </c>
      <c r="KJ26" s="1097" t="str">
        <f t="shared" si="266"/>
        <v/>
      </c>
      <c r="KK26" s="1097" t="str">
        <f t="shared" si="267"/>
        <v/>
      </c>
      <c r="KL26" s="1097" t="str">
        <f t="shared" si="268"/>
        <v/>
      </c>
      <c r="KM26" s="1097" t="str">
        <f t="shared" si="269"/>
        <v/>
      </c>
      <c r="KN26" s="1097" t="str">
        <f t="shared" si="270"/>
        <v/>
      </c>
      <c r="KO26" s="1097" t="str">
        <f t="shared" si="271"/>
        <v/>
      </c>
      <c r="KP26" s="1097" t="str">
        <f t="shared" si="272"/>
        <v/>
      </c>
      <c r="KQ26" s="1097" t="str">
        <f t="shared" si="273"/>
        <v/>
      </c>
      <c r="KR26" s="1097" t="str">
        <f t="shared" si="274"/>
        <v/>
      </c>
      <c r="KS26" s="1097" t="str">
        <f t="shared" si="275"/>
        <v/>
      </c>
      <c r="KT26" s="1097" t="str">
        <f t="shared" si="276"/>
        <v/>
      </c>
      <c r="KU26" s="1097" t="str">
        <f t="shared" si="277"/>
        <v/>
      </c>
      <c r="KV26" s="1097" t="str">
        <f t="shared" si="278"/>
        <v/>
      </c>
      <c r="KW26" s="1097" t="str">
        <f t="shared" si="279"/>
        <v/>
      </c>
      <c r="KX26" s="1097" t="str">
        <f t="shared" si="280"/>
        <v/>
      </c>
      <c r="KY26" s="1097" t="str">
        <f t="shared" si="281"/>
        <v/>
      </c>
      <c r="KZ26" s="1097" t="str">
        <f t="shared" si="282"/>
        <v/>
      </c>
      <c r="LA26" s="1097" t="str">
        <f t="shared" si="283"/>
        <v/>
      </c>
      <c r="LB26" s="1097" t="str">
        <f t="shared" si="284"/>
        <v/>
      </c>
      <c r="LC26" s="1097" t="str">
        <f t="shared" si="285"/>
        <v/>
      </c>
      <c r="LD26" s="1097" t="str">
        <f t="shared" si="286"/>
        <v/>
      </c>
      <c r="LE26" s="1097" t="str">
        <f t="shared" si="287"/>
        <v/>
      </c>
      <c r="LF26" s="1098" t="str">
        <f t="shared" si="288"/>
        <v/>
      </c>
      <c r="LG26" s="1098" t="str">
        <f t="shared" si="289"/>
        <v/>
      </c>
      <c r="LH26" s="1098" t="str">
        <f t="shared" si="290"/>
        <v/>
      </c>
      <c r="LI26" s="1098" t="str">
        <f t="shared" si="291"/>
        <v/>
      </c>
      <c r="LJ26" s="1098" t="str">
        <f t="shared" si="292"/>
        <v/>
      </c>
      <c r="LK26" s="1064" t="str">
        <f t="shared" si="293"/>
        <v/>
      </c>
      <c r="LL26" s="1064" t="str">
        <f t="shared" si="294"/>
        <v/>
      </c>
      <c r="LM26" s="1064" t="str">
        <f t="shared" si="295"/>
        <v/>
      </c>
      <c r="LN26" s="1064" t="str">
        <f t="shared" si="296"/>
        <v/>
      </c>
      <c r="LO26" s="1064" t="str">
        <f t="shared" si="297"/>
        <v/>
      </c>
      <c r="LP26" s="1064" t="str">
        <f t="shared" si="298"/>
        <v/>
      </c>
      <c r="LQ26" s="1064" t="str">
        <f t="shared" si="299"/>
        <v/>
      </c>
      <c r="LR26" s="1064" t="str">
        <f t="shared" si="300"/>
        <v/>
      </c>
      <c r="LS26" s="1064" t="str">
        <f t="shared" si="301"/>
        <v/>
      </c>
      <c r="LT26" s="1064" t="str">
        <f t="shared" si="302"/>
        <v/>
      </c>
      <c r="LU26" s="1064" t="str">
        <f t="shared" si="303"/>
        <v/>
      </c>
      <c r="LV26" s="1064" t="str">
        <f t="shared" si="304"/>
        <v/>
      </c>
      <c r="LW26" s="1064" t="str">
        <f t="shared" si="305"/>
        <v/>
      </c>
      <c r="LX26" s="1064" t="str">
        <f t="shared" si="306"/>
        <v/>
      </c>
      <c r="LY26" s="1064" t="str">
        <f t="shared" si="307"/>
        <v/>
      </c>
      <c r="LZ26" s="1064" t="str">
        <f t="shared" si="308"/>
        <v/>
      </c>
      <c r="MA26" s="1064" t="str">
        <f t="shared" si="309"/>
        <v/>
      </c>
      <c r="MB26" s="1064" t="str">
        <f t="shared" si="310"/>
        <v/>
      </c>
      <c r="MC26" s="1064" t="str">
        <f t="shared" si="311"/>
        <v/>
      </c>
      <c r="MD26" s="1064" t="str">
        <f t="shared" si="312"/>
        <v/>
      </c>
      <c r="ME26" s="1081">
        <f t="shared" si="324"/>
        <v>0</v>
      </c>
      <c r="MF26" s="1081">
        <f t="shared" si="325"/>
        <v>0</v>
      </c>
      <c r="MG26" s="1081">
        <f t="shared" si="326"/>
        <v>0</v>
      </c>
      <c r="MH26" s="1081">
        <f t="shared" si="327"/>
        <v>0</v>
      </c>
      <c r="MI26" s="1081">
        <f t="shared" si="328"/>
        <v>0</v>
      </c>
      <c r="MJ26" s="1081">
        <f t="shared" si="329"/>
        <v>0</v>
      </c>
      <c r="MK26" s="1081">
        <f t="shared" si="330"/>
        <v>0</v>
      </c>
      <c r="ML26" s="1081">
        <f t="shared" si="331"/>
        <v>0</v>
      </c>
      <c r="MM26" s="1081">
        <f t="shared" si="332"/>
        <v>0</v>
      </c>
      <c r="MN26" s="1081">
        <f t="shared" si="333"/>
        <v>0</v>
      </c>
      <c r="MO26" s="1081">
        <f t="shared" si="334"/>
        <v>0</v>
      </c>
      <c r="MP26" s="1081">
        <f t="shared" si="335"/>
        <v>0</v>
      </c>
      <c r="MQ26" s="1081">
        <f t="shared" si="336"/>
        <v>0</v>
      </c>
      <c r="MR26" s="1081">
        <f t="shared" si="337"/>
        <v>0</v>
      </c>
      <c r="MS26" s="1081">
        <f t="shared" si="338"/>
        <v>0</v>
      </c>
    </row>
    <row r="27" spans="1:357" ht="12" customHeight="1">
      <c r="A27" s="1088" t="str">
        <f t="shared" si="0"/>
        <v/>
      </c>
      <c r="B27" s="44"/>
      <c r="C27" s="41"/>
      <c r="D27" s="42"/>
      <c r="E27" s="43"/>
      <c r="F27" s="43"/>
      <c r="G27" s="43"/>
      <c r="H27" s="43"/>
      <c r="I27" s="1100">
        <f>IF(C27="",0,HLOOKUP(C27,'Part V-Utility Allowances'!$I$11:$M$22,12))</f>
        <v>0</v>
      </c>
      <c r="J27" s="810"/>
      <c r="K27" s="512">
        <f t="shared" si="1"/>
        <v>0</v>
      </c>
      <c r="L27" s="512">
        <f t="shared" si="2"/>
        <v>0</v>
      </c>
      <c r="M27" s="1101"/>
      <c r="N27" s="1101"/>
      <c r="O27" s="1101"/>
      <c r="P27" s="1102"/>
      <c r="Q27" s="1103" t="str">
        <f t="shared" si="3"/>
        <v/>
      </c>
      <c r="R27" s="1104" t="str">
        <f>IF(H27="","",IF(C27="Efficiency",Q27/($O$6*VLOOKUP(0,'DCA Underwriting Assumptions'!$J$146:$K$151,2,FALSE)),Q27/($O$6*VLOOKUP(C27,'DCA Underwriting Assumptions'!$J$146:$K$151,2,FALSE))))</f>
        <v/>
      </c>
      <c r="S27" s="1105"/>
      <c r="T27" s="1106"/>
      <c r="U27" s="2314"/>
      <c r="V27" s="2316"/>
      <c r="W27" s="1064" t="str">
        <f t="shared" si="4"/>
        <v/>
      </c>
      <c r="X27" s="1064" t="str">
        <f t="shared" si="5"/>
        <v/>
      </c>
      <c r="Y27" s="1064" t="str">
        <f t="shared" si="6"/>
        <v/>
      </c>
      <c r="Z27" s="1064" t="str">
        <f t="shared" si="7"/>
        <v/>
      </c>
      <c r="AA27" s="1064" t="str">
        <f t="shared" si="8"/>
        <v/>
      </c>
      <c r="AB27" s="1064" t="str">
        <f t="shared" si="9"/>
        <v/>
      </c>
      <c r="AC27" s="1064" t="str">
        <f t="shared" si="10"/>
        <v/>
      </c>
      <c r="AD27" s="1064" t="str">
        <f t="shared" si="11"/>
        <v/>
      </c>
      <c r="AE27" s="1064" t="str">
        <f t="shared" si="12"/>
        <v/>
      </c>
      <c r="AF27" s="1064" t="str">
        <f t="shared" si="13"/>
        <v/>
      </c>
      <c r="AG27" s="1064" t="str">
        <f t="shared" si="14"/>
        <v/>
      </c>
      <c r="AH27" s="1064" t="str">
        <f t="shared" si="15"/>
        <v/>
      </c>
      <c r="AI27" s="1064" t="str">
        <f t="shared" si="16"/>
        <v/>
      </c>
      <c r="AJ27" s="1064" t="str">
        <f t="shared" si="17"/>
        <v/>
      </c>
      <c r="AK27" s="1064" t="str">
        <f t="shared" si="18"/>
        <v/>
      </c>
      <c r="AL27" s="1064" t="str">
        <f t="shared" si="19"/>
        <v/>
      </c>
      <c r="AM27" s="1064" t="str">
        <f t="shared" si="20"/>
        <v/>
      </c>
      <c r="AN27" s="1064" t="str">
        <f t="shared" si="21"/>
        <v/>
      </c>
      <c r="AO27" s="1064" t="str">
        <f t="shared" si="22"/>
        <v/>
      </c>
      <c r="AP27" s="1064" t="str">
        <f t="shared" si="23"/>
        <v/>
      </c>
      <c r="AQ27" s="1064" t="str">
        <f t="shared" si="24"/>
        <v/>
      </c>
      <c r="AR27" s="1064" t="str">
        <f t="shared" si="25"/>
        <v/>
      </c>
      <c r="AS27" s="1064" t="str">
        <f t="shared" si="26"/>
        <v/>
      </c>
      <c r="AT27" s="1064" t="str">
        <f t="shared" si="27"/>
        <v/>
      </c>
      <c r="AU27" s="1064" t="str">
        <f t="shared" si="28"/>
        <v/>
      </c>
      <c r="AV27" s="1064" t="str">
        <f t="shared" si="29"/>
        <v/>
      </c>
      <c r="AW27" s="1064" t="str">
        <f t="shared" si="30"/>
        <v/>
      </c>
      <c r="AX27" s="1064" t="str">
        <f t="shared" si="31"/>
        <v/>
      </c>
      <c r="AY27" s="1064" t="str">
        <f t="shared" si="32"/>
        <v/>
      </c>
      <c r="AZ27" s="1064" t="str">
        <f t="shared" si="33"/>
        <v/>
      </c>
      <c r="BA27" s="1064" t="str">
        <f t="shared" si="34"/>
        <v/>
      </c>
      <c r="BB27" s="1064" t="str">
        <f t="shared" si="35"/>
        <v/>
      </c>
      <c r="BC27" s="1064" t="str">
        <f t="shared" si="36"/>
        <v/>
      </c>
      <c r="BD27" s="1064" t="str">
        <f t="shared" si="37"/>
        <v/>
      </c>
      <c r="BE27" s="1064" t="str">
        <f t="shared" si="38"/>
        <v/>
      </c>
      <c r="BF27" s="1064" t="str">
        <f t="shared" si="39"/>
        <v/>
      </c>
      <c r="BG27" s="1064" t="str">
        <f t="shared" si="40"/>
        <v/>
      </c>
      <c r="BH27" s="1064" t="str">
        <f t="shared" si="41"/>
        <v/>
      </c>
      <c r="BI27" s="1064" t="str">
        <f t="shared" si="42"/>
        <v/>
      </c>
      <c r="BJ27" s="1064" t="str">
        <f t="shared" si="43"/>
        <v/>
      </c>
      <c r="BK27" s="1064" t="str">
        <f t="shared" si="44"/>
        <v/>
      </c>
      <c r="BL27" s="1064" t="str">
        <f t="shared" si="45"/>
        <v/>
      </c>
      <c r="BM27" s="1064" t="str">
        <f t="shared" si="46"/>
        <v/>
      </c>
      <c r="BN27" s="1064" t="str">
        <f t="shared" si="47"/>
        <v/>
      </c>
      <c r="BO27" s="1064" t="str">
        <f t="shared" si="48"/>
        <v/>
      </c>
      <c r="BP27" s="1064" t="str">
        <f t="shared" si="49"/>
        <v/>
      </c>
      <c r="BQ27" s="1064" t="str">
        <f t="shared" si="50"/>
        <v/>
      </c>
      <c r="BR27" s="1064" t="str">
        <f t="shared" si="51"/>
        <v/>
      </c>
      <c r="BS27" s="1064" t="str">
        <f t="shared" si="52"/>
        <v/>
      </c>
      <c r="BT27" s="1064" t="str">
        <f t="shared" si="53"/>
        <v/>
      </c>
      <c r="BU27" s="1064" t="str">
        <f t="shared" si="54"/>
        <v/>
      </c>
      <c r="BV27" s="1064" t="str">
        <f t="shared" si="55"/>
        <v/>
      </c>
      <c r="BW27" s="1064" t="str">
        <f t="shared" si="56"/>
        <v/>
      </c>
      <c r="BX27" s="1064" t="str">
        <f t="shared" si="57"/>
        <v/>
      </c>
      <c r="BY27" s="1064" t="str">
        <f t="shared" si="58"/>
        <v/>
      </c>
      <c r="BZ27" s="1064" t="str">
        <f t="shared" si="59"/>
        <v/>
      </c>
      <c r="CA27" s="1064" t="str">
        <f t="shared" si="60"/>
        <v/>
      </c>
      <c r="CB27" s="1064" t="str">
        <f t="shared" si="61"/>
        <v/>
      </c>
      <c r="CC27" s="1064" t="str">
        <f t="shared" si="62"/>
        <v/>
      </c>
      <c r="CD27" s="1064" t="str">
        <f t="shared" si="63"/>
        <v/>
      </c>
      <c r="CE27" s="1064" t="str">
        <f t="shared" si="64"/>
        <v/>
      </c>
      <c r="CF27" s="1064" t="str">
        <f t="shared" si="65"/>
        <v/>
      </c>
      <c r="CG27" s="1064" t="str">
        <f t="shared" si="66"/>
        <v/>
      </c>
      <c r="CH27" s="1064" t="str">
        <f t="shared" si="67"/>
        <v/>
      </c>
      <c r="CI27" s="1064" t="str">
        <f t="shared" si="68"/>
        <v/>
      </c>
      <c r="CJ27" s="1064" t="str">
        <f t="shared" si="69"/>
        <v/>
      </c>
      <c r="CK27" s="1064" t="str">
        <f t="shared" si="70"/>
        <v/>
      </c>
      <c r="CL27" s="1064" t="str">
        <f t="shared" si="71"/>
        <v/>
      </c>
      <c r="CM27" s="1064" t="str">
        <f t="shared" si="72"/>
        <v/>
      </c>
      <c r="CN27" s="1064" t="str">
        <f t="shared" si="73"/>
        <v/>
      </c>
      <c r="CO27" s="1064" t="str">
        <f t="shared" si="74"/>
        <v/>
      </c>
      <c r="CP27" s="1064" t="str">
        <f t="shared" si="75"/>
        <v/>
      </c>
      <c r="CQ27" s="1064" t="str">
        <f t="shared" si="76"/>
        <v/>
      </c>
      <c r="CR27" s="1064" t="str">
        <f t="shared" si="77"/>
        <v/>
      </c>
      <c r="CS27" s="1064" t="str">
        <f t="shared" si="78"/>
        <v/>
      </c>
      <c r="CT27" s="1064" t="str">
        <f t="shared" si="79"/>
        <v/>
      </c>
      <c r="CU27" s="1064" t="str">
        <f t="shared" si="80"/>
        <v/>
      </c>
      <c r="CV27" s="1064" t="str">
        <f t="shared" si="81"/>
        <v/>
      </c>
      <c r="CW27" s="1064" t="str">
        <f t="shared" si="82"/>
        <v/>
      </c>
      <c r="CX27" s="1064" t="str">
        <f t="shared" si="83"/>
        <v/>
      </c>
      <c r="CY27" s="1064" t="str">
        <f t="shared" si="84"/>
        <v/>
      </c>
      <c r="CZ27" s="1064" t="str">
        <f t="shared" si="85"/>
        <v/>
      </c>
      <c r="DA27" s="1064" t="str">
        <f t="shared" si="86"/>
        <v/>
      </c>
      <c r="DB27" s="1064" t="str">
        <f t="shared" si="87"/>
        <v/>
      </c>
      <c r="DC27" s="1064" t="str">
        <f t="shared" si="88"/>
        <v/>
      </c>
      <c r="DD27" s="1064" t="str">
        <f t="shared" si="89"/>
        <v/>
      </c>
      <c r="DE27" s="1064" t="str">
        <f t="shared" si="90"/>
        <v/>
      </c>
      <c r="DF27" s="1064" t="str">
        <f t="shared" si="91"/>
        <v/>
      </c>
      <c r="DG27" s="1064" t="str">
        <f t="shared" si="92"/>
        <v/>
      </c>
      <c r="DH27" s="1064" t="str">
        <f t="shared" si="93"/>
        <v/>
      </c>
      <c r="DI27" s="1064" t="str">
        <f t="shared" si="94"/>
        <v/>
      </c>
      <c r="DJ27" s="1064" t="str">
        <f t="shared" si="95"/>
        <v/>
      </c>
      <c r="DK27" s="1064" t="str">
        <f t="shared" si="96"/>
        <v/>
      </c>
      <c r="DL27" s="1064" t="str">
        <f t="shared" si="97"/>
        <v/>
      </c>
      <c r="DM27" s="1064" t="str">
        <f t="shared" si="98"/>
        <v/>
      </c>
      <c r="DN27" s="1064" t="str">
        <f t="shared" si="99"/>
        <v/>
      </c>
      <c r="DO27" s="1064" t="str">
        <f t="shared" si="100"/>
        <v/>
      </c>
      <c r="DP27" s="1064" t="str">
        <f t="shared" si="101"/>
        <v/>
      </c>
      <c r="DQ27" s="1064" t="str">
        <f t="shared" si="102"/>
        <v/>
      </c>
      <c r="DR27" s="1064" t="str">
        <f t="shared" si="103"/>
        <v/>
      </c>
      <c r="DS27" s="1064" t="str">
        <f t="shared" si="104"/>
        <v/>
      </c>
      <c r="DT27" s="1064" t="str">
        <f t="shared" si="105"/>
        <v/>
      </c>
      <c r="DU27" s="1064" t="str">
        <f t="shared" si="106"/>
        <v/>
      </c>
      <c r="DV27" s="1064" t="str">
        <f t="shared" si="107"/>
        <v/>
      </c>
      <c r="DW27" s="1064" t="str">
        <f t="shared" si="108"/>
        <v/>
      </c>
      <c r="DX27" s="1064" t="str">
        <f t="shared" si="109"/>
        <v/>
      </c>
      <c r="DY27" s="1064" t="str">
        <f t="shared" si="110"/>
        <v/>
      </c>
      <c r="DZ27" s="1064" t="str">
        <f t="shared" si="111"/>
        <v/>
      </c>
      <c r="EA27" s="1064" t="str">
        <f t="shared" si="112"/>
        <v/>
      </c>
      <c r="EB27" s="1064" t="str">
        <f t="shared" si="113"/>
        <v/>
      </c>
      <c r="EC27" s="1064" t="str">
        <f t="shared" si="114"/>
        <v/>
      </c>
      <c r="ED27" s="1064" t="str">
        <f t="shared" si="115"/>
        <v/>
      </c>
      <c r="EE27" s="1064" t="str">
        <f t="shared" si="116"/>
        <v/>
      </c>
      <c r="EF27" s="1064" t="str">
        <f t="shared" si="117"/>
        <v/>
      </c>
      <c r="EG27" s="1064" t="str">
        <f t="shared" si="313"/>
        <v/>
      </c>
      <c r="EH27" s="1064" t="str">
        <f t="shared" si="118"/>
        <v/>
      </c>
      <c r="EI27" s="1064" t="str">
        <f t="shared" si="119"/>
        <v/>
      </c>
      <c r="EJ27" s="1064" t="str">
        <f t="shared" si="120"/>
        <v/>
      </c>
      <c r="EK27" s="1064" t="str">
        <f t="shared" si="121"/>
        <v/>
      </c>
      <c r="EL27" s="1064" t="str">
        <f t="shared" si="122"/>
        <v/>
      </c>
      <c r="EM27" s="1064" t="str">
        <f t="shared" si="123"/>
        <v/>
      </c>
      <c r="EN27" s="1064" t="str">
        <f t="shared" si="124"/>
        <v/>
      </c>
      <c r="EO27" s="1064" t="str">
        <f t="shared" si="125"/>
        <v/>
      </c>
      <c r="EP27" s="1064" t="str">
        <f t="shared" si="126"/>
        <v/>
      </c>
      <c r="EQ27" s="1064" t="str">
        <f t="shared" si="127"/>
        <v/>
      </c>
      <c r="ER27" s="1064" t="str">
        <f t="shared" si="128"/>
        <v/>
      </c>
      <c r="ES27" s="1064" t="str">
        <f t="shared" si="129"/>
        <v/>
      </c>
      <c r="ET27" s="1064" t="str">
        <f t="shared" si="130"/>
        <v/>
      </c>
      <c r="EU27" s="1064" t="str">
        <f t="shared" si="131"/>
        <v/>
      </c>
      <c r="EV27" s="1064" t="str">
        <f t="shared" si="132"/>
        <v/>
      </c>
      <c r="EW27" s="1064" t="str">
        <f t="shared" si="314"/>
        <v/>
      </c>
      <c r="EX27" s="1064" t="str">
        <f t="shared" si="315"/>
        <v/>
      </c>
      <c r="EY27" s="1064" t="str">
        <f t="shared" si="316"/>
        <v/>
      </c>
      <c r="EZ27" s="1064" t="str">
        <f t="shared" si="317"/>
        <v/>
      </c>
      <c r="FA27" s="1064" t="str">
        <f t="shared" si="318"/>
        <v/>
      </c>
      <c r="FB27" s="1064" t="str">
        <f t="shared" si="133"/>
        <v/>
      </c>
      <c r="FC27" s="1064" t="str">
        <f t="shared" si="134"/>
        <v/>
      </c>
      <c r="FD27" s="1064" t="str">
        <f t="shared" si="135"/>
        <v/>
      </c>
      <c r="FE27" s="1064" t="str">
        <f t="shared" si="136"/>
        <v/>
      </c>
      <c r="FF27" s="1064" t="str">
        <f t="shared" si="137"/>
        <v/>
      </c>
      <c r="FG27" s="1064" t="str">
        <f t="shared" si="319"/>
        <v/>
      </c>
      <c r="FH27" s="1064" t="str">
        <f t="shared" si="320"/>
        <v/>
      </c>
      <c r="FI27" s="1064" t="str">
        <f t="shared" si="321"/>
        <v/>
      </c>
      <c r="FJ27" s="1064" t="str">
        <f t="shared" si="322"/>
        <v/>
      </c>
      <c r="FK27" s="1064" t="str">
        <f t="shared" si="323"/>
        <v/>
      </c>
      <c r="FL27" s="1064" t="str">
        <f t="shared" si="138"/>
        <v/>
      </c>
      <c r="FM27" s="1064" t="str">
        <f t="shared" si="139"/>
        <v/>
      </c>
      <c r="FN27" s="1064" t="str">
        <f t="shared" si="140"/>
        <v/>
      </c>
      <c r="FO27" s="1064" t="str">
        <f t="shared" si="141"/>
        <v/>
      </c>
      <c r="FP27" s="1064" t="str">
        <f t="shared" si="142"/>
        <v/>
      </c>
      <c r="FQ27" s="1064" t="str">
        <f t="shared" si="143"/>
        <v/>
      </c>
      <c r="FR27" s="1064" t="str">
        <f t="shared" si="144"/>
        <v/>
      </c>
      <c r="FS27" s="1064" t="str">
        <f t="shared" si="145"/>
        <v/>
      </c>
      <c r="FT27" s="1064" t="str">
        <f t="shared" si="146"/>
        <v/>
      </c>
      <c r="FU27" s="1064" t="str">
        <f t="shared" si="147"/>
        <v/>
      </c>
      <c r="FV27" s="1064" t="str">
        <f t="shared" si="148"/>
        <v/>
      </c>
      <c r="FW27" s="1064" t="str">
        <f t="shared" si="149"/>
        <v/>
      </c>
      <c r="FX27" s="1064" t="str">
        <f t="shared" si="150"/>
        <v/>
      </c>
      <c r="FY27" s="1064" t="str">
        <f t="shared" si="151"/>
        <v/>
      </c>
      <c r="FZ27" s="1064" t="str">
        <f t="shared" si="152"/>
        <v/>
      </c>
      <c r="GA27" s="1064" t="str">
        <f t="shared" si="153"/>
        <v/>
      </c>
      <c r="GB27" s="1064" t="str">
        <f t="shared" si="154"/>
        <v/>
      </c>
      <c r="GC27" s="1064" t="str">
        <f t="shared" si="155"/>
        <v/>
      </c>
      <c r="GD27" s="1064" t="str">
        <f t="shared" si="156"/>
        <v/>
      </c>
      <c r="GE27" s="1064" t="str">
        <f t="shared" si="157"/>
        <v/>
      </c>
      <c r="GF27" s="1064" t="str">
        <f t="shared" si="158"/>
        <v/>
      </c>
      <c r="GG27" s="1064" t="str">
        <f t="shared" si="159"/>
        <v/>
      </c>
      <c r="GH27" s="1064" t="str">
        <f t="shared" si="160"/>
        <v/>
      </c>
      <c r="GI27" s="1064" t="str">
        <f t="shared" si="161"/>
        <v/>
      </c>
      <c r="GJ27" s="1064" t="str">
        <f t="shared" si="162"/>
        <v/>
      </c>
      <c r="GK27" s="1064" t="str">
        <f t="shared" si="163"/>
        <v/>
      </c>
      <c r="GL27" s="1064" t="str">
        <f t="shared" si="164"/>
        <v/>
      </c>
      <c r="GM27" s="1064" t="str">
        <f t="shared" si="165"/>
        <v/>
      </c>
      <c r="GN27" s="1064" t="str">
        <f t="shared" si="166"/>
        <v/>
      </c>
      <c r="GO27" s="1064" t="str">
        <f t="shared" si="167"/>
        <v/>
      </c>
      <c r="GP27" s="1064" t="str">
        <f t="shared" si="168"/>
        <v/>
      </c>
      <c r="GQ27" s="1064" t="str">
        <f t="shared" si="169"/>
        <v/>
      </c>
      <c r="GR27" s="1064" t="str">
        <f t="shared" si="170"/>
        <v/>
      </c>
      <c r="GS27" s="1064" t="str">
        <f t="shared" si="171"/>
        <v/>
      </c>
      <c r="GT27" s="1064" t="str">
        <f t="shared" si="172"/>
        <v/>
      </c>
      <c r="GU27" s="1064" t="str">
        <f t="shared" si="173"/>
        <v/>
      </c>
      <c r="GV27" s="1064" t="str">
        <f t="shared" si="174"/>
        <v/>
      </c>
      <c r="GW27" s="1064" t="str">
        <f t="shared" si="175"/>
        <v/>
      </c>
      <c r="GX27" s="1064" t="str">
        <f t="shared" si="176"/>
        <v/>
      </c>
      <c r="GY27" s="1064" t="str">
        <f t="shared" si="177"/>
        <v/>
      </c>
      <c r="GZ27" s="1064" t="str">
        <f t="shared" si="178"/>
        <v/>
      </c>
      <c r="HA27" s="1064" t="str">
        <f t="shared" si="179"/>
        <v/>
      </c>
      <c r="HB27" s="1064" t="str">
        <f t="shared" si="180"/>
        <v/>
      </c>
      <c r="HC27" s="1064" t="str">
        <f t="shared" si="181"/>
        <v/>
      </c>
      <c r="HD27" s="1064" t="str">
        <f t="shared" si="182"/>
        <v/>
      </c>
      <c r="HE27" s="1064" t="str">
        <f t="shared" si="183"/>
        <v/>
      </c>
      <c r="HF27" s="1064" t="str">
        <f t="shared" si="184"/>
        <v/>
      </c>
      <c r="HG27" s="1064" t="str">
        <f t="shared" si="185"/>
        <v/>
      </c>
      <c r="HH27" s="1064" t="str">
        <f t="shared" si="186"/>
        <v/>
      </c>
      <c r="HI27" s="1064" t="str">
        <f t="shared" si="187"/>
        <v/>
      </c>
      <c r="HJ27" s="1064" t="str">
        <f t="shared" si="188"/>
        <v/>
      </c>
      <c r="HK27" s="1064" t="str">
        <f t="shared" si="189"/>
        <v/>
      </c>
      <c r="HL27" s="1064" t="str">
        <f t="shared" si="190"/>
        <v/>
      </c>
      <c r="HM27" s="1064" t="str">
        <f t="shared" si="191"/>
        <v/>
      </c>
      <c r="HN27" s="1064" t="str">
        <f t="shared" si="192"/>
        <v/>
      </c>
      <c r="HO27" s="1064" t="str">
        <f t="shared" si="193"/>
        <v/>
      </c>
      <c r="HP27" s="1064" t="str">
        <f t="shared" si="194"/>
        <v/>
      </c>
      <c r="HQ27" s="1064" t="str">
        <f t="shared" si="195"/>
        <v/>
      </c>
      <c r="HR27" s="1064" t="str">
        <f t="shared" si="196"/>
        <v/>
      </c>
      <c r="HS27" s="1064" t="str">
        <f t="shared" si="197"/>
        <v/>
      </c>
      <c r="HT27" s="1064" t="str">
        <f t="shared" si="198"/>
        <v/>
      </c>
      <c r="HU27" s="1064" t="str">
        <f t="shared" si="199"/>
        <v/>
      </c>
      <c r="HV27" s="1064" t="str">
        <f t="shared" si="200"/>
        <v/>
      </c>
      <c r="HW27" s="1064" t="str">
        <f t="shared" si="201"/>
        <v/>
      </c>
      <c r="HX27" s="1064" t="str">
        <f t="shared" si="202"/>
        <v/>
      </c>
      <c r="HY27" s="1097" t="str">
        <f t="shared" si="203"/>
        <v/>
      </c>
      <c r="HZ27" s="1097" t="str">
        <f t="shared" si="204"/>
        <v/>
      </c>
      <c r="IA27" s="1097" t="str">
        <f t="shared" si="205"/>
        <v/>
      </c>
      <c r="IB27" s="1097" t="str">
        <f t="shared" si="206"/>
        <v/>
      </c>
      <c r="IC27" s="1097" t="str">
        <f t="shared" si="207"/>
        <v/>
      </c>
      <c r="ID27" s="1097" t="str">
        <f t="shared" si="208"/>
        <v/>
      </c>
      <c r="IE27" s="1097" t="str">
        <f t="shared" si="209"/>
        <v/>
      </c>
      <c r="IF27" s="1097" t="str">
        <f t="shared" si="210"/>
        <v/>
      </c>
      <c r="IG27" s="1097" t="str">
        <f t="shared" si="211"/>
        <v/>
      </c>
      <c r="IH27" s="1097" t="str">
        <f t="shared" si="212"/>
        <v/>
      </c>
      <c r="II27" s="1097" t="str">
        <f t="shared" si="213"/>
        <v/>
      </c>
      <c r="IJ27" s="1097" t="str">
        <f t="shared" si="214"/>
        <v/>
      </c>
      <c r="IK27" s="1097" t="str">
        <f t="shared" si="215"/>
        <v/>
      </c>
      <c r="IL27" s="1097" t="str">
        <f t="shared" si="216"/>
        <v/>
      </c>
      <c r="IM27" s="1097" t="str">
        <f t="shared" si="217"/>
        <v/>
      </c>
      <c r="IN27" s="1097" t="str">
        <f t="shared" si="218"/>
        <v/>
      </c>
      <c r="IO27" s="1097" t="str">
        <f t="shared" si="219"/>
        <v/>
      </c>
      <c r="IP27" s="1097" t="str">
        <f t="shared" si="220"/>
        <v/>
      </c>
      <c r="IQ27" s="1097" t="str">
        <f t="shared" si="221"/>
        <v/>
      </c>
      <c r="IR27" s="1097" t="str">
        <f t="shared" si="222"/>
        <v/>
      </c>
      <c r="IS27" s="1097" t="str">
        <f t="shared" si="223"/>
        <v/>
      </c>
      <c r="IT27" s="1097" t="str">
        <f t="shared" si="224"/>
        <v/>
      </c>
      <c r="IU27" s="1097" t="str">
        <f t="shared" si="225"/>
        <v/>
      </c>
      <c r="IV27" s="1097" t="str">
        <f t="shared" si="226"/>
        <v/>
      </c>
      <c r="IW27" s="1097" t="str">
        <f t="shared" si="227"/>
        <v/>
      </c>
      <c r="IX27" s="1097" t="str">
        <f t="shared" si="228"/>
        <v/>
      </c>
      <c r="IY27" s="1097" t="str">
        <f t="shared" si="229"/>
        <v/>
      </c>
      <c r="IZ27" s="1097" t="str">
        <f t="shared" si="230"/>
        <v/>
      </c>
      <c r="JA27" s="1097" t="str">
        <f t="shared" si="231"/>
        <v/>
      </c>
      <c r="JB27" s="1097" t="str">
        <f t="shared" si="232"/>
        <v/>
      </c>
      <c r="JC27" s="1097" t="str">
        <f t="shared" si="233"/>
        <v/>
      </c>
      <c r="JD27" s="1097" t="str">
        <f t="shared" si="234"/>
        <v/>
      </c>
      <c r="JE27" s="1097" t="str">
        <f t="shared" si="235"/>
        <v/>
      </c>
      <c r="JF27" s="1097" t="str">
        <f t="shared" si="236"/>
        <v/>
      </c>
      <c r="JG27" s="1097" t="str">
        <f t="shared" si="237"/>
        <v/>
      </c>
      <c r="JH27" s="1097" t="str">
        <f t="shared" si="238"/>
        <v/>
      </c>
      <c r="JI27" s="1097" t="str">
        <f t="shared" si="239"/>
        <v/>
      </c>
      <c r="JJ27" s="1097" t="str">
        <f t="shared" si="240"/>
        <v/>
      </c>
      <c r="JK27" s="1097" t="str">
        <f t="shared" si="241"/>
        <v/>
      </c>
      <c r="JL27" s="1097" t="str">
        <f t="shared" si="242"/>
        <v/>
      </c>
      <c r="JM27" s="1097" t="str">
        <f t="shared" si="243"/>
        <v/>
      </c>
      <c r="JN27" s="1097" t="str">
        <f t="shared" si="244"/>
        <v/>
      </c>
      <c r="JO27" s="1097" t="str">
        <f t="shared" si="245"/>
        <v/>
      </c>
      <c r="JP27" s="1097" t="str">
        <f t="shared" si="246"/>
        <v/>
      </c>
      <c r="JQ27" s="1097" t="str">
        <f t="shared" si="247"/>
        <v/>
      </c>
      <c r="JR27" s="1097" t="str">
        <f t="shared" si="248"/>
        <v/>
      </c>
      <c r="JS27" s="1097" t="str">
        <f t="shared" si="249"/>
        <v/>
      </c>
      <c r="JT27" s="1097" t="str">
        <f t="shared" si="250"/>
        <v/>
      </c>
      <c r="JU27" s="1097" t="str">
        <f t="shared" si="251"/>
        <v/>
      </c>
      <c r="JV27" s="1097" t="str">
        <f t="shared" si="252"/>
        <v/>
      </c>
      <c r="JW27" s="1097" t="str">
        <f t="shared" si="253"/>
        <v/>
      </c>
      <c r="JX27" s="1097" t="str">
        <f t="shared" si="254"/>
        <v/>
      </c>
      <c r="JY27" s="1097" t="str">
        <f t="shared" si="255"/>
        <v/>
      </c>
      <c r="JZ27" s="1097" t="str">
        <f t="shared" si="256"/>
        <v/>
      </c>
      <c r="KA27" s="1097" t="str">
        <f t="shared" si="257"/>
        <v/>
      </c>
      <c r="KB27" s="1097" t="str">
        <f t="shared" si="258"/>
        <v/>
      </c>
      <c r="KC27" s="1097" t="str">
        <f t="shared" si="259"/>
        <v/>
      </c>
      <c r="KD27" s="1097" t="str">
        <f t="shared" si="260"/>
        <v/>
      </c>
      <c r="KE27" s="1097" t="str">
        <f t="shared" si="261"/>
        <v/>
      </c>
      <c r="KF27" s="1097" t="str">
        <f t="shared" si="262"/>
        <v/>
      </c>
      <c r="KG27" s="1097" t="str">
        <f t="shared" si="263"/>
        <v/>
      </c>
      <c r="KH27" s="1097" t="str">
        <f t="shared" si="264"/>
        <v/>
      </c>
      <c r="KI27" s="1097" t="str">
        <f t="shared" si="265"/>
        <v/>
      </c>
      <c r="KJ27" s="1097" t="str">
        <f t="shared" si="266"/>
        <v/>
      </c>
      <c r="KK27" s="1097" t="str">
        <f t="shared" si="267"/>
        <v/>
      </c>
      <c r="KL27" s="1097" t="str">
        <f t="shared" si="268"/>
        <v/>
      </c>
      <c r="KM27" s="1097" t="str">
        <f t="shared" si="269"/>
        <v/>
      </c>
      <c r="KN27" s="1097" t="str">
        <f t="shared" si="270"/>
        <v/>
      </c>
      <c r="KO27" s="1097" t="str">
        <f t="shared" si="271"/>
        <v/>
      </c>
      <c r="KP27" s="1097" t="str">
        <f t="shared" si="272"/>
        <v/>
      </c>
      <c r="KQ27" s="1097" t="str">
        <f t="shared" si="273"/>
        <v/>
      </c>
      <c r="KR27" s="1097" t="str">
        <f t="shared" si="274"/>
        <v/>
      </c>
      <c r="KS27" s="1097" t="str">
        <f t="shared" si="275"/>
        <v/>
      </c>
      <c r="KT27" s="1097" t="str">
        <f t="shared" si="276"/>
        <v/>
      </c>
      <c r="KU27" s="1097" t="str">
        <f t="shared" si="277"/>
        <v/>
      </c>
      <c r="KV27" s="1097" t="str">
        <f t="shared" si="278"/>
        <v/>
      </c>
      <c r="KW27" s="1097" t="str">
        <f t="shared" si="279"/>
        <v/>
      </c>
      <c r="KX27" s="1097" t="str">
        <f t="shared" si="280"/>
        <v/>
      </c>
      <c r="KY27" s="1097" t="str">
        <f t="shared" si="281"/>
        <v/>
      </c>
      <c r="KZ27" s="1097" t="str">
        <f t="shared" si="282"/>
        <v/>
      </c>
      <c r="LA27" s="1097" t="str">
        <f t="shared" si="283"/>
        <v/>
      </c>
      <c r="LB27" s="1097" t="str">
        <f t="shared" si="284"/>
        <v/>
      </c>
      <c r="LC27" s="1097" t="str">
        <f t="shared" si="285"/>
        <v/>
      </c>
      <c r="LD27" s="1097" t="str">
        <f t="shared" si="286"/>
        <v/>
      </c>
      <c r="LE27" s="1097" t="str">
        <f t="shared" si="287"/>
        <v/>
      </c>
      <c r="LF27" s="1098" t="str">
        <f t="shared" si="288"/>
        <v/>
      </c>
      <c r="LG27" s="1098" t="str">
        <f t="shared" si="289"/>
        <v/>
      </c>
      <c r="LH27" s="1098" t="str">
        <f t="shared" si="290"/>
        <v/>
      </c>
      <c r="LI27" s="1098" t="str">
        <f t="shared" si="291"/>
        <v/>
      </c>
      <c r="LJ27" s="1098" t="str">
        <f t="shared" si="292"/>
        <v/>
      </c>
      <c r="LK27" s="1064" t="str">
        <f t="shared" si="293"/>
        <v/>
      </c>
      <c r="LL27" s="1064" t="str">
        <f t="shared" si="294"/>
        <v/>
      </c>
      <c r="LM27" s="1064" t="str">
        <f t="shared" si="295"/>
        <v/>
      </c>
      <c r="LN27" s="1064" t="str">
        <f t="shared" si="296"/>
        <v/>
      </c>
      <c r="LO27" s="1064" t="str">
        <f t="shared" si="297"/>
        <v/>
      </c>
      <c r="LP27" s="1064" t="str">
        <f t="shared" si="298"/>
        <v/>
      </c>
      <c r="LQ27" s="1064" t="str">
        <f t="shared" si="299"/>
        <v/>
      </c>
      <c r="LR27" s="1064" t="str">
        <f t="shared" si="300"/>
        <v/>
      </c>
      <c r="LS27" s="1064" t="str">
        <f t="shared" si="301"/>
        <v/>
      </c>
      <c r="LT27" s="1064" t="str">
        <f t="shared" si="302"/>
        <v/>
      </c>
      <c r="LU27" s="1064" t="str">
        <f t="shared" si="303"/>
        <v/>
      </c>
      <c r="LV27" s="1064" t="str">
        <f t="shared" si="304"/>
        <v/>
      </c>
      <c r="LW27" s="1064" t="str">
        <f t="shared" si="305"/>
        <v/>
      </c>
      <c r="LX27" s="1064" t="str">
        <f t="shared" si="306"/>
        <v/>
      </c>
      <c r="LY27" s="1064" t="str">
        <f t="shared" si="307"/>
        <v/>
      </c>
      <c r="LZ27" s="1064" t="str">
        <f t="shared" si="308"/>
        <v/>
      </c>
      <c r="MA27" s="1064" t="str">
        <f t="shared" si="309"/>
        <v/>
      </c>
      <c r="MB27" s="1064" t="str">
        <f t="shared" si="310"/>
        <v/>
      </c>
      <c r="MC27" s="1064" t="str">
        <f t="shared" si="311"/>
        <v/>
      </c>
      <c r="MD27" s="1064" t="str">
        <f t="shared" si="312"/>
        <v/>
      </c>
      <c r="ME27" s="1081">
        <f t="shared" si="324"/>
        <v>0</v>
      </c>
      <c r="MF27" s="1081">
        <f t="shared" si="325"/>
        <v>0</v>
      </c>
      <c r="MG27" s="1081">
        <f t="shared" si="326"/>
        <v>0</v>
      </c>
      <c r="MH27" s="1081">
        <f t="shared" si="327"/>
        <v>0</v>
      </c>
      <c r="MI27" s="1081">
        <f t="shared" si="328"/>
        <v>0</v>
      </c>
      <c r="MJ27" s="1081">
        <f t="shared" si="329"/>
        <v>0</v>
      </c>
      <c r="MK27" s="1081">
        <f t="shared" si="330"/>
        <v>0</v>
      </c>
      <c r="ML27" s="1081">
        <f t="shared" si="331"/>
        <v>0</v>
      </c>
      <c r="MM27" s="1081">
        <f t="shared" si="332"/>
        <v>0</v>
      </c>
      <c r="MN27" s="1081">
        <f t="shared" si="333"/>
        <v>0</v>
      </c>
      <c r="MO27" s="1081">
        <f t="shared" si="334"/>
        <v>0</v>
      </c>
      <c r="MP27" s="1081">
        <f t="shared" si="335"/>
        <v>0</v>
      </c>
      <c r="MQ27" s="1081">
        <f t="shared" si="336"/>
        <v>0</v>
      </c>
      <c r="MR27" s="1081">
        <f t="shared" si="337"/>
        <v>0</v>
      </c>
      <c r="MS27" s="1081">
        <f t="shared" si="338"/>
        <v>0</v>
      </c>
    </row>
    <row r="28" spans="1:357" ht="12" customHeight="1">
      <c r="A28" s="1088" t="str">
        <f t="shared" si="0"/>
        <v/>
      </c>
      <c r="B28" s="44"/>
      <c r="C28" s="41"/>
      <c r="D28" s="42"/>
      <c r="E28" s="43"/>
      <c r="F28" s="43"/>
      <c r="G28" s="43"/>
      <c r="H28" s="43"/>
      <c r="I28" s="1100">
        <f>IF(C28="",0,HLOOKUP(C28,'Part V-Utility Allowances'!$I$11:$M$22,12))</f>
        <v>0</v>
      </c>
      <c r="J28" s="810"/>
      <c r="K28" s="512">
        <f t="shared" si="1"/>
        <v>0</v>
      </c>
      <c r="L28" s="512">
        <f t="shared" si="2"/>
        <v>0</v>
      </c>
      <c r="M28" s="1101"/>
      <c r="N28" s="1101"/>
      <c r="O28" s="1101"/>
      <c r="P28" s="1102"/>
      <c r="Q28" s="1103" t="str">
        <f t="shared" si="3"/>
        <v/>
      </c>
      <c r="R28" s="1104" t="str">
        <f>IF(H28="","",IF(C28="Efficiency",Q28/($O$6*VLOOKUP(0,'DCA Underwriting Assumptions'!$J$146:$K$151,2,FALSE)),Q28/($O$6*VLOOKUP(C28,'DCA Underwriting Assumptions'!$J$146:$K$151,2,FALSE))))</f>
        <v/>
      </c>
      <c r="S28" s="1105"/>
      <c r="T28" s="1106"/>
      <c r="U28" s="2314"/>
      <c r="V28" s="2316"/>
      <c r="W28" s="1064" t="str">
        <f t="shared" si="4"/>
        <v/>
      </c>
      <c r="X28" s="1064" t="str">
        <f t="shared" si="5"/>
        <v/>
      </c>
      <c r="Y28" s="1064" t="str">
        <f t="shared" si="6"/>
        <v/>
      </c>
      <c r="Z28" s="1064" t="str">
        <f t="shared" si="7"/>
        <v/>
      </c>
      <c r="AA28" s="1064" t="str">
        <f t="shared" si="8"/>
        <v/>
      </c>
      <c r="AB28" s="1064" t="str">
        <f t="shared" si="9"/>
        <v/>
      </c>
      <c r="AC28" s="1064" t="str">
        <f t="shared" si="10"/>
        <v/>
      </c>
      <c r="AD28" s="1064" t="str">
        <f t="shared" si="11"/>
        <v/>
      </c>
      <c r="AE28" s="1064" t="str">
        <f t="shared" si="12"/>
        <v/>
      </c>
      <c r="AF28" s="1064" t="str">
        <f t="shared" si="13"/>
        <v/>
      </c>
      <c r="AG28" s="1064" t="str">
        <f t="shared" si="14"/>
        <v/>
      </c>
      <c r="AH28" s="1064" t="str">
        <f t="shared" si="15"/>
        <v/>
      </c>
      <c r="AI28" s="1064" t="str">
        <f t="shared" si="16"/>
        <v/>
      </c>
      <c r="AJ28" s="1064" t="str">
        <f t="shared" si="17"/>
        <v/>
      </c>
      <c r="AK28" s="1064" t="str">
        <f t="shared" si="18"/>
        <v/>
      </c>
      <c r="AL28" s="1064" t="str">
        <f t="shared" si="19"/>
        <v/>
      </c>
      <c r="AM28" s="1064" t="str">
        <f t="shared" si="20"/>
        <v/>
      </c>
      <c r="AN28" s="1064" t="str">
        <f t="shared" si="21"/>
        <v/>
      </c>
      <c r="AO28" s="1064" t="str">
        <f t="shared" si="22"/>
        <v/>
      </c>
      <c r="AP28" s="1064" t="str">
        <f t="shared" si="23"/>
        <v/>
      </c>
      <c r="AQ28" s="1064" t="str">
        <f t="shared" si="24"/>
        <v/>
      </c>
      <c r="AR28" s="1064" t="str">
        <f t="shared" si="25"/>
        <v/>
      </c>
      <c r="AS28" s="1064" t="str">
        <f t="shared" si="26"/>
        <v/>
      </c>
      <c r="AT28" s="1064" t="str">
        <f t="shared" si="27"/>
        <v/>
      </c>
      <c r="AU28" s="1064" t="str">
        <f t="shared" si="28"/>
        <v/>
      </c>
      <c r="AV28" s="1064" t="str">
        <f t="shared" si="29"/>
        <v/>
      </c>
      <c r="AW28" s="1064" t="str">
        <f t="shared" si="30"/>
        <v/>
      </c>
      <c r="AX28" s="1064" t="str">
        <f t="shared" si="31"/>
        <v/>
      </c>
      <c r="AY28" s="1064" t="str">
        <f t="shared" si="32"/>
        <v/>
      </c>
      <c r="AZ28" s="1064" t="str">
        <f t="shared" si="33"/>
        <v/>
      </c>
      <c r="BA28" s="1064" t="str">
        <f t="shared" si="34"/>
        <v/>
      </c>
      <c r="BB28" s="1064" t="str">
        <f t="shared" si="35"/>
        <v/>
      </c>
      <c r="BC28" s="1064" t="str">
        <f t="shared" si="36"/>
        <v/>
      </c>
      <c r="BD28" s="1064" t="str">
        <f t="shared" si="37"/>
        <v/>
      </c>
      <c r="BE28" s="1064" t="str">
        <f t="shared" si="38"/>
        <v/>
      </c>
      <c r="BF28" s="1064" t="str">
        <f t="shared" si="39"/>
        <v/>
      </c>
      <c r="BG28" s="1064" t="str">
        <f t="shared" si="40"/>
        <v/>
      </c>
      <c r="BH28" s="1064" t="str">
        <f t="shared" si="41"/>
        <v/>
      </c>
      <c r="BI28" s="1064" t="str">
        <f t="shared" si="42"/>
        <v/>
      </c>
      <c r="BJ28" s="1064" t="str">
        <f t="shared" si="43"/>
        <v/>
      </c>
      <c r="BK28" s="1064" t="str">
        <f t="shared" si="44"/>
        <v/>
      </c>
      <c r="BL28" s="1064" t="str">
        <f t="shared" si="45"/>
        <v/>
      </c>
      <c r="BM28" s="1064" t="str">
        <f t="shared" si="46"/>
        <v/>
      </c>
      <c r="BN28" s="1064" t="str">
        <f t="shared" si="47"/>
        <v/>
      </c>
      <c r="BO28" s="1064" t="str">
        <f t="shared" si="48"/>
        <v/>
      </c>
      <c r="BP28" s="1064" t="str">
        <f t="shared" si="49"/>
        <v/>
      </c>
      <c r="BQ28" s="1064" t="str">
        <f t="shared" si="50"/>
        <v/>
      </c>
      <c r="BR28" s="1064" t="str">
        <f t="shared" si="51"/>
        <v/>
      </c>
      <c r="BS28" s="1064" t="str">
        <f t="shared" si="52"/>
        <v/>
      </c>
      <c r="BT28" s="1064" t="str">
        <f t="shared" si="53"/>
        <v/>
      </c>
      <c r="BU28" s="1064" t="str">
        <f t="shared" si="54"/>
        <v/>
      </c>
      <c r="BV28" s="1064" t="str">
        <f t="shared" si="55"/>
        <v/>
      </c>
      <c r="BW28" s="1064" t="str">
        <f t="shared" si="56"/>
        <v/>
      </c>
      <c r="BX28" s="1064" t="str">
        <f t="shared" si="57"/>
        <v/>
      </c>
      <c r="BY28" s="1064" t="str">
        <f t="shared" si="58"/>
        <v/>
      </c>
      <c r="BZ28" s="1064" t="str">
        <f t="shared" si="59"/>
        <v/>
      </c>
      <c r="CA28" s="1064" t="str">
        <f t="shared" si="60"/>
        <v/>
      </c>
      <c r="CB28" s="1064" t="str">
        <f t="shared" si="61"/>
        <v/>
      </c>
      <c r="CC28" s="1064" t="str">
        <f t="shared" si="62"/>
        <v/>
      </c>
      <c r="CD28" s="1064" t="str">
        <f t="shared" si="63"/>
        <v/>
      </c>
      <c r="CE28" s="1064" t="str">
        <f t="shared" si="64"/>
        <v/>
      </c>
      <c r="CF28" s="1064" t="str">
        <f t="shared" si="65"/>
        <v/>
      </c>
      <c r="CG28" s="1064" t="str">
        <f t="shared" si="66"/>
        <v/>
      </c>
      <c r="CH28" s="1064" t="str">
        <f t="shared" si="67"/>
        <v/>
      </c>
      <c r="CI28" s="1064" t="str">
        <f t="shared" si="68"/>
        <v/>
      </c>
      <c r="CJ28" s="1064" t="str">
        <f t="shared" si="69"/>
        <v/>
      </c>
      <c r="CK28" s="1064" t="str">
        <f t="shared" si="70"/>
        <v/>
      </c>
      <c r="CL28" s="1064" t="str">
        <f t="shared" si="71"/>
        <v/>
      </c>
      <c r="CM28" s="1064" t="str">
        <f t="shared" si="72"/>
        <v/>
      </c>
      <c r="CN28" s="1064" t="str">
        <f t="shared" si="73"/>
        <v/>
      </c>
      <c r="CO28" s="1064" t="str">
        <f t="shared" si="74"/>
        <v/>
      </c>
      <c r="CP28" s="1064" t="str">
        <f t="shared" si="75"/>
        <v/>
      </c>
      <c r="CQ28" s="1064" t="str">
        <f t="shared" si="76"/>
        <v/>
      </c>
      <c r="CR28" s="1064" t="str">
        <f t="shared" si="77"/>
        <v/>
      </c>
      <c r="CS28" s="1064" t="str">
        <f t="shared" si="78"/>
        <v/>
      </c>
      <c r="CT28" s="1064" t="str">
        <f t="shared" si="79"/>
        <v/>
      </c>
      <c r="CU28" s="1064" t="str">
        <f t="shared" si="80"/>
        <v/>
      </c>
      <c r="CV28" s="1064" t="str">
        <f t="shared" si="81"/>
        <v/>
      </c>
      <c r="CW28" s="1064" t="str">
        <f t="shared" si="82"/>
        <v/>
      </c>
      <c r="CX28" s="1064" t="str">
        <f t="shared" si="83"/>
        <v/>
      </c>
      <c r="CY28" s="1064" t="str">
        <f t="shared" si="84"/>
        <v/>
      </c>
      <c r="CZ28" s="1064" t="str">
        <f t="shared" si="85"/>
        <v/>
      </c>
      <c r="DA28" s="1064" t="str">
        <f t="shared" si="86"/>
        <v/>
      </c>
      <c r="DB28" s="1064" t="str">
        <f t="shared" si="87"/>
        <v/>
      </c>
      <c r="DC28" s="1064" t="str">
        <f t="shared" si="88"/>
        <v/>
      </c>
      <c r="DD28" s="1064" t="str">
        <f t="shared" si="89"/>
        <v/>
      </c>
      <c r="DE28" s="1064" t="str">
        <f t="shared" si="90"/>
        <v/>
      </c>
      <c r="DF28" s="1064" t="str">
        <f t="shared" si="91"/>
        <v/>
      </c>
      <c r="DG28" s="1064" t="str">
        <f t="shared" si="92"/>
        <v/>
      </c>
      <c r="DH28" s="1064" t="str">
        <f t="shared" si="93"/>
        <v/>
      </c>
      <c r="DI28" s="1064" t="str">
        <f t="shared" si="94"/>
        <v/>
      </c>
      <c r="DJ28" s="1064" t="str">
        <f t="shared" si="95"/>
        <v/>
      </c>
      <c r="DK28" s="1064" t="str">
        <f t="shared" si="96"/>
        <v/>
      </c>
      <c r="DL28" s="1064" t="str">
        <f t="shared" si="97"/>
        <v/>
      </c>
      <c r="DM28" s="1064" t="str">
        <f t="shared" si="98"/>
        <v/>
      </c>
      <c r="DN28" s="1064" t="str">
        <f t="shared" si="99"/>
        <v/>
      </c>
      <c r="DO28" s="1064" t="str">
        <f t="shared" si="100"/>
        <v/>
      </c>
      <c r="DP28" s="1064" t="str">
        <f t="shared" si="101"/>
        <v/>
      </c>
      <c r="DQ28" s="1064" t="str">
        <f t="shared" si="102"/>
        <v/>
      </c>
      <c r="DR28" s="1064" t="str">
        <f t="shared" si="103"/>
        <v/>
      </c>
      <c r="DS28" s="1064" t="str">
        <f t="shared" si="104"/>
        <v/>
      </c>
      <c r="DT28" s="1064" t="str">
        <f t="shared" si="105"/>
        <v/>
      </c>
      <c r="DU28" s="1064" t="str">
        <f t="shared" si="106"/>
        <v/>
      </c>
      <c r="DV28" s="1064" t="str">
        <f t="shared" si="107"/>
        <v/>
      </c>
      <c r="DW28" s="1064" t="str">
        <f t="shared" si="108"/>
        <v/>
      </c>
      <c r="DX28" s="1064" t="str">
        <f t="shared" si="109"/>
        <v/>
      </c>
      <c r="DY28" s="1064" t="str">
        <f t="shared" si="110"/>
        <v/>
      </c>
      <c r="DZ28" s="1064" t="str">
        <f t="shared" si="111"/>
        <v/>
      </c>
      <c r="EA28" s="1064" t="str">
        <f t="shared" si="112"/>
        <v/>
      </c>
      <c r="EB28" s="1064" t="str">
        <f t="shared" si="113"/>
        <v/>
      </c>
      <c r="EC28" s="1064" t="str">
        <f t="shared" si="114"/>
        <v/>
      </c>
      <c r="ED28" s="1064" t="str">
        <f t="shared" si="115"/>
        <v/>
      </c>
      <c r="EE28" s="1064" t="str">
        <f t="shared" si="116"/>
        <v/>
      </c>
      <c r="EF28" s="1064" t="str">
        <f t="shared" si="117"/>
        <v/>
      </c>
      <c r="EG28" s="1064" t="str">
        <f t="shared" si="313"/>
        <v/>
      </c>
      <c r="EH28" s="1064" t="str">
        <f t="shared" si="118"/>
        <v/>
      </c>
      <c r="EI28" s="1064" t="str">
        <f t="shared" si="119"/>
        <v/>
      </c>
      <c r="EJ28" s="1064" t="str">
        <f t="shared" si="120"/>
        <v/>
      </c>
      <c r="EK28" s="1064" t="str">
        <f t="shared" si="121"/>
        <v/>
      </c>
      <c r="EL28" s="1064" t="str">
        <f t="shared" si="122"/>
        <v/>
      </c>
      <c r="EM28" s="1064" t="str">
        <f t="shared" si="123"/>
        <v/>
      </c>
      <c r="EN28" s="1064" t="str">
        <f t="shared" si="124"/>
        <v/>
      </c>
      <c r="EO28" s="1064" t="str">
        <f t="shared" si="125"/>
        <v/>
      </c>
      <c r="EP28" s="1064" t="str">
        <f t="shared" si="126"/>
        <v/>
      </c>
      <c r="EQ28" s="1064" t="str">
        <f t="shared" si="127"/>
        <v/>
      </c>
      <c r="ER28" s="1064" t="str">
        <f t="shared" si="128"/>
        <v/>
      </c>
      <c r="ES28" s="1064" t="str">
        <f t="shared" si="129"/>
        <v/>
      </c>
      <c r="ET28" s="1064" t="str">
        <f t="shared" si="130"/>
        <v/>
      </c>
      <c r="EU28" s="1064" t="str">
        <f t="shared" si="131"/>
        <v/>
      </c>
      <c r="EV28" s="1064" t="str">
        <f t="shared" si="132"/>
        <v/>
      </c>
      <c r="EW28" s="1064" t="str">
        <f t="shared" si="314"/>
        <v/>
      </c>
      <c r="EX28" s="1064" t="str">
        <f t="shared" si="315"/>
        <v/>
      </c>
      <c r="EY28" s="1064" t="str">
        <f t="shared" si="316"/>
        <v/>
      </c>
      <c r="EZ28" s="1064" t="str">
        <f t="shared" si="317"/>
        <v/>
      </c>
      <c r="FA28" s="1064" t="str">
        <f t="shared" si="318"/>
        <v/>
      </c>
      <c r="FB28" s="1064" t="str">
        <f t="shared" si="133"/>
        <v/>
      </c>
      <c r="FC28" s="1064" t="str">
        <f t="shared" si="134"/>
        <v/>
      </c>
      <c r="FD28" s="1064" t="str">
        <f t="shared" si="135"/>
        <v/>
      </c>
      <c r="FE28" s="1064" t="str">
        <f t="shared" si="136"/>
        <v/>
      </c>
      <c r="FF28" s="1064" t="str">
        <f t="shared" si="137"/>
        <v/>
      </c>
      <c r="FG28" s="1064" t="str">
        <f t="shared" si="319"/>
        <v/>
      </c>
      <c r="FH28" s="1064" t="str">
        <f t="shared" si="320"/>
        <v/>
      </c>
      <c r="FI28" s="1064" t="str">
        <f t="shared" si="321"/>
        <v/>
      </c>
      <c r="FJ28" s="1064" t="str">
        <f t="shared" si="322"/>
        <v/>
      </c>
      <c r="FK28" s="1064" t="str">
        <f t="shared" si="323"/>
        <v/>
      </c>
      <c r="FL28" s="1064" t="str">
        <f t="shared" si="138"/>
        <v/>
      </c>
      <c r="FM28" s="1064" t="str">
        <f t="shared" si="139"/>
        <v/>
      </c>
      <c r="FN28" s="1064" t="str">
        <f t="shared" si="140"/>
        <v/>
      </c>
      <c r="FO28" s="1064" t="str">
        <f t="shared" si="141"/>
        <v/>
      </c>
      <c r="FP28" s="1064" t="str">
        <f t="shared" si="142"/>
        <v/>
      </c>
      <c r="FQ28" s="1064" t="str">
        <f t="shared" si="143"/>
        <v/>
      </c>
      <c r="FR28" s="1064" t="str">
        <f t="shared" si="144"/>
        <v/>
      </c>
      <c r="FS28" s="1064" t="str">
        <f t="shared" si="145"/>
        <v/>
      </c>
      <c r="FT28" s="1064" t="str">
        <f t="shared" si="146"/>
        <v/>
      </c>
      <c r="FU28" s="1064" t="str">
        <f t="shared" si="147"/>
        <v/>
      </c>
      <c r="FV28" s="1064" t="str">
        <f t="shared" si="148"/>
        <v/>
      </c>
      <c r="FW28" s="1064" t="str">
        <f t="shared" si="149"/>
        <v/>
      </c>
      <c r="FX28" s="1064" t="str">
        <f t="shared" si="150"/>
        <v/>
      </c>
      <c r="FY28" s="1064" t="str">
        <f t="shared" si="151"/>
        <v/>
      </c>
      <c r="FZ28" s="1064" t="str">
        <f t="shared" si="152"/>
        <v/>
      </c>
      <c r="GA28" s="1064" t="str">
        <f t="shared" si="153"/>
        <v/>
      </c>
      <c r="GB28" s="1064" t="str">
        <f t="shared" si="154"/>
        <v/>
      </c>
      <c r="GC28" s="1064" t="str">
        <f t="shared" si="155"/>
        <v/>
      </c>
      <c r="GD28" s="1064" t="str">
        <f t="shared" si="156"/>
        <v/>
      </c>
      <c r="GE28" s="1064" t="str">
        <f t="shared" si="157"/>
        <v/>
      </c>
      <c r="GF28" s="1064" t="str">
        <f t="shared" si="158"/>
        <v/>
      </c>
      <c r="GG28" s="1064" t="str">
        <f t="shared" si="159"/>
        <v/>
      </c>
      <c r="GH28" s="1064" t="str">
        <f t="shared" si="160"/>
        <v/>
      </c>
      <c r="GI28" s="1064" t="str">
        <f t="shared" si="161"/>
        <v/>
      </c>
      <c r="GJ28" s="1064" t="str">
        <f t="shared" si="162"/>
        <v/>
      </c>
      <c r="GK28" s="1064" t="str">
        <f t="shared" si="163"/>
        <v/>
      </c>
      <c r="GL28" s="1064" t="str">
        <f t="shared" si="164"/>
        <v/>
      </c>
      <c r="GM28" s="1064" t="str">
        <f t="shared" si="165"/>
        <v/>
      </c>
      <c r="GN28" s="1064" t="str">
        <f t="shared" si="166"/>
        <v/>
      </c>
      <c r="GO28" s="1064" t="str">
        <f t="shared" si="167"/>
        <v/>
      </c>
      <c r="GP28" s="1064" t="str">
        <f t="shared" si="168"/>
        <v/>
      </c>
      <c r="GQ28" s="1064" t="str">
        <f t="shared" si="169"/>
        <v/>
      </c>
      <c r="GR28" s="1064" t="str">
        <f t="shared" si="170"/>
        <v/>
      </c>
      <c r="GS28" s="1064" t="str">
        <f t="shared" si="171"/>
        <v/>
      </c>
      <c r="GT28" s="1064" t="str">
        <f t="shared" si="172"/>
        <v/>
      </c>
      <c r="GU28" s="1064" t="str">
        <f t="shared" si="173"/>
        <v/>
      </c>
      <c r="GV28" s="1064" t="str">
        <f t="shared" si="174"/>
        <v/>
      </c>
      <c r="GW28" s="1064" t="str">
        <f t="shared" si="175"/>
        <v/>
      </c>
      <c r="GX28" s="1064" t="str">
        <f t="shared" si="176"/>
        <v/>
      </c>
      <c r="GY28" s="1064" t="str">
        <f t="shared" si="177"/>
        <v/>
      </c>
      <c r="GZ28" s="1064" t="str">
        <f t="shared" si="178"/>
        <v/>
      </c>
      <c r="HA28" s="1064" t="str">
        <f t="shared" si="179"/>
        <v/>
      </c>
      <c r="HB28" s="1064" t="str">
        <f t="shared" si="180"/>
        <v/>
      </c>
      <c r="HC28" s="1064" t="str">
        <f t="shared" si="181"/>
        <v/>
      </c>
      <c r="HD28" s="1064" t="str">
        <f t="shared" si="182"/>
        <v/>
      </c>
      <c r="HE28" s="1064" t="str">
        <f t="shared" si="183"/>
        <v/>
      </c>
      <c r="HF28" s="1064" t="str">
        <f t="shared" si="184"/>
        <v/>
      </c>
      <c r="HG28" s="1064" t="str">
        <f t="shared" si="185"/>
        <v/>
      </c>
      <c r="HH28" s="1064" t="str">
        <f t="shared" si="186"/>
        <v/>
      </c>
      <c r="HI28" s="1064" t="str">
        <f t="shared" si="187"/>
        <v/>
      </c>
      <c r="HJ28" s="1064" t="str">
        <f t="shared" si="188"/>
        <v/>
      </c>
      <c r="HK28" s="1064" t="str">
        <f t="shared" si="189"/>
        <v/>
      </c>
      <c r="HL28" s="1064" t="str">
        <f t="shared" si="190"/>
        <v/>
      </c>
      <c r="HM28" s="1064" t="str">
        <f t="shared" si="191"/>
        <v/>
      </c>
      <c r="HN28" s="1064" t="str">
        <f t="shared" si="192"/>
        <v/>
      </c>
      <c r="HO28" s="1064" t="str">
        <f t="shared" si="193"/>
        <v/>
      </c>
      <c r="HP28" s="1064" t="str">
        <f t="shared" si="194"/>
        <v/>
      </c>
      <c r="HQ28" s="1064" t="str">
        <f t="shared" si="195"/>
        <v/>
      </c>
      <c r="HR28" s="1064" t="str">
        <f t="shared" si="196"/>
        <v/>
      </c>
      <c r="HS28" s="1064" t="str">
        <f t="shared" si="197"/>
        <v/>
      </c>
      <c r="HT28" s="1064" t="str">
        <f t="shared" si="198"/>
        <v/>
      </c>
      <c r="HU28" s="1064" t="str">
        <f t="shared" si="199"/>
        <v/>
      </c>
      <c r="HV28" s="1064" t="str">
        <f t="shared" si="200"/>
        <v/>
      </c>
      <c r="HW28" s="1064" t="str">
        <f t="shared" si="201"/>
        <v/>
      </c>
      <c r="HX28" s="1064" t="str">
        <f t="shared" si="202"/>
        <v/>
      </c>
      <c r="HY28" s="1097" t="str">
        <f t="shared" si="203"/>
        <v/>
      </c>
      <c r="HZ28" s="1097" t="str">
        <f t="shared" si="204"/>
        <v/>
      </c>
      <c r="IA28" s="1097" t="str">
        <f t="shared" si="205"/>
        <v/>
      </c>
      <c r="IB28" s="1097" t="str">
        <f t="shared" si="206"/>
        <v/>
      </c>
      <c r="IC28" s="1097" t="str">
        <f t="shared" si="207"/>
        <v/>
      </c>
      <c r="ID28" s="1097" t="str">
        <f t="shared" si="208"/>
        <v/>
      </c>
      <c r="IE28" s="1097" t="str">
        <f t="shared" si="209"/>
        <v/>
      </c>
      <c r="IF28" s="1097" t="str">
        <f t="shared" si="210"/>
        <v/>
      </c>
      <c r="IG28" s="1097" t="str">
        <f t="shared" si="211"/>
        <v/>
      </c>
      <c r="IH28" s="1097" t="str">
        <f t="shared" si="212"/>
        <v/>
      </c>
      <c r="II28" s="1097" t="str">
        <f t="shared" si="213"/>
        <v/>
      </c>
      <c r="IJ28" s="1097" t="str">
        <f t="shared" si="214"/>
        <v/>
      </c>
      <c r="IK28" s="1097" t="str">
        <f t="shared" si="215"/>
        <v/>
      </c>
      <c r="IL28" s="1097" t="str">
        <f t="shared" si="216"/>
        <v/>
      </c>
      <c r="IM28" s="1097" t="str">
        <f t="shared" si="217"/>
        <v/>
      </c>
      <c r="IN28" s="1097" t="str">
        <f t="shared" si="218"/>
        <v/>
      </c>
      <c r="IO28" s="1097" t="str">
        <f t="shared" si="219"/>
        <v/>
      </c>
      <c r="IP28" s="1097" t="str">
        <f t="shared" si="220"/>
        <v/>
      </c>
      <c r="IQ28" s="1097" t="str">
        <f t="shared" si="221"/>
        <v/>
      </c>
      <c r="IR28" s="1097" t="str">
        <f t="shared" si="222"/>
        <v/>
      </c>
      <c r="IS28" s="1097" t="str">
        <f t="shared" si="223"/>
        <v/>
      </c>
      <c r="IT28" s="1097" t="str">
        <f t="shared" si="224"/>
        <v/>
      </c>
      <c r="IU28" s="1097" t="str">
        <f t="shared" si="225"/>
        <v/>
      </c>
      <c r="IV28" s="1097" t="str">
        <f t="shared" si="226"/>
        <v/>
      </c>
      <c r="IW28" s="1097" t="str">
        <f t="shared" si="227"/>
        <v/>
      </c>
      <c r="IX28" s="1097" t="str">
        <f t="shared" si="228"/>
        <v/>
      </c>
      <c r="IY28" s="1097" t="str">
        <f t="shared" si="229"/>
        <v/>
      </c>
      <c r="IZ28" s="1097" t="str">
        <f t="shared" si="230"/>
        <v/>
      </c>
      <c r="JA28" s="1097" t="str">
        <f t="shared" si="231"/>
        <v/>
      </c>
      <c r="JB28" s="1097" t="str">
        <f t="shared" si="232"/>
        <v/>
      </c>
      <c r="JC28" s="1097" t="str">
        <f t="shared" si="233"/>
        <v/>
      </c>
      <c r="JD28" s="1097" t="str">
        <f t="shared" si="234"/>
        <v/>
      </c>
      <c r="JE28" s="1097" t="str">
        <f t="shared" si="235"/>
        <v/>
      </c>
      <c r="JF28" s="1097" t="str">
        <f t="shared" si="236"/>
        <v/>
      </c>
      <c r="JG28" s="1097" t="str">
        <f t="shared" si="237"/>
        <v/>
      </c>
      <c r="JH28" s="1097" t="str">
        <f t="shared" si="238"/>
        <v/>
      </c>
      <c r="JI28" s="1097" t="str">
        <f t="shared" si="239"/>
        <v/>
      </c>
      <c r="JJ28" s="1097" t="str">
        <f t="shared" si="240"/>
        <v/>
      </c>
      <c r="JK28" s="1097" t="str">
        <f t="shared" si="241"/>
        <v/>
      </c>
      <c r="JL28" s="1097" t="str">
        <f t="shared" si="242"/>
        <v/>
      </c>
      <c r="JM28" s="1097" t="str">
        <f t="shared" si="243"/>
        <v/>
      </c>
      <c r="JN28" s="1097" t="str">
        <f t="shared" si="244"/>
        <v/>
      </c>
      <c r="JO28" s="1097" t="str">
        <f t="shared" si="245"/>
        <v/>
      </c>
      <c r="JP28" s="1097" t="str">
        <f t="shared" si="246"/>
        <v/>
      </c>
      <c r="JQ28" s="1097" t="str">
        <f t="shared" si="247"/>
        <v/>
      </c>
      <c r="JR28" s="1097" t="str">
        <f t="shared" si="248"/>
        <v/>
      </c>
      <c r="JS28" s="1097" t="str">
        <f t="shared" si="249"/>
        <v/>
      </c>
      <c r="JT28" s="1097" t="str">
        <f t="shared" si="250"/>
        <v/>
      </c>
      <c r="JU28" s="1097" t="str">
        <f t="shared" si="251"/>
        <v/>
      </c>
      <c r="JV28" s="1097" t="str">
        <f t="shared" si="252"/>
        <v/>
      </c>
      <c r="JW28" s="1097" t="str">
        <f t="shared" si="253"/>
        <v/>
      </c>
      <c r="JX28" s="1097" t="str">
        <f t="shared" si="254"/>
        <v/>
      </c>
      <c r="JY28" s="1097" t="str">
        <f t="shared" si="255"/>
        <v/>
      </c>
      <c r="JZ28" s="1097" t="str">
        <f t="shared" si="256"/>
        <v/>
      </c>
      <c r="KA28" s="1097" t="str">
        <f t="shared" si="257"/>
        <v/>
      </c>
      <c r="KB28" s="1097" t="str">
        <f t="shared" si="258"/>
        <v/>
      </c>
      <c r="KC28" s="1097" t="str">
        <f t="shared" si="259"/>
        <v/>
      </c>
      <c r="KD28" s="1097" t="str">
        <f t="shared" si="260"/>
        <v/>
      </c>
      <c r="KE28" s="1097" t="str">
        <f t="shared" si="261"/>
        <v/>
      </c>
      <c r="KF28" s="1097" t="str">
        <f t="shared" si="262"/>
        <v/>
      </c>
      <c r="KG28" s="1097" t="str">
        <f t="shared" si="263"/>
        <v/>
      </c>
      <c r="KH28" s="1097" t="str">
        <f t="shared" si="264"/>
        <v/>
      </c>
      <c r="KI28" s="1097" t="str">
        <f t="shared" si="265"/>
        <v/>
      </c>
      <c r="KJ28" s="1097" t="str">
        <f t="shared" si="266"/>
        <v/>
      </c>
      <c r="KK28" s="1097" t="str">
        <f t="shared" si="267"/>
        <v/>
      </c>
      <c r="KL28" s="1097" t="str">
        <f t="shared" si="268"/>
        <v/>
      </c>
      <c r="KM28" s="1097" t="str">
        <f t="shared" si="269"/>
        <v/>
      </c>
      <c r="KN28" s="1097" t="str">
        <f t="shared" si="270"/>
        <v/>
      </c>
      <c r="KO28" s="1097" t="str">
        <f t="shared" si="271"/>
        <v/>
      </c>
      <c r="KP28" s="1097" t="str">
        <f t="shared" si="272"/>
        <v/>
      </c>
      <c r="KQ28" s="1097" t="str">
        <f t="shared" si="273"/>
        <v/>
      </c>
      <c r="KR28" s="1097" t="str">
        <f t="shared" si="274"/>
        <v/>
      </c>
      <c r="KS28" s="1097" t="str">
        <f t="shared" si="275"/>
        <v/>
      </c>
      <c r="KT28" s="1097" t="str">
        <f t="shared" si="276"/>
        <v/>
      </c>
      <c r="KU28" s="1097" t="str">
        <f t="shared" si="277"/>
        <v/>
      </c>
      <c r="KV28" s="1097" t="str">
        <f t="shared" si="278"/>
        <v/>
      </c>
      <c r="KW28" s="1097" t="str">
        <f t="shared" si="279"/>
        <v/>
      </c>
      <c r="KX28" s="1097" t="str">
        <f t="shared" si="280"/>
        <v/>
      </c>
      <c r="KY28" s="1097" t="str">
        <f t="shared" si="281"/>
        <v/>
      </c>
      <c r="KZ28" s="1097" t="str">
        <f t="shared" si="282"/>
        <v/>
      </c>
      <c r="LA28" s="1097" t="str">
        <f t="shared" si="283"/>
        <v/>
      </c>
      <c r="LB28" s="1097" t="str">
        <f t="shared" si="284"/>
        <v/>
      </c>
      <c r="LC28" s="1097" t="str">
        <f t="shared" si="285"/>
        <v/>
      </c>
      <c r="LD28" s="1097" t="str">
        <f t="shared" si="286"/>
        <v/>
      </c>
      <c r="LE28" s="1097" t="str">
        <f t="shared" si="287"/>
        <v/>
      </c>
      <c r="LF28" s="1098" t="str">
        <f t="shared" si="288"/>
        <v/>
      </c>
      <c r="LG28" s="1098" t="str">
        <f t="shared" si="289"/>
        <v/>
      </c>
      <c r="LH28" s="1098" t="str">
        <f t="shared" si="290"/>
        <v/>
      </c>
      <c r="LI28" s="1098" t="str">
        <f t="shared" si="291"/>
        <v/>
      </c>
      <c r="LJ28" s="1098" t="str">
        <f t="shared" si="292"/>
        <v/>
      </c>
      <c r="LK28" s="1064" t="str">
        <f t="shared" si="293"/>
        <v/>
      </c>
      <c r="LL28" s="1064" t="str">
        <f t="shared" si="294"/>
        <v/>
      </c>
      <c r="LM28" s="1064" t="str">
        <f t="shared" si="295"/>
        <v/>
      </c>
      <c r="LN28" s="1064" t="str">
        <f t="shared" si="296"/>
        <v/>
      </c>
      <c r="LO28" s="1064" t="str">
        <f t="shared" si="297"/>
        <v/>
      </c>
      <c r="LP28" s="1064" t="str">
        <f t="shared" si="298"/>
        <v/>
      </c>
      <c r="LQ28" s="1064" t="str">
        <f t="shared" si="299"/>
        <v/>
      </c>
      <c r="LR28" s="1064" t="str">
        <f t="shared" si="300"/>
        <v/>
      </c>
      <c r="LS28" s="1064" t="str">
        <f t="shared" si="301"/>
        <v/>
      </c>
      <c r="LT28" s="1064" t="str">
        <f t="shared" si="302"/>
        <v/>
      </c>
      <c r="LU28" s="1064" t="str">
        <f t="shared" si="303"/>
        <v/>
      </c>
      <c r="LV28" s="1064" t="str">
        <f t="shared" si="304"/>
        <v/>
      </c>
      <c r="LW28" s="1064" t="str">
        <f t="shared" si="305"/>
        <v/>
      </c>
      <c r="LX28" s="1064" t="str">
        <f t="shared" si="306"/>
        <v/>
      </c>
      <c r="LY28" s="1064" t="str">
        <f t="shared" si="307"/>
        <v/>
      </c>
      <c r="LZ28" s="1064" t="str">
        <f t="shared" si="308"/>
        <v/>
      </c>
      <c r="MA28" s="1064" t="str">
        <f t="shared" si="309"/>
        <v/>
      </c>
      <c r="MB28" s="1064" t="str">
        <f t="shared" si="310"/>
        <v/>
      </c>
      <c r="MC28" s="1064" t="str">
        <f t="shared" si="311"/>
        <v/>
      </c>
      <c r="MD28" s="1064" t="str">
        <f t="shared" si="312"/>
        <v/>
      </c>
      <c r="ME28" s="1081">
        <f t="shared" si="324"/>
        <v>0</v>
      </c>
      <c r="MF28" s="1081">
        <f t="shared" si="325"/>
        <v>0</v>
      </c>
      <c r="MG28" s="1081">
        <f t="shared" si="326"/>
        <v>0</v>
      </c>
      <c r="MH28" s="1081">
        <f t="shared" si="327"/>
        <v>0</v>
      </c>
      <c r="MI28" s="1081">
        <f t="shared" si="328"/>
        <v>0</v>
      </c>
      <c r="MJ28" s="1081">
        <f t="shared" si="329"/>
        <v>0</v>
      </c>
      <c r="MK28" s="1081">
        <f t="shared" si="330"/>
        <v>0</v>
      </c>
      <c r="ML28" s="1081">
        <f t="shared" si="331"/>
        <v>0</v>
      </c>
      <c r="MM28" s="1081">
        <f t="shared" si="332"/>
        <v>0</v>
      </c>
      <c r="MN28" s="1081">
        <f t="shared" si="333"/>
        <v>0</v>
      </c>
      <c r="MO28" s="1081">
        <f t="shared" si="334"/>
        <v>0</v>
      </c>
      <c r="MP28" s="1081">
        <f t="shared" si="335"/>
        <v>0</v>
      </c>
      <c r="MQ28" s="1081">
        <f t="shared" si="336"/>
        <v>0</v>
      </c>
      <c r="MR28" s="1081">
        <f t="shared" si="337"/>
        <v>0</v>
      </c>
      <c r="MS28" s="1081">
        <f t="shared" si="338"/>
        <v>0</v>
      </c>
    </row>
    <row r="29" spans="1:357" ht="12" customHeight="1">
      <c r="A29" s="1088" t="str">
        <f t="shared" si="0"/>
        <v/>
      </c>
      <c r="B29" s="44"/>
      <c r="C29" s="41"/>
      <c r="D29" s="42"/>
      <c r="E29" s="43"/>
      <c r="F29" s="43"/>
      <c r="G29" s="43"/>
      <c r="H29" s="43"/>
      <c r="I29" s="1100">
        <f>IF(C29="",0,HLOOKUP(C29,'Part V-Utility Allowances'!$I$11:$M$22,12))</f>
        <v>0</v>
      </c>
      <c r="J29" s="810"/>
      <c r="K29" s="512">
        <f t="shared" si="1"/>
        <v>0</v>
      </c>
      <c r="L29" s="512">
        <f t="shared" si="2"/>
        <v>0</v>
      </c>
      <c r="M29" s="1101"/>
      <c r="N29" s="1101"/>
      <c r="O29" s="1101"/>
      <c r="P29" s="1102"/>
      <c r="Q29" s="1103" t="str">
        <f t="shared" si="3"/>
        <v/>
      </c>
      <c r="R29" s="1104" t="str">
        <f>IF(H29="","",IF(C29="Efficiency",Q29/($O$6*VLOOKUP(0,'DCA Underwriting Assumptions'!$J$146:$K$151,2,FALSE)),Q29/($O$6*VLOOKUP(C29,'DCA Underwriting Assumptions'!$J$146:$K$151,2,FALSE))))</f>
        <v/>
      </c>
      <c r="S29" s="1105"/>
      <c r="T29" s="1106"/>
      <c r="U29" s="2314"/>
      <c r="V29" s="2316"/>
      <c r="W29" s="1064" t="str">
        <f t="shared" si="4"/>
        <v/>
      </c>
      <c r="X29" s="1064" t="str">
        <f t="shared" si="5"/>
        <v/>
      </c>
      <c r="Y29" s="1064" t="str">
        <f t="shared" si="6"/>
        <v/>
      </c>
      <c r="Z29" s="1064" t="str">
        <f t="shared" si="7"/>
        <v/>
      </c>
      <c r="AA29" s="1064" t="str">
        <f t="shared" si="8"/>
        <v/>
      </c>
      <c r="AB29" s="1064" t="str">
        <f t="shared" si="9"/>
        <v/>
      </c>
      <c r="AC29" s="1064" t="str">
        <f t="shared" si="10"/>
        <v/>
      </c>
      <c r="AD29" s="1064" t="str">
        <f t="shared" si="11"/>
        <v/>
      </c>
      <c r="AE29" s="1064" t="str">
        <f t="shared" si="12"/>
        <v/>
      </c>
      <c r="AF29" s="1064" t="str">
        <f t="shared" si="13"/>
        <v/>
      </c>
      <c r="AG29" s="1064" t="str">
        <f t="shared" si="14"/>
        <v/>
      </c>
      <c r="AH29" s="1064" t="str">
        <f t="shared" si="15"/>
        <v/>
      </c>
      <c r="AI29" s="1064" t="str">
        <f t="shared" si="16"/>
        <v/>
      </c>
      <c r="AJ29" s="1064" t="str">
        <f t="shared" si="17"/>
        <v/>
      </c>
      <c r="AK29" s="1064" t="str">
        <f t="shared" si="18"/>
        <v/>
      </c>
      <c r="AL29" s="1064" t="str">
        <f t="shared" si="19"/>
        <v/>
      </c>
      <c r="AM29" s="1064" t="str">
        <f t="shared" si="20"/>
        <v/>
      </c>
      <c r="AN29" s="1064" t="str">
        <f t="shared" si="21"/>
        <v/>
      </c>
      <c r="AO29" s="1064" t="str">
        <f t="shared" si="22"/>
        <v/>
      </c>
      <c r="AP29" s="1064" t="str">
        <f t="shared" si="23"/>
        <v/>
      </c>
      <c r="AQ29" s="1064" t="str">
        <f t="shared" si="24"/>
        <v/>
      </c>
      <c r="AR29" s="1064" t="str">
        <f t="shared" si="25"/>
        <v/>
      </c>
      <c r="AS29" s="1064" t="str">
        <f t="shared" si="26"/>
        <v/>
      </c>
      <c r="AT29" s="1064" t="str">
        <f t="shared" si="27"/>
        <v/>
      </c>
      <c r="AU29" s="1064" t="str">
        <f t="shared" si="28"/>
        <v/>
      </c>
      <c r="AV29" s="1064" t="str">
        <f t="shared" si="29"/>
        <v/>
      </c>
      <c r="AW29" s="1064" t="str">
        <f t="shared" si="30"/>
        <v/>
      </c>
      <c r="AX29" s="1064" t="str">
        <f t="shared" si="31"/>
        <v/>
      </c>
      <c r="AY29" s="1064" t="str">
        <f t="shared" si="32"/>
        <v/>
      </c>
      <c r="AZ29" s="1064" t="str">
        <f t="shared" si="33"/>
        <v/>
      </c>
      <c r="BA29" s="1064" t="str">
        <f t="shared" si="34"/>
        <v/>
      </c>
      <c r="BB29" s="1064" t="str">
        <f t="shared" si="35"/>
        <v/>
      </c>
      <c r="BC29" s="1064" t="str">
        <f t="shared" si="36"/>
        <v/>
      </c>
      <c r="BD29" s="1064" t="str">
        <f t="shared" si="37"/>
        <v/>
      </c>
      <c r="BE29" s="1064" t="str">
        <f t="shared" si="38"/>
        <v/>
      </c>
      <c r="BF29" s="1064" t="str">
        <f t="shared" si="39"/>
        <v/>
      </c>
      <c r="BG29" s="1064" t="str">
        <f t="shared" si="40"/>
        <v/>
      </c>
      <c r="BH29" s="1064" t="str">
        <f t="shared" si="41"/>
        <v/>
      </c>
      <c r="BI29" s="1064" t="str">
        <f t="shared" si="42"/>
        <v/>
      </c>
      <c r="BJ29" s="1064" t="str">
        <f t="shared" si="43"/>
        <v/>
      </c>
      <c r="BK29" s="1064" t="str">
        <f t="shared" si="44"/>
        <v/>
      </c>
      <c r="BL29" s="1064" t="str">
        <f t="shared" si="45"/>
        <v/>
      </c>
      <c r="BM29" s="1064" t="str">
        <f t="shared" si="46"/>
        <v/>
      </c>
      <c r="BN29" s="1064" t="str">
        <f t="shared" si="47"/>
        <v/>
      </c>
      <c r="BO29" s="1064" t="str">
        <f t="shared" si="48"/>
        <v/>
      </c>
      <c r="BP29" s="1064" t="str">
        <f t="shared" si="49"/>
        <v/>
      </c>
      <c r="BQ29" s="1064" t="str">
        <f t="shared" si="50"/>
        <v/>
      </c>
      <c r="BR29" s="1064" t="str">
        <f t="shared" si="51"/>
        <v/>
      </c>
      <c r="BS29" s="1064" t="str">
        <f t="shared" si="52"/>
        <v/>
      </c>
      <c r="BT29" s="1064" t="str">
        <f t="shared" si="53"/>
        <v/>
      </c>
      <c r="BU29" s="1064" t="str">
        <f t="shared" si="54"/>
        <v/>
      </c>
      <c r="BV29" s="1064" t="str">
        <f t="shared" si="55"/>
        <v/>
      </c>
      <c r="BW29" s="1064" t="str">
        <f t="shared" si="56"/>
        <v/>
      </c>
      <c r="BX29" s="1064" t="str">
        <f t="shared" si="57"/>
        <v/>
      </c>
      <c r="BY29" s="1064" t="str">
        <f t="shared" si="58"/>
        <v/>
      </c>
      <c r="BZ29" s="1064" t="str">
        <f t="shared" si="59"/>
        <v/>
      </c>
      <c r="CA29" s="1064" t="str">
        <f t="shared" si="60"/>
        <v/>
      </c>
      <c r="CB29" s="1064" t="str">
        <f t="shared" si="61"/>
        <v/>
      </c>
      <c r="CC29" s="1064" t="str">
        <f t="shared" si="62"/>
        <v/>
      </c>
      <c r="CD29" s="1064" t="str">
        <f t="shared" si="63"/>
        <v/>
      </c>
      <c r="CE29" s="1064" t="str">
        <f t="shared" si="64"/>
        <v/>
      </c>
      <c r="CF29" s="1064" t="str">
        <f t="shared" si="65"/>
        <v/>
      </c>
      <c r="CG29" s="1064" t="str">
        <f t="shared" si="66"/>
        <v/>
      </c>
      <c r="CH29" s="1064" t="str">
        <f t="shared" si="67"/>
        <v/>
      </c>
      <c r="CI29" s="1064" t="str">
        <f t="shared" si="68"/>
        <v/>
      </c>
      <c r="CJ29" s="1064" t="str">
        <f t="shared" si="69"/>
        <v/>
      </c>
      <c r="CK29" s="1064" t="str">
        <f t="shared" si="70"/>
        <v/>
      </c>
      <c r="CL29" s="1064" t="str">
        <f t="shared" si="71"/>
        <v/>
      </c>
      <c r="CM29" s="1064" t="str">
        <f t="shared" si="72"/>
        <v/>
      </c>
      <c r="CN29" s="1064" t="str">
        <f t="shared" si="73"/>
        <v/>
      </c>
      <c r="CO29" s="1064" t="str">
        <f t="shared" si="74"/>
        <v/>
      </c>
      <c r="CP29" s="1064" t="str">
        <f t="shared" si="75"/>
        <v/>
      </c>
      <c r="CQ29" s="1064" t="str">
        <f t="shared" si="76"/>
        <v/>
      </c>
      <c r="CR29" s="1064" t="str">
        <f t="shared" si="77"/>
        <v/>
      </c>
      <c r="CS29" s="1064" t="str">
        <f t="shared" si="78"/>
        <v/>
      </c>
      <c r="CT29" s="1064" t="str">
        <f t="shared" si="79"/>
        <v/>
      </c>
      <c r="CU29" s="1064" t="str">
        <f t="shared" si="80"/>
        <v/>
      </c>
      <c r="CV29" s="1064" t="str">
        <f t="shared" si="81"/>
        <v/>
      </c>
      <c r="CW29" s="1064" t="str">
        <f t="shared" si="82"/>
        <v/>
      </c>
      <c r="CX29" s="1064" t="str">
        <f t="shared" si="83"/>
        <v/>
      </c>
      <c r="CY29" s="1064" t="str">
        <f t="shared" si="84"/>
        <v/>
      </c>
      <c r="CZ29" s="1064" t="str">
        <f t="shared" si="85"/>
        <v/>
      </c>
      <c r="DA29" s="1064" t="str">
        <f t="shared" si="86"/>
        <v/>
      </c>
      <c r="DB29" s="1064" t="str">
        <f t="shared" si="87"/>
        <v/>
      </c>
      <c r="DC29" s="1064" t="str">
        <f t="shared" si="88"/>
        <v/>
      </c>
      <c r="DD29" s="1064" t="str">
        <f t="shared" si="89"/>
        <v/>
      </c>
      <c r="DE29" s="1064" t="str">
        <f t="shared" si="90"/>
        <v/>
      </c>
      <c r="DF29" s="1064" t="str">
        <f t="shared" si="91"/>
        <v/>
      </c>
      <c r="DG29" s="1064" t="str">
        <f t="shared" si="92"/>
        <v/>
      </c>
      <c r="DH29" s="1064" t="str">
        <f t="shared" si="93"/>
        <v/>
      </c>
      <c r="DI29" s="1064" t="str">
        <f t="shared" si="94"/>
        <v/>
      </c>
      <c r="DJ29" s="1064" t="str">
        <f t="shared" si="95"/>
        <v/>
      </c>
      <c r="DK29" s="1064" t="str">
        <f t="shared" si="96"/>
        <v/>
      </c>
      <c r="DL29" s="1064" t="str">
        <f t="shared" si="97"/>
        <v/>
      </c>
      <c r="DM29" s="1064" t="str">
        <f t="shared" si="98"/>
        <v/>
      </c>
      <c r="DN29" s="1064" t="str">
        <f t="shared" si="99"/>
        <v/>
      </c>
      <c r="DO29" s="1064" t="str">
        <f t="shared" si="100"/>
        <v/>
      </c>
      <c r="DP29" s="1064" t="str">
        <f t="shared" si="101"/>
        <v/>
      </c>
      <c r="DQ29" s="1064" t="str">
        <f t="shared" si="102"/>
        <v/>
      </c>
      <c r="DR29" s="1064" t="str">
        <f t="shared" si="103"/>
        <v/>
      </c>
      <c r="DS29" s="1064" t="str">
        <f t="shared" si="104"/>
        <v/>
      </c>
      <c r="DT29" s="1064" t="str">
        <f t="shared" si="105"/>
        <v/>
      </c>
      <c r="DU29" s="1064" t="str">
        <f t="shared" si="106"/>
        <v/>
      </c>
      <c r="DV29" s="1064" t="str">
        <f t="shared" si="107"/>
        <v/>
      </c>
      <c r="DW29" s="1064" t="str">
        <f t="shared" si="108"/>
        <v/>
      </c>
      <c r="DX29" s="1064" t="str">
        <f t="shared" si="109"/>
        <v/>
      </c>
      <c r="DY29" s="1064" t="str">
        <f t="shared" si="110"/>
        <v/>
      </c>
      <c r="DZ29" s="1064" t="str">
        <f t="shared" si="111"/>
        <v/>
      </c>
      <c r="EA29" s="1064" t="str">
        <f t="shared" si="112"/>
        <v/>
      </c>
      <c r="EB29" s="1064" t="str">
        <f t="shared" si="113"/>
        <v/>
      </c>
      <c r="EC29" s="1064" t="str">
        <f t="shared" si="114"/>
        <v/>
      </c>
      <c r="ED29" s="1064" t="str">
        <f t="shared" si="115"/>
        <v/>
      </c>
      <c r="EE29" s="1064" t="str">
        <f t="shared" si="116"/>
        <v/>
      </c>
      <c r="EF29" s="1064" t="str">
        <f t="shared" si="117"/>
        <v/>
      </c>
      <c r="EG29" s="1064" t="str">
        <f t="shared" si="313"/>
        <v/>
      </c>
      <c r="EH29" s="1064" t="str">
        <f t="shared" si="118"/>
        <v/>
      </c>
      <c r="EI29" s="1064" t="str">
        <f t="shared" si="119"/>
        <v/>
      </c>
      <c r="EJ29" s="1064" t="str">
        <f t="shared" si="120"/>
        <v/>
      </c>
      <c r="EK29" s="1064" t="str">
        <f t="shared" si="121"/>
        <v/>
      </c>
      <c r="EL29" s="1064" t="str">
        <f t="shared" si="122"/>
        <v/>
      </c>
      <c r="EM29" s="1064" t="str">
        <f t="shared" si="123"/>
        <v/>
      </c>
      <c r="EN29" s="1064" t="str">
        <f t="shared" si="124"/>
        <v/>
      </c>
      <c r="EO29" s="1064" t="str">
        <f t="shared" si="125"/>
        <v/>
      </c>
      <c r="EP29" s="1064" t="str">
        <f t="shared" si="126"/>
        <v/>
      </c>
      <c r="EQ29" s="1064" t="str">
        <f t="shared" si="127"/>
        <v/>
      </c>
      <c r="ER29" s="1064" t="str">
        <f t="shared" si="128"/>
        <v/>
      </c>
      <c r="ES29" s="1064" t="str">
        <f t="shared" si="129"/>
        <v/>
      </c>
      <c r="ET29" s="1064" t="str">
        <f t="shared" si="130"/>
        <v/>
      </c>
      <c r="EU29" s="1064" t="str">
        <f t="shared" si="131"/>
        <v/>
      </c>
      <c r="EV29" s="1064" t="str">
        <f t="shared" si="132"/>
        <v/>
      </c>
      <c r="EW29" s="1064" t="str">
        <f t="shared" si="314"/>
        <v/>
      </c>
      <c r="EX29" s="1064" t="str">
        <f t="shared" si="315"/>
        <v/>
      </c>
      <c r="EY29" s="1064" t="str">
        <f t="shared" si="316"/>
        <v/>
      </c>
      <c r="EZ29" s="1064" t="str">
        <f t="shared" si="317"/>
        <v/>
      </c>
      <c r="FA29" s="1064" t="str">
        <f t="shared" si="318"/>
        <v/>
      </c>
      <c r="FB29" s="1064" t="str">
        <f t="shared" si="133"/>
        <v/>
      </c>
      <c r="FC29" s="1064" t="str">
        <f t="shared" si="134"/>
        <v/>
      </c>
      <c r="FD29" s="1064" t="str">
        <f t="shared" si="135"/>
        <v/>
      </c>
      <c r="FE29" s="1064" t="str">
        <f t="shared" si="136"/>
        <v/>
      </c>
      <c r="FF29" s="1064" t="str">
        <f t="shared" si="137"/>
        <v/>
      </c>
      <c r="FG29" s="1064" t="str">
        <f t="shared" si="319"/>
        <v/>
      </c>
      <c r="FH29" s="1064" t="str">
        <f t="shared" si="320"/>
        <v/>
      </c>
      <c r="FI29" s="1064" t="str">
        <f t="shared" si="321"/>
        <v/>
      </c>
      <c r="FJ29" s="1064" t="str">
        <f t="shared" si="322"/>
        <v/>
      </c>
      <c r="FK29" s="1064" t="str">
        <f t="shared" si="323"/>
        <v/>
      </c>
      <c r="FL29" s="1064" t="str">
        <f t="shared" si="138"/>
        <v/>
      </c>
      <c r="FM29" s="1064" t="str">
        <f t="shared" si="139"/>
        <v/>
      </c>
      <c r="FN29" s="1064" t="str">
        <f t="shared" si="140"/>
        <v/>
      </c>
      <c r="FO29" s="1064" t="str">
        <f t="shared" si="141"/>
        <v/>
      </c>
      <c r="FP29" s="1064" t="str">
        <f t="shared" si="142"/>
        <v/>
      </c>
      <c r="FQ29" s="1064" t="str">
        <f t="shared" si="143"/>
        <v/>
      </c>
      <c r="FR29" s="1064" t="str">
        <f t="shared" si="144"/>
        <v/>
      </c>
      <c r="FS29" s="1064" t="str">
        <f t="shared" si="145"/>
        <v/>
      </c>
      <c r="FT29" s="1064" t="str">
        <f t="shared" si="146"/>
        <v/>
      </c>
      <c r="FU29" s="1064" t="str">
        <f t="shared" si="147"/>
        <v/>
      </c>
      <c r="FV29" s="1064" t="str">
        <f t="shared" si="148"/>
        <v/>
      </c>
      <c r="FW29" s="1064" t="str">
        <f t="shared" si="149"/>
        <v/>
      </c>
      <c r="FX29" s="1064" t="str">
        <f t="shared" si="150"/>
        <v/>
      </c>
      <c r="FY29" s="1064" t="str">
        <f t="shared" si="151"/>
        <v/>
      </c>
      <c r="FZ29" s="1064" t="str">
        <f t="shared" si="152"/>
        <v/>
      </c>
      <c r="GA29" s="1064" t="str">
        <f t="shared" si="153"/>
        <v/>
      </c>
      <c r="GB29" s="1064" t="str">
        <f t="shared" si="154"/>
        <v/>
      </c>
      <c r="GC29" s="1064" t="str">
        <f t="shared" si="155"/>
        <v/>
      </c>
      <c r="GD29" s="1064" t="str">
        <f t="shared" si="156"/>
        <v/>
      </c>
      <c r="GE29" s="1064" t="str">
        <f t="shared" si="157"/>
        <v/>
      </c>
      <c r="GF29" s="1064" t="str">
        <f t="shared" si="158"/>
        <v/>
      </c>
      <c r="GG29" s="1064" t="str">
        <f t="shared" si="159"/>
        <v/>
      </c>
      <c r="GH29" s="1064" t="str">
        <f t="shared" si="160"/>
        <v/>
      </c>
      <c r="GI29" s="1064" t="str">
        <f t="shared" si="161"/>
        <v/>
      </c>
      <c r="GJ29" s="1064" t="str">
        <f t="shared" si="162"/>
        <v/>
      </c>
      <c r="GK29" s="1064" t="str">
        <f t="shared" si="163"/>
        <v/>
      </c>
      <c r="GL29" s="1064" t="str">
        <f t="shared" si="164"/>
        <v/>
      </c>
      <c r="GM29" s="1064" t="str">
        <f t="shared" si="165"/>
        <v/>
      </c>
      <c r="GN29" s="1064" t="str">
        <f t="shared" si="166"/>
        <v/>
      </c>
      <c r="GO29" s="1064" t="str">
        <f t="shared" si="167"/>
        <v/>
      </c>
      <c r="GP29" s="1064" t="str">
        <f t="shared" si="168"/>
        <v/>
      </c>
      <c r="GQ29" s="1064" t="str">
        <f t="shared" si="169"/>
        <v/>
      </c>
      <c r="GR29" s="1064" t="str">
        <f t="shared" si="170"/>
        <v/>
      </c>
      <c r="GS29" s="1064" t="str">
        <f t="shared" si="171"/>
        <v/>
      </c>
      <c r="GT29" s="1064" t="str">
        <f t="shared" si="172"/>
        <v/>
      </c>
      <c r="GU29" s="1064" t="str">
        <f t="shared" si="173"/>
        <v/>
      </c>
      <c r="GV29" s="1064" t="str">
        <f t="shared" si="174"/>
        <v/>
      </c>
      <c r="GW29" s="1064" t="str">
        <f t="shared" si="175"/>
        <v/>
      </c>
      <c r="GX29" s="1064" t="str">
        <f t="shared" si="176"/>
        <v/>
      </c>
      <c r="GY29" s="1064" t="str">
        <f t="shared" si="177"/>
        <v/>
      </c>
      <c r="GZ29" s="1064" t="str">
        <f t="shared" si="178"/>
        <v/>
      </c>
      <c r="HA29" s="1064" t="str">
        <f t="shared" si="179"/>
        <v/>
      </c>
      <c r="HB29" s="1064" t="str">
        <f t="shared" si="180"/>
        <v/>
      </c>
      <c r="HC29" s="1064" t="str">
        <f t="shared" si="181"/>
        <v/>
      </c>
      <c r="HD29" s="1064" t="str">
        <f t="shared" si="182"/>
        <v/>
      </c>
      <c r="HE29" s="1064" t="str">
        <f t="shared" si="183"/>
        <v/>
      </c>
      <c r="HF29" s="1064" t="str">
        <f t="shared" si="184"/>
        <v/>
      </c>
      <c r="HG29" s="1064" t="str">
        <f t="shared" si="185"/>
        <v/>
      </c>
      <c r="HH29" s="1064" t="str">
        <f t="shared" si="186"/>
        <v/>
      </c>
      <c r="HI29" s="1064" t="str">
        <f t="shared" si="187"/>
        <v/>
      </c>
      <c r="HJ29" s="1064" t="str">
        <f t="shared" si="188"/>
        <v/>
      </c>
      <c r="HK29" s="1064" t="str">
        <f t="shared" si="189"/>
        <v/>
      </c>
      <c r="HL29" s="1064" t="str">
        <f t="shared" si="190"/>
        <v/>
      </c>
      <c r="HM29" s="1064" t="str">
        <f t="shared" si="191"/>
        <v/>
      </c>
      <c r="HN29" s="1064" t="str">
        <f t="shared" si="192"/>
        <v/>
      </c>
      <c r="HO29" s="1064" t="str">
        <f t="shared" si="193"/>
        <v/>
      </c>
      <c r="HP29" s="1064" t="str">
        <f t="shared" si="194"/>
        <v/>
      </c>
      <c r="HQ29" s="1064" t="str">
        <f t="shared" si="195"/>
        <v/>
      </c>
      <c r="HR29" s="1064" t="str">
        <f t="shared" si="196"/>
        <v/>
      </c>
      <c r="HS29" s="1064" t="str">
        <f t="shared" si="197"/>
        <v/>
      </c>
      <c r="HT29" s="1064" t="str">
        <f t="shared" si="198"/>
        <v/>
      </c>
      <c r="HU29" s="1064" t="str">
        <f t="shared" si="199"/>
        <v/>
      </c>
      <c r="HV29" s="1064" t="str">
        <f t="shared" si="200"/>
        <v/>
      </c>
      <c r="HW29" s="1064" t="str">
        <f t="shared" si="201"/>
        <v/>
      </c>
      <c r="HX29" s="1064" t="str">
        <f t="shared" si="202"/>
        <v/>
      </c>
      <c r="HY29" s="1097" t="str">
        <f t="shared" si="203"/>
        <v/>
      </c>
      <c r="HZ29" s="1097" t="str">
        <f t="shared" si="204"/>
        <v/>
      </c>
      <c r="IA29" s="1097" t="str">
        <f t="shared" si="205"/>
        <v/>
      </c>
      <c r="IB29" s="1097" t="str">
        <f t="shared" si="206"/>
        <v/>
      </c>
      <c r="IC29" s="1097" t="str">
        <f t="shared" si="207"/>
        <v/>
      </c>
      <c r="ID29" s="1097" t="str">
        <f t="shared" si="208"/>
        <v/>
      </c>
      <c r="IE29" s="1097" t="str">
        <f t="shared" si="209"/>
        <v/>
      </c>
      <c r="IF29" s="1097" t="str">
        <f t="shared" si="210"/>
        <v/>
      </c>
      <c r="IG29" s="1097" t="str">
        <f t="shared" si="211"/>
        <v/>
      </c>
      <c r="IH29" s="1097" t="str">
        <f t="shared" si="212"/>
        <v/>
      </c>
      <c r="II29" s="1097" t="str">
        <f t="shared" si="213"/>
        <v/>
      </c>
      <c r="IJ29" s="1097" t="str">
        <f t="shared" si="214"/>
        <v/>
      </c>
      <c r="IK29" s="1097" t="str">
        <f t="shared" si="215"/>
        <v/>
      </c>
      <c r="IL29" s="1097" t="str">
        <f t="shared" si="216"/>
        <v/>
      </c>
      <c r="IM29" s="1097" t="str">
        <f t="shared" si="217"/>
        <v/>
      </c>
      <c r="IN29" s="1097" t="str">
        <f t="shared" si="218"/>
        <v/>
      </c>
      <c r="IO29" s="1097" t="str">
        <f t="shared" si="219"/>
        <v/>
      </c>
      <c r="IP29" s="1097" t="str">
        <f t="shared" si="220"/>
        <v/>
      </c>
      <c r="IQ29" s="1097" t="str">
        <f t="shared" si="221"/>
        <v/>
      </c>
      <c r="IR29" s="1097" t="str">
        <f t="shared" si="222"/>
        <v/>
      </c>
      <c r="IS29" s="1097" t="str">
        <f t="shared" si="223"/>
        <v/>
      </c>
      <c r="IT29" s="1097" t="str">
        <f t="shared" si="224"/>
        <v/>
      </c>
      <c r="IU29" s="1097" t="str">
        <f t="shared" si="225"/>
        <v/>
      </c>
      <c r="IV29" s="1097" t="str">
        <f t="shared" si="226"/>
        <v/>
      </c>
      <c r="IW29" s="1097" t="str">
        <f t="shared" si="227"/>
        <v/>
      </c>
      <c r="IX29" s="1097" t="str">
        <f t="shared" si="228"/>
        <v/>
      </c>
      <c r="IY29" s="1097" t="str">
        <f t="shared" si="229"/>
        <v/>
      </c>
      <c r="IZ29" s="1097" t="str">
        <f t="shared" si="230"/>
        <v/>
      </c>
      <c r="JA29" s="1097" t="str">
        <f t="shared" si="231"/>
        <v/>
      </c>
      <c r="JB29" s="1097" t="str">
        <f t="shared" si="232"/>
        <v/>
      </c>
      <c r="JC29" s="1097" t="str">
        <f t="shared" si="233"/>
        <v/>
      </c>
      <c r="JD29" s="1097" t="str">
        <f t="shared" si="234"/>
        <v/>
      </c>
      <c r="JE29" s="1097" t="str">
        <f t="shared" si="235"/>
        <v/>
      </c>
      <c r="JF29" s="1097" t="str">
        <f t="shared" si="236"/>
        <v/>
      </c>
      <c r="JG29" s="1097" t="str">
        <f t="shared" si="237"/>
        <v/>
      </c>
      <c r="JH29" s="1097" t="str">
        <f t="shared" si="238"/>
        <v/>
      </c>
      <c r="JI29" s="1097" t="str">
        <f t="shared" si="239"/>
        <v/>
      </c>
      <c r="JJ29" s="1097" t="str">
        <f t="shared" si="240"/>
        <v/>
      </c>
      <c r="JK29" s="1097" t="str">
        <f t="shared" si="241"/>
        <v/>
      </c>
      <c r="JL29" s="1097" t="str">
        <f t="shared" si="242"/>
        <v/>
      </c>
      <c r="JM29" s="1097" t="str">
        <f t="shared" si="243"/>
        <v/>
      </c>
      <c r="JN29" s="1097" t="str">
        <f t="shared" si="244"/>
        <v/>
      </c>
      <c r="JO29" s="1097" t="str">
        <f t="shared" si="245"/>
        <v/>
      </c>
      <c r="JP29" s="1097" t="str">
        <f t="shared" si="246"/>
        <v/>
      </c>
      <c r="JQ29" s="1097" t="str">
        <f t="shared" si="247"/>
        <v/>
      </c>
      <c r="JR29" s="1097" t="str">
        <f t="shared" si="248"/>
        <v/>
      </c>
      <c r="JS29" s="1097" t="str">
        <f t="shared" si="249"/>
        <v/>
      </c>
      <c r="JT29" s="1097" t="str">
        <f t="shared" si="250"/>
        <v/>
      </c>
      <c r="JU29" s="1097" t="str">
        <f t="shared" si="251"/>
        <v/>
      </c>
      <c r="JV29" s="1097" t="str">
        <f t="shared" si="252"/>
        <v/>
      </c>
      <c r="JW29" s="1097" t="str">
        <f t="shared" si="253"/>
        <v/>
      </c>
      <c r="JX29" s="1097" t="str">
        <f t="shared" si="254"/>
        <v/>
      </c>
      <c r="JY29" s="1097" t="str">
        <f t="shared" si="255"/>
        <v/>
      </c>
      <c r="JZ29" s="1097" t="str">
        <f t="shared" si="256"/>
        <v/>
      </c>
      <c r="KA29" s="1097" t="str">
        <f t="shared" si="257"/>
        <v/>
      </c>
      <c r="KB29" s="1097" t="str">
        <f t="shared" si="258"/>
        <v/>
      </c>
      <c r="KC29" s="1097" t="str">
        <f t="shared" si="259"/>
        <v/>
      </c>
      <c r="KD29" s="1097" t="str">
        <f t="shared" si="260"/>
        <v/>
      </c>
      <c r="KE29" s="1097" t="str">
        <f t="shared" si="261"/>
        <v/>
      </c>
      <c r="KF29" s="1097" t="str">
        <f t="shared" si="262"/>
        <v/>
      </c>
      <c r="KG29" s="1097" t="str">
        <f t="shared" si="263"/>
        <v/>
      </c>
      <c r="KH29" s="1097" t="str">
        <f t="shared" si="264"/>
        <v/>
      </c>
      <c r="KI29" s="1097" t="str">
        <f t="shared" si="265"/>
        <v/>
      </c>
      <c r="KJ29" s="1097" t="str">
        <f t="shared" si="266"/>
        <v/>
      </c>
      <c r="KK29" s="1097" t="str">
        <f t="shared" si="267"/>
        <v/>
      </c>
      <c r="KL29" s="1097" t="str">
        <f t="shared" si="268"/>
        <v/>
      </c>
      <c r="KM29" s="1097" t="str">
        <f t="shared" si="269"/>
        <v/>
      </c>
      <c r="KN29" s="1097" t="str">
        <f t="shared" si="270"/>
        <v/>
      </c>
      <c r="KO29" s="1097" t="str">
        <f t="shared" si="271"/>
        <v/>
      </c>
      <c r="KP29" s="1097" t="str">
        <f t="shared" si="272"/>
        <v/>
      </c>
      <c r="KQ29" s="1097" t="str">
        <f t="shared" si="273"/>
        <v/>
      </c>
      <c r="KR29" s="1097" t="str">
        <f t="shared" si="274"/>
        <v/>
      </c>
      <c r="KS29" s="1097" t="str">
        <f t="shared" si="275"/>
        <v/>
      </c>
      <c r="KT29" s="1097" t="str">
        <f t="shared" si="276"/>
        <v/>
      </c>
      <c r="KU29" s="1097" t="str">
        <f t="shared" si="277"/>
        <v/>
      </c>
      <c r="KV29" s="1097" t="str">
        <f t="shared" si="278"/>
        <v/>
      </c>
      <c r="KW29" s="1097" t="str">
        <f t="shared" si="279"/>
        <v/>
      </c>
      <c r="KX29" s="1097" t="str">
        <f t="shared" si="280"/>
        <v/>
      </c>
      <c r="KY29" s="1097" t="str">
        <f t="shared" si="281"/>
        <v/>
      </c>
      <c r="KZ29" s="1097" t="str">
        <f t="shared" si="282"/>
        <v/>
      </c>
      <c r="LA29" s="1097" t="str">
        <f t="shared" si="283"/>
        <v/>
      </c>
      <c r="LB29" s="1097" t="str">
        <f t="shared" si="284"/>
        <v/>
      </c>
      <c r="LC29" s="1097" t="str">
        <f t="shared" si="285"/>
        <v/>
      </c>
      <c r="LD29" s="1097" t="str">
        <f t="shared" si="286"/>
        <v/>
      </c>
      <c r="LE29" s="1097" t="str">
        <f t="shared" si="287"/>
        <v/>
      </c>
      <c r="LF29" s="1098" t="str">
        <f t="shared" si="288"/>
        <v/>
      </c>
      <c r="LG29" s="1098" t="str">
        <f t="shared" si="289"/>
        <v/>
      </c>
      <c r="LH29" s="1098" t="str">
        <f t="shared" si="290"/>
        <v/>
      </c>
      <c r="LI29" s="1098" t="str">
        <f t="shared" si="291"/>
        <v/>
      </c>
      <c r="LJ29" s="1098" t="str">
        <f t="shared" si="292"/>
        <v/>
      </c>
      <c r="LK29" s="1064" t="str">
        <f t="shared" si="293"/>
        <v/>
      </c>
      <c r="LL29" s="1064" t="str">
        <f t="shared" si="294"/>
        <v/>
      </c>
      <c r="LM29" s="1064" t="str">
        <f t="shared" si="295"/>
        <v/>
      </c>
      <c r="LN29" s="1064" t="str">
        <f t="shared" si="296"/>
        <v/>
      </c>
      <c r="LO29" s="1064" t="str">
        <f t="shared" si="297"/>
        <v/>
      </c>
      <c r="LP29" s="1064" t="str">
        <f t="shared" si="298"/>
        <v/>
      </c>
      <c r="LQ29" s="1064" t="str">
        <f t="shared" si="299"/>
        <v/>
      </c>
      <c r="LR29" s="1064" t="str">
        <f t="shared" si="300"/>
        <v/>
      </c>
      <c r="LS29" s="1064" t="str">
        <f t="shared" si="301"/>
        <v/>
      </c>
      <c r="LT29" s="1064" t="str">
        <f t="shared" si="302"/>
        <v/>
      </c>
      <c r="LU29" s="1064" t="str">
        <f t="shared" si="303"/>
        <v/>
      </c>
      <c r="LV29" s="1064" t="str">
        <f t="shared" si="304"/>
        <v/>
      </c>
      <c r="LW29" s="1064" t="str">
        <f t="shared" si="305"/>
        <v/>
      </c>
      <c r="LX29" s="1064" t="str">
        <f t="shared" si="306"/>
        <v/>
      </c>
      <c r="LY29" s="1064" t="str">
        <f t="shared" si="307"/>
        <v/>
      </c>
      <c r="LZ29" s="1064" t="str">
        <f t="shared" si="308"/>
        <v/>
      </c>
      <c r="MA29" s="1064" t="str">
        <f t="shared" si="309"/>
        <v/>
      </c>
      <c r="MB29" s="1064" t="str">
        <f t="shared" si="310"/>
        <v/>
      </c>
      <c r="MC29" s="1064" t="str">
        <f t="shared" si="311"/>
        <v/>
      </c>
      <c r="MD29" s="1064" t="str">
        <f t="shared" si="312"/>
        <v/>
      </c>
      <c r="ME29" s="1081">
        <f t="shared" si="324"/>
        <v>0</v>
      </c>
      <c r="MF29" s="1081">
        <f t="shared" si="325"/>
        <v>0</v>
      </c>
      <c r="MG29" s="1081">
        <f t="shared" si="326"/>
        <v>0</v>
      </c>
      <c r="MH29" s="1081">
        <f t="shared" si="327"/>
        <v>0</v>
      </c>
      <c r="MI29" s="1081">
        <f t="shared" si="328"/>
        <v>0</v>
      </c>
      <c r="MJ29" s="1081">
        <f t="shared" si="329"/>
        <v>0</v>
      </c>
      <c r="MK29" s="1081">
        <f t="shared" si="330"/>
        <v>0</v>
      </c>
      <c r="ML29" s="1081">
        <f t="shared" si="331"/>
        <v>0</v>
      </c>
      <c r="MM29" s="1081">
        <f t="shared" si="332"/>
        <v>0</v>
      </c>
      <c r="MN29" s="1081">
        <f t="shared" si="333"/>
        <v>0</v>
      </c>
      <c r="MO29" s="1081">
        <f t="shared" si="334"/>
        <v>0</v>
      </c>
      <c r="MP29" s="1081">
        <f t="shared" si="335"/>
        <v>0</v>
      </c>
      <c r="MQ29" s="1081">
        <f t="shared" si="336"/>
        <v>0</v>
      </c>
      <c r="MR29" s="1081">
        <f t="shared" si="337"/>
        <v>0</v>
      </c>
      <c r="MS29" s="1081">
        <f t="shared" si="338"/>
        <v>0</v>
      </c>
    </row>
    <row r="30" spans="1:357" ht="12" customHeight="1">
      <c r="A30" s="1088" t="str">
        <f t="shared" si="0"/>
        <v/>
      </c>
      <c r="B30" s="44"/>
      <c r="C30" s="41"/>
      <c r="D30" s="42"/>
      <c r="E30" s="43"/>
      <c r="F30" s="43"/>
      <c r="G30" s="43"/>
      <c r="H30" s="43"/>
      <c r="I30" s="1100">
        <f>IF(C30="",0,HLOOKUP(C30,'Part V-Utility Allowances'!$I$11:$M$22,12))</f>
        <v>0</v>
      </c>
      <c r="J30" s="810"/>
      <c r="K30" s="512">
        <f t="shared" si="1"/>
        <v>0</v>
      </c>
      <c r="L30" s="512">
        <f t="shared" si="2"/>
        <v>0</v>
      </c>
      <c r="M30" s="1101"/>
      <c r="N30" s="1101"/>
      <c r="O30" s="1101"/>
      <c r="P30" s="1102"/>
      <c r="Q30" s="1103" t="str">
        <f t="shared" si="3"/>
        <v/>
      </c>
      <c r="R30" s="1104" t="str">
        <f>IF(H30="","",IF(C30="Efficiency",Q30/($O$6*VLOOKUP(0,'DCA Underwriting Assumptions'!$J$146:$K$151,2,FALSE)),Q30/($O$6*VLOOKUP(C30,'DCA Underwriting Assumptions'!$J$146:$K$151,2,FALSE))))</f>
        <v/>
      </c>
      <c r="S30" s="1105"/>
      <c r="T30" s="1106"/>
      <c r="U30" s="2314"/>
      <c r="V30" s="2316"/>
      <c r="W30" s="1064" t="str">
        <f t="shared" si="4"/>
        <v/>
      </c>
      <c r="X30" s="1064" t="str">
        <f t="shared" si="5"/>
        <v/>
      </c>
      <c r="Y30" s="1064" t="str">
        <f t="shared" si="6"/>
        <v/>
      </c>
      <c r="Z30" s="1064" t="str">
        <f t="shared" si="7"/>
        <v/>
      </c>
      <c r="AA30" s="1064" t="str">
        <f t="shared" si="8"/>
        <v/>
      </c>
      <c r="AB30" s="1064" t="str">
        <f t="shared" si="9"/>
        <v/>
      </c>
      <c r="AC30" s="1064" t="str">
        <f t="shared" si="10"/>
        <v/>
      </c>
      <c r="AD30" s="1064" t="str">
        <f t="shared" si="11"/>
        <v/>
      </c>
      <c r="AE30" s="1064" t="str">
        <f t="shared" si="12"/>
        <v/>
      </c>
      <c r="AF30" s="1064" t="str">
        <f t="shared" si="13"/>
        <v/>
      </c>
      <c r="AG30" s="1064" t="str">
        <f t="shared" si="14"/>
        <v/>
      </c>
      <c r="AH30" s="1064" t="str">
        <f t="shared" si="15"/>
        <v/>
      </c>
      <c r="AI30" s="1064" t="str">
        <f t="shared" si="16"/>
        <v/>
      </c>
      <c r="AJ30" s="1064" t="str">
        <f t="shared" si="17"/>
        <v/>
      </c>
      <c r="AK30" s="1064" t="str">
        <f t="shared" si="18"/>
        <v/>
      </c>
      <c r="AL30" s="1064" t="str">
        <f t="shared" si="19"/>
        <v/>
      </c>
      <c r="AM30" s="1064" t="str">
        <f t="shared" si="20"/>
        <v/>
      </c>
      <c r="AN30" s="1064" t="str">
        <f t="shared" si="21"/>
        <v/>
      </c>
      <c r="AO30" s="1064" t="str">
        <f t="shared" si="22"/>
        <v/>
      </c>
      <c r="AP30" s="1064" t="str">
        <f t="shared" si="23"/>
        <v/>
      </c>
      <c r="AQ30" s="1064" t="str">
        <f t="shared" si="24"/>
        <v/>
      </c>
      <c r="AR30" s="1064" t="str">
        <f t="shared" si="25"/>
        <v/>
      </c>
      <c r="AS30" s="1064" t="str">
        <f t="shared" si="26"/>
        <v/>
      </c>
      <c r="AT30" s="1064" t="str">
        <f t="shared" si="27"/>
        <v/>
      </c>
      <c r="AU30" s="1064" t="str">
        <f t="shared" si="28"/>
        <v/>
      </c>
      <c r="AV30" s="1064" t="str">
        <f t="shared" si="29"/>
        <v/>
      </c>
      <c r="AW30" s="1064" t="str">
        <f t="shared" si="30"/>
        <v/>
      </c>
      <c r="AX30" s="1064" t="str">
        <f t="shared" si="31"/>
        <v/>
      </c>
      <c r="AY30" s="1064" t="str">
        <f t="shared" si="32"/>
        <v/>
      </c>
      <c r="AZ30" s="1064" t="str">
        <f t="shared" si="33"/>
        <v/>
      </c>
      <c r="BA30" s="1064" t="str">
        <f t="shared" si="34"/>
        <v/>
      </c>
      <c r="BB30" s="1064" t="str">
        <f t="shared" si="35"/>
        <v/>
      </c>
      <c r="BC30" s="1064" t="str">
        <f t="shared" si="36"/>
        <v/>
      </c>
      <c r="BD30" s="1064" t="str">
        <f t="shared" si="37"/>
        <v/>
      </c>
      <c r="BE30" s="1064" t="str">
        <f t="shared" si="38"/>
        <v/>
      </c>
      <c r="BF30" s="1064" t="str">
        <f t="shared" si="39"/>
        <v/>
      </c>
      <c r="BG30" s="1064" t="str">
        <f t="shared" si="40"/>
        <v/>
      </c>
      <c r="BH30" s="1064" t="str">
        <f t="shared" si="41"/>
        <v/>
      </c>
      <c r="BI30" s="1064" t="str">
        <f t="shared" si="42"/>
        <v/>
      </c>
      <c r="BJ30" s="1064" t="str">
        <f t="shared" si="43"/>
        <v/>
      </c>
      <c r="BK30" s="1064" t="str">
        <f t="shared" si="44"/>
        <v/>
      </c>
      <c r="BL30" s="1064" t="str">
        <f t="shared" si="45"/>
        <v/>
      </c>
      <c r="BM30" s="1064" t="str">
        <f t="shared" si="46"/>
        <v/>
      </c>
      <c r="BN30" s="1064" t="str">
        <f t="shared" si="47"/>
        <v/>
      </c>
      <c r="BO30" s="1064" t="str">
        <f t="shared" si="48"/>
        <v/>
      </c>
      <c r="BP30" s="1064" t="str">
        <f t="shared" si="49"/>
        <v/>
      </c>
      <c r="BQ30" s="1064" t="str">
        <f t="shared" si="50"/>
        <v/>
      </c>
      <c r="BR30" s="1064" t="str">
        <f t="shared" si="51"/>
        <v/>
      </c>
      <c r="BS30" s="1064" t="str">
        <f t="shared" si="52"/>
        <v/>
      </c>
      <c r="BT30" s="1064" t="str">
        <f t="shared" si="53"/>
        <v/>
      </c>
      <c r="BU30" s="1064" t="str">
        <f t="shared" si="54"/>
        <v/>
      </c>
      <c r="BV30" s="1064" t="str">
        <f t="shared" si="55"/>
        <v/>
      </c>
      <c r="BW30" s="1064" t="str">
        <f t="shared" si="56"/>
        <v/>
      </c>
      <c r="BX30" s="1064" t="str">
        <f t="shared" si="57"/>
        <v/>
      </c>
      <c r="BY30" s="1064" t="str">
        <f t="shared" si="58"/>
        <v/>
      </c>
      <c r="BZ30" s="1064" t="str">
        <f t="shared" si="59"/>
        <v/>
      </c>
      <c r="CA30" s="1064" t="str">
        <f t="shared" si="60"/>
        <v/>
      </c>
      <c r="CB30" s="1064" t="str">
        <f t="shared" si="61"/>
        <v/>
      </c>
      <c r="CC30" s="1064" t="str">
        <f t="shared" si="62"/>
        <v/>
      </c>
      <c r="CD30" s="1064" t="str">
        <f t="shared" si="63"/>
        <v/>
      </c>
      <c r="CE30" s="1064" t="str">
        <f t="shared" si="64"/>
        <v/>
      </c>
      <c r="CF30" s="1064" t="str">
        <f t="shared" si="65"/>
        <v/>
      </c>
      <c r="CG30" s="1064" t="str">
        <f t="shared" si="66"/>
        <v/>
      </c>
      <c r="CH30" s="1064" t="str">
        <f t="shared" si="67"/>
        <v/>
      </c>
      <c r="CI30" s="1064" t="str">
        <f t="shared" si="68"/>
        <v/>
      </c>
      <c r="CJ30" s="1064" t="str">
        <f t="shared" si="69"/>
        <v/>
      </c>
      <c r="CK30" s="1064" t="str">
        <f t="shared" si="70"/>
        <v/>
      </c>
      <c r="CL30" s="1064" t="str">
        <f t="shared" si="71"/>
        <v/>
      </c>
      <c r="CM30" s="1064" t="str">
        <f t="shared" si="72"/>
        <v/>
      </c>
      <c r="CN30" s="1064" t="str">
        <f t="shared" si="73"/>
        <v/>
      </c>
      <c r="CO30" s="1064" t="str">
        <f t="shared" si="74"/>
        <v/>
      </c>
      <c r="CP30" s="1064" t="str">
        <f t="shared" si="75"/>
        <v/>
      </c>
      <c r="CQ30" s="1064" t="str">
        <f t="shared" si="76"/>
        <v/>
      </c>
      <c r="CR30" s="1064" t="str">
        <f t="shared" si="77"/>
        <v/>
      </c>
      <c r="CS30" s="1064" t="str">
        <f t="shared" si="78"/>
        <v/>
      </c>
      <c r="CT30" s="1064" t="str">
        <f t="shared" si="79"/>
        <v/>
      </c>
      <c r="CU30" s="1064" t="str">
        <f t="shared" si="80"/>
        <v/>
      </c>
      <c r="CV30" s="1064" t="str">
        <f t="shared" si="81"/>
        <v/>
      </c>
      <c r="CW30" s="1064" t="str">
        <f t="shared" si="82"/>
        <v/>
      </c>
      <c r="CX30" s="1064" t="str">
        <f t="shared" si="83"/>
        <v/>
      </c>
      <c r="CY30" s="1064" t="str">
        <f t="shared" si="84"/>
        <v/>
      </c>
      <c r="CZ30" s="1064" t="str">
        <f t="shared" si="85"/>
        <v/>
      </c>
      <c r="DA30" s="1064" t="str">
        <f t="shared" si="86"/>
        <v/>
      </c>
      <c r="DB30" s="1064" t="str">
        <f t="shared" si="87"/>
        <v/>
      </c>
      <c r="DC30" s="1064" t="str">
        <f t="shared" si="88"/>
        <v/>
      </c>
      <c r="DD30" s="1064" t="str">
        <f t="shared" si="89"/>
        <v/>
      </c>
      <c r="DE30" s="1064" t="str">
        <f t="shared" si="90"/>
        <v/>
      </c>
      <c r="DF30" s="1064" t="str">
        <f t="shared" si="91"/>
        <v/>
      </c>
      <c r="DG30" s="1064" t="str">
        <f t="shared" si="92"/>
        <v/>
      </c>
      <c r="DH30" s="1064" t="str">
        <f t="shared" si="93"/>
        <v/>
      </c>
      <c r="DI30" s="1064" t="str">
        <f t="shared" si="94"/>
        <v/>
      </c>
      <c r="DJ30" s="1064" t="str">
        <f t="shared" si="95"/>
        <v/>
      </c>
      <c r="DK30" s="1064" t="str">
        <f t="shared" si="96"/>
        <v/>
      </c>
      <c r="DL30" s="1064" t="str">
        <f t="shared" si="97"/>
        <v/>
      </c>
      <c r="DM30" s="1064" t="str">
        <f t="shared" si="98"/>
        <v/>
      </c>
      <c r="DN30" s="1064" t="str">
        <f t="shared" si="99"/>
        <v/>
      </c>
      <c r="DO30" s="1064" t="str">
        <f t="shared" si="100"/>
        <v/>
      </c>
      <c r="DP30" s="1064" t="str">
        <f t="shared" si="101"/>
        <v/>
      </c>
      <c r="DQ30" s="1064" t="str">
        <f t="shared" si="102"/>
        <v/>
      </c>
      <c r="DR30" s="1064" t="str">
        <f t="shared" si="103"/>
        <v/>
      </c>
      <c r="DS30" s="1064" t="str">
        <f t="shared" si="104"/>
        <v/>
      </c>
      <c r="DT30" s="1064" t="str">
        <f t="shared" si="105"/>
        <v/>
      </c>
      <c r="DU30" s="1064" t="str">
        <f t="shared" si="106"/>
        <v/>
      </c>
      <c r="DV30" s="1064" t="str">
        <f t="shared" si="107"/>
        <v/>
      </c>
      <c r="DW30" s="1064" t="str">
        <f t="shared" si="108"/>
        <v/>
      </c>
      <c r="DX30" s="1064" t="str">
        <f t="shared" si="109"/>
        <v/>
      </c>
      <c r="DY30" s="1064" t="str">
        <f t="shared" si="110"/>
        <v/>
      </c>
      <c r="DZ30" s="1064" t="str">
        <f t="shared" si="111"/>
        <v/>
      </c>
      <c r="EA30" s="1064" t="str">
        <f t="shared" si="112"/>
        <v/>
      </c>
      <c r="EB30" s="1064" t="str">
        <f t="shared" si="113"/>
        <v/>
      </c>
      <c r="EC30" s="1064" t="str">
        <f t="shared" si="114"/>
        <v/>
      </c>
      <c r="ED30" s="1064" t="str">
        <f t="shared" si="115"/>
        <v/>
      </c>
      <c r="EE30" s="1064" t="str">
        <f t="shared" si="116"/>
        <v/>
      </c>
      <c r="EF30" s="1064" t="str">
        <f t="shared" si="117"/>
        <v/>
      </c>
      <c r="EG30" s="1064" t="str">
        <f t="shared" si="313"/>
        <v/>
      </c>
      <c r="EH30" s="1064" t="str">
        <f t="shared" si="118"/>
        <v/>
      </c>
      <c r="EI30" s="1064" t="str">
        <f t="shared" si="119"/>
        <v/>
      </c>
      <c r="EJ30" s="1064" t="str">
        <f t="shared" si="120"/>
        <v/>
      </c>
      <c r="EK30" s="1064" t="str">
        <f t="shared" si="121"/>
        <v/>
      </c>
      <c r="EL30" s="1064" t="str">
        <f t="shared" si="122"/>
        <v/>
      </c>
      <c r="EM30" s="1064" t="str">
        <f t="shared" si="123"/>
        <v/>
      </c>
      <c r="EN30" s="1064" t="str">
        <f t="shared" si="124"/>
        <v/>
      </c>
      <c r="EO30" s="1064" t="str">
        <f t="shared" si="125"/>
        <v/>
      </c>
      <c r="EP30" s="1064" t="str">
        <f t="shared" si="126"/>
        <v/>
      </c>
      <c r="EQ30" s="1064" t="str">
        <f t="shared" si="127"/>
        <v/>
      </c>
      <c r="ER30" s="1064" t="str">
        <f t="shared" si="128"/>
        <v/>
      </c>
      <c r="ES30" s="1064" t="str">
        <f t="shared" si="129"/>
        <v/>
      </c>
      <c r="ET30" s="1064" t="str">
        <f t="shared" si="130"/>
        <v/>
      </c>
      <c r="EU30" s="1064" t="str">
        <f t="shared" si="131"/>
        <v/>
      </c>
      <c r="EV30" s="1064" t="str">
        <f t="shared" si="132"/>
        <v/>
      </c>
      <c r="EW30" s="1064" t="str">
        <f t="shared" si="314"/>
        <v/>
      </c>
      <c r="EX30" s="1064" t="str">
        <f t="shared" si="315"/>
        <v/>
      </c>
      <c r="EY30" s="1064" t="str">
        <f t="shared" si="316"/>
        <v/>
      </c>
      <c r="EZ30" s="1064" t="str">
        <f t="shared" si="317"/>
        <v/>
      </c>
      <c r="FA30" s="1064" t="str">
        <f t="shared" si="318"/>
        <v/>
      </c>
      <c r="FB30" s="1064" t="str">
        <f t="shared" si="133"/>
        <v/>
      </c>
      <c r="FC30" s="1064" t="str">
        <f t="shared" si="134"/>
        <v/>
      </c>
      <c r="FD30" s="1064" t="str">
        <f t="shared" si="135"/>
        <v/>
      </c>
      <c r="FE30" s="1064" t="str">
        <f t="shared" si="136"/>
        <v/>
      </c>
      <c r="FF30" s="1064" t="str">
        <f t="shared" si="137"/>
        <v/>
      </c>
      <c r="FG30" s="1064" t="str">
        <f t="shared" si="319"/>
        <v/>
      </c>
      <c r="FH30" s="1064" t="str">
        <f t="shared" si="320"/>
        <v/>
      </c>
      <c r="FI30" s="1064" t="str">
        <f t="shared" si="321"/>
        <v/>
      </c>
      <c r="FJ30" s="1064" t="str">
        <f t="shared" si="322"/>
        <v/>
      </c>
      <c r="FK30" s="1064" t="str">
        <f t="shared" si="323"/>
        <v/>
      </c>
      <c r="FL30" s="1064" t="str">
        <f t="shared" si="138"/>
        <v/>
      </c>
      <c r="FM30" s="1064" t="str">
        <f t="shared" si="139"/>
        <v/>
      </c>
      <c r="FN30" s="1064" t="str">
        <f t="shared" si="140"/>
        <v/>
      </c>
      <c r="FO30" s="1064" t="str">
        <f t="shared" si="141"/>
        <v/>
      </c>
      <c r="FP30" s="1064" t="str">
        <f t="shared" si="142"/>
        <v/>
      </c>
      <c r="FQ30" s="1064" t="str">
        <f t="shared" si="143"/>
        <v/>
      </c>
      <c r="FR30" s="1064" t="str">
        <f t="shared" si="144"/>
        <v/>
      </c>
      <c r="FS30" s="1064" t="str">
        <f t="shared" si="145"/>
        <v/>
      </c>
      <c r="FT30" s="1064" t="str">
        <f t="shared" si="146"/>
        <v/>
      </c>
      <c r="FU30" s="1064" t="str">
        <f t="shared" si="147"/>
        <v/>
      </c>
      <c r="FV30" s="1064" t="str">
        <f t="shared" si="148"/>
        <v/>
      </c>
      <c r="FW30" s="1064" t="str">
        <f t="shared" si="149"/>
        <v/>
      </c>
      <c r="FX30" s="1064" t="str">
        <f t="shared" si="150"/>
        <v/>
      </c>
      <c r="FY30" s="1064" t="str">
        <f t="shared" si="151"/>
        <v/>
      </c>
      <c r="FZ30" s="1064" t="str">
        <f t="shared" si="152"/>
        <v/>
      </c>
      <c r="GA30" s="1064" t="str">
        <f t="shared" si="153"/>
        <v/>
      </c>
      <c r="GB30" s="1064" t="str">
        <f t="shared" si="154"/>
        <v/>
      </c>
      <c r="GC30" s="1064" t="str">
        <f t="shared" si="155"/>
        <v/>
      </c>
      <c r="GD30" s="1064" t="str">
        <f t="shared" si="156"/>
        <v/>
      </c>
      <c r="GE30" s="1064" t="str">
        <f t="shared" si="157"/>
        <v/>
      </c>
      <c r="GF30" s="1064" t="str">
        <f t="shared" si="158"/>
        <v/>
      </c>
      <c r="GG30" s="1064" t="str">
        <f t="shared" si="159"/>
        <v/>
      </c>
      <c r="GH30" s="1064" t="str">
        <f t="shared" si="160"/>
        <v/>
      </c>
      <c r="GI30" s="1064" t="str">
        <f t="shared" si="161"/>
        <v/>
      </c>
      <c r="GJ30" s="1064" t="str">
        <f t="shared" si="162"/>
        <v/>
      </c>
      <c r="GK30" s="1064" t="str">
        <f t="shared" si="163"/>
        <v/>
      </c>
      <c r="GL30" s="1064" t="str">
        <f t="shared" si="164"/>
        <v/>
      </c>
      <c r="GM30" s="1064" t="str">
        <f t="shared" si="165"/>
        <v/>
      </c>
      <c r="GN30" s="1064" t="str">
        <f t="shared" si="166"/>
        <v/>
      </c>
      <c r="GO30" s="1064" t="str">
        <f t="shared" si="167"/>
        <v/>
      </c>
      <c r="GP30" s="1064" t="str">
        <f t="shared" si="168"/>
        <v/>
      </c>
      <c r="GQ30" s="1064" t="str">
        <f t="shared" si="169"/>
        <v/>
      </c>
      <c r="GR30" s="1064" t="str">
        <f t="shared" si="170"/>
        <v/>
      </c>
      <c r="GS30" s="1064" t="str">
        <f t="shared" si="171"/>
        <v/>
      </c>
      <c r="GT30" s="1064" t="str">
        <f t="shared" si="172"/>
        <v/>
      </c>
      <c r="GU30" s="1064" t="str">
        <f t="shared" si="173"/>
        <v/>
      </c>
      <c r="GV30" s="1064" t="str">
        <f t="shared" si="174"/>
        <v/>
      </c>
      <c r="GW30" s="1064" t="str">
        <f t="shared" si="175"/>
        <v/>
      </c>
      <c r="GX30" s="1064" t="str">
        <f t="shared" si="176"/>
        <v/>
      </c>
      <c r="GY30" s="1064" t="str">
        <f t="shared" si="177"/>
        <v/>
      </c>
      <c r="GZ30" s="1064" t="str">
        <f t="shared" si="178"/>
        <v/>
      </c>
      <c r="HA30" s="1064" t="str">
        <f t="shared" si="179"/>
        <v/>
      </c>
      <c r="HB30" s="1064" t="str">
        <f t="shared" si="180"/>
        <v/>
      </c>
      <c r="HC30" s="1064" t="str">
        <f t="shared" si="181"/>
        <v/>
      </c>
      <c r="HD30" s="1064" t="str">
        <f t="shared" si="182"/>
        <v/>
      </c>
      <c r="HE30" s="1064" t="str">
        <f t="shared" si="183"/>
        <v/>
      </c>
      <c r="HF30" s="1064" t="str">
        <f t="shared" si="184"/>
        <v/>
      </c>
      <c r="HG30" s="1064" t="str">
        <f t="shared" si="185"/>
        <v/>
      </c>
      <c r="HH30" s="1064" t="str">
        <f t="shared" si="186"/>
        <v/>
      </c>
      <c r="HI30" s="1064" t="str">
        <f t="shared" si="187"/>
        <v/>
      </c>
      <c r="HJ30" s="1064" t="str">
        <f t="shared" si="188"/>
        <v/>
      </c>
      <c r="HK30" s="1064" t="str">
        <f t="shared" si="189"/>
        <v/>
      </c>
      <c r="HL30" s="1064" t="str">
        <f t="shared" si="190"/>
        <v/>
      </c>
      <c r="HM30" s="1064" t="str">
        <f t="shared" si="191"/>
        <v/>
      </c>
      <c r="HN30" s="1064" t="str">
        <f t="shared" si="192"/>
        <v/>
      </c>
      <c r="HO30" s="1064" t="str">
        <f t="shared" si="193"/>
        <v/>
      </c>
      <c r="HP30" s="1064" t="str">
        <f t="shared" si="194"/>
        <v/>
      </c>
      <c r="HQ30" s="1064" t="str">
        <f t="shared" si="195"/>
        <v/>
      </c>
      <c r="HR30" s="1064" t="str">
        <f t="shared" si="196"/>
        <v/>
      </c>
      <c r="HS30" s="1064" t="str">
        <f t="shared" si="197"/>
        <v/>
      </c>
      <c r="HT30" s="1064" t="str">
        <f t="shared" si="198"/>
        <v/>
      </c>
      <c r="HU30" s="1064" t="str">
        <f t="shared" si="199"/>
        <v/>
      </c>
      <c r="HV30" s="1064" t="str">
        <f t="shared" si="200"/>
        <v/>
      </c>
      <c r="HW30" s="1064" t="str">
        <f t="shared" si="201"/>
        <v/>
      </c>
      <c r="HX30" s="1064" t="str">
        <f t="shared" si="202"/>
        <v/>
      </c>
      <c r="HY30" s="1097" t="str">
        <f t="shared" si="203"/>
        <v/>
      </c>
      <c r="HZ30" s="1097" t="str">
        <f t="shared" si="204"/>
        <v/>
      </c>
      <c r="IA30" s="1097" t="str">
        <f t="shared" si="205"/>
        <v/>
      </c>
      <c r="IB30" s="1097" t="str">
        <f t="shared" si="206"/>
        <v/>
      </c>
      <c r="IC30" s="1097" t="str">
        <f t="shared" si="207"/>
        <v/>
      </c>
      <c r="ID30" s="1097" t="str">
        <f t="shared" si="208"/>
        <v/>
      </c>
      <c r="IE30" s="1097" t="str">
        <f t="shared" si="209"/>
        <v/>
      </c>
      <c r="IF30" s="1097" t="str">
        <f t="shared" si="210"/>
        <v/>
      </c>
      <c r="IG30" s="1097" t="str">
        <f t="shared" si="211"/>
        <v/>
      </c>
      <c r="IH30" s="1097" t="str">
        <f t="shared" si="212"/>
        <v/>
      </c>
      <c r="II30" s="1097" t="str">
        <f t="shared" si="213"/>
        <v/>
      </c>
      <c r="IJ30" s="1097" t="str">
        <f t="shared" si="214"/>
        <v/>
      </c>
      <c r="IK30" s="1097" t="str">
        <f t="shared" si="215"/>
        <v/>
      </c>
      <c r="IL30" s="1097" t="str">
        <f t="shared" si="216"/>
        <v/>
      </c>
      <c r="IM30" s="1097" t="str">
        <f t="shared" si="217"/>
        <v/>
      </c>
      <c r="IN30" s="1097" t="str">
        <f t="shared" si="218"/>
        <v/>
      </c>
      <c r="IO30" s="1097" t="str">
        <f t="shared" si="219"/>
        <v/>
      </c>
      <c r="IP30" s="1097" t="str">
        <f t="shared" si="220"/>
        <v/>
      </c>
      <c r="IQ30" s="1097" t="str">
        <f t="shared" si="221"/>
        <v/>
      </c>
      <c r="IR30" s="1097" t="str">
        <f t="shared" si="222"/>
        <v/>
      </c>
      <c r="IS30" s="1097" t="str">
        <f t="shared" si="223"/>
        <v/>
      </c>
      <c r="IT30" s="1097" t="str">
        <f t="shared" si="224"/>
        <v/>
      </c>
      <c r="IU30" s="1097" t="str">
        <f t="shared" si="225"/>
        <v/>
      </c>
      <c r="IV30" s="1097" t="str">
        <f t="shared" si="226"/>
        <v/>
      </c>
      <c r="IW30" s="1097" t="str">
        <f t="shared" si="227"/>
        <v/>
      </c>
      <c r="IX30" s="1097" t="str">
        <f t="shared" si="228"/>
        <v/>
      </c>
      <c r="IY30" s="1097" t="str">
        <f t="shared" si="229"/>
        <v/>
      </c>
      <c r="IZ30" s="1097" t="str">
        <f t="shared" si="230"/>
        <v/>
      </c>
      <c r="JA30" s="1097" t="str">
        <f t="shared" si="231"/>
        <v/>
      </c>
      <c r="JB30" s="1097" t="str">
        <f t="shared" si="232"/>
        <v/>
      </c>
      <c r="JC30" s="1097" t="str">
        <f t="shared" si="233"/>
        <v/>
      </c>
      <c r="JD30" s="1097" t="str">
        <f t="shared" si="234"/>
        <v/>
      </c>
      <c r="JE30" s="1097" t="str">
        <f t="shared" si="235"/>
        <v/>
      </c>
      <c r="JF30" s="1097" t="str">
        <f t="shared" si="236"/>
        <v/>
      </c>
      <c r="JG30" s="1097" t="str">
        <f t="shared" si="237"/>
        <v/>
      </c>
      <c r="JH30" s="1097" t="str">
        <f t="shared" si="238"/>
        <v/>
      </c>
      <c r="JI30" s="1097" t="str">
        <f t="shared" si="239"/>
        <v/>
      </c>
      <c r="JJ30" s="1097" t="str">
        <f t="shared" si="240"/>
        <v/>
      </c>
      <c r="JK30" s="1097" t="str">
        <f t="shared" si="241"/>
        <v/>
      </c>
      <c r="JL30" s="1097" t="str">
        <f t="shared" si="242"/>
        <v/>
      </c>
      <c r="JM30" s="1097" t="str">
        <f t="shared" si="243"/>
        <v/>
      </c>
      <c r="JN30" s="1097" t="str">
        <f t="shared" si="244"/>
        <v/>
      </c>
      <c r="JO30" s="1097" t="str">
        <f t="shared" si="245"/>
        <v/>
      </c>
      <c r="JP30" s="1097" t="str">
        <f t="shared" si="246"/>
        <v/>
      </c>
      <c r="JQ30" s="1097" t="str">
        <f t="shared" si="247"/>
        <v/>
      </c>
      <c r="JR30" s="1097" t="str">
        <f t="shared" si="248"/>
        <v/>
      </c>
      <c r="JS30" s="1097" t="str">
        <f t="shared" si="249"/>
        <v/>
      </c>
      <c r="JT30" s="1097" t="str">
        <f t="shared" si="250"/>
        <v/>
      </c>
      <c r="JU30" s="1097" t="str">
        <f t="shared" si="251"/>
        <v/>
      </c>
      <c r="JV30" s="1097" t="str">
        <f t="shared" si="252"/>
        <v/>
      </c>
      <c r="JW30" s="1097" t="str">
        <f t="shared" si="253"/>
        <v/>
      </c>
      <c r="JX30" s="1097" t="str">
        <f t="shared" si="254"/>
        <v/>
      </c>
      <c r="JY30" s="1097" t="str">
        <f t="shared" si="255"/>
        <v/>
      </c>
      <c r="JZ30" s="1097" t="str">
        <f t="shared" si="256"/>
        <v/>
      </c>
      <c r="KA30" s="1097" t="str">
        <f t="shared" si="257"/>
        <v/>
      </c>
      <c r="KB30" s="1097" t="str">
        <f t="shared" si="258"/>
        <v/>
      </c>
      <c r="KC30" s="1097" t="str">
        <f t="shared" si="259"/>
        <v/>
      </c>
      <c r="KD30" s="1097" t="str">
        <f t="shared" si="260"/>
        <v/>
      </c>
      <c r="KE30" s="1097" t="str">
        <f t="shared" si="261"/>
        <v/>
      </c>
      <c r="KF30" s="1097" t="str">
        <f t="shared" si="262"/>
        <v/>
      </c>
      <c r="KG30" s="1097" t="str">
        <f t="shared" si="263"/>
        <v/>
      </c>
      <c r="KH30" s="1097" t="str">
        <f t="shared" si="264"/>
        <v/>
      </c>
      <c r="KI30" s="1097" t="str">
        <f t="shared" si="265"/>
        <v/>
      </c>
      <c r="KJ30" s="1097" t="str">
        <f t="shared" si="266"/>
        <v/>
      </c>
      <c r="KK30" s="1097" t="str">
        <f t="shared" si="267"/>
        <v/>
      </c>
      <c r="KL30" s="1097" t="str">
        <f t="shared" si="268"/>
        <v/>
      </c>
      <c r="KM30" s="1097" t="str">
        <f t="shared" si="269"/>
        <v/>
      </c>
      <c r="KN30" s="1097" t="str">
        <f t="shared" si="270"/>
        <v/>
      </c>
      <c r="KO30" s="1097" t="str">
        <f t="shared" si="271"/>
        <v/>
      </c>
      <c r="KP30" s="1097" t="str">
        <f t="shared" si="272"/>
        <v/>
      </c>
      <c r="KQ30" s="1097" t="str">
        <f t="shared" si="273"/>
        <v/>
      </c>
      <c r="KR30" s="1097" t="str">
        <f t="shared" si="274"/>
        <v/>
      </c>
      <c r="KS30" s="1097" t="str">
        <f t="shared" si="275"/>
        <v/>
      </c>
      <c r="KT30" s="1097" t="str">
        <f t="shared" si="276"/>
        <v/>
      </c>
      <c r="KU30" s="1097" t="str">
        <f t="shared" si="277"/>
        <v/>
      </c>
      <c r="KV30" s="1097" t="str">
        <f t="shared" si="278"/>
        <v/>
      </c>
      <c r="KW30" s="1097" t="str">
        <f t="shared" si="279"/>
        <v/>
      </c>
      <c r="KX30" s="1097" t="str">
        <f t="shared" si="280"/>
        <v/>
      </c>
      <c r="KY30" s="1097" t="str">
        <f t="shared" si="281"/>
        <v/>
      </c>
      <c r="KZ30" s="1097" t="str">
        <f t="shared" si="282"/>
        <v/>
      </c>
      <c r="LA30" s="1097" t="str">
        <f t="shared" si="283"/>
        <v/>
      </c>
      <c r="LB30" s="1097" t="str">
        <f t="shared" si="284"/>
        <v/>
      </c>
      <c r="LC30" s="1097" t="str">
        <f t="shared" si="285"/>
        <v/>
      </c>
      <c r="LD30" s="1097" t="str">
        <f t="shared" si="286"/>
        <v/>
      </c>
      <c r="LE30" s="1097" t="str">
        <f t="shared" si="287"/>
        <v/>
      </c>
      <c r="LF30" s="1098" t="str">
        <f t="shared" si="288"/>
        <v/>
      </c>
      <c r="LG30" s="1098" t="str">
        <f t="shared" si="289"/>
        <v/>
      </c>
      <c r="LH30" s="1098" t="str">
        <f t="shared" si="290"/>
        <v/>
      </c>
      <c r="LI30" s="1098" t="str">
        <f t="shared" si="291"/>
        <v/>
      </c>
      <c r="LJ30" s="1098" t="str">
        <f t="shared" si="292"/>
        <v/>
      </c>
      <c r="LK30" s="1064" t="str">
        <f t="shared" si="293"/>
        <v/>
      </c>
      <c r="LL30" s="1064" t="str">
        <f t="shared" si="294"/>
        <v/>
      </c>
      <c r="LM30" s="1064" t="str">
        <f t="shared" si="295"/>
        <v/>
      </c>
      <c r="LN30" s="1064" t="str">
        <f t="shared" si="296"/>
        <v/>
      </c>
      <c r="LO30" s="1064" t="str">
        <f t="shared" si="297"/>
        <v/>
      </c>
      <c r="LP30" s="1064" t="str">
        <f t="shared" si="298"/>
        <v/>
      </c>
      <c r="LQ30" s="1064" t="str">
        <f t="shared" si="299"/>
        <v/>
      </c>
      <c r="LR30" s="1064" t="str">
        <f t="shared" si="300"/>
        <v/>
      </c>
      <c r="LS30" s="1064" t="str">
        <f t="shared" si="301"/>
        <v/>
      </c>
      <c r="LT30" s="1064" t="str">
        <f t="shared" si="302"/>
        <v/>
      </c>
      <c r="LU30" s="1064" t="str">
        <f t="shared" si="303"/>
        <v/>
      </c>
      <c r="LV30" s="1064" t="str">
        <f t="shared" si="304"/>
        <v/>
      </c>
      <c r="LW30" s="1064" t="str">
        <f t="shared" si="305"/>
        <v/>
      </c>
      <c r="LX30" s="1064" t="str">
        <f t="shared" si="306"/>
        <v/>
      </c>
      <c r="LY30" s="1064" t="str">
        <f t="shared" si="307"/>
        <v/>
      </c>
      <c r="LZ30" s="1064" t="str">
        <f t="shared" si="308"/>
        <v/>
      </c>
      <c r="MA30" s="1064" t="str">
        <f t="shared" si="309"/>
        <v/>
      </c>
      <c r="MB30" s="1064" t="str">
        <f t="shared" si="310"/>
        <v/>
      </c>
      <c r="MC30" s="1064" t="str">
        <f t="shared" si="311"/>
        <v/>
      </c>
      <c r="MD30" s="1064" t="str">
        <f t="shared" si="312"/>
        <v/>
      </c>
      <c r="ME30" s="1081">
        <f t="shared" si="324"/>
        <v>0</v>
      </c>
      <c r="MF30" s="1081">
        <f t="shared" si="325"/>
        <v>0</v>
      </c>
      <c r="MG30" s="1081">
        <f t="shared" si="326"/>
        <v>0</v>
      </c>
      <c r="MH30" s="1081">
        <f t="shared" si="327"/>
        <v>0</v>
      </c>
      <c r="MI30" s="1081">
        <f t="shared" si="328"/>
        <v>0</v>
      </c>
      <c r="MJ30" s="1081">
        <f t="shared" si="329"/>
        <v>0</v>
      </c>
      <c r="MK30" s="1081">
        <f t="shared" si="330"/>
        <v>0</v>
      </c>
      <c r="ML30" s="1081">
        <f t="shared" si="331"/>
        <v>0</v>
      </c>
      <c r="MM30" s="1081">
        <f t="shared" si="332"/>
        <v>0</v>
      </c>
      <c r="MN30" s="1081">
        <f t="shared" si="333"/>
        <v>0</v>
      </c>
      <c r="MO30" s="1081">
        <f t="shared" si="334"/>
        <v>0</v>
      </c>
      <c r="MP30" s="1081">
        <f t="shared" si="335"/>
        <v>0</v>
      </c>
      <c r="MQ30" s="1081">
        <f t="shared" si="336"/>
        <v>0</v>
      </c>
      <c r="MR30" s="1081">
        <f t="shared" si="337"/>
        <v>0</v>
      </c>
      <c r="MS30" s="1081">
        <f t="shared" si="338"/>
        <v>0</v>
      </c>
    </row>
    <row r="31" spans="1:357" ht="12" customHeight="1">
      <c r="A31" s="1088" t="str">
        <f t="shared" si="0"/>
        <v/>
      </c>
      <c r="B31" s="44"/>
      <c r="C31" s="41"/>
      <c r="D31" s="42"/>
      <c r="E31" s="43"/>
      <c r="F31" s="43"/>
      <c r="G31" s="43"/>
      <c r="H31" s="43"/>
      <c r="I31" s="1100">
        <f>IF(C31="",0,HLOOKUP(C31,'Part V-Utility Allowances'!$I$11:$M$22,12))</f>
        <v>0</v>
      </c>
      <c r="J31" s="810"/>
      <c r="K31" s="512">
        <f t="shared" si="1"/>
        <v>0</v>
      </c>
      <c r="L31" s="512">
        <f t="shared" si="2"/>
        <v>0</v>
      </c>
      <c r="M31" s="1101"/>
      <c r="N31" s="1101"/>
      <c r="O31" s="1101"/>
      <c r="P31" s="1102"/>
      <c r="Q31" s="1103" t="str">
        <f t="shared" si="3"/>
        <v/>
      </c>
      <c r="R31" s="1104" t="str">
        <f>IF(H31="","",IF(C31="Efficiency",Q31/($O$6*VLOOKUP(0,'DCA Underwriting Assumptions'!$J$146:$K$151,2,FALSE)),Q31/($O$6*VLOOKUP(C31,'DCA Underwriting Assumptions'!$J$146:$K$151,2,FALSE))))</f>
        <v/>
      </c>
      <c r="S31" s="1105"/>
      <c r="T31" s="1106"/>
      <c r="U31" s="2314"/>
      <c r="V31" s="2316"/>
      <c r="W31" s="1064" t="str">
        <f t="shared" si="4"/>
        <v/>
      </c>
      <c r="X31" s="1064" t="str">
        <f t="shared" si="5"/>
        <v/>
      </c>
      <c r="Y31" s="1064" t="str">
        <f t="shared" si="6"/>
        <v/>
      </c>
      <c r="Z31" s="1064" t="str">
        <f t="shared" si="7"/>
        <v/>
      </c>
      <c r="AA31" s="1064" t="str">
        <f t="shared" si="8"/>
        <v/>
      </c>
      <c r="AB31" s="1064" t="str">
        <f t="shared" si="9"/>
        <v/>
      </c>
      <c r="AC31" s="1064" t="str">
        <f t="shared" si="10"/>
        <v/>
      </c>
      <c r="AD31" s="1064" t="str">
        <f t="shared" si="11"/>
        <v/>
      </c>
      <c r="AE31" s="1064" t="str">
        <f t="shared" si="12"/>
        <v/>
      </c>
      <c r="AF31" s="1064" t="str">
        <f t="shared" si="13"/>
        <v/>
      </c>
      <c r="AG31" s="1064" t="str">
        <f t="shared" si="14"/>
        <v/>
      </c>
      <c r="AH31" s="1064" t="str">
        <f t="shared" si="15"/>
        <v/>
      </c>
      <c r="AI31" s="1064" t="str">
        <f t="shared" si="16"/>
        <v/>
      </c>
      <c r="AJ31" s="1064" t="str">
        <f t="shared" si="17"/>
        <v/>
      </c>
      <c r="AK31" s="1064" t="str">
        <f t="shared" si="18"/>
        <v/>
      </c>
      <c r="AL31" s="1064" t="str">
        <f t="shared" si="19"/>
        <v/>
      </c>
      <c r="AM31" s="1064" t="str">
        <f t="shared" si="20"/>
        <v/>
      </c>
      <c r="AN31" s="1064" t="str">
        <f t="shared" si="21"/>
        <v/>
      </c>
      <c r="AO31" s="1064" t="str">
        <f t="shared" si="22"/>
        <v/>
      </c>
      <c r="AP31" s="1064" t="str">
        <f t="shared" si="23"/>
        <v/>
      </c>
      <c r="AQ31" s="1064" t="str">
        <f t="shared" si="24"/>
        <v/>
      </c>
      <c r="AR31" s="1064" t="str">
        <f t="shared" si="25"/>
        <v/>
      </c>
      <c r="AS31" s="1064" t="str">
        <f t="shared" si="26"/>
        <v/>
      </c>
      <c r="AT31" s="1064" t="str">
        <f t="shared" si="27"/>
        <v/>
      </c>
      <c r="AU31" s="1064" t="str">
        <f t="shared" si="28"/>
        <v/>
      </c>
      <c r="AV31" s="1064" t="str">
        <f t="shared" si="29"/>
        <v/>
      </c>
      <c r="AW31" s="1064" t="str">
        <f t="shared" si="30"/>
        <v/>
      </c>
      <c r="AX31" s="1064" t="str">
        <f t="shared" si="31"/>
        <v/>
      </c>
      <c r="AY31" s="1064" t="str">
        <f t="shared" si="32"/>
        <v/>
      </c>
      <c r="AZ31" s="1064" t="str">
        <f t="shared" si="33"/>
        <v/>
      </c>
      <c r="BA31" s="1064" t="str">
        <f t="shared" si="34"/>
        <v/>
      </c>
      <c r="BB31" s="1064" t="str">
        <f t="shared" si="35"/>
        <v/>
      </c>
      <c r="BC31" s="1064" t="str">
        <f t="shared" si="36"/>
        <v/>
      </c>
      <c r="BD31" s="1064" t="str">
        <f t="shared" si="37"/>
        <v/>
      </c>
      <c r="BE31" s="1064" t="str">
        <f t="shared" si="38"/>
        <v/>
      </c>
      <c r="BF31" s="1064" t="str">
        <f t="shared" si="39"/>
        <v/>
      </c>
      <c r="BG31" s="1064" t="str">
        <f t="shared" si="40"/>
        <v/>
      </c>
      <c r="BH31" s="1064" t="str">
        <f t="shared" si="41"/>
        <v/>
      </c>
      <c r="BI31" s="1064" t="str">
        <f t="shared" si="42"/>
        <v/>
      </c>
      <c r="BJ31" s="1064" t="str">
        <f t="shared" si="43"/>
        <v/>
      </c>
      <c r="BK31" s="1064" t="str">
        <f t="shared" si="44"/>
        <v/>
      </c>
      <c r="BL31" s="1064" t="str">
        <f t="shared" si="45"/>
        <v/>
      </c>
      <c r="BM31" s="1064" t="str">
        <f t="shared" si="46"/>
        <v/>
      </c>
      <c r="BN31" s="1064" t="str">
        <f t="shared" si="47"/>
        <v/>
      </c>
      <c r="BO31" s="1064" t="str">
        <f t="shared" si="48"/>
        <v/>
      </c>
      <c r="BP31" s="1064" t="str">
        <f t="shared" si="49"/>
        <v/>
      </c>
      <c r="BQ31" s="1064" t="str">
        <f t="shared" si="50"/>
        <v/>
      </c>
      <c r="BR31" s="1064" t="str">
        <f t="shared" si="51"/>
        <v/>
      </c>
      <c r="BS31" s="1064" t="str">
        <f t="shared" si="52"/>
        <v/>
      </c>
      <c r="BT31" s="1064" t="str">
        <f t="shared" si="53"/>
        <v/>
      </c>
      <c r="BU31" s="1064" t="str">
        <f t="shared" si="54"/>
        <v/>
      </c>
      <c r="BV31" s="1064" t="str">
        <f t="shared" si="55"/>
        <v/>
      </c>
      <c r="BW31" s="1064" t="str">
        <f t="shared" si="56"/>
        <v/>
      </c>
      <c r="BX31" s="1064" t="str">
        <f t="shared" si="57"/>
        <v/>
      </c>
      <c r="BY31" s="1064" t="str">
        <f t="shared" si="58"/>
        <v/>
      </c>
      <c r="BZ31" s="1064" t="str">
        <f t="shared" si="59"/>
        <v/>
      </c>
      <c r="CA31" s="1064" t="str">
        <f t="shared" si="60"/>
        <v/>
      </c>
      <c r="CB31" s="1064" t="str">
        <f t="shared" si="61"/>
        <v/>
      </c>
      <c r="CC31" s="1064" t="str">
        <f t="shared" si="62"/>
        <v/>
      </c>
      <c r="CD31" s="1064" t="str">
        <f t="shared" si="63"/>
        <v/>
      </c>
      <c r="CE31" s="1064" t="str">
        <f t="shared" si="64"/>
        <v/>
      </c>
      <c r="CF31" s="1064" t="str">
        <f t="shared" si="65"/>
        <v/>
      </c>
      <c r="CG31" s="1064" t="str">
        <f t="shared" si="66"/>
        <v/>
      </c>
      <c r="CH31" s="1064" t="str">
        <f t="shared" si="67"/>
        <v/>
      </c>
      <c r="CI31" s="1064" t="str">
        <f t="shared" si="68"/>
        <v/>
      </c>
      <c r="CJ31" s="1064" t="str">
        <f t="shared" si="69"/>
        <v/>
      </c>
      <c r="CK31" s="1064" t="str">
        <f t="shared" si="70"/>
        <v/>
      </c>
      <c r="CL31" s="1064" t="str">
        <f t="shared" si="71"/>
        <v/>
      </c>
      <c r="CM31" s="1064" t="str">
        <f t="shared" si="72"/>
        <v/>
      </c>
      <c r="CN31" s="1064" t="str">
        <f t="shared" si="73"/>
        <v/>
      </c>
      <c r="CO31" s="1064" t="str">
        <f t="shared" si="74"/>
        <v/>
      </c>
      <c r="CP31" s="1064" t="str">
        <f t="shared" si="75"/>
        <v/>
      </c>
      <c r="CQ31" s="1064" t="str">
        <f t="shared" si="76"/>
        <v/>
      </c>
      <c r="CR31" s="1064" t="str">
        <f t="shared" si="77"/>
        <v/>
      </c>
      <c r="CS31" s="1064" t="str">
        <f t="shared" si="78"/>
        <v/>
      </c>
      <c r="CT31" s="1064" t="str">
        <f t="shared" si="79"/>
        <v/>
      </c>
      <c r="CU31" s="1064" t="str">
        <f t="shared" si="80"/>
        <v/>
      </c>
      <c r="CV31" s="1064" t="str">
        <f t="shared" si="81"/>
        <v/>
      </c>
      <c r="CW31" s="1064" t="str">
        <f t="shared" si="82"/>
        <v/>
      </c>
      <c r="CX31" s="1064" t="str">
        <f t="shared" si="83"/>
        <v/>
      </c>
      <c r="CY31" s="1064" t="str">
        <f t="shared" si="84"/>
        <v/>
      </c>
      <c r="CZ31" s="1064" t="str">
        <f t="shared" si="85"/>
        <v/>
      </c>
      <c r="DA31" s="1064" t="str">
        <f t="shared" si="86"/>
        <v/>
      </c>
      <c r="DB31" s="1064" t="str">
        <f t="shared" si="87"/>
        <v/>
      </c>
      <c r="DC31" s="1064" t="str">
        <f t="shared" si="88"/>
        <v/>
      </c>
      <c r="DD31" s="1064" t="str">
        <f t="shared" si="89"/>
        <v/>
      </c>
      <c r="DE31" s="1064" t="str">
        <f t="shared" si="90"/>
        <v/>
      </c>
      <c r="DF31" s="1064" t="str">
        <f t="shared" si="91"/>
        <v/>
      </c>
      <c r="DG31" s="1064" t="str">
        <f t="shared" si="92"/>
        <v/>
      </c>
      <c r="DH31" s="1064" t="str">
        <f t="shared" si="93"/>
        <v/>
      </c>
      <c r="DI31" s="1064" t="str">
        <f t="shared" si="94"/>
        <v/>
      </c>
      <c r="DJ31" s="1064" t="str">
        <f t="shared" si="95"/>
        <v/>
      </c>
      <c r="DK31" s="1064" t="str">
        <f t="shared" si="96"/>
        <v/>
      </c>
      <c r="DL31" s="1064" t="str">
        <f t="shared" si="97"/>
        <v/>
      </c>
      <c r="DM31" s="1064" t="str">
        <f t="shared" si="98"/>
        <v/>
      </c>
      <c r="DN31" s="1064" t="str">
        <f t="shared" si="99"/>
        <v/>
      </c>
      <c r="DO31" s="1064" t="str">
        <f t="shared" si="100"/>
        <v/>
      </c>
      <c r="DP31" s="1064" t="str">
        <f t="shared" si="101"/>
        <v/>
      </c>
      <c r="DQ31" s="1064" t="str">
        <f t="shared" si="102"/>
        <v/>
      </c>
      <c r="DR31" s="1064" t="str">
        <f t="shared" si="103"/>
        <v/>
      </c>
      <c r="DS31" s="1064" t="str">
        <f t="shared" si="104"/>
        <v/>
      </c>
      <c r="DT31" s="1064" t="str">
        <f t="shared" si="105"/>
        <v/>
      </c>
      <c r="DU31" s="1064" t="str">
        <f t="shared" si="106"/>
        <v/>
      </c>
      <c r="DV31" s="1064" t="str">
        <f t="shared" si="107"/>
        <v/>
      </c>
      <c r="DW31" s="1064" t="str">
        <f t="shared" si="108"/>
        <v/>
      </c>
      <c r="DX31" s="1064" t="str">
        <f t="shared" si="109"/>
        <v/>
      </c>
      <c r="DY31" s="1064" t="str">
        <f t="shared" si="110"/>
        <v/>
      </c>
      <c r="DZ31" s="1064" t="str">
        <f t="shared" si="111"/>
        <v/>
      </c>
      <c r="EA31" s="1064" t="str">
        <f t="shared" si="112"/>
        <v/>
      </c>
      <c r="EB31" s="1064" t="str">
        <f t="shared" si="113"/>
        <v/>
      </c>
      <c r="EC31" s="1064" t="str">
        <f t="shared" si="114"/>
        <v/>
      </c>
      <c r="ED31" s="1064" t="str">
        <f t="shared" si="115"/>
        <v/>
      </c>
      <c r="EE31" s="1064" t="str">
        <f t="shared" si="116"/>
        <v/>
      </c>
      <c r="EF31" s="1064" t="str">
        <f t="shared" si="117"/>
        <v/>
      </c>
      <c r="EG31" s="1064" t="str">
        <f t="shared" si="313"/>
        <v/>
      </c>
      <c r="EH31" s="1064" t="str">
        <f t="shared" si="118"/>
        <v/>
      </c>
      <c r="EI31" s="1064" t="str">
        <f t="shared" si="119"/>
        <v/>
      </c>
      <c r="EJ31" s="1064" t="str">
        <f t="shared" si="120"/>
        <v/>
      </c>
      <c r="EK31" s="1064" t="str">
        <f t="shared" si="121"/>
        <v/>
      </c>
      <c r="EL31" s="1064" t="str">
        <f t="shared" si="122"/>
        <v/>
      </c>
      <c r="EM31" s="1064" t="str">
        <f t="shared" si="123"/>
        <v/>
      </c>
      <c r="EN31" s="1064" t="str">
        <f t="shared" si="124"/>
        <v/>
      </c>
      <c r="EO31" s="1064" t="str">
        <f t="shared" si="125"/>
        <v/>
      </c>
      <c r="EP31" s="1064" t="str">
        <f t="shared" si="126"/>
        <v/>
      </c>
      <c r="EQ31" s="1064" t="str">
        <f t="shared" si="127"/>
        <v/>
      </c>
      <c r="ER31" s="1064" t="str">
        <f t="shared" si="128"/>
        <v/>
      </c>
      <c r="ES31" s="1064" t="str">
        <f t="shared" si="129"/>
        <v/>
      </c>
      <c r="ET31" s="1064" t="str">
        <f t="shared" si="130"/>
        <v/>
      </c>
      <c r="EU31" s="1064" t="str">
        <f t="shared" si="131"/>
        <v/>
      </c>
      <c r="EV31" s="1064" t="str">
        <f t="shared" si="132"/>
        <v/>
      </c>
      <c r="EW31" s="1064" t="str">
        <f t="shared" si="314"/>
        <v/>
      </c>
      <c r="EX31" s="1064" t="str">
        <f t="shared" si="315"/>
        <v/>
      </c>
      <c r="EY31" s="1064" t="str">
        <f t="shared" si="316"/>
        <v/>
      </c>
      <c r="EZ31" s="1064" t="str">
        <f t="shared" si="317"/>
        <v/>
      </c>
      <c r="FA31" s="1064" t="str">
        <f t="shared" si="318"/>
        <v/>
      </c>
      <c r="FB31" s="1064" t="str">
        <f t="shared" si="133"/>
        <v/>
      </c>
      <c r="FC31" s="1064" t="str">
        <f t="shared" si="134"/>
        <v/>
      </c>
      <c r="FD31" s="1064" t="str">
        <f t="shared" si="135"/>
        <v/>
      </c>
      <c r="FE31" s="1064" t="str">
        <f t="shared" si="136"/>
        <v/>
      </c>
      <c r="FF31" s="1064" t="str">
        <f t="shared" si="137"/>
        <v/>
      </c>
      <c r="FG31" s="1064" t="str">
        <f t="shared" si="319"/>
        <v/>
      </c>
      <c r="FH31" s="1064" t="str">
        <f t="shared" si="320"/>
        <v/>
      </c>
      <c r="FI31" s="1064" t="str">
        <f t="shared" si="321"/>
        <v/>
      </c>
      <c r="FJ31" s="1064" t="str">
        <f t="shared" si="322"/>
        <v/>
      </c>
      <c r="FK31" s="1064" t="str">
        <f t="shared" si="323"/>
        <v/>
      </c>
      <c r="FL31" s="1064" t="str">
        <f t="shared" si="138"/>
        <v/>
      </c>
      <c r="FM31" s="1064" t="str">
        <f t="shared" si="139"/>
        <v/>
      </c>
      <c r="FN31" s="1064" t="str">
        <f t="shared" si="140"/>
        <v/>
      </c>
      <c r="FO31" s="1064" t="str">
        <f t="shared" si="141"/>
        <v/>
      </c>
      <c r="FP31" s="1064" t="str">
        <f t="shared" si="142"/>
        <v/>
      </c>
      <c r="FQ31" s="1064" t="str">
        <f t="shared" si="143"/>
        <v/>
      </c>
      <c r="FR31" s="1064" t="str">
        <f t="shared" si="144"/>
        <v/>
      </c>
      <c r="FS31" s="1064" t="str">
        <f t="shared" si="145"/>
        <v/>
      </c>
      <c r="FT31" s="1064" t="str">
        <f t="shared" si="146"/>
        <v/>
      </c>
      <c r="FU31" s="1064" t="str">
        <f t="shared" si="147"/>
        <v/>
      </c>
      <c r="FV31" s="1064" t="str">
        <f t="shared" si="148"/>
        <v/>
      </c>
      <c r="FW31" s="1064" t="str">
        <f t="shared" si="149"/>
        <v/>
      </c>
      <c r="FX31" s="1064" t="str">
        <f t="shared" si="150"/>
        <v/>
      </c>
      <c r="FY31" s="1064" t="str">
        <f t="shared" si="151"/>
        <v/>
      </c>
      <c r="FZ31" s="1064" t="str">
        <f t="shared" si="152"/>
        <v/>
      </c>
      <c r="GA31" s="1064" t="str">
        <f t="shared" si="153"/>
        <v/>
      </c>
      <c r="GB31" s="1064" t="str">
        <f t="shared" si="154"/>
        <v/>
      </c>
      <c r="GC31" s="1064" t="str">
        <f t="shared" si="155"/>
        <v/>
      </c>
      <c r="GD31" s="1064" t="str">
        <f t="shared" si="156"/>
        <v/>
      </c>
      <c r="GE31" s="1064" t="str">
        <f t="shared" si="157"/>
        <v/>
      </c>
      <c r="GF31" s="1064" t="str">
        <f t="shared" si="158"/>
        <v/>
      </c>
      <c r="GG31" s="1064" t="str">
        <f t="shared" si="159"/>
        <v/>
      </c>
      <c r="GH31" s="1064" t="str">
        <f t="shared" si="160"/>
        <v/>
      </c>
      <c r="GI31" s="1064" t="str">
        <f t="shared" si="161"/>
        <v/>
      </c>
      <c r="GJ31" s="1064" t="str">
        <f t="shared" si="162"/>
        <v/>
      </c>
      <c r="GK31" s="1064" t="str">
        <f t="shared" si="163"/>
        <v/>
      </c>
      <c r="GL31" s="1064" t="str">
        <f t="shared" si="164"/>
        <v/>
      </c>
      <c r="GM31" s="1064" t="str">
        <f t="shared" si="165"/>
        <v/>
      </c>
      <c r="GN31" s="1064" t="str">
        <f t="shared" si="166"/>
        <v/>
      </c>
      <c r="GO31" s="1064" t="str">
        <f t="shared" si="167"/>
        <v/>
      </c>
      <c r="GP31" s="1064" t="str">
        <f t="shared" si="168"/>
        <v/>
      </c>
      <c r="GQ31" s="1064" t="str">
        <f t="shared" si="169"/>
        <v/>
      </c>
      <c r="GR31" s="1064" t="str">
        <f t="shared" si="170"/>
        <v/>
      </c>
      <c r="GS31" s="1064" t="str">
        <f t="shared" si="171"/>
        <v/>
      </c>
      <c r="GT31" s="1064" t="str">
        <f t="shared" si="172"/>
        <v/>
      </c>
      <c r="GU31" s="1064" t="str">
        <f t="shared" si="173"/>
        <v/>
      </c>
      <c r="GV31" s="1064" t="str">
        <f t="shared" si="174"/>
        <v/>
      </c>
      <c r="GW31" s="1064" t="str">
        <f t="shared" si="175"/>
        <v/>
      </c>
      <c r="GX31" s="1064" t="str">
        <f t="shared" si="176"/>
        <v/>
      </c>
      <c r="GY31" s="1064" t="str">
        <f t="shared" si="177"/>
        <v/>
      </c>
      <c r="GZ31" s="1064" t="str">
        <f t="shared" si="178"/>
        <v/>
      </c>
      <c r="HA31" s="1064" t="str">
        <f t="shared" si="179"/>
        <v/>
      </c>
      <c r="HB31" s="1064" t="str">
        <f t="shared" si="180"/>
        <v/>
      </c>
      <c r="HC31" s="1064" t="str">
        <f t="shared" si="181"/>
        <v/>
      </c>
      <c r="HD31" s="1064" t="str">
        <f t="shared" si="182"/>
        <v/>
      </c>
      <c r="HE31" s="1064" t="str">
        <f t="shared" si="183"/>
        <v/>
      </c>
      <c r="HF31" s="1064" t="str">
        <f t="shared" si="184"/>
        <v/>
      </c>
      <c r="HG31" s="1064" t="str">
        <f t="shared" si="185"/>
        <v/>
      </c>
      <c r="HH31" s="1064" t="str">
        <f t="shared" si="186"/>
        <v/>
      </c>
      <c r="HI31" s="1064" t="str">
        <f t="shared" si="187"/>
        <v/>
      </c>
      <c r="HJ31" s="1064" t="str">
        <f t="shared" si="188"/>
        <v/>
      </c>
      <c r="HK31" s="1064" t="str">
        <f t="shared" si="189"/>
        <v/>
      </c>
      <c r="HL31" s="1064" t="str">
        <f t="shared" si="190"/>
        <v/>
      </c>
      <c r="HM31" s="1064" t="str">
        <f t="shared" si="191"/>
        <v/>
      </c>
      <c r="HN31" s="1064" t="str">
        <f t="shared" si="192"/>
        <v/>
      </c>
      <c r="HO31" s="1064" t="str">
        <f t="shared" si="193"/>
        <v/>
      </c>
      <c r="HP31" s="1064" t="str">
        <f t="shared" si="194"/>
        <v/>
      </c>
      <c r="HQ31" s="1064" t="str">
        <f t="shared" si="195"/>
        <v/>
      </c>
      <c r="HR31" s="1064" t="str">
        <f t="shared" si="196"/>
        <v/>
      </c>
      <c r="HS31" s="1064" t="str">
        <f t="shared" si="197"/>
        <v/>
      </c>
      <c r="HT31" s="1064" t="str">
        <f t="shared" si="198"/>
        <v/>
      </c>
      <c r="HU31" s="1064" t="str">
        <f t="shared" si="199"/>
        <v/>
      </c>
      <c r="HV31" s="1064" t="str">
        <f t="shared" si="200"/>
        <v/>
      </c>
      <c r="HW31" s="1064" t="str">
        <f t="shared" si="201"/>
        <v/>
      </c>
      <c r="HX31" s="1064" t="str">
        <f t="shared" si="202"/>
        <v/>
      </c>
      <c r="HY31" s="1097" t="str">
        <f t="shared" si="203"/>
        <v/>
      </c>
      <c r="HZ31" s="1097" t="str">
        <f t="shared" si="204"/>
        <v/>
      </c>
      <c r="IA31" s="1097" t="str">
        <f t="shared" si="205"/>
        <v/>
      </c>
      <c r="IB31" s="1097" t="str">
        <f t="shared" si="206"/>
        <v/>
      </c>
      <c r="IC31" s="1097" t="str">
        <f t="shared" si="207"/>
        <v/>
      </c>
      <c r="ID31" s="1097" t="str">
        <f t="shared" si="208"/>
        <v/>
      </c>
      <c r="IE31" s="1097" t="str">
        <f t="shared" si="209"/>
        <v/>
      </c>
      <c r="IF31" s="1097" t="str">
        <f t="shared" si="210"/>
        <v/>
      </c>
      <c r="IG31" s="1097" t="str">
        <f t="shared" si="211"/>
        <v/>
      </c>
      <c r="IH31" s="1097" t="str">
        <f t="shared" si="212"/>
        <v/>
      </c>
      <c r="II31" s="1097" t="str">
        <f t="shared" si="213"/>
        <v/>
      </c>
      <c r="IJ31" s="1097" t="str">
        <f t="shared" si="214"/>
        <v/>
      </c>
      <c r="IK31" s="1097" t="str">
        <f t="shared" si="215"/>
        <v/>
      </c>
      <c r="IL31" s="1097" t="str">
        <f t="shared" si="216"/>
        <v/>
      </c>
      <c r="IM31" s="1097" t="str">
        <f t="shared" si="217"/>
        <v/>
      </c>
      <c r="IN31" s="1097" t="str">
        <f t="shared" si="218"/>
        <v/>
      </c>
      <c r="IO31" s="1097" t="str">
        <f t="shared" si="219"/>
        <v/>
      </c>
      <c r="IP31" s="1097" t="str">
        <f t="shared" si="220"/>
        <v/>
      </c>
      <c r="IQ31" s="1097" t="str">
        <f t="shared" si="221"/>
        <v/>
      </c>
      <c r="IR31" s="1097" t="str">
        <f t="shared" si="222"/>
        <v/>
      </c>
      <c r="IS31" s="1097" t="str">
        <f t="shared" si="223"/>
        <v/>
      </c>
      <c r="IT31" s="1097" t="str">
        <f t="shared" si="224"/>
        <v/>
      </c>
      <c r="IU31" s="1097" t="str">
        <f t="shared" si="225"/>
        <v/>
      </c>
      <c r="IV31" s="1097" t="str">
        <f t="shared" si="226"/>
        <v/>
      </c>
      <c r="IW31" s="1097" t="str">
        <f t="shared" si="227"/>
        <v/>
      </c>
      <c r="IX31" s="1097" t="str">
        <f t="shared" si="228"/>
        <v/>
      </c>
      <c r="IY31" s="1097" t="str">
        <f t="shared" si="229"/>
        <v/>
      </c>
      <c r="IZ31" s="1097" t="str">
        <f t="shared" si="230"/>
        <v/>
      </c>
      <c r="JA31" s="1097" t="str">
        <f t="shared" si="231"/>
        <v/>
      </c>
      <c r="JB31" s="1097" t="str">
        <f t="shared" si="232"/>
        <v/>
      </c>
      <c r="JC31" s="1097" t="str">
        <f t="shared" si="233"/>
        <v/>
      </c>
      <c r="JD31" s="1097" t="str">
        <f t="shared" si="234"/>
        <v/>
      </c>
      <c r="JE31" s="1097" t="str">
        <f t="shared" si="235"/>
        <v/>
      </c>
      <c r="JF31" s="1097" t="str">
        <f t="shared" si="236"/>
        <v/>
      </c>
      <c r="JG31" s="1097" t="str">
        <f t="shared" si="237"/>
        <v/>
      </c>
      <c r="JH31" s="1097" t="str">
        <f t="shared" si="238"/>
        <v/>
      </c>
      <c r="JI31" s="1097" t="str">
        <f t="shared" si="239"/>
        <v/>
      </c>
      <c r="JJ31" s="1097" t="str">
        <f t="shared" si="240"/>
        <v/>
      </c>
      <c r="JK31" s="1097" t="str">
        <f t="shared" si="241"/>
        <v/>
      </c>
      <c r="JL31" s="1097" t="str">
        <f t="shared" si="242"/>
        <v/>
      </c>
      <c r="JM31" s="1097" t="str">
        <f t="shared" si="243"/>
        <v/>
      </c>
      <c r="JN31" s="1097" t="str">
        <f t="shared" si="244"/>
        <v/>
      </c>
      <c r="JO31" s="1097" t="str">
        <f t="shared" si="245"/>
        <v/>
      </c>
      <c r="JP31" s="1097" t="str">
        <f t="shared" si="246"/>
        <v/>
      </c>
      <c r="JQ31" s="1097" t="str">
        <f t="shared" si="247"/>
        <v/>
      </c>
      <c r="JR31" s="1097" t="str">
        <f t="shared" si="248"/>
        <v/>
      </c>
      <c r="JS31" s="1097" t="str">
        <f t="shared" si="249"/>
        <v/>
      </c>
      <c r="JT31" s="1097" t="str">
        <f t="shared" si="250"/>
        <v/>
      </c>
      <c r="JU31" s="1097" t="str">
        <f t="shared" si="251"/>
        <v/>
      </c>
      <c r="JV31" s="1097" t="str">
        <f t="shared" si="252"/>
        <v/>
      </c>
      <c r="JW31" s="1097" t="str">
        <f t="shared" si="253"/>
        <v/>
      </c>
      <c r="JX31" s="1097" t="str">
        <f t="shared" si="254"/>
        <v/>
      </c>
      <c r="JY31" s="1097" t="str">
        <f t="shared" si="255"/>
        <v/>
      </c>
      <c r="JZ31" s="1097" t="str">
        <f t="shared" si="256"/>
        <v/>
      </c>
      <c r="KA31" s="1097" t="str">
        <f t="shared" si="257"/>
        <v/>
      </c>
      <c r="KB31" s="1097" t="str">
        <f t="shared" si="258"/>
        <v/>
      </c>
      <c r="KC31" s="1097" t="str">
        <f t="shared" si="259"/>
        <v/>
      </c>
      <c r="KD31" s="1097" t="str">
        <f t="shared" si="260"/>
        <v/>
      </c>
      <c r="KE31" s="1097" t="str">
        <f t="shared" si="261"/>
        <v/>
      </c>
      <c r="KF31" s="1097" t="str">
        <f t="shared" si="262"/>
        <v/>
      </c>
      <c r="KG31" s="1097" t="str">
        <f t="shared" si="263"/>
        <v/>
      </c>
      <c r="KH31" s="1097" t="str">
        <f t="shared" si="264"/>
        <v/>
      </c>
      <c r="KI31" s="1097" t="str">
        <f t="shared" si="265"/>
        <v/>
      </c>
      <c r="KJ31" s="1097" t="str">
        <f t="shared" si="266"/>
        <v/>
      </c>
      <c r="KK31" s="1097" t="str">
        <f t="shared" si="267"/>
        <v/>
      </c>
      <c r="KL31" s="1097" t="str">
        <f t="shared" si="268"/>
        <v/>
      </c>
      <c r="KM31" s="1097" t="str">
        <f t="shared" si="269"/>
        <v/>
      </c>
      <c r="KN31" s="1097" t="str">
        <f t="shared" si="270"/>
        <v/>
      </c>
      <c r="KO31" s="1097" t="str">
        <f t="shared" si="271"/>
        <v/>
      </c>
      <c r="KP31" s="1097" t="str">
        <f t="shared" si="272"/>
        <v/>
      </c>
      <c r="KQ31" s="1097" t="str">
        <f t="shared" si="273"/>
        <v/>
      </c>
      <c r="KR31" s="1097" t="str">
        <f t="shared" si="274"/>
        <v/>
      </c>
      <c r="KS31" s="1097" t="str">
        <f t="shared" si="275"/>
        <v/>
      </c>
      <c r="KT31" s="1097" t="str">
        <f t="shared" si="276"/>
        <v/>
      </c>
      <c r="KU31" s="1097" t="str">
        <f t="shared" si="277"/>
        <v/>
      </c>
      <c r="KV31" s="1097" t="str">
        <f t="shared" si="278"/>
        <v/>
      </c>
      <c r="KW31" s="1097" t="str">
        <f t="shared" si="279"/>
        <v/>
      </c>
      <c r="KX31" s="1097" t="str">
        <f t="shared" si="280"/>
        <v/>
      </c>
      <c r="KY31" s="1097" t="str">
        <f t="shared" si="281"/>
        <v/>
      </c>
      <c r="KZ31" s="1097" t="str">
        <f t="shared" si="282"/>
        <v/>
      </c>
      <c r="LA31" s="1097" t="str">
        <f t="shared" si="283"/>
        <v/>
      </c>
      <c r="LB31" s="1097" t="str">
        <f t="shared" si="284"/>
        <v/>
      </c>
      <c r="LC31" s="1097" t="str">
        <f t="shared" si="285"/>
        <v/>
      </c>
      <c r="LD31" s="1097" t="str">
        <f t="shared" si="286"/>
        <v/>
      </c>
      <c r="LE31" s="1097" t="str">
        <f t="shared" si="287"/>
        <v/>
      </c>
      <c r="LF31" s="1098" t="str">
        <f t="shared" si="288"/>
        <v/>
      </c>
      <c r="LG31" s="1098" t="str">
        <f t="shared" si="289"/>
        <v/>
      </c>
      <c r="LH31" s="1098" t="str">
        <f t="shared" si="290"/>
        <v/>
      </c>
      <c r="LI31" s="1098" t="str">
        <f t="shared" si="291"/>
        <v/>
      </c>
      <c r="LJ31" s="1098" t="str">
        <f t="shared" si="292"/>
        <v/>
      </c>
      <c r="LK31" s="1064" t="str">
        <f t="shared" si="293"/>
        <v/>
      </c>
      <c r="LL31" s="1064" t="str">
        <f t="shared" si="294"/>
        <v/>
      </c>
      <c r="LM31" s="1064" t="str">
        <f t="shared" si="295"/>
        <v/>
      </c>
      <c r="LN31" s="1064" t="str">
        <f t="shared" si="296"/>
        <v/>
      </c>
      <c r="LO31" s="1064" t="str">
        <f t="shared" si="297"/>
        <v/>
      </c>
      <c r="LP31" s="1064" t="str">
        <f t="shared" si="298"/>
        <v/>
      </c>
      <c r="LQ31" s="1064" t="str">
        <f t="shared" si="299"/>
        <v/>
      </c>
      <c r="LR31" s="1064" t="str">
        <f t="shared" si="300"/>
        <v/>
      </c>
      <c r="LS31" s="1064" t="str">
        <f t="shared" si="301"/>
        <v/>
      </c>
      <c r="LT31" s="1064" t="str">
        <f t="shared" si="302"/>
        <v/>
      </c>
      <c r="LU31" s="1064" t="str">
        <f t="shared" si="303"/>
        <v/>
      </c>
      <c r="LV31" s="1064" t="str">
        <f t="shared" si="304"/>
        <v/>
      </c>
      <c r="LW31" s="1064" t="str">
        <f t="shared" si="305"/>
        <v/>
      </c>
      <c r="LX31" s="1064" t="str">
        <f t="shared" si="306"/>
        <v/>
      </c>
      <c r="LY31" s="1064" t="str">
        <f t="shared" si="307"/>
        <v/>
      </c>
      <c r="LZ31" s="1064" t="str">
        <f t="shared" si="308"/>
        <v/>
      </c>
      <c r="MA31" s="1064" t="str">
        <f t="shared" si="309"/>
        <v/>
      </c>
      <c r="MB31" s="1064" t="str">
        <f t="shared" si="310"/>
        <v/>
      </c>
      <c r="MC31" s="1064" t="str">
        <f t="shared" si="311"/>
        <v/>
      </c>
      <c r="MD31" s="1064" t="str">
        <f t="shared" si="312"/>
        <v/>
      </c>
      <c r="ME31" s="1081">
        <f t="shared" si="324"/>
        <v>0</v>
      </c>
      <c r="MF31" s="1081">
        <f t="shared" si="325"/>
        <v>0</v>
      </c>
      <c r="MG31" s="1081">
        <f t="shared" si="326"/>
        <v>0</v>
      </c>
      <c r="MH31" s="1081">
        <f t="shared" si="327"/>
        <v>0</v>
      </c>
      <c r="MI31" s="1081">
        <f t="shared" si="328"/>
        <v>0</v>
      </c>
      <c r="MJ31" s="1081">
        <f t="shared" si="329"/>
        <v>0</v>
      </c>
      <c r="MK31" s="1081">
        <f t="shared" si="330"/>
        <v>0</v>
      </c>
      <c r="ML31" s="1081">
        <f t="shared" si="331"/>
        <v>0</v>
      </c>
      <c r="MM31" s="1081">
        <f t="shared" si="332"/>
        <v>0</v>
      </c>
      <c r="MN31" s="1081">
        <f t="shared" si="333"/>
        <v>0</v>
      </c>
      <c r="MO31" s="1081">
        <f t="shared" si="334"/>
        <v>0</v>
      </c>
      <c r="MP31" s="1081">
        <f t="shared" si="335"/>
        <v>0</v>
      </c>
      <c r="MQ31" s="1081">
        <f t="shared" si="336"/>
        <v>0</v>
      </c>
      <c r="MR31" s="1081">
        <f t="shared" si="337"/>
        <v>0</v>
      </c>
      <c r="MS31" s="1081">
        <f t="shared" si="338"/>
        <v>0</v>
      </c>
    </row>
    <row r="32" spans="1:357" ht="12" customHeight="1">
      <c r="A32" s="1088" t="str">
        <f t="shared" si="0"/>
        <v/>
      </c>
      <c r="B32" s="44"/>
      <c r="C32" s="41"/>
      <c r="D32" s="42"/>
      <c r="E32" s="43"/>
      <c r="F32" s="43"/>
      <c r="G32" s="43"/>
      <c r="H32" s="43"/>
      <c r="I32" s="1100">
        <f>IF(C32="",0,HLOOKUP(C32,'Part V-Utility Allowances'!$I$11:$M$22,12))</f>
        <v>0</v>
      </c>
      <c r="J32" s="810"/>
      <c r="K32" s="512">
        <f t="shared" si="1"/>
        <v>0</v>
      </c>
      <c r="L32" s="512">
        <f t="shared" si="2"/>
        <v>0</v>
      </c>
      <c r="M32" s="1101"/>
      <c r="N32" s="1101"/>
      <c r="O32" s="1101"/>
      <c r="P32" s="1102"/>
      <c r="Q32" s="1103" t="str">
        <f t="shared" si="3"/>
        <v/>
      </c>
      <c r="R32" s="1104" t="str">
        <f>IF(H32="","",IF(C32="Efficiency",Q32/($O$6*VLOOKUP(0,'DCA Underwriting Assumptions'!$J$146:$K$151,2,FALSE)),Q32/($O$6*VLOOKUP(C32,'DCA Underwriting Assumptions'!$J$146:$K$151,2,FALSE))))</f>
        <v/>
      </c>
      <c r="S32" s="1105"/>
      <c r="T32" s="1106"/>
      <c r="U32" s="2314"/>
      <c r="V32" s="2316"/>
      <c r="W32" s="1064" t="str">
        <f t="shared" si="4"/>
        <v/>
      </c>
      <c r="X32" s="1064" t="str">
        <f t="shared" si="5"/>
        <v/>
      </c>
      <c r="Y32" s="1064" t="str">
        <f t="shared" si="6"/>
        <v/>
      </c>
      <c r="Z32" s="1064" t="str">
        <f t="shared" si="7"/>
        <v/>
      </c>
      <c r="AA32" s="1064" t="str">
        <f t="shared" si="8"/>
        <v/>
      </c>
      <c r="AB32" s="1064" t="str">
        <f t="shared" si="9"/>
        <v/>
      </c>
      <c r="AC32" s="1064" t="str">
        <f t="shared" si="10"/>
        <v/>
      </c>
      <c r="AD32" s="1064" t="str">
        <f t="shared" si="11"/>
        <v/>
      </c>
      <c r="AE32" s="1064" t="str">
        <f t="shared" si="12"/>
        <v/>
      </c>
      <c r="AF32" s="1064" t="str">
        <f t="shared" si="13"/>
        <v/>
      </c>
      <c r="AG32" s="1064" t="str">
        <f t="shared" si="14"/>
        <v/>
      </c>
      <c r="AH32" s="1064" t="str">
        <f t="shared" si="15"/>
        <v/>
      </c>
      <c r="AI32" s="1064" t="str">
        <f t="shared" si="16"/>
        <v/>
      </c>
      <c r="AJ32" s="1064" t="str">
        <f t="shared" si="17"/>
        <v/>
      </c>
      <c r="AK32" s="1064" t="str">
        <f t="shared" si="18"/>
        <v/>
      </c>
      <c r="AL32" s="1064" t="str">
        <f t="shared" si="19"/>
        <v/>
      </c>
      <c r="AM32" s="1064" t="str">
        <f t="shared" si="20"/>
        <v/>
      </c>
      <c r="AN32" s="1064" t="str">
        <f t="shared" si="21"/>
        <v/>
      </c>
      <c r="AO32" s="1064" t="str">
        <f t="shared" si="22"/>
        <v/>
      </c>
      <c r="AP32" s="1064" t="str">
        <f t="shared" si="23"/>
        <v/>
      </c>
      <c r="AQ32" s="1064" t="str">
        <f t="shared" si="24"/>
        <v/>
      </c>
      <c r="AR32" s="1064" t="str">
        <f t="shared" si="25"/>
        <v/>
      </c>
      <c r="AS32" s="1064" t="str">
        <f t="shared" si="26"/>
        <v/>
      </c>
      <c r="AT32" s="1064" t="str">
        <f t="shared" si="27"/>
        <v/>
      </c>
      <c r="AU32" s="1064" t="str">
        <f t="shared" si="28"/>
        <v/>
      </c>
      <c r="AV32" s="1064" t="str">
        <f t="shared" si="29"/>
        <v/>
      </c>
      <c r="AW32" s="1064" t="str">
        <f t="shared" si="30"/>
        <v/>
      </c>
      <c r="AX32" s="1064" t="str">
        <f t="shared" si="31"/>
        <v/>
      </c>
      <c r="AY32" s="1064" t="str">
        <f t="shared" si="32"/>
        <v/>
      </c>
      <c r="AZ32" s="1064" t="str">
        <f t="shared" si="33"/>
        <v/>
      </c>
      <c r="BA32" s="1064" t="str">
        <f t="shared" si="34"/>
        <v/>
      </c>
      <c r="BB32" s="1064" t="str">
        <f t="shared" si="35"/>
        <v/>
      </c>
      <c r="BC32" s="1064" t="str">
        <f t="shared" si="36"/>
        <v/>
      </c>
      <c r="BD32" s="1064" t="str">
        <f t="shared" si="37"/>
        <v/>
      </c>
      <c r="BE32" s="1064" t="str">
        <f t="shared" si="38"/>
        <v/>
      </c>
      <c r="BF32" s="1064" t="str">
        <f t="shared" si="39"/>
        <v/>
      </c>
      <c r="BG32" s="1064" t="str">
        <f t="shared" si="40"/>
        <v/>
      </c>
      <c r="BH32" s="1064" t="str">
        <f t="shared" si="41"/>
        <v/>
      </c>
      <c r="BI32" s="1064" t="str">
        <f t="shared" si="42"/>
        <v/>
      </c>
      <c r="BJ32" s="1064" t="str">
        <f t="shared" si="43"/>
        <v/>
      </c>
      <c r="BK32" s="1064" t="str">
        <f t="shared" si="44"/>
        <v/>
      </c>
      <c r="BL32" s="1064" t="str">
        <f t="shared" si="45"/>
        <v/>
      </c>
      <c r="BM32" s="1064" t="str">
        <f t="shared" si="46"/>
        <v/>
      </c>
      <c r="BN32" s="1064" t="str">
        <f t="shared" si="47"/>
        <v/>
      </c>
      <c r="BO32" s="1064" t="str">
        <f t="shared" si="48"/>
        <v/>
      </c>
      <c r="BP32" s="1064" t="str">
        <f t="shared" si="49"/>
        <v/>
      </c>
      <c r="BQ32" s="1064" t="str">
        <f t="shared" si="50"/>
        <v/>
      </c>
      <c r="BR32" s="1064" t="str">
        <f t="shared" si="51"/>
        <v/>
      </c>
      <c r="BS32" s="1064" t="str">
        <f t="shared" si="52"/>
        <v/>
      </c>
      <c r="BT32" s="1064" t="str">
        <f t="shared" si="53"/>
        <v/>
      </c>
      <c r="BU32" s="1064" t="str">
        <f t="shared" si="54"/>
        <v/>
      </c>
      <c r="BV32" s="1064" t="str">
        <f t="shared" si="55"/>
        <v/>
      </c>
      <c r="BW32" s="1064" t="str">
        <f t="shared" si="56"/>
        <v/>
      </c>
      <c r="BX32" s="1064" t="str">
        <f t="shared" si="57"/>
        <v/>
      </c>
      <c r="BY32" s="1064" t="str">
        <f t="shared" si="58"/>
        <v/>
      </c>
      <c r="BZ32" s="1064" t="str">
        <f t="shared" si="59"/>
        <v/>
      </c>
      <c r="CA32" s="1064" t="str">
        <f t="shared" si="60"/>
        <v/>
      </c>
      <c r="CB32" s="1064" t="str">
        <f t="shared" si="61"/>
        <v/>
      </c>
      <c r="CC32" s="1064" t="str">
        <f t="shared" si="62"/>
        <v/>
      </c>
      <c r="CD32" s="1064" t="str">
        <f t="shared" si="63"/>
        <v/>
      </c>
      <c r="CE32" s="1064" t="str">
        <f t="shared" si="64"/>
        <v/>
      </c>
      <c r="CF32" s="1064" t="str">
        <f t="shared" si="65"/>
        <v/>
      </c>
      <c r="CG32" s="1064" t="str">
        <f t="shared" si="66"/>
        <v/>
      </c>
      <c r="CH32" s="1064" t="str">
        <f t="shared" si="67"/>
        <v/>
      </c>
      <c r="CI32" s="1064" t="str">
        <f t="shared" si="68"/>
        <v/>
      </c>
      <c r="CJ32" s="1064" t="str">
        <f t="shared" si="69"/>
        <v/>
      </c>
      <c r="CK32" s="1064" t="str">
        <f t="shared" si="70"/>
        <v/>
      </c>
      <c r="CL32" s="1064" t="str">
        <f t="shared" si="71"/>
        <v/>
      </c>
      <c r="CM32" s="1064" t="str">
        <f t="shared" si="72"/>
        <v/>
      </c>
      <c r="CN32" s="1064" t="str">
        <f t="shared" si="73"/>
        <v/>
      </c>
      <c r="CO32" s="1064" t="str">
        <f t="shared" si="74"/>
        <v/>
      </c>
      <c r="CP32" s="1064" t="str">
        <f t="shared" si="75"/>
        <v/>
      </c>
      <c r="CQ32" s="1064" t="str">
        <f t="shared" si="76"/>
        <v/>
      </c>
      <c r="CR32" s="1064" t="str">
        <f t="shared" si="77"/>
        <v/>
      </c>
      <c r="CS32" s="1064" t="str">
        <f t="shared" si="78"/>
        <v/>
      </c>
      <c r="CT32" s="1064" t="str">
        <f t="shared" si="79"/>
        <v/>
      </c>
      <c r="CU32" s="1064" t="str">
        <f t="shared" si="80"/>
        <v/>
      </c>
      <c r="CV32" s="1064" t="str">
        <f t="shared" si="81"/>
        <v/>
      </c>
      <c r="CW32" s="1064" t="str">
        <f t="shared" si="82"/>
        <v/>
      </c>
      <c r="CX32" s="1064" t="str">
        <f t="shared" si="83"/>
        <v/>
      </c>
      <c r="CY32" s="1064" t="str">
        <f t="shared" si="84"/>
        <v/>
      </c>
      <c r="CZ32" s="1064" t="str">
        <f t="shared" si="85"/>
        <v/>
      </c>
      <c r="DA32" s="1064" t="str">
        <f t="shared" si="86"/>
        <v/>
      </c>
      <c r="DB32" s="1064" t="str">
        <f t="shared" si="87"/>
        <v/>
      </c>
      <c r="DC32" s="1064" t="str">
        <f t="shared" si="88"/>
        <v/>
      </c>
      <c r="DD32" s="1064" t="str">
        <f t="shared" si="89"/>
        <v/>
      </c>
      <c r="DE32" s="1064" t="str">
        <f t="shared" si="90"/>
        <v/>
      </c>
      <c r="DF32" s="1064" t="str">
        <f t="shared" si="91"/>
        <v/>
      </c>
      <c r="DG32" s="1064" t="str">
        <f t="shared" si="92"/>
        <v/>
      </c>
      <c r="DH32" s="1064" t="str">
        <f t="shared" si="93"/>
        <v/>
      </c>
      <c r="DI32" s="1064" t="str">
        <f t="shared" si="94"/>
        <v/>
      </c>
      <c r="DJ32" s="1064" t="str">
        <f t="shared" si="95"/>
        <v/>
      </c>
      <c r="DK32" s="1064" t="str">
        <f t="shared" si="96"/>
        <v/>
      </c>
      <c r="DL32" s="1064" t="str">
        <f t="shared" si="97"/>
        <v/>
      </c>
      <c r="DM32" s="1064" t="str">
        <f t="shared" si="98"/>
        <v/>
      </c>
      <c r="DN32" s="1064" t="str">
        <f t="shared" si="99"/>
        <v/>
      </c>
      <c r="DO32" s="1064" t="str">
        <f t="shared" si="100"/>
        <v/>
      </c>
      <c r="DP32" s="1064" t="str">
        <f t="shared" si="101"/>
        <v/>
      </c>
      <c r="DQ32" s="1064" t="str">
        <f t="shared" si="102"/>
        <v/>
      </c>
      <c r="DR32" s="1064" t="str">
        <f t="shared" si="103"/>
        <v/>
      </c>
      <c r="DS32" s="1064" t="str">
        <f t="shared" si="104"/>
        <v/>
      </c>
      <c r="DT32" s="1064" t="str">
        <f t="shared" si="105"/>
        <v/>
      </c>
      <c r="DU32" s="1064" t="str">
        <f t="shared" si="106"/>
        <v/>
      </c>
      <c r="DV32" s="1064" t="str">
        <f t="shared" si="107"/>
        <v/>
      </c>
      <c r="DW32" s="1064" t="str">
        <f t="shared" si="108"/>
        <v/>
      </c>
      <c r="DX32" s="1064" t="str">
        <f t="shared" si="109"/>
        <v/>
      </c>
      <c r="DY32" s="1064" t="str">
        <f t="shared" si="110"/>
        <v/>
      </c>
      <c r="DZ32" s="1064" t="str">
        <f t="shared" si="111"/>
        <v/>
      </c>
      <c r="EA32" s="1064" t="str">
        <f t="shared" si="112"/>
        <v/>
      </c>
      <c r="EB32" s="1064" t="str">
        <f t="shared" si="113"/>
        <v/>
      </c>
      <c r="EC32" s="1064" t="str">
        <f t="shared" si="114"/>
        <v/>
      </c>
      <c r="ED32" s="1064" t="str">
        <f t="shared" si="115"/>
        <v/>
      </c>
      <c r="EE32" s="1064" t="str">
        <f t="shared" si="116"/>
        <v/>
      </c>
      <c r="EF32" s="1064" t="str">
        <f t="shared" si="117"/>
        <v/>
      </c>
      <c r="EG32" s="1064" t="str">
        <f t="shared" si="313"/>
        <v/>
      </c>
      <c r="EH32" s="1064" t="str">
        <f t="shared" si="118"/>
        <v/>
      </c>
      <c r="EI32" s="1064" t="str">
        <f t="shared" si="119"/>
        <v/>
      </c>
      <c r="EJ32" s="1064" t="str">
        <f t="shared" si="120"/>
        <v/>
      </c>
      <c r="EK32" s="1064" t="str">
        <f t="shared" si="121"/>
        <v/>
      </c>
      <c r="EL32" s="1064" t="str">
        <f t="shared" si="122"/>
        <v/>
      </c>
      <c r="EM32" s="1064" t="str">
        <f t="shared" si="123"/>
        <v/>
      </c>
      <c r="EN32" s="1064" t="str">
        <f t="shared" si="124"/>
        <v/>
      </c>
      <c r="EO32" s="1064" t="str">
        <f t="shared" si="125"/>
        <v/>
      </c>
      <c r="EP32" s="1064" t="str">
        <f t="shared" si="126"/>
        <v/>
      </c>
      <c r="EQ32" s="1064" t="str">
        <f t="shared" si="127"/>
        <v/>
      </c>
      <c r="ER32" s="1064" t="str">
        <f t="shared" si="128"/>
        <v/>
      </c>
      <c r="ES32" s="1064" t="str">
        <f t="shared" si="129"/>
        <v/>
      </c>
      <c r="ET32" s="1064" t="str">
        <f t="shared" si="130"/>
        <v/>
      </c>
      <c r="EU32" s="1064" t="str">
        <f t="shared" si="131"/>
        <v/>
      </c>
      <c r="EV32" s="1064" t="str">
        <f t="shared" si="132"/>
        <v/>
      </c>
      <c r="EW32" s="1064" t="str">
        <f t="shared" si="314"/>
        <v/>
      </c>
      <c r="EX32" s="1064" t="str">
        <f t="shared" si="315"/>
        <v/>
      </c>
      <c r="EY32" s="1064" t="str">
        <f t="shared" si="316"/>
        <v/>
      </c>
      <c r="EZ32" s="1064" t="str">
        <f t="shared" si="317"/>
        <v/>
      </c>
      <c r="FA32" s="1064" t="str">
        <f t="shared" si="318"/>
        <v/>
      </c>
      <c r="FB32" s="1064" t="str">
        <f t="shared" si="133"/>
        <v/>
      </c>
      <c r="FC32" s="1064" t="str">
        <f t="shared" si="134"/>
        <v/>
      </c>
      <c r="FD32" s="1064" t="str">
        <f t="shared" si="135"/>
        <v/>
      </c>
      <c r="FE32" s="1064" t="str">
        <f t="shared" si="136"/>
        <v/>
      </c>
      <c r="FF32" s="1064" t="str">
        <f t="shared" si="137"/>
        <v/>
      </c>
      <c r="FG32" s="1064" t="str">
        <f t="shared" si="319"/>
        <v/>
      </c>
      <c r="FH32" s="1064" t="str">
        <f t="shared" si="320"/>
        <v/>
      </c>
      <c r="FI32" s="1064" t="str">
        <f t="shared" si="321"/>
        <v/>
      </c>
      <c r="FJ32" s="1064" t="str">
        <f t="shared" si="322"/>
        <v/>
      </c>
      <c r="FK32" s="1064" t="str">
        <f t="shared" si="323"/>
        <v/>
      </c>
      <c r="FL32" s="1064" t="str">
        <f t="shared" si="138"/>
        <v/>
      </c>
      <c r="FM32" s="1064" t="str">
        <f t="shared" si="139"/>
        <v/>
      </c>
      <c r="FN32" s="1064" t="str">
        <f t="shared" si="140"/>
        <v/>
      </c>
      <c r="FO32" s="1064" t="str">
        <f t="shared" si="141"/>
        <v/>
      </c>
      <c r="FP32" s="1064" t="str">
        <f t="shared" si="142"/>
        <v/>
      </c>
      <c r="FQ32" s="1064" t="str">
        <f t="shared" si="143"/>
        <v/>
      </c>
      <c r="FR32" s="1064" t="str">
        <f t="shared" si="144"/>
        <v/>
      </c>
      <c r="FS32" s="1064" t="str">
        <f t="shared" si="145"/>
        <v/>
      </c>
      <c r="FT32" s="1064" t="str">
        <f t="shared" si="146"/>
        <v/>
      </c>
      <c r="FU32" s="1064" t="str">
        <f t="shared" si="147"/>
        <v/>
      </c>
      <c r="FV32" s="1064" t="str">
        <f t="shared" si="148"/>
        <v/>
      </c>
      <c r="FW32" s="1064" t="str">
        <f t="shared" si="149"/>
        <v/>
      </c>
      <c r="FX32" s="1064" t="str">
        <f t="shared" si="150"/>
        <v/>
      </c>
      <c r="FY32" s="1064" t="str">
        <f t="shared" si="151"/>
        <v/>
      </c>
      <c r="FZ32" s="1064" t="str">
        <f t="shared" si="152"/>
        <v/>
      </c>
      <c r="GA32" s="1064" t="str">
        <f t="shared" si="153"/>
        <v/>
      </c>
      <c r="GB32" s="1064" t="str">
        <f t="shared" si="154"/>
        <v/>
      </c>
      <c r="GC32" s="1064" t="str">
        <f t="shared" si="155"/>
        <v/>
      </c>
      <c r="GD32" s="1064" t="str">
        <f t="shared" si="156"/>
        <v/>
      </c>
      <c r="GE32" s="1064" t="str">
        <f t="shared" si="157"/>
        <v/>
      </c>
      <c r="GF32" s="1064" t="str">
        <f t="shared" si="158"/>
        <v/>
      </c>
      <c r="GG32" s="1064" t="str">
        <f t="shared" si="159"/>
        <v/>
      </c>
      <c r="GH32" s="1064" t="str">
        <f t="shared" si="160"/>
        <v/>
      </c>
      <c r="GI32" s="1064" t="str">
        <f t="shared" si="161"/>
        <v/>
      </c>
      <c r="GJ32" s="1064" t="str">
        <f t="shared" si="162"/>
        <v/>
      </c>
      <c r="GK32" s="1064" t="str">
        <f t="shared" si="163"/>
        <v/>
      </c>
      <c r="GL32" s="1064" t="str">
        <f t="shared" si="164"/>
        <v/>
      </c>
      <c r="GM32" s="1064" t="str">
        <f t="shared" si="165"/>
        <v/>
      </c>
      <c r="GN32" s="1064" t="str">
        <f t="shared" si="166"/>
        <v/>
      </c>
      <c r="GO32" s="1064" t="str">
        <f t="shared" si="167"/>
        <v/>
      </c>
      <c r="GP32" s="1064" t="str">
        <f t="shared" si="168"/>
        <v/>
      </c>
      <c r="GQ32" s="1064" t="str">
        <f t="shared" si="169"/>
        <v/>
      </c>
      <c r="GR32" s="1064" t="str">
        <f t="shared" si="170"/>
        <v/>
      </c>
      <c r="GS32" s="1064" t="str">
        <f t="shared" si="171"/>
        <v/>
      </c>
      <c r="GT32" s="1064" t="str">
        <f t="shared" si="172"/>
        <v/>
      </c>
      <c r="GU32" s="1064" t="str">
        <f t="shared" si="173"/>
        <v/>
      </c>
      <c r="GV32" s="1064" t="str">
        <f t="shared" si="174"/>
        <v/>
      </c>
      <c r="GW32" s="1064" t="str">
        <f t="shared" si="175"/>
        <v/>
      </c>
      <c r="GX32" s="1064" t="str">
        <f t="shared" si="176"/>
        <v/>
      </c>
      <c r="GY32" s="1064" t="str">
        <f t="shared" si="177"/>
        <v/>
      </c>
      <c r="GZ32" s="1064" t="str">
        <f t="shared" si="178"/>
        <v/>
      </c>
      <c r="HA32" s="1064" t="str">
        <f t="shared" si="179"/>
        <v/>
      </c>
      <c r="HB32" s="1064" t="str">
        <f t="shared" si="180"/>
        <v/>
      </c>
      <c r="HC32" s="1064" t="str">
        <f t="shared" si="181"/>
        <v/>
      </c>
      <c r="HD32" s="1064" t="str">
        <f t="shared" si="182"/>
        <v/>
      </c>
      <c r="HE32" s="1064" t="str">
        <f t="shared" si="183"/>
        <v/>
      </c>
      <c r="HF32" s="1064" t="str">
        <f t="shared" si="184"/>
        <v/>
      </c>
      <c r="HG32" s="1064" t="str">
        <f t="shared" si="185"/>
        <v/>
      </c>
      <c r="HH32" s="1064" t="str">
        <f t="shared" si="186"/>
        <v/>
      </c>
      <c r="HI32" s="1064" t="str">
        <f t="shared" si="187"/>
        <v/>
      </c>
      <c r="HJ32" s="1064" t="str">
        <f t="shared" si="188"/>
        <v/>
      </c>
      <c r="HK32" s="1064" t="str">
        <f t="shared" si="189"/>
        <v/>
      </c>
      <c r="HL32" s="1064" t="str">
        <f t="shared" si="190"/>
        <v/>
      </c>
      <c r="HM32" s="1064" t="str">
        <f t="shared" si="191"/>
        <v/>
      </c>
      <c r="HN32" s="1064" t="str">
        <f t="shared" si="192"/>
        <v/>
      </c>
      <c r="HO32" s="1064" t="str">
        <f t="shared" si="193"/>
        <v/>
      </c>
      <c r="HP32" s="1064" t="str">
        <f t="shared" si="194"/>
        <v/>
      </c>
      <c r="HQ32" s="1064" t="str">
        <f t="shared" si="195"/>
        <v/>
      </c>
      <c r="HR32" s="1064" t="str">
        <f t="shared" si="196"/>
        <v/>
      </c>
      <c r="HS32" s="1064" t="str">
        <f t="shared" si="197"/>
        <v/>
      </c>
      <c r="HT32" s="1064" t="str">
        <f t="shared" si="198"/>
        <v/>
      </c>
      <c r="HU32" s="1064" t="str">
        <f t="shared" si="199"/>
        <v/>
      </c>
      <c r="HV32" s="1064" t="str">
        <f t="shared" si="200"/>
        <v/>
      </c>
      <c r="HW32" s="1064" t="str">
        <f t="shared" si="201"/>
        <v/>
      </c>
      <c r="HX32" s="1064" t="str">
        <f t="shared" si="202"/>
        <v/>
      </c>
      <c r="HY32" s="1097" t="str">
        <f t="shared" si="203"/>
        <v/>
      </c>
      <c r="HZ32" s="1097" t="str">
        <f t="shared" si="204"/>
        <v/>
      </c>
      <c r="IA32" s="1097" t="str">
        <f t="shared" si="205"/>
        <v/>
      </c>
      <c r="IB32" s="1097" t="str">
        <f t="shared" si="206"/>
        <v/>
      </c>
      <c r="IC32" s="1097" t="str">
        <f t="shared" si="207"/>
        <v/>
      </c>
      <c r="ID32" s="1097" t="str">
        <f t="shared" si="208"/>
        <v/>
      </c>
      <c r="IE32" s="1097" t="str">
        <f t="shared" si="209"/>
        <v/>
      </c>
      <c r="IF32" s="1097" t="str">
        <f t="shared" si="210"/>
        <v/>
      </c>
      <c r="IG32" s="1097" t="str">
        <f t="shared" si="211"/>
        <v/>
      </c>
      <c r="IH32" s="1097" t="str">
        <f t="shared" si="212"/>
        <v/>
      </c>
      <c r="II32" s="1097" t="str">
        <f t="shared" si="213"/>
        <v/>
      </c>
      <c r="IJ32" s="1097" t="str">
        <f t="shared" si="214"/>
        <v/>
      </c>
      <c r="IK32" s="1097" t="str">
        <f t="shared" si="215"/>
        <v/>
      </c>
      <c r="IL32" s="1097" t="str">
        <f t="shared" si="216"/>
        <v/>
      </c>
      <c r="IM32" s="1097" t="str">
        <f t="shared" si="217"/>
        <v/>
      </c>
      <c r="IN32" s="1097" t="str">
        <f t="shared" si="218"/>
        <v/>
      </c>
      <c r="IO32" s="1097" t="str">
        <f t="shared" si="219"/>
        <v/>
      </c>
      <c r="IP32" s="1097" t="str">
        <f t="shared" si="220"/>
        <v/>
      </c>
      <c r="IQ32" s="1097" t="str">
        <f t="shared" si="221"/>
        <v/>
      </c>
      <c r="IR32" s="1097" t="str">
        <f t="shared" si="222"/>
        <v/>
      </c>
      <c r="IS32" s="1097" t="str">
        <f t="shared" si="223"/>
        <v/>
      </c>
      <c r="IT32" s="1097" t="str">
        <f t="shared" si="224"/>
        <v/>
      </c>
      <c r="IU32" s="1097" t="str">
        <f t="shared" si="225"/>
        <v/>
      </c>
      <c r="IV32" s="1097" t="str">
        <f t="shared" si="226"/>
        <v/>
      </c>
      <c r="IW32" s="1097" t="str">
        <f t="shared" si="227"/>
        <v/>
      </c>
      <c r="IX32" s="1097" t="str">
        <f t="shared" si="228"/>
        <v/>
      </c>
      <c r="IY32" s="1097" t="str">
        <f t="shared" si="229"/>
        <v/>
      </c>
      <c r="IZ32" s="1097" t="str">
        <f t="shared" si="230"/>
        <v/>
      </c>
      <c r="JA32" s="1097" t="str">
        <f t="shared" si="231"/>
        <v/>
      </c>
      <c r="JB32" s="1097" t="str">
        <f t="shared" si="232"/>
        <v/>
      </c>
      <c r="JC32" s="1097" t="str">
        <f t="shared" si="233"/>
        <v/>
      </c>
      <c r="JD32" s="1097" t="str">
        <f t="shared" si="234"/>
        <v/>
      </c>
      <c r="JE32" s="1097" t="str">
        <f t="shared" si="235"/>
        <v/>
      </c>
      <c r="JF32" s="1097" t="str">
        <f t="shared" si="236"/>
        <v/>
      </c>
      <c r="JG32" s="1097" t="str">
        <f t="shared" si="237"/>
        <v/>
      </c>
      <c r="JH32" s="1097" t="str">
        <f t="shared" si="238"/>
        <v/>
      </c>
      <c r="JI32" s="1097" t="str">
        <f t="shared" si="239"/>
        <v/>
      </c>
      <c r="JJ32" s="1097" t="str">
        <f t="shared" si="240"/>
        <v/>
      </c>
      <c r="JK32" s="1097" t="str">
        <f t="shared" si="241"/>
        <v/>
      </c>
      <c r="JL32" s="1097" t="str">
        <f t="shared" si="242"/>
        <v/>
      </c>
      <c r="JM32" s="1097" t="str">
        <f t="shared" si="243"/>
        <v/>
      </c>
      <c r="JN32" s="1097" t="str">
        <f t="shared" si="244"/>
        <v/>
      </c>
      <c r="JO32" s="1097" t="str">
        <f t="shared" si="245"/>
        <v/>
      </c>
      <c r="JP32" s="1097" t="str">
        <f t="shared" si="246"/>
        <v/>
      </c>
      <c r="JQ32" s="1097" t="str">
        <f t="shared" si="247"/>
        <v/>
      </c>
      <c r="JR32" s="1097" t="str">
        <f t="shared" si="248"/>
        <v/>
      </c>
      <c r="JS32" s="1097" t="str">
        <f t="shared" si="249"/>
        <v/>
      </c>
      <c r="JT32" s="1097" t="str">
        <f t="shared" si="250"/>
        <v/>
      </c>
      <c r="JU32" s="1097" t="str">
        <f t="shared" si="251"/>
        <v/>
      </c>
      <c r="JV32" s="1097" t="str">
        <f t="shared" si="252"/>
        <v/>
      </c>
      <c r="JW32" s="1097" t="str">
        <f t="shared" si="253"/>
        <v/>
      </c>
      <c r="JX32" s="1097" t="str">
        <f t="shared" si="254"/>
        <v/>
      </c>
      <c r="JY32" s="1097" t="str">
        <f t="shared" si="255"/>
        <v/>
      </c>
      <c r="JZ32" s="1097" t="str">
        <f t="shared" si="256"/>
        <v/>
      </c>
      <c r="KA32" s="1097" t="str">
        <f t="shared" si="257"/>
        <v/>
      </c>
      <c r="KB32" s="1097" t="str">
        <f t="shared" si="258"/>
        <v/>
      </c>
      <c r="KC32" s="1097" t="str">
        <f t="shared" si="259"/>
        <v/>
      </c>
      <c r="KD32" s="1097" t="str">
        <f t="shared" si="260"/>
        <v/>
      </c>
      <c r="KE32" s="1097" t="str">
        <f t="shared" si="261"/>
        <v/>
      </c>
      <c r="KF32" s="1097" t="str">
        <f t="shared" si="262"/>
        <v/>
      </c>
      <c r="KG32" s="1097" t="str">
        <f t="shared" si="263"/>
        <v/>
      </c>
      <c r="KH32" s="1097" t="str">
        <f t="shared" si="264"/>
        <v/>
      </c>
      <c r="KI32" s="1097" t="str">
        <f t="shared" si="265"/>
        <v/>
      </c>
      <c r="KJ32" s="1097" t="str">
        <f t="shared" si="266"/>
        <v/>
      </c>
      <c r="KK32" s="1097" t="str">
        <f t="shared" si="267"/>
        <v/>
      </c>
      <c r="KL32" s="1097" t="str">
        <f t="shared" si="268"/>
        <v/>
      </c>
      <c r="KM32" s="1097" t="str">
        <f t="shared" si="269"/>
        <v/>
      </c>
      <c r="KN32" s="1097" t="str">
        <f t="shared" si="270"/>
        <v/>
      </c>
      <c r="KO32" s="1097" t="str">
        <f t="shared" si="271"/>
        <v/>
      </c>
      <c r="KP32" s="1097" t="str">
        <f t="shared" si="272"/>
        <v/>
      </c>
      <c r="KQ32" s="1097" t="str">
        <f t="shared" si="273"/>
        <v/>
      </c>
      <c r="KR32" s="1097" t="str">
        <f t="shared" si="274"/>
        <v/>
      </c>
      <c r="KS32" s="1097" t="str">
        <f t="shared" si="275"/>
        <v/>
      </c>
      <c r="KT32" s="1097" t="str">
        <f t="shared" si="276"/>
        <v/>
      </c>
      <c r="KU32" s="1097" t="str">
        <f t="shared" si="277"/>
        <v/>
      </c>
      <c r="KV32" s="1097" t="str">
        <f t="shared" si="278"/>
        <v/>
      </c>
      <c r="KW32" s="1097" t="str">
        <f t="shared" si="279"/>
        <v/>
      </c>
      <c r="KX32" s="1097" t="str">
        <f t="shared" si="280"/>
        <v/>
      </c>
      <c r="KY32" s="1097" t="str">
        <f t="shared" si="281"/>
        <v/>
      </c>
      <c r="KZ32" s="1097" t="str">
        <f t="shared" si="282"/>
        <v/>
      </c>
      <c r="LA32" s="1097" t="str">
        <f t="shared" si="283"/>
        <v/>
      </c>
      <c r="LB32" s="1097" t="str">
        <f t="shared" si="284"/>
        <v/>
      </c>
      <c r="LC32" s="1097" t="str">
        <f t="shared" si="285"/>
        <v/>
      </c>
      <c r="LD32" s="1097" t="str">
        <f t="shared" si="286"/>
        <v/>
      </c>
      <c r="LE32" s="1097" t="str">
        <f t="shared" si="287"/>
        <v/>
      </c>
      <c r="LF32" s="1098" t="str">
        <f t="shared" si="288"/>
        <v/>
      </c>
      <c r="LG32" s="1098" t="str">
        <f t="shared" si="289"/>
        <v/>
      </c>
      <c r="LH32" s="1098" t="str">
        <f t="shared" si="290"/>
        <v/>
      </c>
      <c r="LI32" s="1098" t="str">
        <f t="shared" si="291"/>
        <v/>
      </c>
      <c r="LJ32" s="1098" t="str">
        <f t="shared" si="292"/>
        <v/>
      </c>
      <c r="LK32" s="1064" t="str">
        <f t="shared" si="293"/>
        <v/>
      </c>
      <c r="LL32" s="1064" t="str">
        <f t="shared" si="294"/>
        <v/>
      </c>
      <c r="LM32" s="1064" t="str">
        <f t="shared" si="295"/>
        <v/>
      </c>
      <c r="LN32" s="1064" t="str">
        <f t="shared" si="296"/>
        <v/>
      </c>
      <c r="LO32" s="1064" t="str">
        <f t="shared" si="297"/>
        <v/>
      </c>
      <c r="LP32" s="1064" t="str">
        <f t="shared" si="298"/>
        <v/>
      </c>
      <c r="LQ32" s="1064" t="str">
        <f t="shared" si="299"/>
        <v/>
      </c>
      <c r="LR32" s="1064" t="str">
        <f t="shared" si="300"/>
        <v/>
      </c>
      <c r="LS32" s="1064" t="str">
        <f t="shared" si="301"/>
        <v/>
      </c>
      <c r="LT32" s="1064" t="str">
        <f t="shared" si="302"/>
        <v/>
      </c>
      <c r="LU32" s="1064" t="str">
        <f t="shared" si="303"/>
        <v/>
      </c>
      <c r="LV32" s="1064" t="str">
        <f t="shared" si="304"/>
        <v/>
      </c>
      <c r="LW32" s="1064" t="str">
        <f t="shared" si="305"/>
        <v/>
      </c>
      <c r="LX32" s="1064" t="str">
        <f t="shared" si="306"/>
        <v/>
      </c>
      <c r="LY32" s="1064" t="str">
        <f t="shared" si="307"/>
        <v/>
      </c>
      <c r="LZ32" s="1064" t="str">
        <f t="shared" si="308"/>
        <v/>
      </c>
      <c r="MA32" s="1064" t="str">
        <f t="shared" si="309"/>
        <v/>
      </c>
      <c r="MB32" s="1064" t="str">
        <f t="shared" si="310"/>
        <v/>
      </c>
      <c r="MC32" s="1064" t="str">
        <f t="shared" si="311"/>
        <v/>
      </c>
      <c r="MD32" s="1064" t="str">
        <f t="shared" si="312"/>
        <v/>
      </c>
      <c r="ME32" s="1081">
        <f t="shared" si="324"/>
        <v>0</v>
      </c>
      <c r="MF32" s="1081">
        <f t="shared" si="325"/>
        <v>0</v>
      </c>
      <c r="MG32" s="1081">
        <f t="shared" si="326"/>
        <v>0</v>
      </c>
      <c r="MH32" s="1081">
        <f t="shared" si="327"/>
        <v>0</v>
      </c>
      <c r="MI32" s="1081">
        <f t="shared" si="328"/>
        <v>0</v>
      </c>
      <c r="MJ32" s="1081">
        <f t="shared" si="329"/>
        <v>0</v>
      </c>
      <c r="MK32" s="1081">
        <f t="shared" si="330"/>
        <v>0</v>
      </c>
      <c r="ML32" s="1081">
        <f t="shared" si="331"/>
        <v>0</v>
      </c>
      <c r="MM32" s="1081">
        <f t="shared" si="332"/>
        <v>0</v>
      </c>
      <c r="MN32" s="1081">
        <f t="shared" si="333"/>
        <v>0</v>
      </c>
      <c r="MO32" s="1081">
        <f t="shared" si="334"/>
        <v>0</v>
      </c>
      <c r="MP32" s="1081">
        <f t="shared" si="335"/>
        <v>0</v>
      </c>
      <c r="MQ32" s="1081">
        <f t="shared" si="336"/>
        <v>0</v>
      </c>
      <c r="MR32" s="1081">
        <f t="shared" si="337"/>
        <v>0</v>
      </c>
      <c r="MS32" s="1081">
        <f t="shared" si="338"/>
        <v>0</v>
      </c>
    </row>
    <row r="33" spans="1:393" ht="12" customHeight="1">
      <c r="A33" s="1088" t="str">
        <f t="shared" si="0"/>
        <v/>
      </c>
      <c r="B33" s="44"/>
      <c r="C33" s="41"/>
      <c r="D33" s="42"/>
      <c r="E33" s="43"/>
      <c r="F33" s="43"/>
      <c r="G33" s="43"/>
      <c r="H33" s="43"/>
      <c r="I33" s="1100">
        <f>IF(C33="",0,HLOOKUP(C33,'Part V-Utility Allowances'!$I$11:$M$22,12))</f>
        <v>0</v>
      </c>
      <c r="J33" s="810"/>
      <c r="K33" s="512">
        <f t="shared" si="1"/>
        <v>0</v>
      </c>
      <c r="L33" s="512">
        <f t="shared" si="2"/>
        <v>0</v>
      </c>
      <c r="M33" s="1101"/>
      <c r="N33" s="1101"/>
      <c r="O33" s="1101"/>
      <c r="P33" s="1102"/>
      <c r="Q33" s="1103" t="str">
        <f t="shared" si="3"/>
        <v/>
      </c>
      <c r="R33" s="1104" t="str">
        <f>IF(H33="","",IF(C33="Efficiency",Q33/($O$6*VLOOKUP(0,'DCA Underwriting Assumptions'!$J$146:$K$151,2,FALSE)),Q33/($O$6*VLOOKUP(C33,'DCA Underwriting Assumptions'!$J$146:$K$151,2,FALSE))))</f>
        <v/>
      </c>
      <c r="S33" s="1105"/>
      <c r="T33" s="1106"/>
      <c r="U33" s="2314"/>
      <c r="V33" s="2316"/>
      <c r="W33" s="1064" t="str">
        <f t="shared" si="4"/>
        <v/>
      </c>
      <c r="X33" s="1064" t="str">
        <f t="shared" si="5"/>
        <v/>
      </c>
      <c r="Y33" s="1064" t="str">
        <f t="shared" si="6"/>
        <v/>
      </c>
      <c r="Z33" s="1064" t="str">
        <f t="shared" si="7"/>
        <v/>
      </c>
      <c r="AA33" s="1064" t="str">
        <f t="shared" si="8"/>
        <v/>
      </c>
      <c r="AB33" s="1064" t="str">
        <f t="shared" si="9"/>
        <v/>
      </c>
      <c r="AC33" s="1064" t="str">
        <f t="shared" si="10"/>
        <v/>
      </c>
      <c r="AD33" s="1064" t="str">
        <f t="shared" si="11"/>
        <v/>
      </c>
      <c r="AE33" s="1064" t="str">
        <f t="shared" si="12"/>
        <v/>
      </c>
      <c r="AF33" s="1064" t="str">
        <f t="shared" si="13"/>
        <v/>
      </c>
      <c r="AG33" s="1064" t="str">
        <f t="shared" si="14"/>
        <v/>
      </c>
      <c r="AH33" s="1064" t="str">
        <f t="shared" si="15"/>
        <v/>
      </c>
      <c r="AI33" s="1064" t="str">
        <f t="shared" si="16"/>
        <v/>
      </c>
      <c r="AJ33" s="1064" t="str">
        <f t="shared" si="17"/>
        <v/>
      </c>
      <c r="AK33" s="1064" t="str">
        <f t="shared" si="18"/>
        <v/>
      </c>
      <c r="AL33" s="1064" t="str">
        <f t="shared" si="19"/>
        <v/>
      </c>
      <c r="AM33" s="1064" t="str">
        <f t="shared" si="20"/>
        <v/>
      </c>
      <c r="AN33" s="1064" t="str">
        <f t="shared" si="21"/>
        <v/>
      </c>
      <c r="AO33" s="1064" t="str">
        <f t="shared" si="22"/>
        <v/>
      </c>
      <c r="AP33" s="1064" t="str">
        <f t="shared" si="23"/>
        <v/>
      </c>
      <c r="AQ33" s="1064" t="str">
        <f t="shared" si="24"/>
        <v/>
      </c>
      <c r="AR33" s="1064" t="str">
        <f t="shared" si="25"/>
        <v/>
      </c>
      <c r="AS33" s="1064" t="str">
        <f t="shared" si="26"/>
        <v/>
      </c>
      <c r="AT33" s="1064" t="str">
        <f t="shared" si="27"/>
        <v/>
      </c>
      <c r="AU33" s="1064" t="str">
        <f t="shared" si="28"/>
        <v/>
      </c>
      <c r="AV33" s="1064" t="str">
        <f t="shared" si="29"/>
        <v/>
      </c>
      <c r="AW33" s="1064" t="str">
        <f t="shared" si="30"/>
        <v/>
      </c>
      <c r="AX33" s="1064" t="str">
        <f t="shared" si="31"/>
        <v/>
      </c>
      <c r="AY33" s="1064" t="str">
        <f t="shared" si="32"/>
        <v/>
      </c>
      <c r="AZ33" s="1064" t="str">
        <f t="shared" si="33"/>
        <v/>
      </c>
      <c r="BA33" s="1064" t="str">
        <f t="shared" si="34"/>
        <v/>
      </c>
      <c r="BB33" s="1064" t="str">
        <f t="shared" si="35"/>
        <v/>
      </c>
      <c r="BC33" s="1064" t="str">
        <f t="shared" si="36"/>
        <v/>
      </c>
      <c r="BD33" s="1064" t="str">
        <f t="shared" si="37"/>
        <v/>
      </c>
      <c r="BE33" s="1064" t="str">
        <f t="shared" si="38"/>
        <v/>
      </c>
      <c r="BF33" s="1064" t="str">
        <f t="shared" si="39"/>
        <v/>
      </c>
      <c r="BG33" s="1064" t="str">
        <f t="shared" si="40"/>
        <v/>
      </c>
      <c r="BH33" s="1064" t="str">
        <f t="shared" si="41"/>
        <v/>
      </c>
      <c r="BI33" s="1064" t="str">
        <f t="shared" si="42"/>
        <v/>
      </c>
      <c r="BJ33" s="1064" t="str">
        <f t="shared" si="43"/>
        <v/>
      </c>
      <c r="BK33" s="1064" t="str">
        <f t="shared" si="44"/>
        <v/>
      </c>
      <c r="BL33" s="1064" t="str">
        <f t="shared" si="45"/>
        <v/>
      </c>
      <c r="BM33" s="1064" t="str">
        <f t="shared" si="46"/>
        <v/>
      </c>
      <c r="BN33" s="1064" t="str">
        <f t="shared" si="47"/>
        <v/>
      </c>
      <c r="BO33" s="1064" t="str">
        <f t="shared" si="48"/>
        <v/>
      </c>
      <c r="BP33" s="1064" t="str">
        <f t="shared" si="49"/>
        <v/>
      </c>
      <c r="BQ33" s="1064" t="str">
        <f t="shared" si="50"/>
        <v/>
      </c>
      <c r="BR33" s="1064" t="str">
        <f t="shared" si="51"/>
        <v/>
      </c>
      <c r="BS33" s="1064" t="str">
        <f t="shared" si="52"/>
        <v/>
      </c>
      <c r="BT33" s="1064" t="str">
        <f t="shared" si="53"/>
        <v/>
      </c>
      <c r="BU33" s="1064" t="str">
        <f t="shared" si="54"/>
        <v/>
      </c>
      <c r="BV33" s="1064" t="str">
        <f t="shared" si="55"/>
        <v/>
      </c>
      <c r="BW33" s="1064" t="str">
        <f t="shared" si="56"/>
        <v/>
      </c>
      <c r="BX33" s="1064" t="str">
        <f t="shared" si="57"/>
        <v/>
      </c>
      <c r="BY33" s="1064" t="str">
        <f t="shared" si="58"/>
        <v/>
      </c>
      <c r="BZ33" s="1064" t="str">
        <f t="shared" si="59"/>
        <v/>
      </c>
      <c r="CA33" s="1064" t="str">
        <f t="shared" si="60"/>
        <v/>
      </c>
      <c r="CB33" s="1064" t="str">
        <f t="shared" si="61"/>
        <v/>
      </c>
      <c r="CC33" s="1064" t="str">
        <f t="shared" si="62"/>
        <v/>
      </c>
      <c r="CD33" s="1064" t="str">
        <f t="shared" si="63"/>
        <v/>
      </c>
      <c r="CE33" s="1064" t="str">
        <f t="shared" si="64"/>
        <v/>
      </c>
      <c r="CF33" s="1064" t="str">
        <f t="shared" si="65"/>
        <v/>
      </c>
      <c r="CG33" s="1064" t="str">
        <f t="shared" si="66"/>
        <v/>
      </c>
      <c r="CH33" s="1064" t="str">
        <f t="shared" si="67"/>
        <v/>
      </c>
      <c r="CI33" s="1064" t="str">
        <f t="shared" si="68"/>
        <v/>
      </c>
      <c r="CJ33" s="1064" t="str">
        <f t="shared" si="69"/>
        <v/>
      </c>
      <c r="CK33" s="1064" t="str">
        <f t="shared" si="70"/>
        <v/>
      </c>
      <c r="CL33" s="1064" t="str">
        <f t="shared" si="71"/>
        <v/>
      </c>
      <c r="CM33" s="1064" t="str">
        <f t="shared" si="72"/>
        <v/>
      </c>
      <c r="CN33" s="1064" t="str">
        <f t="shared" si="73"/>
        <v/>
      </c>
      <c r="CO33" s="1064" t="str">
        <f t="shared" si="74"/>
        <v/>
      </c>
      <c r="CP33" s="1064" t="str">
        <f t="shared" si="75"/>
        <v/>
      </c>
      <c r="CQ33" s="1064" t="str">
        <f t="shared" si="76"/>
        <v/>
      </c>
      <c r="CR33" s="1064" t="str">
        <f t="shared" si="77"/>
        <v/>
      </c>
      <c r="CS33" s="1064" t="str">
        <f t="shared" si="78"/>
        <v/>
      </c>
      <c r="CT33" s="1064" t="str">
        <f t="shared" si="79"/>
        <v/>
      </c>
      <c r="CU33" s="1064" t="str">
        <f t="shared" si="80"/>
        <v/>
      </c>
      <c r="CV33" s="1064" t="str">
        <f t="shared" si="81"/>
        <v/>
      </c>
      <c r="CW33" s="1064" t="str">
        <f t="shared" si="82"/>
        <v/>
      </c>
      <c r="CX33" s="1064" t="str">
        <f t="shared" si="83"/>
        <v/>
      </c>
      <c r="CY33" s="1064" t="str">
        <f t="shared" si="84"/>
        <v/>
      </c>
      <c r="CZ33" s="1064" t="str">
        <f t="shared" si="85"/>
        <v/>
      </c>
      <c r="DA33" s="1064" t="str">
        <f t="shared" si="86"/>
        <v/>
      </c>
      <c r="DB33" s="1064" t="str">
        <f t="shared" si="87"/>
        <v/>
      </c>
      <c r="DC33" s="1064" t="str">
        <f t="shared" si="88"/>
        <v/>
      </c>
      <c r="DD33" s="1064" t="str">
        <f t="shared" si="89"/>
        <v/>
      </c>
      <c r="DE33" s="1064" t="str">
        <f t="shared" si="90"/>
        <v/>
      </c>
      <c r="DF33" s="1064" t="str">
        <f t="shared" si="91"/>
        <v/>
      </c>
      <c r="DG33" s="1064" t="str">
        <f t="shared" si="92"/>
        <v/>
      </c>
      <c r="DH33" s="1064" t="str">
        <f t="shared" si="93"/>
        <v/>
      </c>
      <c r="DI33" s="1064" t="str">
        <f t="shared" si="94"/>
        <v/>
      </c>
      <c r="DJ33" s="1064" t="str">
        <f t="shared" si="95"/>
        <v/>
      </c>
      <c r="DK33" s="1064" t="str">
        <f t="shared" si="96"/>
        <v/>
      </c>
      <c r="DL33" s="1064" t="str">
        <f t="shared" si="97"/>
        <v/>
      </c>
      <c r="DM33" s="1064" t="str">
        <f t="shared" si="98"/>
        <v/>
      </c>
      <c r="DN33" s="1064" t="str">
        <f t="shared" si="99"/>
        <v/>
      </c>
      <c r="DO33" s="1064" t="str">
        <f t="shared" si="100"/>
        <v/>
      </c>
      <c r="DP33" s="1064" t="str">
        <f t="shared" si="101"/>
        <v/>
      </c>
      <c r="DQ33" s="1064" t="str">
        <f t="shared" si="102"/>
        <v/>
      </c>
      <c r="DR33" s="1064" t="str">
        <f t="shared" si="103"/>
        <v/>
      </c>
      <c r="DS33" s="1064" t="str">
        <f t="shared" si="104"/>
        <v/>
      </c>
      <c r="DT33" s="1064" t="str">
        <f t="shared" si="105"/>
        <v/>
      </c>
      <c r="DU33" s="1064" t="str">
        <f t="shared" si="106"/>
        <v/>
      </c>
      <c r="DV33" s="1064" t="str">
        <f t="shared" si="107"/>
        <v/>
      </c>
      <c r="DW33" s="1064" t="str">
        <f t="shared" si="108"/>
        <v/>
      </c>
      <c r="DX33" s="1064" t="str">
        <f t="shared" si="109"/>
        <v/>
      </c>
      <c r="DY33" s="1064" t="str">
        <f t="shared" si="110"/>
        <v/>
      </c>
      <c r="DZ33" s="1064" t="str">
        <f t="shared" si="111"/>
        <v/>
      </c>
      <c r="EA33" s="1064" t="str">
        <f t="shared" si="112"/>
        <v/>
      </c>
      <c r="EB33" s="1064" t="str">
        <f t="shared" si="113"/>
        <v/>
      </c>
      <c r="EC33" s="1064" t="str">
        <f t="shared" si="114"/>
        <v/>
      </c>
      <c r="ED33" s="1064" t="str">
        <f t="shared" si="115"/>
        <v/>
      </c>
      <c r="EE33" s="1064" t="str">
        <f t="shared" si="116"/>
        <v/>
      </c>
      <c r="EF33" s="1064" t="str">
        <f t="shared" si="117"/>
        <v/>
      </c>
      <c r="EG33" s="1064" t="str">
        <f t="shared" si="313"/>
        <v/>
      </c>
      <c r="EH33" s="1064" t="str">
        <f t="shared" si="118"/>
        <v/>
      </c>
      <c r="EI33" s="1064" t="str">
        <f t="shared" si="119"/>
        <v/>
      </c>
      <c r="EJ33" s="1064" t="str">
        <f t="shared" si="120"/>
        <v/>
      </c>
      <c r="EK33" s="1064" t="str">
        <f t="shared" si="121"/>
        <v/>
      </c>
      <c r="EL33" s="1064" t="str">
        <f t="shared" si="122"/>
        <v/>
      </c>
      <c r="EM33" s="1064" t="str">
        <f t="shared" si="123"/>
        <v/>
      </c>
      <c r="EN33" s="1064" t="str">
        <f t="shared" si="124"/>
        <v/>
      </c>
      <c r="EO33" s="1064" t="str">
        <f t="shared" si="125"/>
        <v/>
      </c>
      <c r="EP33" s="1064" t="str">
        <f t="shared" si="126"/>
        <v/>
      </c>
      <c r="EQ33" s="1064" t="str">
        <f t="shared" si="127"/>
        <v/>
      </c>
      <c r="ER33" s="1064" t="str">
        <f t="shared" si="128"/>
        <v/>
      </c>
      <c r="ES33" s="1064" t="str">
        <f t="shared" si="129"/>
        <v/>
      </c>
      <c r="ET33" s="1064" t="str">
        <f t="shared" si="130"/>
        <v/>
      </c>
      <c r="EU33" s="1064" t="str">
        <f t="shared" si="131"/>
        <v/>
      </c>
      <c r="EV33" s="1064" t="str">
        <f t="shared" si="132"/>
        <v/>
      </c>
      <c r="EW33" s="1064" t="str">
        <f t="shared" si="314"/>
        <v/>
      </c>
      <c r="EX33" s="1064" t="str">
        <f t="shared" si="315"/>
        <v/>
      </c>
      <c r="EY33" s="1064" t="str">
        <f t="shared" si="316"/>
        <v/>
      </c>
      <c r="EZ33" s="1064" t="str">
        <f t="shared" si="317"/>
        <v/>
      </c>
      <c r="FA33" s="1064" t="str">
        <f t="shared" si="318"/>
        <v/>
      </c>
      <c r="FB33" s="1064" t="str">
        <f t="shared" si="133"/>
        <v/>
      </c>
      <c r="FC33" s="1064" t="str">
        <f t="shared" si="134"/>
        <v/>
      </c>
      <c r="FD33" s="1064" t="str">
        <f t="shared" si="135"/>
        <v/>
      </c>
      <c r="FE33" s="1064" t="str">
        <f t="shared" si="136"/>
        <v/>
      </c>
      <c r="FF33" s="1064" t="str">
        <f t="shared" si="137"/>
        <v/>
      </c>
      <c r="FG33" s="1064" t="str">
        <f t="shared" si="319"/>
        <v/>
      </c>
      <c r="FH33" s="1064" t="str">
        <f t="shared" si="320"/>
        <v/>
      </c>
      <c r="FI33" s="1064" t="str">
        <f t="shared" si="321"/>
        <v/>
      </c>
      <c r="FJ33" s="1064" t="str">
        <f t="shared" si="322"/>
        <v/>
      </c>
      <c r="FK33" s="1064" t="str">
        <f t="shared" si="323"/>
        <v/>
      </c>
      <c r="FL33" s="1064" t="str">
        <f t="shared" si="138"/>
        <v/>
      </c>
      <c r="FM33" s="1064" t="str">
        <f t="shared" si="139"/>
        <v/>
      </c>
      <c r="FN33" s="1064" t="str">
        <f t="shared" si="140"/>
        <v/>
      </c>
      <c r="FO33" s="1064" t="str">
        <f t="shared" si="141"/>
        <v/>
      </c>
      <c r="FP33" s="1064" t="str">
        <f t="shared" si="142"/>
        <v/>
      </c>
      <c r="FQ33" s="1064" t="str">
        <f t="shared" si="143"/>
        <v/>
      </c>
      <c r="FR33" s="1064" t="str">
        <f t="shared" si="144"/>
        <v/>
      </c>
      <c r="FS33" s="1064" t="str">
        <f t="shared" si="145"/>
        <v/>
      </c>
      <c r="FT33" s="1064" t="str">
        <f t="shared" si="146"/>
        <v/>
      </c>
      <c r="FU33" s="1064" t="str">
        <f t="shared" si="147"/>
        <v/>
      </c>
      <c r="FV33" s="1064" t="str">
        <f t="shared" si="148"/>
        <v/>
      </c>
      <c r="FW33" s="1064" t="str">
        <f t="shared" si="149"/>
        <v/>
      </c>
      <c r="FX33" s="1064" t="str">
        <f t="shared" si="150"/>
        <v/>
      </c>
      <c r="FY33" s="1064" t="str">
        <f t="shared" si="151"/>
        <v/>
      </c>
      <c r="FZ33" s="1064" t="str">
        <f t="shared" si="152"/>
        <v/>
      </c>
      <c r="GA33" s="1064" t="str">
        <f t="shared" si="153"/>
        <v/>
      </c>
      <c r="GB33" s="1064" t="str">
        <f t="shared" si="154"/>
        <v/>
      </c>
      <c r="GC33" s="1064" t="str">
        <f t="shared" si="155"/>
        <v/>
      </c>
      <c r="GD33" s="1064" t="str">
        <f t="shared" si="156"/>
        <v/>
      </c>
      <c r="GE33" s="1064" t="str">
        <f t="shared" si="157"/>
        <v/>
      </c>
      <c r="GF33" s="1064" t="str">
        <f t="shared" si="158"/>
        <v/>
      </c>
      <c r="GG33" s="1064" t="str">
        <f t="shared" si="159"/>
        <v/>
      </c>
      <c r="GH33" s="1064" t="str">
        <f t="shared" si="160"/>
        <v/>
      </c>
      <c r="GI33" s="1064" t="str">
        <f t="shared" si="161"/>
        <v/>
      </c>
      <c r="GJ33" s="1064" t="str">
        <f t="shared" si="162"/>
        <v/>
      </c>
      <c r="GK33" s="1064" t="str">
        <f t="shared" si="163"/>
        <v/>
      </c>
      <c r="GL33" s="1064" t="str">
        <f t="shared" si="164"/>
        <v/>
      </c>
      <c r="GM33" s="1064" t="str">
        <f t="shared" si="165"/>
        <v/>
      </c>
      <c r="GN33" s="1064" t="str">
        <f t="shared" si="166"/>
        <v/>
      </c>
      <c r="GO33" s="1064" t="str">
        <f t="shared" si="167"/>
        <v/>
      </c>
      <c r="GP33" s="1064" t="str">
        <f t="shared" si="168"/>
        <v/>
      </c>
      <c r="GQ33" s="1064" t="str">
        <f t="shared" si="169"/>
        <v/>
      </c>
      <c r="GR33" s="1064" t="str">
        <f t="shared" si="170"/>
        <v/>
      </c>
      <c r="GS33" s="1064" t="str">
        <f t="shared" si="171"/>
        <v/>
      </c>
      <c r="GT33" s="1064" t="str">
        <f t="shared" si="172"/>
        <v/>
      </c>
      <c r="GU33" s="1064" t="str">
        <f t="shared" si="173"/>
        <v/>
      </c>
      <c r="GV33" s="1064" t="str">
        <f t="shared" si="174"/>
        <v/>
      </c>
      <c r="GW33" s="1064" t="str">
        <f t="shared" si="175"/>
        <v/>
      </c>
      <c r="GX33" s="1064" t="str">
        <f t="shared" si="176"/>
        <v/>
      </c>
      <c r="GY33" s="1064" t="str">
        <f t="shared" si="177"/>
        <v/>
      </c>
      <c r="GZ33" s="1064" t="str">
        <f t="shared" si="178"/>
        <v/>
      </c>
      <c r="HA33" s="1064" t="str">
        <f t="shared" si="179"/>
        <v/>
      </c>
      <c r="HB33" s="1064" t="str">
        <f t="shared" si="180"/>
        <v/>
      </c>
      <c r="HC33" s="1064" t="str">
        <f t="shared" si="181"/>
        <v/>
      </c>
      <c r="HD33" s="1064" t="str">
        <f t="shared" si="182"/>
        <v/>
      </c>
      <c r="HE33" s="1064" t="str">
        <f t="shared" si="183"/>
        <v/>
      </c>
      <c r="HF33" s="1064" t="str">
        <f t="shared" si="184"/>
        <v/>
      </c>
      <c r="HG33" s="1064" t="str">
        <f t="shared" si="185"/>
        <v/>
      </c>
      <c r="HH33" s="1064" t="str">
        <f t="shared" si="186"/>
        <v/>
      </c>
      <c r="HI33" s="1064" t="str">
        <f t="shared" si="187"/>
        <v/>
      </c>
      <c r="HJ33" s="1064" t="str">
        <f t="shared" si="188"/>
        <v/>
      </c>
      <c r="HK33" s="1064" t="str">
        <f t="shared" si="189"/>
        <v/>
      </c>
      <c r="HL33" s="1064" t="str">
        <f t="shared" si="190"/>
        <v/>
      </c>
      <c r="HM33" s="1064" t="str">
        <f t="shared" si="191"/>
        <v/>
      </c>
      <c r="HN33" s="1064" t="str">
        <f t="shared" si="192"/>
        <v/>
      </c>
      <c r="HO33" s="1064" t="str">
        <f t="shared" si="193"/>
        <v/>
      </c>
      <c r="HP33" s="1064" t="str">
        <f t="shared" si="194"/>
        <v/>
      </c>
      <c r="HQ33" s="1064" t="str">
        <f t="shared" si="195"/>
        <v/>
      </c>
      <c r="HR33" s="1064" t="str">
        <f t="shared" si="196"/>
        <v/>
      </c>
      <c r="HS33" s="1064" t="str">
        <f t="shared" si="197"/>
        <v/>
      </c>
      <c r="HT33" s="1064" t="str">
        <f t="shared" si="198"/>
        <v/>
      </c>
      <c r="HU33" s="1064" t="str">
        <f t="shared" si="199"/>
        <v/>
      </c>
      <c r="HV33" s="1064" t="str">
        <f t="shared" si="200"/>
        <v/>
      </c>
      <c r="HW33" s="1064" t="str">
        <f t="shared" si="201"/>
        <v/>
      </c>
      <c r="HX33" s="1064" t="str">
        <f t="shared" si="202"/>
        <v/>
      </c>
      <c r="HY33" s="1097" t="str">
        <f t="shared" si="203"/>
        <v/>
      </c>
      <c r="HZ33" s="1097" t="str">
        <f t="shared" si="204"/>
        <v/>
      </c>
      <c r="IA33" s="1097" t="str">
        <f t="shared" si="205"/>
        <v/>
      </c>
      <c r="IB33" s="1097" t="str">
        <f t="shared" si="206"/>
        <v/>
      </c>
      <c r="IC33" s="1097" t="str">
        <f t="shared" si="207"/>
        <v/>
      </c>
      <c r="ID33" s="1097" t="str">
        <f t="shared" si="208"/>
        <v/>
      </c>
      <c r="IE33" s="1097" t="str">
        <f t="shared" si="209"/>
        <v/>
      </c>
      <c r="IF33" s="1097" t="str">
        <f t="shared" si="210"/>
        <v/>
      </c>
      <c r="IG33" s="1097" t="str">
        <f t="shared" si="211"/>
        <v/>
      </c>
      <c r="IH33" s="1097" t="str">
        <f t="shared" si="212"/>
        <v/>
      </c>
      <c r="II33" s="1097" t="str">
        <f t="shared" si="213"/>
        <v/>
      </c>
      <c r="IJ33" s="1097" t="str">
        <f t="shared" si="214"/>
        <v/>
      </c>
      <c r="IK33" s="1097" t="str">
        <f t="shared" si="215"/>
        <v/>
      </c>
      <c r="IL33" s="1097" t="str">
        <f t="shared" si="216"/>
        <v/>
      </c>
      <c r="IM33" s="1097" t="str">
        <f t="shared" si="217"/>
        <v/>
      </c>
      <c r="IN33" s="1097" t="str">
        <f t="shared" si="218"/>
        <v/>
      </c>
      <c r="IO33" s="1097" t="str">
        <f t="shared" si="219"/>
        <v/>
      </c>
      <c r="IP33" s="1097" t="str">
        <f t="shared" si="220"/>
        <v/>
      </c>
      <c r="IQ33" s="1097" t="str">
        <f t="shared" si="221"/>
        <v/>
      </c>
      <c r="IR33" s="1097" t="str">
        <f t="shared" si="222"/>
        <v/>
      </c>
      <c r="IS33" s="1097" t="str">
        <f t="shared" si="223"/>
        <v/>
      </c>
      <c r="IT33" s="1097" t="str">
        <f t="shared" si="224"/>
        <v/>
      </c>
      <c r="IU33" s="1097" t="str">
        <f t="shared" si="225"/>
        <v/>
      </c>
      <c r="IV33" s="1097" t="str">
        <f t="shared" si="226"/>
        <v/>
      </c>
      <c r="IW33" s="1097" t="str">
        <f t="shared" si="227"/>
        <v/>
      </c>
      <c r="IX33" s="1097" t="str">
        <f t="shared" si="228"/>
        <v/>
      </c>
      <c r="IY33" s="1097" t="str">
        <f t="shared" si="229"/>
        <v/>
      </c>
      <c r="IZ33" s="1097" t="str">
        <f t="shared" si="230"/>
        <v/>
      </c>
      <c r="JA33" s="1097" t="str">
        <f t="shared" si="231"/>
        <v/>
      </c>
      <c r="JB33" s="1097" t="str">
        <f t="shared" si="232"/>
        <v/>
      </c>
      <c r="JC33" s="1097" t="str">
        <f t="shared" si="233"/>
        <v/>
      </c>
      <c r="JD33" s="1097" t="str">
        <f t="shared" si="234"/>
        <v/>
      </c>
      <c r="JE33" s="1097" t="str">
        <f t="shared" si="235"/>
        <v/>
      </c>
      <c r="JF33" s="1097" t="str">
        <f t="shared" si="236"/>
        <v/>
      </c>
      <c r="JG33" s="1097" t="str">
        <f t="shared" si="237"/>
        <v/>
      </c>
      <c r="JH33" s="1097" t="str">
        <f t="shared" si="238"/>
        <v/>
      </c>
      <c r="JI33" s="1097" t="str">
        <f t="shared" si="239"/>
        <v/>
      </c>
      <c r="JJ33" s="1097" t="str">
        <f t="shared" si="240"/>
        <v/>
      </c>
      <c r="JK33" s="1097" t="str">
        <f t="shared" si="241"/>
        <v/>
      </c>
      <c r="JL33" s="1097" t="str">
        <f t="shared" si="242"/>
        <v/>
      </c>
      <c r="JM33" s="1097" t="str">
        <f t="shared" si="243"/>
        <v/>
      </c>
      <c r="JN33" s="1097" t="str">
        <f t="shared" si="244"/>
        <v/>
      </c>
      <c r="JO33" s="1097" t="str">
        <f t="shared" si="245"/>
        <v/>
      </c>
      <c r="JP33" s="1097" t="str">
        <f t="shared" si="246"/>
        <v/>
      </c>
      <c r="JQ33" s="1097" t="str">
        <f t="shared" si="247"/>
        <v/>
      </c>
      <c r="JR33" s="1097" t="str">
        <f t="shared" si="248"/>
        <v/>
      </c>
      <c r="JS33" s="1097" t="str">
        <f t="shared" si="249"/>
        <v/>
      </c>
      <c r="JT33" s="1097" t="str">
        <f t="shared" si="250"/>
        <v/>
      </c>
      <c r="JU33" s="1097" t="str">
        <f t="shared" si="251"/>
        <v/>
      </c>
      <c r="JV33" s="1097" t="str">
        <f t="shared" si="252"/>
        <v/>
      </c>
      <c r="JW33" s="1097" t="str">
        <f t="shared" si="253"/>
        <v/>
      </c>
      <c r="JX33" s="1097" t="str">
        <f t="shared" si="254"/>
        <v/>
      </c>
      <c r="JY33" s="1097" t="str">
        <f t="shared" si="255"/>
        <v/>
      </c>
      <c r="JZ33" s="1097" t="str">
        <f t="shared" si="256"/>
        <v/>
      </c>
      <c r="KA33" s="1097" t="str">
        <f t="shared" si="257"/>
        <v/>
      </c>
      <c r="KB33" s="1097" t="str">
        <f t="shared" si="258"/>
        <v/>
      </c>
      <c r="KC33" s="1097" t="str">
        <f t="shared" si="259"/>
        <v/>
      </c>
      <c r="KD33" s="1097" t="str">
        <f t="shared" si="260"/>
        <v/>
      </c>
      <c r="KE33" s="1097" t="str">
        <f t="shared" si="261"/>
        <v/>
      </c>
      <c r="KF33" s="1097" t="str">
        <f t="shared" si="262"/>
        <v/>
      </c>
      <c r="KG33" s="1097" t="str">
        <f t="shared" si="263"/>
        <v/>
      </c>
      <c r="KH33" s="1097" t="str">
        <f t="shared" si="264"/>
        <v/>
      </c>
      <c r="KI33" s="1097" t="str">
        <f t="shared" si="265"/>
        <v/>
      </c>
      <c r="KJ33" s="1097" t="str">
        <f t="shared" si="266"/>
        <v/>
      </c>
      <c r="KK33" s="1097" t="str">
        <f t="shared" si="267"/>
        <v/>
      </c>
      <c r="KL33" s="1097" t="str">
        <f t="shared" si="268"/>
        <v/>
      </c>
      <c r="KM33" s="1097" t="str">
        <f t="shared" si="269"/>
        <v/>
      </c>
      <c r="KN33" s="1097" t="str">
        <f t="shared" si="270"/>
        <v/>
      </c>
      <c r="KO33" s="1097" t="str">
        <f t="shared" si="271"/>
        <v/>
      </c>
      <c r="KP33" s="1097" t="str">
        <f t="shared" si="272"/>
        <v/>
      </c>
      <c r="KQ33" s="1097" t="str">
        <f t="shared" si="273"/>
        <v/>
      </c>
      <c r="KR33" s="1097" t="str">
        <f t="shared" si="274"/>
        <v/>
      </c>
      <c r="KS33" s="1097" t="str">
        <f t="shared" si="275"/>
        <v/>
      </c>
      <c r="KT33" s="1097" t="str">
        <f t="shared" si="276"/>
        <v/>
      </c>
      <c r="KU33" s="1097" t="str">
        <f t="shared" si="277"/>
        <v/>
      </c>
      <c r="KV33" s="1097" t="str">
        <f t="shared" si="278"/>
        <v/>
      </c>
      <c r="KW33" s="1097" t="str">
        <f t="shared" si="279"/>
        <v/>
      </c>
      <c r="KX33" s="1097" t="str">
        <f t="shared" si="280"/>
        <v/>
      </c>
      <c r="KY33" s="1097" t="str">
        <f t="shared" si="281"/>
        <v/>
      </c>
      <c r="KZ33" s="1097" t="str">
        <f t="shared" si="282"/>
        <v/>
      </c>
      <c r="LA33" s="1097" t="str">
        <f t="shared" si="283"/>
        <v/>
      </c>
      <c r="LB33" s="1097" t="str">
        <f t="shared" si="284"/>
        <v/>
      </c>
      <c r="LC33" s="1097" t="str">
        <f t="shared" si="285"/>
        <v/>
      </c>
      <c r="LD33" s="1097" t="str">
        <f t="shared" si="286"/>
        <v/>
      </c>
      <c r="LE33" s="1097" t="str">
        <f t="shared" si="287"/>
        <v/>
      </c>
      <c r="LF33" s="1098" t="str">
        <f t="shared" si="288"/>
        <v/>
      </c>
      <c r="LG33" s="1098" t="str">
        <f t="shared" si="289"/>
        <v/>
      </c>
      <c r="LH33" s="1098" t="str">
        <f t="shared" si="290"/>
        <v/>
      </c>
      <c r="LI33" s="1098" t="str">
        <f t="shared" si="291"/>
        <v/>
      </c>
      <c r="LJ33" s="1098" t="str">
        <f t="shared" si="292"/>
        <v/>
      </c>
      <c r="LK33" s="1064" t="str">
        <f t="shared" si="293"/>
        <v/>
      </c>
      <c r="LL33" s="1064" t="str">
        <f t="shared" si="294"/>
        <v/>
      </c>
      <c r="LM33" s="1064" t="str">
        <f t="shared" si="295"/>
        <v/>
      </c>
      <c r="LN33" s="1064" t="str">
        <f t="shared" si="296"/>
        <v/>
      </c>
      <c r="LO33" s="1064" t="str">
        <f t="shared" si="297"/>
        <v/>
      </c>
      <c r="LP33" s="1064" t="str">
        <f t="shared" si="298"/>
        <v/>
      </c>
      <c r="LQ33" s="1064" t="str">
        <f t="shared" si="299"/>
        <v/>
      </c>
      <c r="LR33" s="1064" t="str">
        <f t="shared" si="300"/>
        <v/>
      </c>
      <c r="LS33" s="1064" t="str">
        <f t="shared" si="301"/>
        <v/>
      </c>
      <c r="LT33" s="1064" t="str">
        <f t="shared" si="302"/>
        <v/>
      </c>
      <c r="LU33" s="1064" t="str">
        <f t="shared" si="303"/>
        <v/>
      </c>
      <c r="LV33" s="1064" t="str">
        <f t="shared" si="304"/>
        <v/>
      </c>
      <c r="LW33" s="1064" t="str">
        <f t="shared" si="305"/>
        <v/>
      </c>
      <c r="LX33" s="1064" t="str">
        <f t="shared" si="306"/>
        <v/>
      </c>
      <c r="LY33" s="1064" t="str">
        <f t="shared" si="307"/>
        <v/>
      </c>
      <c r="LZ33" s="1064" t="str">
        <f t="shared" si="308"/>
        <v/>
      </c>
      <c r="MA33" s="1064" t="str">
        <f t="shared" si="309"/>
        <v/>
      </c>
      <c r="MB33" s="1064" t="str">
        <f t="shared" si="310"/>
        <v/>
      </c>
      <c r="MC33" s="1064" t="str">
        <f t="shared" si="311"/>
        <v/>
      </c>
      <c r="MD33" s="1064" t="str">
        <f t="shared" si="312"/>
        <v/>
      </c>
      <c r="ME33" s="1081">
        <f t="shared" si="324"/>
        <v>0</v>
      </c>
      <c r="MF33" s="1081">
        <f t="shared" si="325"/>
        <v>0</v>
      </c>
      <c r="MG33" s="1081">
        <f t="shared" si="326"/>
        <v>0</v>
      </c>
      <c r="MH33" s="1081">
        <f t="shared" si="327"/>
        <v>0</v>
      </c>
      <c r="MI33" s="1081">
        <f t="shared" si="328"/>
        <v>0</v>
      </c>
      <c r="MJ33" s="1081">
        <f t="shared" si="329"/>
        <v>0</v>
      </c>
      <c r="MK33" s="1081">
        <f t="shared" si="330"/>
        <v>0</v>
      </c>
      <c r="ML33" s="1081">
        <f t="shared" si="331"/>
        <v>0</v>
      </c>
      <c r="MM33" s="1081">
        <f t="shared" si="332"/>
        <v>0</v>
      </c>
      <c r="MN33" s="1081">
        <f t="shared" si="333"/>
        <v>0</v>
      </c>
      <c r="MO33" s="1081">
        <f t="shared" si="334"/>
        <v>0</v>
      </c>
      <c r="MP33" s="1081">
        <f t="shared" si="335"/>
        <v>0</v>
      </c>
      <c r="MQ33" s="1081">
        <f t="shared" si="336"/>
        <v>0</v>
      </c>
      <c r="MR33" s="1081">
        <f t="shared" si="337"/>
        <v>0</v>
      </c>
      <c r="MS33" s="1081">
        <f t="shared" si="338"/>
        <v>0</v>
      </c>
    </row>
    <row r="34" spans="1:393" ht="12" customHeight="1">
      <c r="A34" s="1088" t="str">
        <f t="shared" si="0"/>
        <v/>
      </c>
      <c r="B34" s="44"/>
      <c r="C34" s="41"/>
      <c r="D34" s="42"/>
      <c r="E34" s="43"/>
      <c r="F34" s="43"/>
      <c r="G34" s="43"/>
      <c r="H34" s="43"/>
      <c r="I34" s="1100">
        <f>IF(C34="",0,HLOOKUP(C34,'Part V-Utility Allowances'!$I$11:$M$22,12))</f>
        <v>0</v>
      </c>
      <c r="J34" s="810"/>
      <c r="K34" s="512">
        <f t="shared" si="1"/>
        <v>0</v>
      </c>
      <c r="L34" s="512">
        <f t="shared" si="2"/>
        <v>0</v>
      </c>
      <c r="M34" s="1101"/>
      <c r="N34" s="1101"/>
      <c r="O34" s="1101"/>
      <c r="P34" s="1102"/>
      <c r="Q34" s="1103" t="str">
        <f t="shared" si="3"/>
        <v/>
      </c>
      <c r="R34" s="1104" t="str">
        <f>IF(H34="","",IF(C34="Efficiency",Q34/($O$6*VLOOKUP(0,'DCA Underwriting Assumptions'!$J$146:$K$151,2,FALSE)),Q34/($O$6*VLOOKUP(C34,'DCA Underwriting Assumptions'!$J$146:$K$151,2,FALSE))))</f>
        <v/>
      </c>
      <c r="S34" s="1105"/>
      <c r="T34" s="1106"/>
      <c r="U34" s="2314"/>
      <c r="V34" s="2316"/>
      <c r="W34" s="1064" t="str">
        <f t="shared" si="4"/>
        <v/>
      </c>
      <c r="X34" s="1064" t="str">
        <f t="shared" si="5"/>
        <v/>
      </c>
      <c r="Y34" s="1064" t="str">
        <f t="shared" si="6"/>
        <v/>
      </c>
      <c r="Z34" s="1064" t="str">
        <f t="shared" si="7"/>
        <v/>
      </c>
      <c r="AA34" s="1064" t="str">
        <f t="shared" si="8"/>
        <v/>
      </c>
      <c r="AB34" s="1064" t="str">
        <f t="shared" si="9"/>
        <v/>
      </c>
      <c r="AC34" s="1064" t="str">
        <f t="shared" si="10"/>
        <v/>
      </c>
      <c r="AD34" s="1064" t="str">
        <f t="shared" si="11"/>
        <v/>
      </c>
      <c r="AE34" s="1064" t="str">
        <f t="shared" si="12"/>
        <v/>
      </c>
      <c r="AF34" s="1064" t="str">
        <f t="shared" si="13"/>
        <v/>
      </c>
      <c r="AG34" s="1064" t="str">
        <f t="shared" si="14"/>
        <v/>
      </c>
      <c r="AH34" s="1064" t="str">
        <f t="shared" si="15"/>
        <v/>
      </c>
      <c r="AI34" s="1064" t="str">
        <f t="shared" si="16"/>
        <v/>
      </c>
      <c r="AJ34" s="1064" t="str">
        <f t="shared" si="17"/>
        <v/>
      </c>
      <c r="AK34" s="1064" t="str">
        <f t="shared" si="18"/>
        <v/>
      </c>
      <c r="AL34" s="1064" t="str">
        <f t="shared" si="19"/>
        <v/>
      </c>
      <c r="AM34" s="1064" t="str">
        <f t="shared" si="20"/>
        <v/>
      </c>
      <c r="AN34" s="1064" t="str">
        <f t="shared" si="21"/>
        <v/>
      </c>
      <c r="AO34" s="1064" t="str">
        <f t="shared" si="22"/>
        <v/>
      </c>
      <c r="AP34" s="1064" t="str">
        <f t="shared" si="23"/>
        <v/>
      </c>
      <c r="AQ34" s="1064" t="str">
        <f t="shared" si="24"/>
        <v/>
      </c>
      <c r="AR34" s="1064" t="str">
        <f t="shared" si="25"/>
        <v/>
      </c>
      <c r="AS34" s="1064" t="str">
        <f t="shared" si="26"/>
        <v/>
      </c>
      <c r="AT34" s="1064" t="str">
        <f t="shared" si="27"/>
        <v/>
      </c>
      <c r="AU34" s="1064" t="str">
        <f t="shared" si="28"/>
        <v/>
      </c>
      <c r="AV34" s="1064" t="str">
        <f t="shared" si="29"/>
        <v/>
      </c>
      <c r="AW34" s="1064" t="str">
        <f t="shared" si="30"/>
        <v/>
      </c>
      <c r="AX34" s="1064" t="str">
        <f t="shared" si="31"/>
        <v/>
      </c>
      <c r="AY34" s="1064" t="str">
        <f t="shared" si="32"/>
        <v/>
      </c>
      <c r="AZ34" s="1064" t="str">
        <f t="shared" si="33"/>
        <v/>
      </c>
      <c r="BA34" s="1064" t="str">
        <f t="shared" si="34"/>
        <v/>
      </c>
      <c r="BB34" s="1064" t="str">
        <f t="shared" si="35"/>
        <v/>
      </c>
      <c r="BC34" s="1064" t="str">
        <f t="shared" si="36"/>
        <v/>
      </c>
      <c r="BD34" s="1064" t="str">
        <f t="shared" si="37"/>
        <v/>
      </c>
      <c r="BE34" s="1064" t="str">
        <f t="shared" si="38"/>
        <v/>
      </c>
      <c r="BF34" s="1064" t="str">
        <f t="shared" si="39"/>
        <v/>
      </c>
      <c r="BG34" s="1064" t="str">
        <f t="shared" si="40"/>
        <v/>
      </c>
      <c r="BH34" s="1064" t="str">
        <f t="shared" si="41"/>
        <v/>
      </c>
      <c r="BI34" s="1064" t="str">
        <f t="shared" si="42"/>
        <v/>
      </c>
      <c r="BJ34" s="1064" t="str">
        <f t="shared" si="43"/>
        <v/>
      </c>
      <c r="BK34" s="1064" t="str">
        <f t="shared" si="44"/>
        <v/>
      </c>
      <c r="BL34" s="1064" t="str">
        <f t="shared" si="45"/>
        <v/>
      </c>
      <c r="BM34" s="1064" t="str">
        <f t="shared" si="46"/>
        <v/>
      </c>
      <c r="BN34" s="1064" t="str">
        <f t="shared" si="47"/>
        <v/>
      </c>
      <c r="BO34" s="1064" t="str">
        <f t="shared" si="48"/>
        <v/>
      </c>
      <c r="BP34" s="1064" t="str">
        <f t="shared" si="49"/>
        <v/>
      </c>
      <c r="BQ34" s="1064" t="str">
        <f t="shared" si="50"/>
        <v/>
      </c>
      <c r="BR34" s="1064" t="str">
        <f t="shared" si="51"/>
        <v/>
      </c>
      <c r="BS34" s="1064" t="str">
        <f t="shared" si="52"/>
        <v/>
      </c>
      <c r="BT34" s="1064" t="str">
        <f t="shared" si="53"/>
        <v/>
      </c>
      <c r="BU34" s="1064" t="str">
        <f t="shared" si="54"/>
        <v/>
      </c>
      <c r="BV34" s="1064" t="str">
        <f t="shared" si="55"/>
        <v/>
      </c>
      <c r="BW34" s="1064" t="str">
        <f t="shared" si="56"/>
        <v/>
      </c>
      <c r="BX34" s="1064" t="str">
        <f t="shared" si="57"/>
        <v/>
      </c>
      <c r="BY34" s="1064" t="str">
        <f t="shared" si="58"/>
        <v/>
      </c>
      <c r="BZ34" s="1064" t="str">
        <f t="shared" si="59"/>
        <v/>
      </c>
      <c r="CA34" s="1064" t="str">
        <f t="shared" si="60"/>
        <v/>
      </c>
      <c r="CB34" s="1064" t="str">
        <f t="shared" si="61"/>
        <v/>
      </c>
      <c r="CC34" s="1064" t="str">
        <f t="shared" si="62"/>
        <v/>
      </c>
      <c r="CD34" s="1064" t="str">
        <f t="shared" si="63"/>
        <v/>
      </c>
      <c r="CE34" s="1064" t="str">
        <f t="shared" si="64"/>
        <v/>
      </c>
      <c r="CF34" s="1064" t="str">
        <f t="shared" si="65"/>
        <v/>
      </c>
      <c r="CG34" s="1064" t="str">
        <f t="shared" si="66"/>
        <v/>
      </c>
      <c r="CH34" s="1064" t="str">
        <f t="shared" si="67"/>
        <v/>
      </c>
      <c r="CI34" s="1064" t="str">
        <f t="shared" si="68"/>
        <v/>
      </c>
      <c r="CJ34" s="1064" t="str">
        <f t="shared" si="69"/>
        <v/>
      </c>
      <c r="CK34" s="1064" t="str">
        <f t="shared" si="70"/>
        <v/>
      </c>
      <c r="CL34" s="1064" t="str">
        <f t="shared" si="71"/>
        <v/>
      </c>
      <c r="CM34" s="1064" t="str">
        <f t="shared" si="72"/>
        <v/>
      </c>
      <c r="CN34" s="1064" t="str">
        <f t="shared" si="73"/>
        <v/>
      </c>
      <c r="CO34" s="1064" t="str">
        <f t="shared" si="74"/>
        <v/>
      </c>
      <c r="CP34" s="1064" t="str">
        <f t="shared" si="75"/>
        <v/>
      </c>
      <c r="CQ34" s="1064" t="str">
        <f t="shared" si="76"/>
        <v/>
      </c>
      <c r="CR34" s="1064" t="str">
        <f t="shared" si="77"/>
        <v/>
      </c>
      <c r="CS34" s="1064" t="str">
        <f t="shared" si="78"/>
        <v/>
      </c>
      <c r="CT34" s="1064" t="str">
        <f t="shared" si="79"/>
        <v/>
      </c>
      <c r="CU34" s="1064" t="str">
        <f t="shared" si="80"/>
        <v/>
      </c>
      <c r="CV34" s="1064" t="str">
        <f t="shared" si="81"/>
        <v/>
      </c>
      <c r="CW34" s="1064" t="str">
        <f t="shared" si="82"/>
        <v/>
      </c>
      <c r="CX34" s="1064" t="str">
        <f t="shared" si="83"/>
        <v/>
      </c>
      <c r="CY34" s="1064" t="str">
        <f t="shared" si="84"/>
        <v/>
      </c>
      <c r="CZ34" s="1064" t="str">
        <f t="shared" si="85"/>
        <v/>
      </c>
      <c r="DA34" s="1064" t="str">
        <f t="shared" si="86"/>
        <v/>
      </c>
      <c r="DB34" s="1064" t="str">
        <f t="shared" si="87"/>
        <v/>
      </c>
      <c r="DC34" s="1064" t="str">
        <f t="shared" si="88"/>
        <v/>
      </c>
      <c r="DD34" s="1064" t="str">
        <f t="shared" si="89"/>
        <v/>
      </c>
      <c r="DE34" s="1064" t="str">
        <f t="shared" si="90"/>
        <v/>
      </c>
      <c r="DF34" s="1064" t="str">
        <f t="shared" si="91"/>
        <v/>
      </c>
      <c r="DG34" s="1064" t="str">
        <f t="shared" si="92"/>
        <v/>
      </c>
      <c r="DH34" s="1064" t="str">
        <f t="shared" si="93"/>
        <v/>
      </c>
      <c r="DI34" s="1064" t="str">
        <f t="shared" si="94"/>
        <v/>
      </c>
      <c r="DJ34" s="1064" t="str">
        <f t="shared" si="95"/>
        <v/>
      </c>
      <c r="DK34" s="1064" t="str">
        <f t="shared" si="96"/>
        <v/>
      </c>
      <c r="DL34" s="1064" t="str">
        <f t="shared" si="97"/>
        <v/>
      </c>
      <c r="DM34" s="1064" t="str">
        <f t="shared" si="98"/>
        <v/>
      </c>
      <c r="DN34" s="1064" t="str">
        <f t="shared" si="99"/>
        <v/>
      </c>
      <c r="DO34" s="1064" t="str">
        <f t="shared" si="100"/>
        <v/>
      </c>
      <c r="DP34" s="1064" t="str">
        <f t="shared" si="101"/>
        <v/>
      </c>
      <c r="DQ34" s="1064" t="str">
        <f t="shared" si="102"/>
        <v/>
      </c>
      <c r="DR34" s="1064" t="str">
        <f t="shared" si="103"/>
        <v/>
      </c>
      <c r="DS34" s="1064" t="str">
        <f t="shared" si="104"/>
        <v/>
      </c>
      <c r="DT34" s="1064" t="str">
        <f t="shared" si="105"/>
        <v/>
      </c>
      <c r="DU34" s="1064" t="str">
        <f t="shared" si="106"/>
        <v/>
      </c>
      <c r="DV34" s="1064" t="str">
        <f t="shared" si="107"/>
        <v/>
      </c>
      <c r="DW34" s="1064" t="str">
        <f t="shared" si="108"/>
        <v/>
      </c>
      <c r="DX34" s="1064" t="str">
        <f t="shared" si="109"/>
        <v/>
      </c>
      <c r="DY34" s="1064" t="str">
        <f t="shared" si="110"/>
        <v/>
      </c>
      <c r="DZ34" s="1064" t="str">
        <f t="shared" si="111"/>
        <v/>
      </c>
      <c r="EA34" s="1064" t="str">
        <f t="shared" si="112"/>
        <v/>
      </c>
      <c r="EB34" s="1064" t="str">
        <f t="shared" si="113"/>
        <v/>
      </c>
      <c r="EC34" s="1064" t="str">
        <f t="shared" si="114"/>
        <v/>
      </c>
      <c r="ED34" s="1064" t="str">
        <f t="shared" si="115"/>
        <v/>
      </c>
      <c r="EE34" s="1064" t="str">
        <f t="shared" si="116"/>
        <v/>
      </c>
      <c r="EF34" s="1064" t="str">
        <f t="shared" si="117"/>
        <v/>
      </c>
      <c r="EG34" s="1064" t="str">
        <f t="shared" si="313"/>
        <v/>
      </c>
      <c r="EH34" s="1064" t="str">
        <f t="shared" si="118"/>
        <v/>
      </c>
      <c r="EI34" s="1064" t="str">
        <f t="shared" si="119"/>
        <v/>
      </c>
      <c r="EJ34" s="1064" t="str">
        <f t="shared" si="120"/>
        <v/>
      </c>
      <c r="EK34" s="1064" t="str">
        <f t="shared" si="121"/>
        <v/>
      </c>
      <c r="EL34" s="1064" t="str">
        <f t="shared" si="122"/>
        <v/>
      </c>
      <c r="EM34" s="1064" t="str">
        <f t="shared" si="123"/>
        <v/>
      </c>
      <c r="EN34" s="1064" t="str">
        <f t="shared" si="124"/>
        <v/>
      </c>
      <c r="EO34" s="1064" t="str">
        <f t="shared" si="125"/>
        <v/>
      </c>
      <c r="EP34" s="1064" t="str">
        <f t="shared" si="126"/>
        <v/>
      </c>
      <c r="EQ34" s="1064" t="str">
        <f t="shared" si="127"/>
        <v/>
      </c>
      <c r="ER34" s="1064" t="str">
        <f t="shared" si="128"/>
        <v/>
      </c>
      <c r="ES34" s="1064" t="str">
        <f t="shared" si="129"/>
        <v/>
      </c>
      <c r="ET34" s="1064" t="str">
        <f t="shared" si="130"/>
        <v/>
      </c>
      <c r="EU34" s="1064" t="str">
        <f t="shared" si="131"/>
        <v/>
      </c>
      <c r="EV34" s="1064" t="str">
        <f t="shared" si="132"/>
        <v/>
      </c>
      <c r="EW34" s="1064" t="str">
        <f t="shared" si="314"/>
        <v/>
      </c>
      <c r="EX34" s="1064" t="str">
        <f t="shared" si="315"/>
        <v/>
      </c>
      <c r="EY34" s="1064" t="str">
        <f t="shared" si="316"/>
        <v/>
      </c>
      <c r="EZ34" s="1064" t="str">
        <f t="shared" si="317"/>
        <v/>
      </c>
      <c r="FA34" s="1064" t="str">
        <f t="shared" si="318"/>
        <v/>
      </c>
      <c r="FB34" s="1064" t="str">
        <f t="shared" si="133"/>
        <v/>
      </c>
      <c r="FC34" s="1064" t="str">
        <f t="shared" si="134"/>
        <v/>
      </c>
      <c r="FD34" s="1064" t="str">
        <f t="shared" si="135"/>
        <v/>
      </c>
      <c r="FE34" s="1064" t="str">
        <f t="shared" si="136"/>
        <v/>
      </c>
      <c r="FF34" s="1064" t="str">
        <f t="shared" si="137"/>
        <v/>
      </c>
      <c r="FG34" s="1064" t="str">
        <f t="shared" si="319"/>
        <v/>
      </c>
      <c r="FH34" s="1064" t="str">
        <f t="shared" si="320"/>
        <v/>
      </c>
      <c r="FI34" s="1064" t="str">
        <f t="shared" si="321"/>
        <v/>
      </c>
      <c r="FJ34" s="1064" t="str">
        <f t="shared" si="322"/>
        <v/>
      </c>
      <c r="FK34" s="1064" t="str">
        <f t="shared" si="323"/>
        <v/>
      </c>
      <c r="FL34" s="1064" t="str">
        <f t="shared" si="138"/>
        <v/>
      </c>
      <c r="FM34" s="1064" t="str">
        <f t="shared" si="139"/>
        <v/>
      </c>
      <c r="FN34" s="1064" t="str">
        <f t="shared" si="140"/>
        <v/>
      </c>
      <c r="FO34" s="1064" t="str">
        <f t="shared" si="141"/>
        <v/>
      </c>
      <c r="FP34" s="1064" t="str">
        <f t="shared" si="142"/>
        <v/>
      </c>
      <c r="FQ34" s="1064" t="str">
        <f t="shared" si="143"/>
        <v/>
      </c>
      <c r="FR34" s="1064" t="str">
        <f t="shared" si="144"/>
        <v/>
      </c>
      <c r="FS34" s="1064" t="str">
        <f t="shared" si="145"/>
        <v/>
      </c>
      <c r="FT34" s="1064" t="str">
        <f t="shared" si="146"/>
        <v/>
      </c>
      <c r="FU34" s="1064" t="str">
        <f t="shared" si="147"/>
        <v/>
      </c>
      <c r="FV34" s="1064" t="str">
        <f t="shared" si="148"/>
        <v/>
      </c>
      <c r="FW34" s="1064" t="str">
        <f t="shared" si="149"/>
        <v/>
      </c>
      <c r="FX34" s="1064" t="str">
        <f t="shared" si="150"/>
        <v/>
      </c>
      <c r="FY34" s="1064" t="str">
        <f t="shared" si="151"/>
        <v/>
      </c>
      <c r="FZ34" s="1064" t="str">
        <f t="shared" si="152"/>
        <v/>
      </c>
      <c r="GA34" s="1064" t="str">
        <f t="shared" si="153"/>
        <v/>
      </c>
      <c r="GB34" s="1064" t="str">
        <f t="shared" si="154"/>
        <v/>
      </c>
      <c r="GC34" s="1064" t="str">
        <f t="shared" si="155"/>
        <v/>
      </c>
      <c r="GD34" s="1064" t="str">
        <f t="shared" si="156"/>
        <v/>
      </c>
      <c r="GE34" s="1064" t="str">
        <f t="shared" si="157"/>
        <v/>
      </c>
      <c r="GF34" s="1064" t="str">
        <f t="shared" si="158"/>
        <v/>
      </c>
      <c r="GG34" s="1064" t="str">
        <f t="shared" si="159"/>
        <v/>
      </c>
      <c r="GH34" s="1064" t="str">
        <f t="shared" si="160"/>
        <v/>
      </c>
      <c r="GI34" s="1064" t="str">
        <f t="shared" si="161"/>
        <v/>
      </c>
      <c r="GJ34" s="1064" t="str">
        <f t="shared" si="162"/>
        <v/>
      </c>
      <c r="GK34" s="1064" t="str">
        <f t="shared" si="163"/>
        <v/>
      </c>
      <c r="GL34" s="1064" t="str">
        <f t="shared" si="164"/>
        <v/>
      </c>
      <c r="GM34" s="1064" t="str">
        <f t="shared" si="165"/>
        <v/>
      </c>
      <c r="GN34" s="1064" t="str">
        <f t="shared" si="166"/>
        <v/>
      </c>
      <c r="GO34" s="1064" t="str">
        <f t="shared" si="167"/>
        <v/>
      </c>
      <c r="GP34" s="1064" t="str">
        <f t="shared" si="168"/>
        <v/>
      </c>
      <c r="GQ34" s="1064" t="str">
        <f t="shared" si="169"/>
        <v/>
      </c>
      <c r="GR34" s="1064" t="str">
        <f t="shared" si="170"/>
        <v/>
      </c>
      <c r="GS34" s="1064" t="str">
        <f t="shared" si="171"/>
        <v/>
      </c>
      <c r="GT34" s="1064" t="str">
        <f t="shared" si="172"/>
        <v/>
      </c>
      <c r="GU34" s="1064" t="str">
        <f t="shared" si="173"/>
        <v/>
      </c>
      <c r="GV34" s="1064" t="str">
        <f t="shared" si="174"/>
        <v/>
      </c>
      <c r="GW34" s="1064" t="str">
        <f t="shared" si="175"/>
        <v/>
      </c>
      <c r="GX34" s="1064" t="str">
        <f t="shared" si="176"/>
        <v/>
      </c>
      <c r="GY34" s="1064" t="str">
        <f t="shared" si="177"/>
        <v/>
      </c>
      <c r="GZ34" s="1064" t="str">
        <f t="shared" si="178"/>
        <v/>
      </c>
      <c r="HA34" s="1064" t="str">
        <f t="shared" si="179"/>
        <v/>
      </c>
      <c r="HB34" s="1064" t="str">
        <f t="shared" si="180"/>
        <v/>
      </c>
      <c r="HC34" s="1064" t="str">
        <f t="shared" si="181"/>
        <v/>
      </c>
      <c r="HD34" s="1064" t="str">
        <f t="shared" si="182"/>
        <v/>
      </c>
      <c r="HE34" s="1064" t="str">
        <f t="shared" si="183"/>
        <v/>
      </c>
      <c r="HF34" s="1064" t="str">
        <f t="shared" si="184"/>
        <v/>
      </c>
      <c r="HG34" s="1064" t="str">
        <f t="shared" si="185"/>
        <v/>
      </c>
      <c r="HH34" s="1064" t="str">
        <f t="shared" si="186"/>
        <v/>
      </c>
      <c r="HI34" s="1064" t="str">
        <f t="shared" si="187"/>
        <v/>
      </c>
      <c r="HJ34" s="1064" t="str">
        <f t="shared" si="188"/>
        <v/>
      </c>
      <c r="HK34" s="1064" t="str">
        <f t="shared" si="189"/>
        <v/>
      </c>
      <c r="HL34" s="1064" t="str">
        <f t="shared" si="190"/>
        <v/>
      </c>
      <c r="HM34" s="1064" t="str">
        <f t="shared" si="191"/>
        <v/>
      </c>
      <c r="HN34" s="1064" t="str">
        <f t="shared" si="192"/>
        <v/>
      </c>
      <c r="HO34" s="1064" t="str">
        <f t="shared" si="193"/>
        <v/>
      </c>
      <c r="HP34" s="1064" t="str">
        <f t="shared" si="194"/>
        <v/>
      </c>
      <c r="HQ34" s="1064" t="str">
        <f t="shared" si="195"/>
        <v/>
      </c>
      <c r="HR34" s="1064" t="str">
        <f t="shared" si="196"/>
        <v/>
      </c>
      <c r="HS34" s="1064" t="str">
        <f t="shared" si="197"/>
        <v/>
      </c>
      <c r="HT34" s="1064" t="str">
        <f t="shared" si="198"/>
        <v/>
      </c>
      <c r="HU34" s="1064" t="str">
        <f t="shared" si="199"/>
        <v/>
      </c>
      <c r="HV34" s="1064" t="str">
        <f t="shared" si="200"/>
        <v/>
      </c>
      <c r="HW34" s="1064" t="str">
        <f t="shared" si="201"/>
        <v/>
      </c>
      <c r="HX34" s="1064" t="str">
        <f t="shared" si="202"/>
        <v/>
      </c>
      <c r="HY34" s="1097" t="str">
        <f t="shared" si="203"/>
        <v/>
      </c>
      <c r="HZ34" s="1097" t="str">
        <f t="shared" si="204"/>
        <v/>
      </c>
      <c r="IA34" s="1097" t="str">
        <f t="shared" si="205"/>
        <v/>
      </c>
      <c r="IB34" s="1097" t="str">
        <f t="shared" si="206"/>
        <v/>
      </c>
      <c r="IC34" s="1097" t="str">
        <f t="shared" si="207"/>
        <v/>
      </c>
      <c r="ID34" s="1097" t="str">
        <f t="shared" si="208"/>
        <v/>
      </c>
      <c r="IE34" s="1097" t="str">
        <f t="shared" si="209"/>
        <v/>
      </c>
      <c r="IF34" s="1097" t="str">
        <f t="shared" si="210"/>
        <v/>
      </c>
      <c r="IG34" s="1097" t="str">
        <f t="shared" si="211"/>
        <v/>
      </c>
      <c r="IH34" s="1097" t="str">
        <f t="shared" si="212"/>
        <v/>
      </c>
      <c r="II34" s="1097" t="str">
        <f t="shared" si="213"/>
        <v/>
      </c>
      <c r="IJ34" s="1097" t="str">
        <f t="shared" si="214"/>
        <v/>
      </c>
      <c r="IK34" s="1097" t="str">
        <f t="shared" si="215"/>
        <v/>
      </c>
      <c r="IL34" s="1097" t="str">
        <f t="shared" si="216"/>
        <v/>
      </c>
      <c r="IM34" s="1097" t="str">
        <f t="shared" si="217"/>
        <v/>
      </c>
      <c r="IN34" s="1097" t="str">
        <f t="shared" si="218"/>
        <v/>
      </c>
      <c r="IO34" s="1097" t="str">
        <f t="shared" si="219"/>
        <v/>
      </c>
      <c r="IP34" s="1097" t="str">
        <f t="shared" si="220"/>
        <v/>
      </c>
      <c r="IQ34" s="1097" t="str">
        <f t="shared" si="221"/>
        <v/>
      </c>
      <c r="IR34" s="1097" t="str">
        <f t="shared" si="222"/>
        <v/>
      </c>
      <c r="IS34" s="1097" t="str">
        <f t="shared" si="223"/>
        <v/>
      </c>
      <c r="IT34" s="1097" t="str">
        <f t="shared" si="224"/>
        <v/>
      </c>
      <c r="IU34" s="1097" t="str">
        <f t="shared" si="225"/>
        <v/>
      </c>
      <c r="IV34" s="1097" t="str">
        <f t="shared" si="226"/>
        <v/>
      </c>
      <c r="IW34" s="1097" t="str">
        <f t="shared" si="227"/>
        <v/>
      </c>
      <c r="IX34" s="1097" t="str">
        <f t="shared" si="228"/>
        <v/>
      </c>
      <c r="IY34" s="1097" t="str">
        <f t="shared" si="229"/>
        <v/>
      </c>
      <c r="IZ34" s="1097" t="str">
        <f t="shared" si="230"/>
        <v/>
      </c>
      <c r="JA34" s="1097" t="str">
        <f t="shared" si="231"/>
        <v/>
      </c>
      <c r="JB34" s="1097" t="str">
        <f t="shared" si="232"/>
        <v/>
      </c>
      <c r="JC34" s="1097" t="str">
        <f t="shared" si="233"/>
        <v/>
      </c>
      <c r="JD34" s="1097" t="str">
        <f t="shared" si="234"/>
        <v/>
      </c>
      <c r="JE34" s="1097" t="str">
        <f t="shared" si="235"/>
        <v/>
      </c>
      <c r="JF34" s="1097" t="str">
        <f t="shared" si="236"/>
        <v/>
      </c>
      <c r="JG34" s="1097" t="str">
        <f t="shared" si="237"/>
        <v/>
      </c>
      <c r="JH34" s="1097" t="str">
        <f t="shared" si="238"/>
        <v/>
      </c>
      <c r="JI34" s="1097" t="str">
        <f t="shared" si="239"/>
        <v/>
      </c>
      <c r="JJ34" s="1097" t="str">
        <f t="shared" si="240"/>
        <v/>
      </c>
      <c r="JK34" s="1097" t="str">
        <f t="shared" si="241"/>
        <v/>
      </c>
      <c r="JL34" s="1097" t="str">
        <f t="shared" si="242"/>
        <v/>
      </c>
      <c r="JM34" s="1097" t="str">
        <f t="shared" si="243"/>
        <v/>
      </c>
      <c r="JN34" s="1097" t="str">
        <f t="shared" si="244"/>
        <v/>
      </c>
      <c r="JO34" s="1097" t="str">
        <f t="shared" si="245"/>
        <v/>
      </c>
      <c r="JP34" s="1097" t="str">
        <f t="shared" si="246"/>
        <v/>
      </c>
      <c r="JQ34" s="1097" t="str">
        <f t="shared" si="247"/>
        <v/>
      </c>
      <c r="JR34" s="1097" t="str">
        <f t="shared" si="248"/>
        <v/>
      </c>
      <c r="JS34" s="1097" t="str">
        <f t="shared" si="249"/>
        <v/>
      </c>
      <c r="JT34" s="1097" t="str">
        <f t="shared" si="250"/>
        <v/>
      </c>
      <c r="JU34" s="1097" t="str">
        <f t="shared" si="251"/>
        <v/>
      </c>
      <c r="JV34" s="1097" t="str">
        <f t="shared" si="252"/>
        <v/>
      </c>
      <c r="JW34" s="1097" t="str">
        <f t="shared" si="253"/>
        <v/>
      </c>
      <c r="JX34" s="1097" t="str">
        <f t="shared" si="254"/>
        <v/>
      </c>
      <c r="JY34" s="1097" t="str">
        <f t="shared" si="255"/>
        <v/>
      </c>
      <c r="JZ34" s="1097" t="str">
        <f t="shared" si="256"/>
        <v/>
      </c>
      <c r="KA34" s="1097" t="str">
        <f t="shared" si="257"/>
        <v/>
      </c>
      <c r="KB34" s="1097" t="str">
        <f t="shared" si="258"/>
        <v/>
      </c>
      <c r="KC34" s="1097" t="str">
        <f t="shared" si="259"/>
        <v/>
      </c>
      <c r="KD34" s="1097" t="str">
        <f t="shared" si="260"/>
        <v/>
      </c>
      <c r="KE34" s="1097" t="str">
        <f t="shared" si="261"/>
        <v/>
      </c>
      <c r="KF34" s="1097" t="str">
        <f t="shared" si="262"/>
        <v/>
      </c>
      <c r="KG34" s="1097" t="str">
        <f t="shared" si="263"/>
        <v/>
      </c>
      <c r="KH34" s="1097" t="str">
        <f t="shared" si="264"/>
        <v/>
      </c>
      <c r="KI34" s="1097" t="str">
        <f t="shared" si="265"/>
        <v/>
      </c>
      <c r="KJ34" s="1097" t="str">
        <f t="shared" si="266"/>
        <v/>
      </c>
      <c r="KK34" s="1097" t="str">
        <f t="shared" si="267"/>
        <v/>
      </c>
      <c r="KL34" s="1097" t="str">
        <f t="shared" si="268"/>
        <v/>
      </c>
      <c r="KM34" s="1097" t="str">
        <f t="shared" si="269"/>
        <v/>
      </c>
      <c r="KN34" s="1097" t="str">
        <f t="shared" si="270"/>
        <v/>
      </c>
      <c r="KO34" s="1097" t="str">
        <f t="shared" si="271"/>
        <v/>
      </c>
      <c r="KP34" s="1097" t="str">
        <f t="shared" si="272"/>
        <v/>
      </c>
      <c r="KQ34" s="1097" t="str">
        <f t="shared" si="273"/>
        <v/>
      </c>
      <c r="KR34" s="1097" t="str">
        <f t="shared" si="274"/>
        <v/>
      </c>
      <c r="KS34" s="1097" t="str">
        <f t="shared" si="275"/>
        <v/>
      </c>
      <c r="KT34" s="1097" t="str">
        <f t="shared" si="276"/>
        <v/>
      </c>
      <c r="KU34" s="1097" t="str">
        <f t="shared" si="277"/>
        <v/>
      </c>
      <c r="KV34" s="1097" t="str">
        <f t="shared" si="278"/>
        <v/>
      </c>
      <c r="KW34" s="1097" t="str">
        <f t="shared" si="279"/>
        <v/>
      </c>
      <c r="KX34" s="1097" t="str">
        <f t="shared" si="280"/>
        <v/>
      </c>
      <c r="KY34" s="1097" t="str">
        <f t="shared" si="281"/>
        <v/>
      </c>
      <c r="KZ34" s="1097" t="str">
        <f t="shared" si="282"/>
        <v/>
      </c>
      <c r="LA34" s="1097" t="str">
        <f t="shared" si="283"/>
        <v/>
      </c>
      <c r="LB34" s="1097" t="str">
        <f t="shared" si="284"/>
        <v/>
      </c>
      <c r="LC34" s="1097" t="str">
        <f t="shared" si="285"/>
        <v/>
      </c>
      <c r="LD34" s="1097" t="str">
        <f t="shared" si="286"/>
        <v/>
      </c>
      <c r="LE34" s="1097" t="str">
        <f t="shared" si="287"/>
        <v/>
      </c>
      <c r="LF34" s="1098" t="str">
        <f t="shared" si="288"/>
        <v/>
      </c>
      <c r="LG34" s="1098" t="str">
        <f t="shared" si="289"/>
        <v/>
      </c>
      <c r="LH34" s="1098" t="str">
        <f t="shared" si="290"/>
        <v/>
      </c>
      <c r="LI34" s="1098" t="str">
        <f t="shared" si="291"/>
        <v/>
      </c>
      <c r="LJ34" s="1098" t="str">
        <f t="shared" si="292"/>
        <v/>
      </c>
      <c r="LK34" s="1064" t="str">
        <f t="shared" si="293"/>
        <v/>
      </c>
      <c r="LL34" s="1064" t="str">
        <f t="shared" si="294"/>
        <v/>
      </c>
      <c r="LM34" s="1064" t="str">
        <f t="shared" si="295"/>
        <v/>
      </c>
      <c r="LN34" s="1064" t="str">
        <f t="shared" si="296"/>
        <v/>
      </c>
      <c r="LO34" s="1064" t="str">
        <f t="shared" si="297"/>
        <v/>
      </c>
      <c r="LP34" s="1064" t="str">
        <f t="shared" si="298"/>
        <v/>
      </c>
      <c r="LQ34" s="1064" t="str">
        <f t="shared" si="299"/>
        <v/>
      </c>
      <c r="LR34" s="1064" t="str">
        <f t="shared" si="300"/>
        <v/>
      </c>
      <c r="LS34" s="1064" t="str">
        <f t="shared" si="301"/>
        <v/>
      </c>
      <c r="LT34" s="1064" t="str">
        <f t="shared" si="302"/>
        <v/>
      </c>
      <c r="LU34" s="1064" t="str">
        <f t="shared" si="303"/>
        <v/>
      </c>
      <c r="LV34" s="1064" t="str">
        <f t="shared" si="304"/>
        <v/>
      </c>
      <c r="LW34" s="1064" t="str">
        <f t="shared" si="305"/>
        <v/>
      </c>
      <c r="LX34" s="1064" t="str">
        <f t="shared" si="306"/>
        <v/>
      </c>
      <c r="LY34" s="1064" t="str">
        <f t="shared" si="307"/>
        <v/>
      </c>
      <c r="LZ34" s="1064" t="str">
        <f t="shared" si="308"/>
        <v/>
      </c>
      <c r="MA34" s="1064" t="str">
        <f t="shared" si="309"/>
        <v/>
      </c>
      <c r="MB34" s="1064" t="str">
        <f t="shared" si="310"/>
        <v/>
      </c>
      <c r="MC34" s="1064" t="str">
        <f t="shared" si="311"/>
        <v/>
      </c>
      <c r="MD34" s="1064" t="str">
        <f t="shared" si="312"/>
        <v/>
      </c>
      <c r="ME34" s="1081">
        <f t="shared" si="324"/>
        <v>0</v>
      </c>
      <c r="MF34" s="1081">
        <f t="shared" si="325"/>
        <v>0</v>
      </c>
      <c r="MG34" s="1081">
        <f t="shared" si="326"/>
        <v>0</v>
      </c>
      <c r="MH34" s="1081">
        <f t="shared" si="327"/>
        <v>0</v>
      </c>
      <c r="MI34" s="1081">
        <f t="shared" si="328"/>
        <v>0</v>
      </c>
      <c r="MJ34" s="1081">
        <f t="shared" si="329"/>
        <v>0</v>
      </c>
      <c r="MK34" s="1081">
        <f t="shared" si="330"/>
        <v>0</v>
      </c>
      <c r="ML34" s="1081">
        <f t="shared" si="331"/>
        <v>0</v>
      </c>
      <c r="MM34" s="1081">
        <f t="shared" si="332"/>
        <v>0</v>
      </c>
      <c r="MN34" s="1081">
        <f t="shared" si="333"/>
        <v>0</v>
      </c>
      <c r="MO34" s="1081">
        <f t="shared" si="334"/>
        <v>0</v>
      </c>
      <c r="MP34" s="1081">
        <f t="shared" si="335"/>
        <v>0</v>
      </c>
      <c r="MQ34" s="1081">
        <f t="shared" si="336"/>
        <v>0</v>
      </c>
      <c r="MR34" s="1081">
        <f t="shared" si="337"/>
        <v>0</v>
      </c>
      <c r="MS34" s="1081">
        <f t="shared" si="338"/>
        <v>0</v>
      </c>
    </row>
    <row r="35" spans="1:393" ht="12" customHeight="1">
      <c r="A35" s="1088" t="str">
        <f t="shared" si="0"/>
        <v/>
      </c>
      <c r="B35" s="44"/>
      <c r="C35" s="41"/>
      <c r="D35" s="42"/>
      <c r="E35" s="43"/>
      <c r="F35" s="43"/>
      <c r="G35" s="43"/>
      <c r="H35" s="43"/>
      <c r="I35" s="1100">
        <f>IF(C35="",0,HLOOKUP(C35,'Part V-Utility Allowances'!$I$11:$M$22,12))</f>
        <v>0</v>
      </c>
      <c r="J35" s="810"/>
      <c r="K35" s="512">
        <f t="shared" si="1"/>
        <v>0</v>
      </c>
      <c r="L35" s="512">
        <f t="shared" si="2"/>
        <v>0</v>
      </c>
      <c r="M35" s="1101"/>
      <c r="N35" s="1101"/>
      <c r="O35" s="1101"/>
      <c r="P35" s="1102"/>
      <c r="Q35" s="1103" t="str">
        <f t="shared" si="3"/>
        <v/>
      </c>
      <c r="R35" s="1104" t="str">
        <f>IF(H35="","",IF(C35="Efficiency",Q35/($O$6*VLOOKUP(0,'DCA Underwriting Assumptions'!$J$146:$K$151,2,FALSE)),Q35/($O$6*VLOOKUP(C35,'DCA Underwriting Assumptions'!$J$146:$K$151,2,FALSE))))</f>
        <v/>
      </c>
      <c r="S35" s="1105"/>
      <c r="T35" s="1106"/>
      <c r="U35" s="2314"/>
      <c r="V35" s="2316"/>
      <c r="W35" s="1064" t="str">
        <f t="shared" si="4"/>
        <v/>
      </c>
      <c r="X35" s="1064" t="str">
        <f t="shared" si="5"/>
        <v/>
      </c>
      <c r="Y35" s="1064" t="str">
        <f t="shared" si="6"/>
        <v/>
      </c>
      <c r="Z35" s="1064" t="str">
        <f t="shared" si="7"/>
        <v/>
      </c>
      <c r="AA35" s="1064" t="str">
        <f t="shared" si="8"/>
        <v/>
      </c>
      <c r="AB35" s="1064" t="str">
        <f t="shared" si="9"/>
        <v/>
      </c>
      <c r="AC35" s="1064" t="str">
        <f t="shared" si="10"/>
        <v/>
      </c>
      <c r="AD35" s="1064" t="str">
        <f t="shared" si="11"/>
        <v/>
      </c>
      <c r="AE35" s="1064" t="str">
        <f t="shared" si="12"/>
        <v/>
      </c>
      <c r="AF35" s="1064" t="str">
        <f t="shared" si="13"/>
        <v/>
      </c>
      <c r="AG35" s="1064" t="str">
        <f t="shared" si="14"/>
        <v/>
      </c>
      <c r="AH35" s="1064" t="str">
        <f t="shared" si="15"/>
        <v/>
      </c>
      <c r="AI35" s="1064" t="str">
        <f t="shared" si="16"/>
        <v/>
      </c>
      <c r="AJ35" s="1064" t="str">
        <f t="shared" si="17"/>
        <v/>
      </c>
      <c r="AK35" s="1064" t="str">
        <f t="shared" si="18"/>
        <v/>
      </c>
      <c r="AL35" s="1064" t="str">
        <f t="shared" si="19"/>
        <v/>
      </c>
      <c r="AM35" s="1064" t="str">
        <f t="shared" si="20"/>
        <v/>
      </c>
      <c r="AN35" s="1064" t="str">
        <f t="shared" si="21"/>
        <v/>
      </c>
      <c r="AO35" s="1064" t="str">
        <f t="shared" si="22"/>
        <v/>
      </c>
      <c r="AP35" s="1064" t="str">
        <f t="shared" si="23"/>
        <v/>
      </c>
      <c r="AQ35" s="1064" t="str">
        <f t="shared" si="24"/>
        <v/>
      </c>
      <c r="AR35" s="1064" t="str">
        <f t="shared" si="25"/>
        <v/>
      </c>
      <c r="AS35" s="1064" t="str">
        <f t="shared" si="26"/>
        <v/>
      </c>
      <c r="AT35" s="1064" t="str">
        <f t="shared" si="27"/>
        <v/>
      </c>
      <c r="AU35" s="1064" t="str">
        <f t="shared" si="28"/>
        <v/>
      </c>
      <c r="AV35" s="1064" t="str">
        <f t="shared" si="29"/>
        <v/>
      </c>
      <c r="AW35" s="1064" t="str">
        <f t="shared" si="30"/>
        <v/>
      </c>
      <c r="AX35" s="1064" t="str">
        <f t="shared" si="31"/>
        <v/>
      </c>
      <c r="AY35" s="1064" t="str">
        <f t="shared" si="32"/>
        <v/>
      </c>
      <c r="AZ35" s="1064" t="str">
        <f t="shared" si="33"/>
        <v/>
      </c>
      <c r="BA35" s="1064" t="str">
        <f t="shared" si="34"/>
        <v/>
      </c>
      <c r="BB35" s="1064" t="str">
        <f t="shared" si="35"/>
        <v/>
      </c>
      <c r="BC35" s="1064" t="str">
        <f t="shared" si="36"/>
        <v/>
      </c>
      <c r="BD35" s="1064" t="str">
        <f t="shared" si="37"/>
        <v/>
      </c>
      <c r="BE35" s="1064" t="str">
        <f t="shared" si="38"/>
        <v/>
      </c>
      <c r="BF35" s="1064" t="str">
        <f t="shared" si="39"/>
        <v/>
      </c>
      <c r="BG35" s="1064" t="str">
        <f t="shared" si="40"/>
        <v/>
      </c>
      <c r="BH35" s="1064" t="str">
        <f t="shared" si="41"/>
        <v/>
      </c>
      <c r="BI35" s="1064" t="str">
        <f t="shared" si="42"/>
        <v/>
      </c>
      <c r="BJ35" s="1064" t="str">
        <f t="shared" si="43"/>
        <v/>
      </c>
      <c r="BK35" s="1064" t="str">
        <f t="shared" si="44"/>
        <v/>
      </c>
      <c r="BL35" s="1064" t="str">
        <f t="shared" si="45"/>
        <v/>
      </c>
      <c r="BM35" s="1064" t="str">
        <f t="shared" si="46"/>
        <v/>
      </c>
      <c r="BN35" s="1064" t="str">
        <f t="shared" si="47"/>
        <v/>
      </c>
      <c r="BO35" s="1064" t="str">
        <f t="shared" si="48"/>
        <v/>
      </c>
      <c r="BP35" s="1064" t="str">
        <f t="shared" si="49"/>
        <v/>
      </c>
      <c r="BQ35" s="1064" t="str">
        <f t="shared" si="50"/>
        <v/>
      </c>
      <c r="BR35" s="1064" t="str">
        <f t="shared" si="51"/>
        <v/>
      </c>
      <c r="BS35" s="1064" t="str">
        <f t="shared" si="52"/>
        <v/>
      </c>
      <c r="BT35" s="1064" t="str">
        <f t="shared" si="53"/>
        <v/>
      </c>
      <c r="BU35" s="1064" t="str">
        <f t="shared" si="54"/>
        <v/>
      </c>
      <c r="BV35" s="1064" t="str">
        <f t="shared" si="55"/>
        <v/>
      </c>
      <c r="BW35" s="1064" t="str">
        <f t="shared" si="56"/>
        <v/>
      </c>
      <c r="BX35" s="1064" t="str">
        <f t="shared" si="57"/>
        <v/>
      </c>
      <c r="BY35" s="1064" t="str">
        <f t="shared" si="58"/>
        <v/>
      </c>
      <c r="BZ35" s="1064" t="str">
        <f t="shared" si="59"/>
        <v/>
      </c>
      <c r="CA35" s="1064" t="str">
        <f t="shared" si="60"/>
        <v/>
      </c>
      <c r="CB35" s="1064" t="str">
        <f t="shared" si="61"/>
        <v/>
      </c>
      <c r="CC35" s="1064" t="str">
        <f t="shared" si="62"/>
        <v/>
      </c>
      <c r="CD35" s="1064" t="str">
        <f t="shared" si="63"/>
        <v/>
      </c>
      <c r="CE35" s="1064" t="str">
        <f t="shared" si="64"/>
        <v/>
      </c>
      <c r="CF35" s="1064" t="str">
        <f t="shared" si="65"/>
        <v/>
      </c>
      <c r="CG35" s="1064" t="str">
        <f t="shared" si="66"/>
        <v/>
      </c>
      <c r="CH35" s="1064" t="str">
        <f t="shared" si="67"/>
        <v/>
      </c>
      <c r="CI35" s="1064" t="str">
        <f t="shared" si="68"/>
        <v/>
      </c>
      <c r="CJ35" s="1064" t="str">
        <f t="shared" si="69"/>
        <v/>
      </c>
      <c r="CK35" s="1064" t="str">
        <f t="shared" si="70"/>
        <v/>
      </c>
      <c r="CL35" s="1064" t="str">
        <f t="shared" si="71"/>
        <v/>
      </c>
      <c r="CM35" s="1064" t="str">
        <f t="shared" si="72"/>
        <v/>
      </c>
      <c r="CN35" s="1064" t="str">
        <f t="shared" si="73"/>
        <v/>
      </c>
      <c r="CO35" s="1064" t="str">
        <f t="shared" si="74"/>
        <v/>
      </c>
      <c r="CP35" s="1064" t="str">
        <f t="shared" si="75"/>
        <v/>
      </c>
      <c r="CQ35" s="1064" t="str">
        <f t="shared" si="76"/>
        <v/>
      </c>
      <c r="CR35" s="1064" t="str">
        <f t="shared" si="77"/>
        <v/>
      </c>
      <c r="CS35" s="1064" t="str">
        <f t="shared" si="78"/>
        <v/>
      </c>
      <c r="CT35" s="1064" t="str">
        <f t="shared" si="79"/>
        <v/>
      </c>
      <c r="CU35" s="1064" t="str">
        <f t="shared" si="80"/>
        <v/>
      </c>
      <c r="CV35" s="1064" t="str">
        <f t="shared" si="81"/>
        <v/>
      </c>
      <c r="CW35" s="1064" t="str">
        <f t="shared" si="82"/>
        <v/>
      </c>
      <c r="CX35" s="1064" t="str">
        <f t="shared" si="83"/>
        <v/>
      </c>
      <c r="CY35" s="1064" t="str">
        <f t="shared" si="84"/>
        <v/>
      </c>
      <c r="CZ35" s="1064" t="str">
        <f t="shared" si="85"/>
        <v/>
      </c>
      <c r="DA35" s="1064" t="str">
        <f t="shared" si="86"/>
        <v/>
      </c>
      <c r="DB35" s="1064" t="str">
        <f t="shared" si="87"/>
        <v/>
      </c>
      <c r="DC35" s="1064" t="str">
        <f t="shared" si="88"/>
        <v/>
      </c>
      <c r="DD35" s="1064" t="str">
        <f t="shared" si="89"/>
        <v/>
      </c>
      <c r="DE35" s="1064" t="str">
        <f t="shared" si="90"/>
        <v/>
      </c>
      <c r="DF35" s="1064" t="str">
        <f t="shared" si="91"/>
        <v/>
      </c>
      <c r="DG35" s="1064" t="str">
        <f t="shared" si="92"/>
        <v/>
      </c>
      <c r="DH35" s="1064" t="str">
        <f t="shared" si="93"/>
        <v/>
      </c>
      <c r="DI35" s="1064" t="str">
        <f t="shared" si="94"/>
        <v/>
      </c>
      <c r="DJ35" s="1064" t="str">
        <f t="shared" si="95"/>
        <v/>
      </c>
      <c r="DK35" s="1064" t="str">
        <f t="shared" si="96"/>
        <v/>
      </c>
      <c r="DL35" s="1064" t="str">
        <f t="shared" si="97"/>
        <v/>
      </c>
      <c r="DM35" s="1064" t="str">
        <f t="shared" si="98"/>
        <v/>
      </c>
      <c r="DN35" s="1064" t="str">
        <f t="shared" si="99"/>
        <v/>
      </c>
      <c r="DO35" s="1064" t="str">
        <f t="shared" si="100"/>
        <v/>
      </c>
      <c r="DP35" s="1064" t="str">
        <f t="shared" si="101"/>
        <v/>
      </c>
      <c r="DQ35" s="1064" t="str">
        <f t="shared" si="102"/>
        <v/>
      </c>
      <c r="DR35" s="1064" t="str">
        <f t="shared" si="103"/>
        <v/>
      </c>
      <c r="DS35" s="1064" t="str">
        <f t="shared" si="104"/>
        <v/>
      </c>
      <c r="DT35" s="1064" t="str">
        <f t="shared" si="105"/>
        <v/>
      </c>
      <c r="DU35" s="1064" t="str">
        <f t="shared" si="106"/>
        <v/>
      </c>
      <c r="DV35" s="1064" t="str">
        <f t="shared" si="107"/>
        <v/>
      </c>
      <c r="DW35" s="1064" t="str">
        <f t="shared" si="108"/>
        <v/>
      </c>
      <c r="DX35" s="1064" t="str">
        <f t="shared" si="109"/>
        <v/>
      </c>
      <c r="DY35" s="1064" t="str">
        <f t="shared" si="110"/>
        <v/>
      </c>
      <c r="DZ35" s="1064" t="str">
        <f t="shared" si="111"/>
        <v/>
      </c>
      <c r="EA35" s="1064" t="str">
        <f t="shared" si="112"/>
        <v/>
      </c>
      <c r="EB35" s="1064" t="str">
        <f t="shared" si="113"/>
        <v/>
      </c>
      <c r="EC35" s="1064" t="str">
        <f t="shared" si="114"/>
        <v/>
      </c>
      <c r="ED35" s="1064" t="str">
        <f t="shared" si="115"/>
        <v/>
      </c>
      <c r="EE35" s="1064" t="str">
        <f t="shared" si="116"/>
        <v/>
      </c>
      <c r="EF35" s="1064" t="str">
        <f t="shared" si="117"/>
        <v/>
      </c>
      <c r="EG35" s="1064" t="str">
        <f t="shared" si="313"/>
        <v/>
      </c>
      <c r="EH35" s="1064" t="str">
        <f t="shared" si="118"/>
        <v/>
      </c>
      <c r="EI35" s="1064" t="str">
        <f t="shared" si="119"/>
        <v/>
      </c>
      <c r="EJ35" s="1064" t="str">
        <f t="shared" si="120"/>
        <v/>
      </c>
      <c r="EK35" s="1064" t="str">
        <f t="shared" si="121"/>
        <v/>
      </c>
      <c r="EL35" s="1064" t="str">
        <f t="shared" si="122"/>
        <v/>
      </c>
      <c r="EM35" s="1064" t="str">
        <f t="shared" si="123"/>
        <v/>
      </c>
      <c r="EN35" s="1064" t="str">
        <f t="shared" si="124"/>
        <v/>
      </c>
      <c r="EO35" s="1064" t="str">
        <f t="shared" si="125"/>
        <v/>
      </c>
      <c r="EP35" s="1064" t="str">
        <f t="shared" si="126"/>
        <v/>
      </c>
      <c r="EQ35" s="1064" t="str">
        <f t="shared" si="127"/>
        <v/>
      </c>
      <c r="ER35" s="1064" t="str">
        <f t="shared" si="128"/>
        <v/>
      </c>
      <c r="ES35" s="1064" t="str">
        <f t="shared" si="129"/>
        <v/>
      </c>
      <c r="ET35" s="1064" t="str">
        <f t="shared" si="130"/>
        <v/>
      </c>
      <c r="EU35" s="1064" t="str">
        <f t="shared" si="131"/>
        <v/>
      </c>
      <c r="EV35" s="1064" t="str">
        <f t="shared" si="132"/>
        <v/>
      </c>
      <c r="EW35" s="1064" t="str">
        <f t="shared" si="314"/>
        <v/>
      </c>
      <c r="EX35" s="1064" t="str">
        <f t="shared" si="315"/>
        <v/>
      </c>
      <c r="EY35" s="1064" t="str">
        <f t="shared" si="316"/>
        <v/>
      </c>
      <c r="EZ35" s="1064" t="str">
        <f t="shared" si="317"/>
        <v/>
      </c>
      <c r="FA35" s="1064" t="str">
        <f t="shared" si="318"/>
        <v/>
      </c>
      <c r="FB35" s="1064" t="str">
        <f t="shared" si="133"/>
        <v/>
      </c>
      <c r="FC35" s="1064" t="str">
        <f t="shared" si="134"/>
        <v/>
      </c>
      <c r="FD35" s="1064" t="str">
        <f t="shared" si="135"/>
        <v/>
      </c>
      <c r="FE35" s="1064" t="str">
        <f t="shared" si="136"/>
        <v/>
      </c>
      <c r="FF35" s="1064" t="str">
        <f t="shared" si="137"/>
        <v/>
      </c>
      <c r="FG35" s="1064" t="str">
        <f t="shared" si="319"/>
        <v/>
      </c>
      <c r="FH35" s="1064" t="str">
        <f t="shared" si="320"/>
        <v/>
      </c>
      <c r="FI35" s="1064" t="str">
        <f t="shared" si="321"/>
        <v/>
      </c>
      <c r="FJ35" s="1064" t="str">
        <f t="shared" si="322"/>
        <v/>
      </c>
      <c r="FK35" s="1064" t="str">
        <f t="shared" si="323"/>
        <v/>
      </c>
      <c r="FL35" s="1064" t="str">
        <f t="shared" si="138"/>
        <v/>
      </c>
      <c r="FM35" s="1064" t="str">
        <f t="shared" si="139"/>
        <v/>
      </c>
      <c r="FN35" s="1064" t="str">
        <f t="shared" si="140"/>
        <v/>
      </c>
      <c r="FO35" s="1064" t="str">
        <f t="shared" si="141"/>
        <v/>
      </c>
      <c r="FP35" s="1064" t="str">
        <f t="shared" si="142"/>
        <v/>
      </c>
      <c r="FQ35" s="1064" t="str">
        <f t="shared" si="143"/>
        <v/>
      </c>
      <c r="FR35" s="1064" t="str">
        <f t="shared" si="144"/>
        <v/>
      </c>
      <c r="FS35" s="1064" t="str">
        <f t="shared" si="145"/>
        <v/>
      </c>
      <c r="FT35" s="1064" t="str">
        <f t="shared" si="146"/>
        <v/>
      </c>
      <c r="FU35" s="1064" t="str">
        <f t="shared" si="147"/>
        <v/>
      </c>
      <c r="FV35" s="1064" t="str">
        <f t="shared" si="148"/>
        <v/>
      </c>
      <c r="FW35" s="1064" t="str">
        <f t="shared" si="149"/>
        <v/>
      </c>
      <c r="FX35" s="1064" t="str">
        <f t="shared" si="150"/>
        <v/>
      </c>
      <c r="FY35" s="1064" t="str">
        <f t="shared" si="151"/>
        <v/>
      </c>
      <c r="FZ35" s="1064" t="str">
        <f t="shared" si="152"/>
        <v/>
      </c>
      <c r="GA35" s="1064" t="str">
        <f t="shared" si="153"/>
        <v/>
      </c>
      <c r="GB35" s="1064" t="str">
        <f t="shared" si="154"/>
        <v/>
      </c>
      <c r="GC35" s="1064" t="str">
        <f t="shared" si="155"/>
        <v/>
      </c>
      <c r="GD35" s="1064" t="str">
        <f t="shared" si="156"/>
        <v/>
      </c>
      <c r="GE35" s="1064" t="str">
        <f t="shared" si="157"/>
        <v/>
      </c>
      <c r="GF35" s="1064" t="str">
        <f t="shared" si="158"/>
        <v/>
      </c>
      <c r="GG35" s="1064" t="str">
        <f t="shared" si="159"/>
        <v/>
      </c>
      <c r="GH35" s="1064" t="str">
        <f t="shared" si="160"/>
        <v/>
      </c>
      <c r="GI35" s="1064" t="str">
        <f t="shared" si="161"/>
        <v/>
      </c>
      <c r="GJ35" s="1064" t="str">
        <f t="shared" si="162"/>
        <v/>
      </c>
      <c r="GK35" s="1064" t="str">
        <f t="shared" si="163"/>
        <v/>
      </c>
      <c r="GL35" s="1064" t="str">
        <f t="shared" si="164"/>
        <v/>
      </c>
      <c r="GM35" s="1064" t="str">
        <f t="shared" si="165"/>
        <v/>
      </c>
      <c r="GN35" s="1064" t="str">
        <f t="shared" si="166"/>
        <v/>
      </c>
      <c r="GO35" s="1064" t="str">
        <f t="shared" si="167"/>
        <v/>
      </c>
      <c r="GP35" s="1064" t="str">
        <f t="shared" si="168"/>
        <v/>
      </c>
      <c r="GQ35" s="1064" t="str">
        <f t="shared" si="169"/>
        <v/>
      </c>
      <c r="GR35" s="1064" t="str">
        <f t="shared" si="170"/>
        <v/>
      </c>
      <c r="GS35" s="1064" t="str">
        <f t="shared" si="171"/>
        <v/>
      </c>
      <c r="GT35" s="1064" t="str">
        <f t="shared" si="172"/>
        <v/>
      </c>
      <c r="GU35" s="1064" t="str">
        <f t="shared" si="173"/>
        <v/>
      </c>
      <c r="GV35" s="1064" t="str">
        <f t="shared" si="174"/>
        <v/>
      </c>
      <c r="GW35" s="1064" t="str">
        <f t="shared" si="175"/>
        <v/>
      </c>
      <c r="GX35" s="1064" t="str">
        <f t="shared" si="176"/>
        <v/>
      </c>
      <c r="GY35" s="1064" t="str">
        <f t="shared" si="177"/>
        <v/>
      </c>
      <c r="GZ35" s="1064" t="str">
        <f t="shared" si="178"/>
        <v/>
      </c>
      <c r="HA35" s="1064" t="str">
        <f t="shared" si="179"/>
        <v/>
      </c>
      <c r="HB35" s="1064" t="str">
        <f t="shared" si="180"/>
        <v/>
      </c>
      <c r="HC35" s="1064" t="str">
        <f t="shared" si="181"/>
        <v/>
      </c>
      <c r="HD35" s="1064" t="str">
        <f t="shared" si="182"/>
        <v/>
      </c>
      <c r="HE35" s="1064" t="str">
        <f t="shared" si="183"/>
        <v/>
      </c>
      <c r="HF35" s="1064" t="str">
        <f t="shared" si="184"/>
        <v/>
      </c>
      <c r="HG35" s="1064" t="str">
        <f t="shared" si="185"/>
        <v/>
      </c>
      <c r="HH35" s="1064" t="str">
        <f t="shared" si="186"/>
        <v/>
      </c>
      <c r="HI35" s="1064" t="str">
        <f t="shared" si="187"/>
        <v/>
      </c>
      <c r="HJ35" s="1064" t="str">
        <f t="shared" si="188"/>
        <v/>
      </c>
      <c r="HK35" s="1064" t="str">
        <f t="shared" si="189"/>
        <v/>
      </c>
      <c r="HL35" s="1064" t="str">
        <f t="shared" si="190"/>
        <v/>
      </c>
      <c r="HM35" s="1064" t="str">
        <f t="shared" si="191"/>
        <v/>
      </c>
      <c r="HN35" s="1064" t="str">
        <f t="shared" si="192"/>
        <v/>
      </c>
      <c r="HO35" s="1064" t="str">
        <f t="shared" si="193"/>
        <v/>
      </c>
      <c r="HP35" s="1064" t="str">
        <f t="shared" si="194"/>
        <v/>
      </c>
      <c r="HQ35" s="1064" t="str">
        <f t="shared" si="195"/>
        <v/>
      </c>
      <c r="HR35" s="1064" t="str">
        <f t="shared" si="196"/>
        <v/>
      </c>
      <c r="HS35" s="1064" t="str">
        <f t="shared" si="197"/>
        <v/>
      </c>
      <c r="HT35" s="1064" t="str">
        <f t="shared" si="198"/>
        <v/>
      </c>
      <c r="HU35" s="1064" t="str">
        <f t="shared" si="199"/>
        <v/>
      </c>
      <c r="HV35" s="1064" t="str">
        <f t="shared" si="200"/>
        <v/>
      </c>
      <c r="HW35" s="1064" t="str">
        <f t="shared" si="201"/>
        <v/>
      </c>
      <c r="HX35" s="1064" t="str">
        <f t="shared" si="202"/>
        <v/>
      </c>
      <c r="HY35" s="1097" t="str">
        <f t="shared" si="203"/>
        <v/>
      </c>
      <c r="HZ35" s="1097" t="str">
        <f t="shared" si="204"/>
        <v/>
      </c>
      <c r="IA35" s="1097" t="str">
        <f t="shared" si="205"/>
        <v/>
      </c>
      <c r="IB35" s="1097" t="str">
        <f t="shared" si="206"/>
        <v/>
      </c>
      <c r="IC35" s="1097" t="str">
        <f t="shared" si="207"/>
        <v/>
      </c>
      <c r="ID35" s="1097" t="str">
        <f t="shared" si="208"/>
        <v/>
      </c>
      <c r="IE35" s="1097" t="str">
        <f t="shared" si="209"/>
        <v/>
      </c>
      <c r="IF35" s="1097" t="str">
        <f t="shared" si="210"/>
        <v/>
      </c>
      <c r="IG35" s="1097" t="str">
        <f t="shared" si="211"/>
        <v/>
      </c>
      <c r="IH35" s="1097" t="str">
        <f t="shared" si="212"/>
        <v/>
      </c>
      <c r="II35" s="1097" t="str">
        <f t="shared" si="213"/>
        <v/>
      </c>
      <c r="IJ35" s="1097" t="str">
        <f t="shared" si="214"/>
        <v/>
      </c>
      <c r="IK35" s="1097" t="str">
        <f t="shared" si="215"/>
        <v/>
      </c>
      <c r="IL35" s="1097" t="str">
        <f t="shared" si="216"/>
        <v/>
      </c>
      <c r="IM35" s="1097" t="str">
        <f t="shared" si="217"/>
        <v/>
      </c>
      <c r="IN35" s="1097" t="str">
        <f t="shared" si="218"/>
        <v/>
      </c>
      <c r="IO35" s="1097" t="str">
        <f t="shared" si="219"/>
        <v/>
      </c>
      <c r="IP35" s="1097" t="str">
        <f t="shared" si="220"/>
        <v/>
      </c>
      <c r="IQ35" s="1097" t="str">
        <f t="shared" si="221"/>
        <v/>
      </c>
      <c r="IR35" s="1097" t="str">
        <f t="shared" si="222"/>
        <v/>
      </c>
      <c r="IS35" s="1097" t="str">
        <f t="shared" si="223"/>
        <v/>
      </c>
      <c r="IT35" s="1097" t="str">
        <f t="shared" si="224"/>
        <v/>
      </c>
      <c r="IU35" s="1097" t="str">
        <f t="shared" si="225"/>
        <v/>
      </c>
      <c r="IV35" s="1097" t="str">
        <f t="shared" si="226"/>
        <v/>
      </c>
      <c r="IW35" s="1097" t="str">
        <f t="shared" si="227"/>
        <v/>
      </c>
      <c r="IX35" s="1097" t="str">
        <f t="shared" si="228"/>
        <v/>
      </c>
      <c r="IY35" s="1097" t="str">
        <f t="shared" si="229"/>
        <v/>
      </c>
      <c r="IZ35" s="1097" t="str">
        <f t="shared" si="230"/>
        <v/>
      </c>
      <c r="JA35" s="1097" t="str">
        <f t="shared" si="231"/>
        <v/>
      </c>
      <c r="JB35" s="1097" t="str">
        <f t="shared" si="232"/>
        <v/>
      </c>
      <c r="JC35" s="1097" t="str">
        <f t="shared" si="233"/>
        <v/>
      </c>
      <c r="JD35" s="1097" t="str">
        <f t="shared" si="234"/>
        <v/>
      </c>
      <c r="JE35" s="1097" t="str">
        <f t="shared" si="235"/>
        <v/>
      </c>
      <c r="JF35" s="1097" t="str">
        <f t="shared" si="236"/>
        <v/>
      </c>
      <c r="JG35" s="1097" t="str">
        <f t="shared" si="237"/>
        <v/>
      </c>
      <c r="JH35" s="1097" t="str">
        <f t="shared" si="238"/>
        <v/>
      </c>
      <c r="JI35" s="1097" t="str">
        <f t="shared" si="239"/>
        <v/>
      </c>
      <c r="JJ35" s="1097" t="str">
        <f t="shared" si="240"/>
        <v/>
      </c>
      <c r="JK35" s="1097" t="str">
        <f t="shared" si="241"/>
        <v/>
      </c>
      <c r="JL35" s="1097" t="str">
        <f t="shared" si="242"/>
        <v/>
      </c>
      <c r="JM35" s="1097" t="str">
        <f t="shared" si="243"/>
        <v/>
      </c>
      <c r="JN35" s="1097" t="str">
        <f t="shared" si="244"/>
        <v/>
      </c>
      <c r="JO35" s="1097" t="str">
        <f t="shared" si="245"/>
        <v/>
      </c>
      <c r="JP35" s="1097" t="str">
        <f t="shared" si="246"/>
        <v/>
      </c>
      <c r="JQ35" s="1097" t="str">
        <f t="shared" si="247"/>
        <v/>
      </c>
      <c r="JR35" s="1097" t="str">
        <f t="shared" si="248"/>
        <v/>
      </c>
      <c r="JS35" s="1097" t="str">
        <f t="shared" si="249"/>
        <v/>
      </c>
      <c r="JT35" s="1097" t="str">
        <f t="shared" si="250"/>
        <v/>
      </c>
      <c r="JU35" s="1097" t="str">
        <f t="shared" si="251"/>
        <v/>
      </c>
      <c r="JV35" s="1097" t="str">
        <f t="shared" si="252"/>
        <v/>
      </c>
      <c r="JW35" s="1097" t="str">
        <f t="shared" si="253"/>
        <v/>
      </c>
      <c r="JX35" s="1097" t="str">
        <f t="shared" si="254"/>
        <v/>
      </c>
      <c r="JY35" s="1097" t="str">
        <f t="shared" si="255"/>
        <v/>
      </c>
      <c r="JZ35" s="1097" t="str">
        <f t="shared" si="256"/>
        <v/>
      </c>
      <c r="KA35" s="1097" t="str">
        <f t="shared" si="257"/>
        <v/>
      </c>
      <c r="KB35" s="1097" t="str">
        <f t="shared" si="258"/>
        <v/>
      </c>
      <c r="KC35" s="1097" t="str">
        <f t="shared" si="259"/>
        <v/>
      </c>
      <c r="KD35" s="1097" t="str">
        <f t="shared" si="260"/>
        <v/>
      </c>
      <c r="KE35" s="1097" t="str">
        <f t="shared" si="261"/>
        <v/>
      </c>
      <c r="KF35" s="1097" t="str">
        <f t="shared" si="262"/>
        <v/>
      </c>
      <c r="KG35" s="1097" t="str">
        <f t="shared" si="263"/>
        <v/>
      </c>
      <c r="KH35" s="1097" t="str">
        <f t="shared" si="264"/>
        <v/>
      </c>
      <c r="KI35" s="1097" t="str">
        <f t="shared" si="265"/>
        <v/>
      </c>
      <c r="KJ35" s="1097" t="str">
        <f t="shared" si="266"/>
        <v/>
      </c>
      <c r="KK35" s="1097" t="str">
        <f t="shared" si="267"/>
        <v/>
      </c>
      <c r="KL35" s="1097" t="str">
        <f t="shared" si="268"/>
        <v/>
      </c>
      <c r="KM35" s="1097" t="str">
        <f t="shared" si="269"/>
        <v/>
      </c>
      <c r="KN35" s="1097" t="str">
        <f t="shared" si="270"/>
        <v/>
      </c>
      <c r="KO35" s="1097" t="str">
        <f t="shared" si="271"/>
        <v/>
      </c>
      <c r="KP35" s="1097" t="str">
        <f t="shared" si="272"/>
        <v/>
      </c>
      <c r="KQ35" s="1097" t="str">
        <f t="shared" si="273"/>
        <v/>
      </c>
      <c r="KR35" s="1097" t="str">
        <f t="shared" si="274"/>
        <v/>
      </c>
      <c r="KS35" s="1097" t="str">
        <f t="shared" si="275"/>
        <v/>
      </c>
      <c r="KT35" s="1097" t="str">
        <f t="shared" si="276"/>
        <v/>
      </c>
      <c r="KU35" s="1097" t="str">
        <f t="shared" si="277"/>
        <v/>
      </c>
      <c r="KV35" s="1097" t="str">
        <f t="shared" si="278"/>
        <v/>
      </c>
      <c r="KW35" s="1097" t="str">
        <f t="shared" si="279"/>
        <v/>
      </c>
      <c r="KX35" s="1097" t="str">
        <f t="shared" si="280"/>
        <v/>
      </c>
      <c r="KY35" s="1097" t="str">
        <f t="shared" si="281"/>
        <v/>
      </c>
      <c r="KZ35" s="1097" t="str">
        <f t="shared" si="282"/>
        <v/>
      </c>
      <c r="LA35" s="1097" t="str">
        <f t="shared" si="283"/>
        <v/>
      </c>
      <c r="LB35" s="1097" t="str">
        <f t="shared" si="284"/>
        <v/>
      </c>
      <c r="LC35" s="1097" t="str">
        <f t="shared" si="285"/>
        <v/>
      </c>
      <c r="LD35" s="1097" t="str">
        <f t="shared" si="286"/>
        <v/>
      </c>
      <c r="LE35" s="1097" t="str">
        <f t="shared" si="287"/>
        <v/>
      </c>
      <c r="LF35" s="1098" t="str">
        <f t="shared" si="288"/>
        <v/>
      </c>
      <c r="LG35" s="1098" t="str">
        <f t="shared" si="289"/>
        <v/>
      </c>
      <c r="LH35" s="1098" t="str">
        <f t="shared" si="290"/>
        <v/>
      </c>
      <c r="LI35" s="1098" t="str">
        <f t="shared" si="291"/>
        <v/>
      </c>
      <c r="LJ35" s="1098" t="str">
        <f t="shared" si="292"/>
        <v/>
      </c>
      <c r="LK35" s="1064" t="str">
        <f t="shared" si="293"/>
        <v/>
      </c>
      <c r="LL35" s="1064" t="str">
        <f t="shared" si="294"/>
        <v/>
      </c>
      <c r="LM35" s="1064" t="str">
        <f t="shared" si="295"/>
        <v/>
      </c>
      <c r="LN35" s="1064" t="str">
        <f t="shared" si="296"/>
        <v/>
      </c>
      <c r="LO35" s="1064" t="str">
        <f t="shared" si="297"/>
        <v/>
      </c>
      <c r="LP35" s="1064" t="str">
        <f t="shared" si="298"/>
        <v/>
      </c>
      <c r="LQ35" s="1064" t="str">
        <f t="shared" si="299"/>
        <v/>
      </c>
      <c r="LR35" s="1064" t="str">
        <f t="shared" si="300"/>
        <v/>
      </c>
      <c r="LS35" s="1064" t="str">
        <f t="shared" si="301"/>
        <v/>
      </c>
      <c r="LT35" s="1064" t="str">
        <f t="shared" si="302"/>
        <v/>
      </c>
      <c r="LU35" s="1064" t="str">
        <f t="shared" si="303"/>
        <v/>
      </c>
      <c r="LV35" s="1064" t="str">
        <f t="shared" si="304"/>
        <v/>
      </c>
      <c r="LW35" s="1064" t="str">
        <f t="shared" si="305"/>
        <v/>
      </c>
      <c r="LX35" s="1064" t="str">
        <f t="shared" si="306"/>
        <v/>
      </c>
      <c r="LY35" s="1064" t="str">
        <f t="shared" si="307"/>
        <v/>
      </c>
      <c r="LZ35" s="1064" t="str">
        <f t="shared" si="308"/>
        <v/>
      </c>
      <c r="MA35" s="1064" t="str">
        <f t="shared" si="309"/>
        <v/>
      </c>
      <c r="MB35" s="1064" t="str">
        <f t="shared" si="310"/>
        <v/>
      </c>
      <c r="MC35" s="1064" t="str">
        <f t="shared" si="311"/>
        <v/>
      </c>
      <c r="MD35" s="1064" t="str">
        <f t="shared" si="312"/>
        <v/>
      </c>
      <c r="ME35" s="1081">
        <f t="shared" si="324"/>
        <v>0</v>
      </c>
      <c r="MF35" s="1081">
        <f t="shared" si="325"/>
        <v>0</v>
      </c>
      <c r="MG35" s="1081">
        <f t="shared" si="326"/>
        <v>0</v>
      </c>
      <c r="MH35" s="1081">
        <f t="shared" si="327"/>
        <v>0</v>
      </c>
      <c r="MI35" s="1081">
        <f t="shared" si="328"/>
        <v>0</v>
      </c>
      <c r="MJ35" s="1081">
        <f t="shared" si="329"/>
        <v>0</v>
      </c>
      <c r="MK35" s="1081">
        <f t="shared" si="330"/>
        <v>0</v>
      </c>
      <c r="ML35" s="1081">
        <f t="shared" si="331"/>
        <v>0</v>
      </c>
      <c r="MM35" s="1081">
        <f t="shared" si="332"/>
        <v>0</v>
      </c>
      <c r="MN35" s="1081">
        <f t="shared" si="333"/>
        <v>0</v>
      </c>
      <c r="MO35" s="1081">
        <f t="shared" si="334"/>
        <v>0</v>
      </c>
      <c r="MP35" s="1081">
        <f t="shared" si="335"/>
        <v>0</v>
      </c>
      <c r="MQ35" s="1081">
        <f t="shared" si="336"/>
        <v>0</v>
      </c>
      <c r="MR35" s="1081">
        <f t="shared" si="337"/>
        <v>0</v>
      </c>
      <c r="MS35" s="1081">
        <f t="shared" si="338"/>
        <v>0</v>
      </c>
    </row>
    <row r="36" spans="1:393" ht="12" customHeight="1">
      <c r="A36" s="1088" t="str">
        <f t="shared" si="0"/>
        <v/>
      </c>
      <c r="B36" s="44"/>
      <c r="C36" s="41"/>
      <c r="D36" s="42"/>
      <c r="E36" s="43"/>
      <c r="F36" s="43"/>
      <c r="G36" s="43"/>
      <c r="H36" s="43"/>
      <c r="I36" s="1100">
        <f>IF(C36="",0,HLOOKUP(C36,'Part V-Utility Allowances'!$I$11:$M$22,12))</f>
        <v>0</v>
      </c>
      <c r="J36" s="810"/>
      <c r="K36" s="512">
        <f t="shared" si="1"/>
        <v>0</v>
      </c>
      <c r="L36" s="512">
        <f t="shared" si="2"/>
        <v>0</v>
      </c>
      <c r="M36" s="1101"/>
      <c r="N36" s="1101"/>
      <c r="O36" s="1101"/>
      <c r="P36" s="1102"/>
      <c r="Q36" s="1103" t="str">
        <f t="shared" si="3"/>
        <v/>
      </c>
      <c r="R36" s="1104" t="str">
        <f>IF(H36="","",IF(C36="Efficiency",Q36/($O$6*VLOOKUP(0,'DCA Underwriting Assumptions'!$J$146:$K$151,2,FALSE)),Q36/($O$6*VLOOKUP(C36,'DCA Underwriting Assumptions'!$J$146:$K$151,2,FALSE))))</f>
        <v/>
      </c>
      <c r="S36" s="1105"/>
      <c r="T36" s="1106"/>
      <c r="U36" s="2314"/>
      <c r="V36" s="2316"/>
      <c r="W36" s="1064" t="str">
        <f t="shared" si="4"/>
        <v/>
      </c>
      <c r="X36" s="1064" t="str">
        <f t="shared" si="5"/>
        <v/>
      </c>
      <c r="Y36" s="1064" t="str">
        <f t="shared" si="6"/>
        <v/>
      </c>
      <c r="Z36" s="1064" t="str">
        <f t="shared" si="7"/>
        <v/>
      </c>
      <c r="AA36" s="1064" t="str">
        <f t="shared" si="8"/>
        <v/>
      </c>
      <c r="AB36" s="1064" t="str">
        <f t="shared" si="9"/>
        <v/>
      </c>
      <c r="AC36" s="1064" t="str">
        <f t="shared" si="10"/>
        <v/>
      </c>
      <c r="AD36" s="1064" t="str">
        <f t="shared" si="11"/>
        <v/>
      </c>
      <c r="AE36" s="1064" t="str">
        <f t="shared" si="12"/>
        <v/>
      </c>
      <c r="AF36" s="1064" t="str">
        <f t="shared" si="13"/>
        <v/>
      </c>
      <c r="AG36" s="1064" t="str">
        <f t="shared" si="14"/>
        <v/>
      </c>
      <c r="AH36" s="1064" t="str">
        <f t="shared" si="15"/>
        <v/>
      </c>
      <c r="AI36" s="1064" t="str">
        <f t="shared" si="16"/>
        <v/>
      </c>
      <c r="AJ36" s="1064" t="str">
        <f t="shared" si="17"/>
        <v/>
      </c>
      <c r="AK36" s="1064" t="str">
        <f t="shared" si="18"/>
        <v/>
      </c>
      <c r="AL36" s="1064" t="str">
        <f t="shared" si="19"/>
        <v/>
      </c>
      <c r="AM36" s="1064" t="str">
        <f t="shared" si="20"/>
        <v/>
      </c>
      <c r="AN36" s="1064" t="str">
        <f t="shared" si="21"/>
        <v/>
      </c>
      <c r="AO36" s="1064" t="str">
        <f t="shared" si="22"/>
        <v/>
      </c>
      <c r="AP36" s="1064" t="str">
        <f t="shared" si="23"/>
        <v/>
      </c>
      <c r="AQ36" s="1064" t="str">
        <f t="shared" si="24"/>
        <v/>
      </c>
      <c r="AR36" s="1064" t="str">
        <f t="shared" si="25"/>
        <v/>
      </c>
      <c r="AS36" s="1064" t="str">
        <f t="shared" si="26"/>
        <v/>
      </c>
      <c r="AT36" s="1064" t="str">
        <f t="shared" si="27"/>
        <v/>
      </c>
      <c r="AU36" s="1064" t="str">
        <f t="shared" si="28"/>
        <v/>
      </c>
      <c r="AV36" s="1064" t="str">
        <f t="shared" si="29"/>
        <v/>
      </c>
      <c r="AW36" s="1064" t="str">
        <f t="shared" si="30"/>
        <v/>
      </c>
      <c r="AX36" s="1064" t="str">
        <f t="shared" si="31"/>
        <v/>
      </c>
      <c r="AY36" s="1064" t="str">
        <f t="shared" si="32"/>
        <v/>
      </c>
      <c r="AZ36" s="1064" t="str">
        <f t="shared" si="33"/>
        <v/>
      </c>
      <c r="BA36" s="1064" t="str">
        <f t="shared" si="34"/>
        <v/>
      </c>
      <c r="BB36" s="1064" t="str">
        <f t="shared" si="35"/>
        <v/>
      </c>
      <c r="BC36" s="1064" t="str">
        <f t="shared" si="36"/>
        <v/>
      </c>
      <c r="BD36" s="1064" t="str">
        <f t="shared" si="37"/>
        <v/>
      </c>
      <c r="BE36" s="1064" t="str">
        <f t="shared" si="38"/>
        <v/>
      </c>
      <c r="BF36" s="1064" t="str">
        <f t="shared" si="39"/>
        <v/>
      </c>
      <c r="BG36" s="1064" t="str">
        <f t="shared" si="40"/>
        <v/>
      </c>
      <c r="BH36" s="1064" t="str">
        <f t="shared" si="41"/>
        <v/>
      </c>
      <c r="BI36" s="1064" t="str">
        <f t="shared" si="42"/>
        <v/>
      </c>
      <c r="BJ36" s="1064" t="str">
        <f t="shared" si="43"/>
        <v/>
      </c>
      <c r="BK36" s="1064" t="str">
        <f t="shared" si="44"/>
        <v/>
      </c>
      <c r="BL36" s="1064" t="str">
        <f t="shared" si="45"/>
        <v/>
      </c>
      <c r="BM36" s="1064" t="str">
        <f t="shared" si="46"/>
        <v/>
      </c>
      <c r="BN36" s="1064" t="str">
        <f t="shared" si="47"/>
        <v/>
      </c>
      <c r="BO36" s="1064" t="str">
        <f t="shared" si="48"/>
        <v/>
      </c>
      <c r="BP36" s="1064" t="str">
        <f t="shared" si="49"/>
        <v/>
      </c>
      <c r="BQ36" s="1064" t="str">
        <f t="shared" si="50"/>
        <v/>
      </c>
      <c r="BR36" s="1064" t="str">
        <f t="shared" si="51"/>
        <v/>
      </c>
      <c r="BS36" s="1064" t="str">
        <f t="shared" si="52"/>
        <v/>
      </c>
      <c r="BT36" s="1064" t="str">
        <f t="shared" si="53"/>
        <v/>
      </c>
      <c r="BU36" s="1064" t="str">
        <f t="shared" si="54"/>
        <v/>
      </c>
      <c r="BV36" s="1064" t="str">
        <f t="shared" si="55"/>
        <v/>
      </c>
      <c r="BW36" s="1064" t="str">
        <f t="shared" si="56"/>
        <v/>
      </c>
      <c r="BX36" s="1064" t="str">
        <f t="shared" si="57"/>
        <v/>
      </c>
      <c r="BY36" s="1064" t="str">
        <f t="shared" si="58"/>
        <v/>
      </c>
      <c r="BZ36" s="1064" t="str">
        <f t="shared" si="59"/>
        <v/>
      </c>
      <c r="CA36" s="1064" t="str">
        <f t="shared" si="60"/>
        <v/>
      </c>
      <c r="CB36" s="1064" t="str">
        <f t="shared" si="61"/>
        <v/>
      </c>
      <c r="CC36" s="1064" t="str">
        <f t="shared" si="62"/>
        <v/>
      </c>
      <c r="CD36" s="1064" t="str">
        <f t="shared" si="63"/>
        <v/>
      </c>
      <c r="CE36" s="1064" t="str">
        <f t="shared" si="64"/>
        <v/>
      </c>
      <c r="CF36" s="1064" t="str">
        <f t="shared" si="65"/>
        <v/>
      </c>
      <c r="CG36" s="1064" t="str">
        <f t="shared" si="66"/>
        <v/>
      </c>
      <c r="CH36" s="1064" t="str">
        <f t="shared" si="67"/>
        <v/>
      </c>
      <c r="CI36" s="1064" t="str">
        <f t="shared" si="68"/>
        <v/>
      </c>
      <c r="CJ36" s="1064" t="str">
        <f t="shared" si="69"/>
        <v/>
      </c>
      <c r="CK36" s="1064" t="str">
        <f t="shared" si="70"/>
        <v/>
      </c>
      <c r="CL36" s="1064" t="str">
        <f t="shared" si="71"/>
        <v/>
      </c>
      <c r="CM36" s="1064" t="str">
        <f t="shared" si="72"/>
        <v/>
      </c>
      <c r="CN36" s="1064" t="str">
        <f t="shared" si="73"/>
        <v/>
      </c>
      <c r="CO36" s="1064" t="str">
        <f t="shared" si="74"/>
        <v/>
      </c>
      <c r="CP36" s="1064" t="str">
        <f t="shared" si="75"/>
        <v/>
      </c>
      <c r="CQ36" s="1064" t="str">
        <f t="shared" si="76"/>
        <v/>
      </c>
      <c r="CR36" s="1064" t="str">
        <f t="shared" si="77"/>
        <v/>
      </c>
      <c r="CS36" s="1064" t="str">
        <f t="shared" si="78"/>
        <v/>
      </c>
      <c r="CT36" s="1064" t="str">
        <f t="shared" si="79"/>
        <v/>
      </c>
      <c r="CU36" s="1064" t="str">
        <f t="shared" si="80"/>
        <v/>
      </c>
      <c r="CV36" s="1064" t="str">
        <f t="shared" si="81"/>
        <v/>
      </c>
      <c r="CW36" s="1064" t="str">
        <f t="shared" si="82"/>
        <v/>
      </c>
      <c r="CX36" s="1064" t="str">
        <f t="shared" si="83"/>
        <v/>
      </c>
      <c r="CY36" s="1064" t="str">
        <f t="shared" si="84"/>
        <v/>
      </c>
      <c r="CZ36" s="1064" t="str">
        <f t="shared" si="85"/>
        <v/>
      </c>
      <c r="DA36" s="1064" t="str">
        <f t="shared" si="86"/>
        <v/>
      </c>
      <c r="DB36" s="1064" t="str">
        <f t="shared" si="87"/>
        <v/>
      </c>
      <c r="DC36" s="1064" t="str">
        <f t="shared" si="88"/>
        <v/>
      </c>
      <c r="DD36" s="1064" t="str">
        <f t="shared" si="89"/>
        <v/>
      </c>
      <c r="DE36" s="1064" t="str">
        <f t="shared" si="90"/>
        <v/>
      </c>
      <c r="DF36" s="1064" t="str">
        <f t="shared" si="91"/>
        <v/>
      </c>
      <c r="DG36" s="1064" t="str">
        <f t="shared" si="92"/>
        <v/>
      </c>
      <c r="DH36" s="1064" t="str">
        <f t="shared" si="93"/>
        <v/>
      </c>
      <c r="DI36" s="1064" t="str">
        <f t="shared" si="94"/>
        <v/>
      </c>
      <c r="DJ36" s="1064" t="str">
        <f t="shared" si="95"/>
        <v/>
      </c>
      <c r="DK36" s="1064" t="str">
        <f t="shared" si="96"/>
        <v/>
      </c>
      <c r="DL36" s="1064" t="str">
        <f t="shared" si="97"/>
        <v/>
      </c>
      <c r="DM36" s="1064" t="str">
        <f t="shared" si="98"/>
        <v/>
      </c>
      <c r="DN36" s="1064" t="str">
        <f t="shared" si="99"/>
        <v/>
      </c>
      <c r="DO36" s="1064" t="str">
        <f t="shared" si="100"/>
        <v/>
      </c>
      <c r="DP36" s="1064" t="str">
        <f t="shared" si="101"/>
        <v/>
      </c>
      <c r="DQ36" s="1064" t="str">
        <f t="shared" si="102"/>
        <v/>
      </c>
      <c r="DR36" s="1064" t="str">
        <f t="shared" si="103"/>
        <v/>
      </c>
      <c r="DS36" s="1064" t="str">
        <f t="shared" si="104"/>
        <v/>
      </c>
      <c r="DT36" s="1064" t="str">
        <f t="shared" si="105"/>
        <v/>
      </c>
      <c r="DU36" s="1064" t="str">
        <f t="shared" si="106"/>
        <v/>
      </c>
      <c r="DV36" s="1064" t="str">
        <f t="shared" si="107"/>
        <v/>
      </c>
      <c r="DW36" s="1064" t="str">
        <f t="shared" si="108"/>
        <v/>
      </c>
      <c r="DX36" s="1064" t="str">
        <f t="shared" si="109"/>
        <v/>
      </c>
      <c r="DY36" s="1064" t="str">
        <f t="shared" si="110"/>
        <v/>
      </c>
      <c r="DZ36" s="1064" t="str">
        <f t="shared" si="111"/>
        <v/>
      </c>
      <c r="EA36" s="1064" t="str">
        <f t="shared" si="112"/>
        <v/>
      </c>
      <c r="EB36" s="1064" t="str">
        <f t="shared" si="113"/>
        <v/>
      </c>
      <c r="EC36" s="1064" t="str">
        <f t="shared" si="114"/>
        <v/>
      </c>
      <c r="ED36" s="1064" t="str">
        <f t="shared" si="115"/>
        <v/>
      </c>
      <c r="EE36" s="1064" t="str">
        <f t="shared" si="116"/>
        <v/>
      </c>
      <c r="EF36" s="1064" t="str">
        <f t="shared" si="117"/>
        <v/>
      </c>
      <c r="EG36" s="1064" t="str">
        <f t="shared" si="313"/>
        <v/>
      </c>
      <c r="EH36" s="1064" t="str">
        <f t="shared" si="118"/>
        <v/>
      </c>
      <c r="EI36" s="1064" t="str">
        <f t="shared" si="119"/>
        <v/>
      </c>
      <c r="EJ36" s="1064" t="str">
        <f t="shared" si="120"/>
        <v/>
      </c>
      <c r="EK36" s="1064" t="str">
        <f t="shared" si="121"/>
        <v/>
      </c>
      <c r="EL36" s="1064" t="str">
        <f t="shared" si="122"/>
        <v/>
      </c>
      <c r="EM36" s="1064" t="str">
        <f t="shared" si="123"/>
        <v/>
      </c>
      <c r="EN36" s="1064" t="str">
        <f t="shared" si="124"/>
        <v/>
      </c>
      <c r="EO36" s="1064" t="str">
        <f t="shared" si="125"/>
        <v/>
      </c>
      <c r="EP36" s="1064" t="str">
        <f t="shared" si="126"/>
        <v/>
      </c>
      <c r="EQ36" s="1064" t="str">
        <f t="shared" si="127"/>
        <v/>
      </c>
      <c r="ER36" s="1064" t="str">
        <f t="shared" si="128"/>
        <v/>
      </c>
      <c r="ES36" s="1064" t="str">
        <f t="shared" si="129"/>
        <v/>
      </c>
      <c r="ET36" s="1064" t="str">
        <f t="shared" si="130"/>
        <v/>
      </c>
      <c r="EU36" s="1064" t="str">
        <f t="shared" si="131"/>
        <v/>
      </c>
      <c r="EV36" s="1064" t="str">
        <f t="shared" si="132"/>
        <v/>
      </c>
      <c r="EW36" s="1064" t="str">
        <f t="shared" si="314"/>
        <v/>
      </c>
      <c r="EX36" s="1064" t="str">
        <f t="shared" si="315"/>
        <v/>
      </c>
      <c r="EY36" s="1064" t="str">
        <f t="shared" si="316"/>
        <v/>
      </c>
      <c r="EZ36" s="1064" t="str">
        <f t="shared" si="317"/>
        <v/>
      </c>
      <c r="FA36" s="1064" t="str">
        <f t="shared" si="318"/>
        <v/>
      </c>
      <c r="FB36" s="1064" t="str">
        <f t="shared" si="133"/>
        <v/>
      </c>
      <c r="FC36" s="1064" t="str">
        <f t="shared" si="134"/>
        <v/>
      </c>
      <c r="FD36" s="1064" t="str">
        <f t="shared" si="135"/>
        <v/>
      </c>
      <c r="FE36" s="1064" t="str">
        <f t="shared" si="136"/>
        <v/>
      </c>
      <c r="FF36" s="1064" t="str">
        <f t="shared" si="137"/>
        <v/>
      </c>
      <c r="FG36" s="1064" t="str">
        <f t="shared" si="319"/>
        <v/>
      </c>
      <c r="FH36" s="1064" t="str">
        <f t="shared" si="320"/>
        <v/>
      </c>
      <c r="FI36" s="1064" t="str">
        <f t="shared" si="321"/>
        <v/>
      </c>
      <c r="FJ36" s="1064" t="str">
        <f t="shared" si="322"/>
        <v/>
      </c>
      <c r="FK36" s="1064" t="str">
        <f t="shared" si="323"/>
        <v/>
      </c>
      <c r="FL36" s="1064" t="str">
        <f t="shared" si="138"/>
        <v/>
      </c>
      <c r="FM36" s="1064" t="str">
        <f t="shared" si="139"/>
        <v/>
      </c>
      <c r="FN36" s="1064" t="str">
        <f t="shared" si="140"/>
        <v/>
      </c>
      <c r="FO36" s="1064" t="str">
        <f t="shared" si="141"/>
        <v/>
      </c>
      <c r="FP36" s="1064" t="str">
        <f t="shared" si="142"/>
        <v/>
      </c>
      <c r="FQ36" s="1064" t="str">
        <f t="shared" si="143"/>
        <v/>
      </c>
      <c r="FR36" s="1064" t="str">
        <f t="shared" si="144"/>
        <v/>
      </c>
      <c r="FS36" s="1064" t="str">
        <f t="shared" si="145"/>
        <v/>
      </c>
      <c r="FT36" s="1064" t="str">
        <f t="shared" si="146"/>
        <v/>
      </c>
      <c r="FU36" s="1064" t="str">
        <f t="shared" si="147"/>
        <v/>
      </c>
      <c r="FV36" s="1064" t="str">
        <f t="shared" si="148"/>
        <v/>
      </c>
      <c r="FW36" s="1064" t="str">
        <f t="shared" si="149"/>
        <v/>
      </c>
      <c r="FX36" s="1064" t="str">
        <f t="shared" si="150"/>
        <v/>
      </c>
      <c r="FY36" s="1064" t="str">
        <f t="shared" si="151"/>
        <v/>
      </c>
      <c r="FZ36" s="1064" t="str">
        <f t="shared" si="152"/>
        <v/>
      </c>
      <c r="GA36" s="1064" t="str">
        <f t="shared" si="153"/>
        <v/>
      </c>
      <c r="GB36" s="1064" t="str">
        <f t="shared" si="154"/>
        <v/>
      </c>
      <c r="GC36" s="1064" t="str">
        <f t="shared" si="155"/>
        <v/>
      </c>
      <c r="GD36" s="1064" t="str">
        <f t="shared" si="156"/>
        <v/>
      </c>
      <c r="GE36" s="1064" t="str">
        <f t="shared" si="157"/>
        <v/>
      </c>
      <c r="GF36" s="1064" t="str">
        <f t="shared" si="158"/>
        <v/>
      </c>
      <c r="GG36" s="1064" t="str">
        <f t="shared" si="159"/>
        <v/>
      </c>
      <c r="GH36" s="1064" t="str">
        <f t="shared" si="160"/>
        <v/>
      </c>
      <c r="GI36" s="1064" t="str">
        <f t="shared" si="161"/>
        <v/>
      </c>
      <c r="GJ36" s="1064" t="str">
        <f t="shared" si="162"/>
        <v/>
      </c>
      <c r="GK36" s="1064" t="str">
        <f t="shared" si="163"/>
        <v/>
      </c>
      <c r="GL36" s="1064" t="str">
        <f t="shared" si="164"/>
        <v/>
      </c>
      <c r="GM36" s="1064" t="str">
        <f t="shared" si="165"/>
        <v/>
      </c>
      <c r="GN36" s="1064" t="str">
        <f t="shared" si="166"/>
        <v/>
      </c>
      <c r="GO36" s="1064" t="str">
        <f t="shared" si="167"/>
        <v/>
      </c>
      <c r="GP36" s="1064" t="str">
        <f t="shared" si="168"/>
        <v/>
      </c>
      <c r="GQ36" s="1064" t="str">
        <f t="shared" si="169"/>
        <v/>
      </c>
      <c r="GR36" s="1064" t="str">
        <f t="shared" si="170"/>
        <v/>
      </c>
      <c r="GS36" s="1064" t="str">
        <f t="shared" si="171"/>
        <v/>
      </c>
      <c r="GT36" s="1064" t="str">
        <f t="shared" si="172"/>
        <v/>
      </c>
      <c r="GU36" s="1064" t="str">
        <f t="shared" si="173"/>
        <v/>
      </c>
      <c r="GV36" s="1064" t="str">
        <f t="shared" si="174"/>
        <v/>
      </c>
      <c r="GW36" s="1064" t="str">
        <f t="shared" si="175"/>
        <v/>
      </c>
      <c r="GX36" s="1064" t="str">
        <f t="shared" si="176"/>
        <v/>
      </c>
      <c r="GY36" s="1064" t="str">
        <f t="shared" si="177"/>
        <v/>
      </c>
      <c r="GZ36" s="1064" t="str">
        <f t="shared" si="178"/>
        <v/>
      </c>
      <c r="HA36" s="1064" t="str">
        <f t="shared" si="179"/>
        <v/>
      </c>
      <c r="HB36" s="1064" t="str">
        <f t="shared" si="180"/>
        <v/>
      </c>
      <c r="HC36" s="1064" t="str">
        <f t="shared" si="181"/>
        <v/>
      </c>
      <c r="HD36" s="1064" t="str">
        <f t="shared" si="182"/>
        <v/>
      </c>
      <c r="HE36" s="1064" t="str">
        <f t="shared" si="183"/>
        <v/>
      </c>
      <c r="HF36" s="1064" t="str">
        <f t="shared" si="184"/>
        <v/>
      </c>
      <c r="HG36" s="1064" t="str">
        <f t="shared" si="185"/>
        <v/>
      </c>
      <c r="HH36" s="1064" t="str">
        <f t="shared" si="186"/>
        <v/>
      </c>
      <c r="HI36" s="1064" t="str">
        <f t="shared" si="187"/>
        <v/>
      </c>
      <c r="HJ36" s="1064" t="str">
        <f t="shared" si="188"/>
        <v/>
      </c>
      <c r="HK36" s="1064" t="str">
        <f t="shared" si="189"/>
        <v/>
      </c>
      <c r="HL36" s="1064" t="str">
        <f t="shared" si="190"/>
        <v/>
      </c>
      <c r="HM36" s="1064" t="str">
        <f t="shared" si="191"/>
        <v/>
      </c>
      <c r="HN36" s="1064" t="str">
        <f t="shared" si="192"/>
        <v/>
      </c>
      <c r="HO36" s="1064" t="str">
        <f t="shared" si="193"/>
        <v/>
      </c>
      <c r="HP36" s="1064" t="str">
        <f t="shared" si="194"/>
        <v/>
      </c>
      <c r="HQ36" s="1064" t="str">
        <f t="shared" si="195"/>
        <v/>
      </c>
      <c r="HR36" s="1064" t="str">
        <f t="shared" si="196"/>
        <v/>
      </c>
      <c r="HS36" s="1064" t="str">
        <f t="shared" si="197"/>
        <v/>
      </c>
      <c r="HT36" s="1064" t="str">
        <f t="shared" si="198"/>
        <v/>
      </c>
      <c r="HU36" s="1064" t="str">
        <f t="shared" si="199"/>
        <v/>
      </c>
      <c r="HV36" s="1064" t="str">
        <f t="shared" si="200"/>
        <v/>
      </c>
      <c r="HW36" s="1064" t="str">
        <f t="shared" si="201"/>
        <v/>
      </c>
      <c r="HX36" s="1064" t="str">
        <f t="shared" si="202"/>
        <v/>
      </c>
      <c r="HY36" s="1097" t="str">
        <f t="shared" si="203"/>
        <v/>
      </c>
      <c r="HZ36" s="1097" t="str">
        <f t="shared" si="204"/>
        <v/>
      </c>
      <c r="IA36" s="1097" t="str">
        <f t="shared" si="205"/>
        <v/>
      </c>
      <c r="IB36" s="1097" t="str">
        <f t="shared" si="206"/>
        <v/>
      </c>
      <c r="IC36" s="1097" t="str">
        <f t="shared" si="207"/>
        <v/>
      </c>
      <c r="ID36" s="1097" t="str">
        <f t="shared" si="208"/>
        <v/>
      </c>
      <c r="IE36" s="1097" t="str">
        <f t="shared" si="209"/>
        <v/>
      </c>
      <c r="IF36" s="1097" t="str">
        <f t="shared" si="210"/>
        <v/>
      </c>
      <c r="IG36" s="1097" t="str">
        <f t="shared" si="211"/>
        <v/>
      </c>
      <c r="IH36" s="1097" t="str">
        <f t="shared" si="212"/>
        <v/>
      </c>
      <c r="II36" s="1097" t="str">
        <f t="shared" si="213"/>
        <v/>
      </c>
      <c r="IJ36" s="1097" t="str">
        <f t="shared" si="214"/>
        <v/>
      </c>
      <c r="IK36" s="1097" t="str">
        <f t="shared" si="215"/>
        <v/>
      </c>
      <c r="IL36" s="1097" t="str">
        <f t="shared" si="216"/>
        <v/>
      </c>
      <c r="IM36" s="1097" t="str">
        <f t="shared" si="217"/>
        <v/>
      </c>
      <c r="IN36" s="1097" t="str">
        <f t="shared" si="218"/>
        <v/>
      </c>
      <c r="IO36" s="1097" t="str">
        <f t="shared" si="219"/>
        <v/>
      </c>
      <c r="IP36" s="1097" t="str">
        <f t="shared" si="220"/>
        <v/>
      </c>
      <c r="IQ36" s="1097" t="str">
        <f t="shared" si="221"/>
        <v/>
      </c>
      <c r="IR36" s="1097" t="str">
        <f t="shared" si="222"/>
        <v/>
      </c>
      <c r="IS36" s="1097" t="str">
        <f t="shared" si="223"/>
        <v/>
      </c>
      <c r="IT36" s="1097" t="str">
        <f t="shared" si="224"/>
        <v/>
      </c>
      <c r="IU36" s="1097" t="str">
        <f t="shared" si="225"/>
        <v/>
      </c>
      <c r="IV36" s="1097" t="str">
        <f t="shared" si="226"/>
        <v/>
      </c>
      <c r="IW36" s="1097" t="str">
        <f t="shared" si="227"/>
        <v/>
      </c>
      <c r="IX36" s="1097" t="str">
        <f t="shared" si="228"/>
        <v/>
      </c>
      <c r="IY36" s="1097" t="str">
        <f t="shared" si="229"/>
        <v/>
      </c>
      <c r="IZ36" s="1097" t="str">
        <f t="shared" si="230"/>
        <v/>
      </c>
      <c r="JA36" s="1097" t="str">
        <f t="shared" si="231"/>
        <v/>
      </c>
      <c r="JB36" s="1097" t="str">
        <f t="shared" si="232"/>
        <v/>
      </c>
      <c r="JC36" s="1097" t="str">
        <f t="shared" si="233"/>
        <v/>
      </c>
      <c r="JD36" s="1097" t="str">
        <f t="shared" si="234"/>
        <v/>
      </c>
      <c r="JE36" s="1097" t="str">
        <f t="shared" si="235"/>
        <v/>
      </c>
      <c r="JF36" s="1097" t="str">
        <f t="shared" si="236"/>
        <v/>
      </c>
      <c r="JG36" s="1097" t="str">
        <f t="shared" si="237"/>
        <v/>
      </c>
      <c r="JH36" s="1097" t="str">
        <f t="shared" si="238"/>
        <v/>
      </c>
      <c r="JI36" s="1097" t="str">
        <f t="shared" si="239"/>
        <v/>
      </c>
      <c r="JJ36" s="1097" t="str">
        <f t="shared" si="240"/>
        <v/>
      </c>
      <c r="JK36" s="1097" t="str">
        <f t="shared" si="241"/>
        <v/>
      </c>
      <c r="JL36" s="1097" t="str">
        <f t="shared" si="242"/>
        <v/>
      </c>
      <c r="JM36" s="1097" t="str">
        <f t="shared" si="243"/>
        <v/>
      </c>
      <c r="JN36" s="1097" t="str">
        <f t="shared" si="244"/>
        <v/>
      </c>
      <c r="JO36" s="1097" t="str">
        <f t="shared" si="245"/>
        <v/>
      </c>
      <c r="JP36" s="1097" t="str">
        <f t="shared" si="246"/>
        <v/>
      </c>
      <c r="JQ36" s="1097" t="str">
        <f t="shared" si="247"/>
        <v/>
      </c>
      <c r="JR36" s="1097" t="str">
        <f t="shared" si="248"/>
        <v/>
      </c>
      <c r="JS36" s="1097" t="str">
        <f t="shared" si="249"/>
        <v/>
      </c>
      <c r="JT36" s="1097" t="str">
        <f t="shared" si="250"/>
        <v/>
      </c>
      <c r="JU36" s="1097" t="str">
        <f t="shared" si="251"/>
        <v/>
      </c>
      <c r="JV36" s="1097" t="str">
        <f t="shared" si="252"/>
        <v/>
      </c>
      <c r="JW36" s="1097" t="str">
        <f t="shared" si="253"/>
        <v/>
      </c>
      <c r="JX36" s="1097" t="str">
        <f t="shared" si="254"/>
        <v/>
      </c>
      <c r="JY36" s="1097" t="str">
        <f t="shared" si="255"/>
        <v/>
      </c>
      <c r="JZ36" s="1097" t="str">
        <f t="shared" si="256"/>
        <v/>
      </c>
      <c r="KA36" s="1097" t="str">
        <f t="shared" si="257"/>
        <v/>
      </c>
      <c r="KB36" s="1097" t="str">
        <f t="shared" si="258"/>
        <v/>
      </c>
      <c r="KC36" s="1097" t="str">
        <f t="shared" si="259"/>
        <v/>
      </c>
      <c r="KD36" s="1097" t="str">
        <f t="shared" si="260"/>
        <v/>
      </c>
      <c r="KE36" s="1097" t="str">
        <f t="shared" si="261"/>
        <v/>
      </c>
      <c r="KF36" s="1097" t="str">
        <f t="shared" si="262"/>
        <v/>
      </c>
      <c r="KG36" s="1097" t="str">
        <f t="shared" si="263"/>
        <v/>
      </c>
      <c r="KH36" s="1097" t="str">
        <f t="shared" si="264"/>
        <v/>
      </c>
      <c r="KI36" s="1097" t="str">
        <f t="shared" si="265"/>
        <v/>
      </c>
      <c r="KJ36" s="1097" t="str">
        <f t="shared" si="266"/>
        <v/>
      </c>
      <c r="KK36" s="1097" t="str">
        <f t="shared" si="267"/>
        <v/>
      </c>
      <c r="KL36" s="1097" t="str">
        <f t="shared" si="268"/>
        <v/>
      </c>
      <c r="KM36" s="1097" t="str">
        <f t="shared" si="269"/>
        <v/>
      </c>
      <c r="KN36" s="1097" t="str">
        <f t="shared" si="270"/>
        <v/>
      </c>
      <c r="KO36" s="1097" t="str">
        <f t="shared" si="271"/>
        <v/>
      </c>
      <c r="KP36" s="1097" t="str">
        <f t="shared" si="272"/>
        <v/>
      </c>
      <c r="KQ36" s="1097" t="str">
        <f t="shared" si="273"/>
        <v/>
      </c>
      <c r="KR36" s="1097" t="str">
        <f t="shared" si="274"/>
        <v/>
      </c>
      <c r="KS36" s="1097" t="str">
        <f t="shared" si="275"/>
        <v/>
      </c>
      <c r="KT36" s="1097" t="str">
        <f t="shared" si="276"/>
        <v/>
      </c>
      <c r="KU36" s="1097" t="str">
        <f t="shared" si="277"/>
        <v/>
      </c>
      <c r="KV36" s="1097" t="str">
        <f t="shared" si="278"/>
        <v/>
      </c>
      <c r="KW36" s="1097" t="str">
        <f t="shared" si="279"/>
        <v/>
      </c>
      <c r="KX36" s="1097" t="str">
        <f t="shared" si="280"/>
        <v/>
      </c>
      <c r="KY36" s="1097" t="str">
        <f t="shared" si="281"/>
        <v/>
      </c>
      <c r="KZ36" s="1097" t="str">
        <f t="shared" si="282"/>
        <v/>
      </c>
      <c r="LA36" s="1097" t="str">
        <f t="shared" si="283"/>
        <v/>
      </c>
      <c r="LB36" s="1097" t="str">
        <f t="shared" si="284"/>
        <v/>
      </c>
      <c r="LC36" s="1097" t="str">
        <f t="shared" si="285"/>
        <v/>
      </c>
      <c r="LD36" s="1097" t="str">
        <f t="shared" si="286"/>
        <v/>
      </c>
      <c r="LE36" s="1097" t="str">
        <f t="shared" si="287"/>
        <v/>
      </c>
      <c r="LF36" s="1098" t="str">
        <f t="shared" si="288"/>
        <v/>
      </c>
      <c r="LG36" s="1098" t="str">
        <f t="shared" si="289"/>
        <v/>
      </c>
      <c r="LH36" s="1098" t="str">
        <f t="shared" si="290"/>
        <v/>
      </c>
      <c r="LI36" s="1098" t="str">
        <f t="shared" si="291"/>
        <v/>
      </c>
      <c r="LJ36" s="1098" t="str">
        <f t="shared" si="292"/>
        <v/>
      </c>
      <c r="LK36" s="1064" t="str">
        <f t="shared" si="293"/>
        <v/>
      </c>
      <c r="LL36" s="1064" t="str">
        <f t="shared" si="294"/>
        <v/>
      </c>
      <c r="LM36" s="1064" t="str">
        <f t="shared" si="295"/>
        <v/>
      </c>
      <c r="LN36" s="1064" t="str">
        <f t="shared" si="296"/>
        <v/>
      </c>
      <c r="LO36" s="1064" t="str">
        <f t="shared" si="297"/>
        <v/>
      </c>
      <c r="LP36" s="1064" t="str">
        <f t="shared" si="298"/>
        <v/>
      </c>
      <c r="LQ36" s="1064" t="str">
        <f t="shared" si="299"/>
        <v/>
      </c>
      <c r="LR36" s="1064" t="str">
        <f t="shared" si="300"/>
        <v/>
      </c>
      <c r="LS36" s="1064" t="str">
        <f t="shared" si="301"/>
        <v/>
      </c>
      <c r="LT36" s="1064" t="str">
        <f t="shared" si="302"/>
        <v/>
      </c>
      <c r="LU36" s="1064" t="str">
        <f t="shared" si="303"/>
        <v/>
      </c>
      <c r="LV36" s="1064" t="str">
        <f t="shared" si="304"/>
        <v/>
      </c>
      <c r="LW36" s="1064" t="str">
        <f t="shared" si="305"/>
        <v/>
      </c>
      <c r="LX36" s="1064" t="str">
        <f t="shared" si="306"/>
        <v/>
      </c>
      <c r="LY36" s="1064" t="str">
        <f t="shared" si="307"/>
        <v/>
      </c>
      <c r="LZ36" s="1064" t="str">
        <f t="shared" si="308"/>
        <v/>
      </c>
      <c r="MA36" s="1064" t="str">
        <f t="shared" si="309"/>
        <v/>
      </c>
      <c r="MB36" s="1064" t="str">
        <f t="shared" si="310"/>
        <v/>
      </c>
      <c r="MC36" s="1064" t="str">
        <f t="shared" si="311"/>
        <v/>
      </c>
      <c r="MD36" s="1064" t="str">
        <f t="shared" si="312"/>
        <v/>
      </c>
      <c r="ME36" s="1081">
        <f t="shared" si="324"/>
        <v>0</v>
      </c>
      <c r="MF36" s="1081">
        <f t="shared" si="325"/>
        <v>0</v>
      </c>
      <c r="MG36" s="1081">
        <f t="shared" si="326"/>
        <v>0</v>
      </c>
      <c r="MH36" s="1081">
        <f t="shared" si="327"/>
        <v>0</v>
      </c>
      <c r="MI36" s="1081">
        <f t="shared" si="328"/>
        <v>0</v>
      </c>
      <c r="MJ36" s="1081">
        <f t="shared" si="329"/>
        <v>0</v>
      </c>
      <c r="MK36" s="1081">
        <f t="shared" si="330"/>
        <v>0</v>
      </c>
      <c r="ML36" s="1081">
        <f t="shared" si="331"/>
        <v>0</v>
      </c>
      <c r="MM36" s="1081">
        <f t="shared" si="332"/>
        <v>0</v>
      </c>
      <c r="MN36" s="1081">
        <f t="shared" si="333"/>
        <v>0</v>
      </c>
      <c r="MO36" s="1081">
        <f t="shared" si="334"/>
        <v>0</v>
      </c>
      <c r="MP36" s="1081">
        <f t="shared" si="335"/>
        <v>0</v>
      </c>
      <c r="MQ36" s="1081">
        <f t="shared" si="336"/>
        <v>0</v>
      </c>
      <c r="MR36" s="1081">
        <f t="shared" si="337"/>
        <v>0</v>
      </c>
      <c r="MS36" s="1081">
        <f t="shared" si="338"/>
        <v>0</v>
      </c>
    </row>
    <row r="37" spans="1:393" ht="12" customHeight="1">
      <c r="A37" s="1088" t="str">
        <f t="shared" si="0"/>
        <v/>
      </c>
      <c r="B37" s="44"/>
      <c r="C37" s="41"/>
      <c r="D37" s="42"/>
      <c r="E37" s="43"/>
      <c r="F37" s="43"/>
      <c r="G37" s="43"/>
      <c r="H37" s="43"/>
      <c r="I37" s="1100">
        <f>IF(C37="",0,HLOOKUP(C37,'Part V-Utility Allowances'!$I$11:$M$22,12))</f>
        <v>0</v>
      </c>
      <c r="J37" s="810"/>
      <c r="K37" s="512">
        <f t="shared" si="1"/>
        <v>0</v>
      </c>
      <c r="L37" s="512">
        <f t="shared" si="2"/>
        <v>0</v>
      </c>
      <c r="M37" s="1101"/>
      <c r="N37" s="1101"/>
      <c r="O37" s="1101"/>
      <c r="P37" s="1102"/>
      <c r="Q37" s="1103" t="str">
        <f t="shared" si="3"/>
        <v/>
      </c>
      <c r="R37" s="1104" t="str">
        <f>IF(H37="","",IF(C37="Efficiency",Q37/($O$6*VLOOKUP(0,'DCA Underwriting Assumptions'!$J$146:$K$151,2,FALSE)),Q37/($O$6*VLOOKUP(C37,'DCA Underwriting Assumptions'!$J$146:$K$151,2,FALSE))))</f>
        <v/>
      </c>
      <c r="S37" s="1105"/>
      <c r="T37" s="1106"/>
      <c r="U37" s="2314"/>
      <c r="V37" s="2316"/>
      <c r="W37" s="1064" t="str">
        <f t="shared" si="4"/>
        <v/>
      </c>
      <c r="X37" s="1064" t="str">
        <f t="shared" si="5"/>
        <v/>
      </c>
      <c r="Y37" s="1064" t="str">
        <f t="shared" si="6"/>
        <v/>
      </c>
      <c r="Z37" s="1064" t="str">
        <f t="shared" si="7"/>
        <v/>
      </c>
      <c r="AA37" s="1064" t="str">
        <f t="shared" si="8"/>
        <v/>
      </c>
      <c r="AB37" s="1064" t="str">
        <f t="shared" si="9"/>
        <v/>
      </c>
      <c r="AC37" s="1064" t="str">
        <f t="shared" si="10"/>
        <v/>
      </c>
      <c r="AD37" s="1064" t="str">
        <f t="shared" si="11"/>
        <v/>
      </c>
      <c r="AE37" s="1064" t="str">
        <f t="shared" si="12"/>
        <v/>
      </c>
      <c r="AF37" s="1064" t="str">
        <f t="shared" si="13"/>
        <v/>
      </c>
      <c r="AG37" s="1064" t="str">
        <f t="shared" si="14"/>
        <v/>
      </c>
      <c r="AH37" s="1064" t="str">
        <f t="shared" si="15"/>
        <v/>
      </c>
      <c r="AI37" s="1064" t="str">
        <f t="shared" si="16"/>
        <v/>
      </c>
      <c r="AJ37" s="1064" t="str">
        <f t="shared" si="17"/>
        <v/>
      </c>
      <c r="AK37" s="1064" t="str">
        <f t="shared" si="18"/>
        <v/>
      </c>
      <c r="AL37" s="1064" t="str">
        <f t="shared" si="19"/>
        <v/>
      </c>
      <c r="AM37" s="1064" t="str">
        <f t="shared" si="20"/>
        <v/>
      </c>
      <c r="AN37" s="1064" t="str">
        <f t="shared" si="21"/>
        <v/>
      </c>
      <c r="AO37" s="1064" t="str">
        <f t="shared" si="22"/>
        <v/>
      </c>
      <c r="AP37" s="1064" t="str">
        <f t="shared" si="23"/>
        <v/>
      </c>
      <c r="AQ37" s="1064" t="str">
        <f t="shared" si="24"/>
        <v/>
      </c>
      <c r="AR37" s="1064" t="str">
        <f t="shared" si="25"/>
        <v/>
      </c>
      <c r="AS37" s="1064" t="str">
        <f t="shared" si="26"/>
        <v/>
      </c>
      <c r="AT37" s="1064" t="str">
        <f t="shared" si="27"/>
        <v/>
      </c>
      <c r="AU37" s="1064" t="str">
        <f t="shared" si="28"/>
        <v/>
      </c>
      <c r="AV37" s="1064" t="str">
        <f t="shared" si="29"/>
        <v/>
      </c>
      <c r="AW37" s="1064" t="str">
        <f t="shared" si="30"/>
        <v/>
      </c>
      <c r="AX37" s="1064" t="str">
        <f t="shared" si="31"/>
        <v/>
      </c>
      <c r="AY37" s="1064" t="str">
        <f t="shared" si="32"/>
        <v/>
      </c>
      <c r="AZ37" s="1064" t="str">
        <f t="shared" si="33"/>
        <v/>
      </c>
      <c r="BA37" s="1064" t="str">
        <f t="shared" si="34"/>
        <v/>
      </c>
      <c r="BB37" s="1064" t="str">
        <f t="shared" si="35"/>
        <v/>
      </c>
      <c r="BC37" s="1064" t="str">
        <f t="shared" si="36"/>
        <v/>
      </c>
      <c r="BD37" s="1064" t="str">
        <f t="shared" si="37"/>
        <v/>
      </c>
      <c r="BE37" s="1064" t="str">
        <f t="shared" si="38"/>
        <v/>
      </c>
      <c r="BF37" s="1064" t="str">
        <f t="shared" si="39"/>
        <v/>
      </c>
      <c r="BG37" s="1064" t="str">
        <f t="shared" si="40"/>
        <v/>
      </c>
      <c r="BH37" s="1064" t="str">
        <f t="shared" si="41"/>
        <v/>
      </c>
      <c r="BI37" s="1064" t="str">
        <f t="shared" si="42"/>
        <v/>
      </c>
      <c r="BJ37" s="1064" t="str">
        <f t="shared" si="43"/>
        <v/>
      </c>
      <c r="BK37" s="1064" t="str">
        <f t="shared" si="44"/>
        <v/>
      </c>
      <c r="BL37" s="1064" t="str">
        <f t="shared" si="45"/>
        <v/>
      </c>
      <c r="BM37" s="1064" t="str">
        <f t="shared" si="46"/>
        <v/>
      </c>
      <c r="BN37" s="1064" t="str">
        <f t="shared" si="47"/>
        <v/>
      </c>
      <c r="BO37" s="1064" t="str">
        <f t="shared" si="48"/>
        <v/>
      </c>
      <c r="BP37" s="1064" t="str">
        <f t="shared" si="49"/>
        <v/>
      </c>
      <c r="BQ37" s="1064" t="str">
        <f t="shared" si="50"/>
        <v/>
      </c>
      <c r="BR37" s="1064" t="str">
        <f t="shared" si="51"/>
        <v/>
      </c>
      <c r="BS37" s="1064" t="str">
        <f t="shared" si="52"/>
        <v/>
      </c>
      <c r="BT37" s="1064" t="str">
        <f t="shared" si="53"/>
        <v/>
      </c>
      <c r="BU37" s="1064" t="str">
        <f t="shared" si="54"/>
        <v/>
      </c>
      <c r="BV37" s="1064" t="str">
        <f t="shared" si="55"/>
        <v/>
      </c>
      <c r="BW37" s="1064" t="str">
        <f t="shared" si="56"/>
        <v/>
      </c>
      <c r="BX37" s="1064" t="str">
        <f t="shared" si="57"/>
        <v/>
      </c>
      <c r="BY37" s="1064" t="str">
        <f t="shared" si="58"/>
        <v/>
      </c>
      <c r="BZ37" s="1064" t="str">
        <f t="shared" si="59"/>
        <v/>
      </c>
      <c r="CA37" s="1064" t="str">
        <f t="shared" si="60"/>
        <v/>
      </c>
      <c r="CB37" s="1064" t="str">
        <f t="shared" si="61"/>
        <v/>
      </c>
      <c r="CC37" s="1064" t="str">
        <f t="shared" si="62"/>
        <v/>
      </c>
      <c r="CD37" s="1064" t="str">
        <f t="shared" si="63"/>
        <v/>
      </c>
      <c r="CE37" s="1064" t="str">
        <f t="shared" si="64"/>
        <v/>
      </c>
      <c r="CF37" s="1064" t="str">
        <f t="shared" si="65"/>
        <v/>
      </c>
      <c r="CG37" s="1064" t="str">
        <f t="shared" si="66"/>
        <v/>
      </c>
      <c r="CH37" s="1064" t="str">
        <f t="shared" si="67"/>
        <v/>
      </c>
      <c r="CI37" s="1064" t="str">
        <f t="shared" si="68"/>
        <v/>
      </c>
      <c r="CJ37" s="1064" t="str">
        <f t="shared" si="69"/>
        <v/>
      </c>
      <c r="CK37" s="1064" t="str">
        <f t="shared" si="70"/>
        <v/>
      </c>
      <c r="CL37" s="1064" t="str">
        <f t="shared" si="71"/>
        <v/>
      </c>
      <c r="CM37" s="1064" t="str">
        <f t="shared" si="72"/>
        <v/>
      </c>
      <c r="CN37" s="1064" t="str">
        <f t="shared" si="73"/>
        <v/>
      </c>
      <c r="CO37" s="1064" t="str">
        <f t="shared" si="74"/>
        <v/>
      </c>
      <c r="CP37" s="1064" t="str">
        <f t="shared" si="75"/>
        <v/>
      </c>
      <c r="CQ37" s="1064" t="str">
        <f t="shared" si="76"/>
        <v/>
      </c>
      <c r="CR37" s="1064" t="str">
        <f t="shared" si="77"/>
        <v/>
      </c>
      <c r="CS37" s="1064" t="str">
        <f t="shared" si="78"/>
        <v/>
      </c>
      <c r="CT37" s="1064" t="str">
        <f t="shared" si="79"/>
        <v/>
      </c>
      <c r="CU37" s="1064" t="str">
        <f t="shared" si="80"/>
        <v/>
      </c>
      <c r="CV37" s="1064" t="str">
        <f t="shared" si="81"/>
        <v/>
      </c>
      <c r="CW37" s="1064" t="str">
        <f t="shared" si="82"/>
        <v/>
      </c>
      <c r="CX37" s="1064" t="str">
        <f t="shared" si="83"/>
        <v/>
      </c>
      <c r="CY37" s="1064" t="str">
        <f t="shared" si="84"/>
        <v/>
      </c>
      <c r="CZ37" s="1064" t="str">
        <f t="shared" si="85"/>
        <v/>
      </c>
      <c r="DA37" s="1064" t="str">
        <f t="shared" si="86"/>
        <v/>
      </c>
      <c r="DB37" s="1064" t="str">
        <f t="shared" si="87"/>
        <v/>
      </c>
      <c r="DC37" s="1064" t="str">
        <f t="shared" si="88"/>
        <v/>
      </c>
      <c r="DD37" s="1064" t="str">
        <f t="shared" si="89"/>
        <v/>
      </c>
      <c r="DE37" s="1064" t="str">
        <f t="shared" si="90"/>
        <v/>
      </c>
      <c r="DF37" s="1064" t="str">
        <f t="shared" si="91"/>
        <v/>
      </c>
      <c r="DG37" s="1064" t="str">
        <f t="shared" si="92"/>
        <v/>
      </c>
      <c r="DH37" s="1064" t="str">
        <f t="shared" si="93"/>
        <v/>
      </c>
      <c r="DI37" s="1064" t="str">
        <f t="shared" si="94"/>
        <v/>
      </c>
      <c r="DJ37" s="1064" t="str">
        <f t="shared" si="95"/>
        <v/>
      </c>
      <c r="DK37" s="1064" t="str">
        <f t="shared" si="96"/>
        <v/>
      </c>
      <c r="DL37" s="1064" t="str">
        <f t="shared" si="97"/>
        <v/>
      </c>
      <c r="DM37" s="1064" t="str">
        <f t="shared" si="98"/>
        <v/>
      </c>
      <c r="DN37" s="1064" t="str">
        <f t="shared" si="99"/>
        <v/>
      </c>
      <c r="DO37" s="1064" t="str">
        <f t="shared" si="100"/>
        <v/>
      </c>
      <c r="DP37" s="1064" t="str">
        <f t="shared" si="101"/>
        <v/>
      </c>
      <c r="DQ37" s="1064" t="str">
        <f t="shared" si="102"/>
        <v/>
      </c>
      <c r="DR37" s="1064" t="str">
        <f t="shared" si="103"/>
        <v/>
      </c>
      <c r="DS37" s="1064" t="str">
        <f t="shared" si="104"/>
        <v/>
      </c>
      <c r="DT37" s="1064" t="str">
        <f t="shared" si="105"/>
        <v/>
      </c>
      <c r="DU37" s="1064" t="str">
        <f t="shared" si="106"/>
        <v/>
      </c>
      <c r="DV37" s="1064" t="str">
        <f t="shared" si="107"/>
        <v/>
      </c>
      <c r="DW37" s="1064" t="str">
        <f t="shared" si="108"/>
        <v/>
      </c>
      <c r="DX37" s="1064" t="str">
        <f t="shared" si="109"/>
        <v/>
      </c>
      <c r="DY37" s="1064" t="str">
        <f t="shared" si="110"/>
        <v/>
      </c>
      <c r="DZ37" s="1064" t="str">
        <f t="shared" si="111"/>
        <v/>
      </c>
      <c r="EA37" s="1064" t="str">
        <f t="shared" si="112"/>
        <v/>
      </c>
      <c r="EB37" s="1064" t="str">
        <f t="shared" si="113"/>
        <v/>
      </c>
      <c r="EC37" s="1064" t="str">
        <f t="shared" si="114"/>
        <v/>
      </c>
      <c r="ED37" s="1064" t="str">
        <f t="shared" si="115"/>
        <v/>
      </c>
      <c r="EE37" s="1064" t="str">
        <f t="shared" si="116"/>
        <v/>
      </c>
      <c r="EF37" s="1064" t="str">
        <f t="shared" si="117"/>
        <v/>
      </c>
      <c r="EG37" s="1064" t="str">
        <f t="shared" si="313"/>
        <v/>
      </c>
      <c r="EH37" s="1064" t="str">
        <f t="shared" si="118"/>
        <v/>
      </c>
      <c r="EI37" s="1064" t="str">
        <f t="shared" si="119"/>
        <v/>
      </c>
      <c r="EJ37" s="1064" t="str">
        <f t="shared" si="120"/>
        <v/>
      </c>
      <c r="EK37" s="1064" t="str">
        <f t="shared" si="121"/>
        <v/>
      </c>
      <c r="EL37" s="1064" t="str">
        <f t="shared" si="122"/>
        <v/>
      </c>
      <c r="EM37" s="1064" t="str">
        <f t="shared" si="123"/>
        <v/>
      </c>
      <c r="EN37" s="1064" t="str">
        <f t="shared" si="124"/>
        <v/>
      </c>
      <c r="EO37" s="1064" t="str">
        <f t="shared" si="125"/>
        <v/>
      </c>
      <c r="EP37" s="1064" t="str">
        <f t="shared" si="126"/>
        <v/>
      </c>
      <c r="EQ37" s="1064" t="str">
        <f t="shared" si="127"/>
        <v/>
      </c>
      <c r="ER37" s="1064" t="str">
        <f t="shared" si="128"/>
        <v/>
      </c>
      <c r="ES37" s="1064" t="str">
        <f t="shared" si="129"/>
        <v/>
      </c>
      <c r="ET37" s="1064" t="str">
        <f t="shared" si="130"/>
        <v/>
      </c>
      <c r="EU37" s="1064" t="str">
        <f t="shared" si="131"/>
        <v/>
      </c>
      <c r="EV37" s="1064" t="str">
        <f t="shared" si="132"/>
        <v/>
      </c>
      <c r="EW37" s="1064" t="str">
        <f t="shared" si="314"/>
        <v/>
      </c>
      <c r="EX37" s="1064" t="str">
        <f t="shared" si="315"/>
        <v/>
      </c>
      <c r="EY37" s="1064" t="str">
        <f t="shared" si="316"/>
        <v/>
      </c>
      <c r="EZ37" s="1064" t="str">
        <f t="shared" si="317"/>
        <v/>
      </c>
      <c r="FA37" s="1064" t="str">
        <f t="shared" si="318"/>
        <v/>
      </c>
      <c r="FB37" s="1064" t="str">
        <f t="shared" si="133"/>
        <v/>
      </c>
      <c r="FC37" s="1064" t="str">
        <f t="shared" si="134"/>
        <v/>
      </c>
      <c r="FD37" s="1064" t="str">
        <f t="shared" si="135"/>
        <v/>
      </c>
      <c r="FE37" s="1064" t="str">
        <f t="shared" si="136"/>
        <v/>
      </c>
      <c r="FF37" s="1064" t="str">
        <f t="shared" si="137"/>
        <v/>
      </c>
      <c r="FG37" s="1064" t="str">
        <f t="shared" si="319"/>
        <v/>
      </c>
      <c r="FH37" s="1064" t="str">
        <f t="shared" si="320"/>
        <v/>
      </c>
      <c r="FI37" s="1064" t="str">
        <f t="shared" si="321"/>
        <v/>
      </c>
      <c r="FJ37" s="1064" t="str">
        <f t="shared" si="322"/>
        <v/>
      </c>
      <c r="FK37" s="1064" t="str">
        <f t="shared" si="323"/>
        <v/>
      </c>
      <c r="FL37" s="1064" t="str">
        <f t="shared" si="138"/>
        <v/>
      </c>
      <c r="FM37" s="1064" t="str">
        <f t="shared" si="139"/>
        <v/>
      </c>
      <c r="FN37" s="1064" t="str">
        <f t="shared" si="140"/>
        <v/>
      </c>
      <c r="FO37" s="1064" t="str">
        <f t="shared" si="141"/>
        <v/>
      </c>
      <c r="FP37" s="1064" t="str">
        <f t="shared" si="142"/>
        <v/>
      </c>
      <c r="FQ37" s="1064" t="str">
        <f t="shared" si="143"/>
        <v/>
      </c>
      <c r="FR37" s="1064" t="str">
        <f t="shared" si="144"/>
        <v/>
      </c>
      <c r="FS37" s="1064" t="str">
        <f t="shared" si="145"/>
        <v/>
      </c>
      <c r="FT37" s="1064" t="str">
        <f t="shared" si="146"/>
        <v/>
      </c>
      <c r="FU37" s="1064" t="str">
        <f t="shared" si="147"/>
        <v/>
      </c>
      <c r="FV37" s="1064" t="str">
        <f t="shared" si="148"/>
        <v/>
      </c>
      <c r="FW37" s="1064" t="str">
        <f t="shared" si="149"/>
        <v/>
      </c>
      <c r="FX37" s="1064" t="str">
        <f t="shared" si="150"/>
        <v/>
      </c>
      <c r="FY37" s="1064" t="str">
        <f t="shared" si="151"/>
        <v/>
      </c>
      <c r="FZ37" s="1064" t="str">
        <f t="shared" si="152"/>
        <v/>
      </c>
      <c r="GA37" s="1064" t="str">
        <f t="shared" si="153"/>
        <v/>
      </c>
      <c r="GB37" s="1064" t="str">
        <f t="shared" si="154"/>
        <v/>
      </c>
      <c r="GC37" s="1064" t="str">
        <f t="shared" si="155"/>
        <v/>
      </c>
      <c r="GD37" s="1064" t="str">
        <f t="shared" si="156"/>
        <v/>
      </c>
      <c r="GE37" s="1064" t="str">
        <f t="shared" si="157"/>
        <v/>
      </c>
      <c r="GF37" s="1064" t="str">
        <f t="shared" si="158"/>
        <v/>
      </c>
      <c r="GG37" s="1064" t="str">
        <f t="shared" si="159"/>
        <v/>
      </c>
      <c r="GH37" s="1064" t="str">
        <f t="shared" si="160"/>
        <v/>
      </c>
      <c r="GI37" s="1064" t="str">
        <f t="shared" si="161"/>
        <v/>
      </c>
      <c r="GJ37" s="1064" t="str">
        <f t="shared" si="162"/>
        <v/>
      </c>
      <c r="GK37" s="1064" t="str">
        <f t="shared" si="163"/>
        <v/>
      </c>
      <c r="GL37" s="1064" t="str">
        <f t="shared" si="164"/>
        <v/>
      </c>
      <c r="GM37" s="1064" t="str">
        <f t="shared" si="165"/>
        <v/>
      </c>
      <c r="GN37" s="1064" t="str">
        <f t="shared" si="166"/>
        <v/>
      </c>
      <c r="GO37" s="1064" t="str">
        <f t="shared" si="167"/>
        <v/>
      </c>
      <c r="GP37" s="1064" t="str">
        <f t="shared" si="168"/>
        <v/>
      </c>
      <c r="GQ37" s="1064" t="str">
        <f t="shared" si="169"/>
        <v/>
      </c>
      <c r="GR37" s="1064" t="str">
        <f t="shared" si="170"/>
        <v/>
      </c>
      <c r="GS37" s="1064" t="str">
        <f t="shared" si="171"/>
        <v/>
      </c>
      <c r="GT37" s="1064" t="str">
        <f t="shared" si="172"/>
        <v/>
      </c>
      <c r="GU37" s="1064" t="str">
        <f t="shared" si="173"/>
        <v/>
      </c>
      <c r="GV37" s="1064" t="str">
        <f t="shared" si="174"/>
        <v/>
      </c>
      <c r="GW37" s="1064" t="str">
        <f t="shared" si="175"/>
        <v/>
      </c>
      <c r="GX37" s="1064" t="str">
        <f t="shared" si="176"/>
        <v/>
      </c>
      <c r="GY37" s="1064" t="str">
        <f t="shared" si="177"/>
        <v/>
      </c>
      <c r="GZ37" s="1064" t="str">
        <f t="shared" si="178"/>
        <v/>
      </c>
      <c r="HA37" s="1064" t="str">
        <f t="shared" si="179"/>
        <v/>
      </c>
      <c r="HB37" s="1064" t="str">
        <f t="shared" si="180"/>
        <v/>
      </c>
      <c r="HC37" s="1064" t="str">
        <f t="shared" si="181"/>
        <v/>
      </c>
      <c r="HD37" s="1064" t="str">
        <f t="shared" si="182"/>
        <v/>
      </c>
      <c r="HE37" s="1064" t="str">
        <f t="shared" si="183"/>
        <v/>
      </c>
      <c r="HF37" s="1064" t="str">
        <f t="shared" si="184"/>
        <v/>
      </c>
      <c r="HG37" s="1064" t="str">
        <f t="shared" si="185"/>
        <v/>
      </c>
      <c r="HH37" s="1064" t="str">
        <f t="shared" si="186"/>
        <v/>
      </c>
      <c r="HI37" s="1064" t="str">
        <f t="shared" si="187"/>
        <v/>
      </c>
      <c r="HJ37" s="1064" t="str">
        <f t="shared" si="188"/>
        <v/>
      </c>
      <c r="HK37" s="1064" t="str">
        <f t="shared" si="189"/>
        <v/>
      </c>
      <c r="HL37" s="1064" t="str">
        <f t="shared" si="190"/>
        <v/>
      </c>
      <c r="HM37" s="1064" t="str">
        <f t="shared" si="191"/>
        <v/>
      </c>
      <c r="HN37" s="1064" t="str">
        <f t="shared" si="192"/>
        <v/>
      </c>
      <c r="HO37" s="1064" t="str">
        <f t="shared" si="193"/>
        <v/>
      </c>
      <c r="HP37" s="1064" t="str">
        <f t="shared" si="194"/>
        <v/>
      </c>
      <c r="HQ37" s="1064" t="str">
        <f t="shared" si="195"/>
        <v/>
      </c>
      <c r="HR37" s="1064" t="str">
        <f t="shared" si="196"/>
        <v/>
      </c>
      <c r="HS37" s="1064" t="str">
        <f t="shared" si="197"/>
        <v/>
      </c>
      <c r="HT37" s="1064" t="str">
        <f t="shared" si="198"/>
        <v/>
      </c>
      <c r="HU37" s="1064" t="str">
        <f t="shared" si="199"/>
        <v/>
      </c>
      <c r="HV37" s="1064" t="str">
        <f t="shared" si="200"/>
        <v/>
      </c>
      <c r="HW37" s="1064" t="str">
        <f t="shared" si="201"/>
        <v/>
      </c>
      <c r="HX37" s="1064" t="str">
        <f t="shared" si="202"/>
        <v/>
      </c>
      <c r="HY37" s="1097" t="str">
        <f t="shared" si="203"/>
        <v/>
      </c>
      <c r="HZ37" s="1097" t="str">
        <f t="shared" si="204"/>
        <v/>
      </c>
      <c r="IA37" s="1097" t="str">
        <f t="shared" si="205"/>
        <v/>
      </c>
      <c r="IB37" s="1097" t="str">
        <f t="shared" si="206"/>
        <v/>
      </c>
      <c r="IC37" s="1097" t="str">
        <f t="shared" si="207"/>
        <v/>
      </c>
      <c r="ID37" s="1097" t="str">
        <f t="shared" si="208"/>
        <v/>
      </c>
      <c r="IE37" s="1097" t="str">
        <f t="shared" si="209"/>
        <v/>
      </c>
      <c r="IF37" s="1097" t="str">
        <f t="shared" si="210"/>
        <v/>
      </c>
      <c r="IG37" s="1097" t="str">
        <f t="shared" si="211"/>
        <v/>
      </c>
      <c r="IH37" s="1097" t="str">
        <f t="shared" si="212"/>
        <v/>
      </c>
      <c r="II37" s="1097" t="str">
        <f t="shared" si="213"/>
        <v/>
      </c>
      <c r="IJ37" s="1097" t="str">
        <f t="shared" si="214"/>
        <v/>
      </c>
      <c r="IK37" s="1097" t="str">
        <f t="shared" si="215"/>
        <v/>
      </c>
      <c r="IL37" s="1097" t="str">
        <f t="shared" si="216"/>
        <v/>
      </c>
      <c r="IM37" s="1097" t="str">
        <f t="shared" si="217"/>
        <v/>
      </c>
      <c r="IN37" s="1097" t="str">
        <f t="shared" si="218"/>
        <v/>
      </c>
      <c r="IO37" s="1097" t="str">
        <f t="shared" si="219"/>
        <v/>
      </c>
      <c r="IP37" s="1097" t="str">
        <f t="shared" si="220"/>
        <v/>
      </c>
      <c r="IQ37" s="1097" t="str">
        <f t="shared" si="221"/>
        <v/>
      </c>
      <c r="IR37" s="1097" t="str">
        <f t="shared" si="222"/>
        <v/>
      </c>
      <c r="IS37" s="1097" t="str">
        <f t="shared" si="223"/>
        <v/>
      </c>
      <c r="IT37" s="1097" t="str">
        <f t="shared" si="224"/>
        <v/>
      </c>
      <c r="IU37" s="1097" t="str">
        <f t="shared" si="225"/>
        <v/>
      </c>
      <c r="IV37" s="1097" t="str">
        <f t="shared" si="226"/>
        <v/>
      </c>
      <c r="IW37" s="1097" t="str">
        <f t="shared" si="227"/>
        <v/>
      </c>
      <c r="IX37" s="1097" t="str">
        <f t="shared" si="228"/>
        <v/>
      </c>
      <c r="IY37" s="1097" t="str">
        <f t="shared" si="229"/>
        <v/>
      </c>
      <c r="IZ37" s="1097" t="str">
        <f t="shared" si="230"/>
        <v/>
      </c>
      <c r="JA37" s="1097" t="str">
        <f t="shared" si="231"/>
        <v/>
      </c>
      <c r="JB37" s="1097" t="str">
        <f t="shared" si="232"/>
        <v/>
      </c>
      <c r="JC37" s="1097" t="str">
        <f t="shared" si="233"/>
        <v/>
      </c>
      <c r="JD37" s="1097" t="str">
        <f t="shared" si="234"/>
        <v/>
      </c>
      <c r="JE37" s="1097" t="str">
        <f t="shared" si="235"/>
        <v/>
      </c>
      <c r="JF37" s="1097" t="str">
        <f t="shared" si="236"/>
        <v/>
      </c>
      <c r="JG37" s="1097" t="str">
        <f t="shared" si="237"/>
        <v/>
      </c>
      <c r="JH37" s="1097" t="str">
        <f t="shared" si="238"/>
        <v/>
      </c>
      <c r="JI37" s="1097" t="str">
        <f t="shared" si="239"/>
        <v/>
      </c>
      <c r="JJ37" s="1097" t="str">
        <f t="shared" si="240"/>
        <v/>
      </c>
      <c r="JK37" s="1097" t="str">
        <f t="shared" si="241"/>
        <v/>
      </c>
      <c r="JL37" s="1097" t="str">
        <f t="shared" si="242"/>
        <v/>
      </c>
      <c r="JM37" s="1097" t="str">
        <f t="shared" si="243"/>
        <v/>
      </c>
      <c r="JN37" s="1097" t="str">
        <f t="shared" si="244"/>
        <v/>
      </c>
      <c r="JO37" s="1097" t="str">
        <f t="shared" si="245"/>
        <v/>
      </c>
      <c r="JP37" s="1097" t="str">
        <f t="shared" si="246"/>
        <v/>
      </c>
      <c r="JQ37" s="1097" t="str">
        <f t="shared" si="247"/>
        <v/>
      </c>
      <c r="JR37" s="1097" t="str">
        <f t="shared" si="248"/>
        <v/>
      </c>
      <c r="JS37" s="1097" t="str">
        <f t="shared" si="249"/>
        <v/>
      </c>
      <c r="JT37" s="1097" t="str">
        <f t="shared" si="250"/>
        <v/>
      </c>
      <c r="JU37" s="1097" t="str">
        <f t="shared" si="251"/>
        <v/>
      </c>
      <c r="JV37" s="1097" t="str">
        <f t="shared" si="252"/>
        <v/>
      </c>
      <c r="JW37" s="1097" t="str">
        <f t="shared" si="253"/>
        <v/>
      </c>
      <c r="JX37" s="1097" t="str">
        <f t="shared" si="254"/>
        <v/>
      </c>
      <c r="JY37" s="1097" t="str">
        <f t="shared" si="255"/>
        <v/>
      </c>
      <c r="JZ37" s="1097" t="str">
        <f t="shared" si="256"/>
        <v/>
      </c>
      <c r="KA37" s="1097" t="str">
        <f t="shared" si="257"/>
        <v/>
      </c>
      <c r="KB37" s="1097" t="str">
        <f t="shared" si="258"/>
        <v/>
      </c>
      <c r="KC37" s="1097" t="str">
        <f t="shared" si="259"/>
        <v/>
      </c>
      <c r="KD37" s="1097" t="str">
        <f t="shared" si="260"/>
        <v/>
      </c>
      <c r="KE37" s="1097" t="str">
        <f t="shared" si="261"/>
        <v/>
      </c>
      <c r="KF37" s="1097" t="str">
        <f t="shared" si="262"/>
        <v/>
      </c>
      <c r="KG37" s="1097" t="str">
        <f t="shared" si="263"/>
        <v/>
      </c>
      <c r="KH37" s="1097" t="str">
        <f t="shared" si="264"/>
        <v/>
      </c>
      <c r="KI37" s="1097" t="str">
        <f t="shared" si="265"/>
        <v/>
      </c>
      <c r="KJ37" s="1097" t="str">
        <f t="shared" si="266"/>
        <v/>
      </c>
      <c r="KK37" s="1097" t="str">
        <f t="shared" si="267"/>
        <v/>
      </c>
      <c r="KL37" s="1097" t="str">
        <f t="shared" si="268"/>
        <v/>
      </c>
      <c r="KM37" s="1097" t="str">
        <f t="shared" si="269"/>
        <v/>
      </c>
      <c r="KN37" s="1097" t="str">
        <f t="shared" si="270"/>
        <v/>
      </c>
      <c r="KO37" s="1097" t="str">
        <f t="shared" si="271"/>
        <v/>
      </c>
      <c r="KP37" s="1097" t="str">
        <f t="shared" si="272"/>
        <v/>
      </c>
      <c r="KQ37" s="1097" t="str">
        <f t="shared" si="273"/>
        <v/>
      </c>
      <c r="KR37" s="1097" t="str">
        <f t="shared" si="274"/>
        <v/>
      </c>
      <c r="KS37" s="1097" t="str">
        <f t="shared" si="275"/>
        <v/>
      </c>
      <c r="KT37" s="1097" t="str">
        <f t="shared" si="276"/>
        <v/>
      </c>
      <c r="KU37" s="1097" t="str">
        <f t="shared" si="277"/>
        <v/>
      </c>
      <c r="KV37" s="1097" t="str">
        <f t="shared" si="278"/>
        <v/>
      </c>
      <c r="KW37" s="1097" t="str">
        <f t="shared" si="279"/>
        <v/>
      </c>
      <c r="KX37" s="1097" t="str">
        <f t="shared" si="280"/>
        <v/>
      </c>
      <c r="KY37" s="1097" t="str">
        <f t="shared" si="281"/>
        <v/>
      </c>
      <c r="KZ37" s="1097" t="str">
        <f t="shared" si="282"/>
        <v/>
      </c>
      <c r="LA37" s="1097" t="str">
        <f t="shared" si="283"/>
        <v/>
      </c>
      <c r="LB37" s="1097" t="str">
        <f t="shared" si="284"/>
        <v/>
      </c>
      <c r="LC37" s="1097" t="str">
        <f t="shared" si="285"/>
        <v/>
      </c>
      <c r="LD37" s="1097" t="str">
        <f t="shared" si="286"/>
        <v/>
      </c>
      <c r="LE37" s="1097" t="str">
        <f t="shared" si="287"/>
        <v/>
      </c>
      <c r="LF37" s="1098" t="str">
        <f t="shared" si="288"/>
        <v/>
      </c>
      <c r="LG37" s="1098" t="str">
        <f t="shared" si="289"/>
        <v/>
      </c>
      <c r="LH37" s="1098" t="str">
        <f t="shared" si="290"/>
        <v/>
      </c>
      <c r="LI37" s="1098" t="str">
        <f t="shared" si="291"/>
        <v/>
      </c>
      <c r="LJ37" s="1098" t="str">
        <f t="shared" si="292"/>
        <v/>
      </c>
      <c r="LK37" s="1064" t="str">
        <f t="shared" si="293"/>
        <v/>
      </c>
      <c r="LL37" s="1064" t="str">
        <f t="shared" si="294"/>
        <v/>
      </c>
      <c r="LM37" s="1064" t="str">
        <f t="shared" si="295"/>
        <v/>
      </c>
      <c r="LN37" s="1064" t="str">
        <f t="shared" si="296"/>
        <v/>
      </c>
      <c r="LO37" s="1064" t="str">
        <f t="shared" si="297"/>
        <v/>
      </c>
      <c r="LP37" s="1064" t="str">
        <f t="shared" si="298"/>
        <v/>
      </c>
      <c r="LQ37" s="1064" t="str">
        <f t="shared" si="299"/>
        <v/>
      </c>
      <c r="LR37" s="1064" t="str">
        <f t="shared" si="300"/>
        <v/>
      </c>
      <c r="LS37" s="1064" t="str">
        <f t="shared" si="301"/>
        <v/>
      </c>
      <c r="LT37" s="1064" t="str">
        <f t="shared" si="302"/>
        <v/>
      </c>
      <c r="LU37" s="1064" t="str">
        <f t="shared" si="303"/>
        <v/>
      </c>
      <c r="LV37" s="1064" t="str">
        <f t="shared" si="304"/>
        <v/>
      </c>
      <c r="LW37" s="1064" t="str">
        <f t="shared" si="305"/>
        <v/>
      </c>
      <c r="LX37" s="1064" t="str">
        <f t="shared" si="306"/>
        <v/>
      </c>
      <c r="LY37" s="1064" t="str">
        <f t="shared" si="307"/>
        <v/>
      </c>
      <c r="LZ37" s="1064" t="str">
        <f t="shared" si="308"/>
        <v/>
      </c>
      <c r="MA37" s="1064" t="str">
        <f t="shared" si="309"/>
        <v/>
      </c>
      <c r="MB37" s="1064" t="str">
        <f t="shared" si="310"/>
        <v/>
      </c>
      <c r="MC37" s="1064" t="str">
        <f t="shared" si="311"/>
        <v/>
      </c>
      <c r="MD37" s="1064" t="str">
        <f t="shared" si="312"/>
        <v/>
      </c>
      <c r="ME37" s="1081">
        <f t="shared" si="324"/>
        <v>0</v>
      </c>
      <c r="MF37" s="1081">
        <f t="shared" si="325"/>
        <v>0</v>
      </c>
      <c r="MG37" s="1081">
        <f t="shared" si="326"/>
        <v>0</v>
      </c>
      <c r="MH37" s="1081">
        <f t="shared" si="327"/>
        <v>0</v>
      </c>
      <c r="MI37" s="1081">
        <f t="shared" si="328"/>
        <v>0</v>
      </c>
      <c r="MJ37" s="1081">
        <f t="shared" si="329"/>
        <v>0</v>
      </c>
      <c r="MK37" s="1081">
        <f t="shared" si="330"/>
        <v>0</v>
      </c>
      <c r="ML37" s="1081">
        <f t="shared" si="331"/>
        <v>0</v>
      </c>
      <c r="MM37" s="1081">
        <f t="shared" si="332"/>
        <v>0</v>
      </c>
      <c r="MN37" s="1081">
        <f t="shared" si="333"/>
        <v>0</v>
      </c>
      <c r="MO37" s="1081">
        <f t="shared" si="334"/>
        <v>0</v>
      </c>
      <c r="MP37" s="1081">
        <f t="shared" si="335"/>
        <v>0</v>
      </c>
      <c r="MQ37" s="1081">
        <f t="shared" si="336"/>
        <v>0</v>
      </c>
      <c r="MR37" s="1081">
        <f t="shared" si="337"/>
        <v>0</v>
      </c>
      <c r="MS37" s="1081">
        <f t="shared" si="338"/>
        <v>0</v>
      </c>
    </row>
    <row r="38" spans="1:393" ht="12" customHeight="1">
      <c r="A38" s="1088" t="str">
        <f t="shared" si="0"/>
        <v/>
      </c>
      <c r="B38" s="44"/>
      <c r="C38" s="41"/>
      <c r="D38" s="42"/>
      <c r="E38" s="43"/>
      <c r="F38" s="43"/>
      <c r="G38" s="43"/>
      <c r="H38" s="43"/>
      <c r="I38" s="1100">
        <f>IF(C38="",0,HLOOKUP(C38,'Part V-Utility Allowances'!$I$11:$M$22,12))</f>
        <v>0</v>
      </c>
      <c r="J38" s="810"/>
      <c r="K38" s="512">
        <f t="shared" si="1"/>
        <v>0</v>
      </c>
      <c r="L38" s="512">
        <f t="shared" si="2"/>
        <v>0</v>
      </c>
      <c r="M38" s="1101"/>
      <c r="N38" s="1101"/>
      <c r="O38" s="1101"/>
      <c r="P38" s="1102"/>
      <c r="Q38" s="1103" t="str">
        <f t="shared" si="3"/>
        <v/>
      </c>
      <c r="R38" s="1104" t="str">
        <f>IF(H38="","",IF(C38="Efficiency",Q38/($O$6*VLOOKUP(0,'DCA Underwriting Assumptions'!$J$146:$K$151,2,FALSE)),Q38/($O$6*VLOOKUP(C38,'DCA Underwriting Assumptions'!$J$146:$K$151,2,FALSE))))</f>
        <v/>
      </c>
      <c r="S38" s="1105"/>
      <c r="T38" s="1106"/>
      <c r="U38" s="2314"/>
      <c r="V38" s="2316"/>
      <c r="W38" s="1064" t="str">
        <f t="shared" si="4"/>
        <v/>
      </c>
      <c r="X38" s="1064" t="str">
        <f t="shared" si="5"/>
        <v/>
      </c>
      <c r="Y38" s="1064" t="str">
        <f t="shared" si="6"/>
        <v/>
      </c>
      <c r="Z38" s="1064" t="str">
        <f t="shared" si="7"/>
        <v/>
      </c>
      <c r="AA38" s="1064" t="str">
        <f t="shared" si="8"/>
        <v/>
      </c>
      <c r="AB38" s="1064" t="str">
        <f t="shared" si="9"/>
        <v/>
      </c>
      <c r="AC38" s="1064" t="str">
        <f t="shared" si="10"/>
        <v/>
      </c>
      <c r="AD38" s="1064" t="str">
        <f t="shared" si="11"/>
        <v/>
      </c>
      <c r="AE38" s="1064" t="str">
        <f t="shared" si="12"/>
        <v/>
      </c>
      <c r="AF38" s="1064" t="str">
        <f t="shared" si="13"/>
        <v/>
      </c>
      <c r="AG38" s="1064" t="str">
        <f t="shared" si="14"/>
        <v/>
      </c>
      <c r="AH38" s="1064" t="str">
        <f t="shared" si="15"/>
        <v/>
      </c>
      <c r="AI38" s="1064" t="str">
        <f t="shared" si="16"/>
        <v/>
      </c>
      <c r="AJ38" s="1064" t="str">
        <f t="shared" si="17"/>
        <v/>
      </c>
      <c r="AK38" s="1064" t="str">
        <f t="shared" si="18"/>
        <v/>
      </c>
      <c r="AL38" s="1064" t="str">
        <f t="shared" si="19"/>
        <v/>
      </c>
      <c r="AM38" s="1064" t="str">
        <f t="shared" si="20"/>
        <v/>
      </c>
      <c r="AN38" s="1064" t="str">
        <f t="shared" si="21"/>
        <v/>
      </c>
      <c r="AO38" s="1064" t="str">
        <f t="shared" si="22"/>
        <v/>
      </c>
      <c r="AP38" s="1064" t="str">
        <f t="shared" si="23"/>
        <v/>
      </c>
      <c r="AQ38" s="1064" t="str">
        <f t="shared" si="24"/>
        <v/>
      </c>
      <c r="AR38" s="1064" t="str">
        <f t="shared" si="25"/>
        <v/>
      </c>
      <c r="AS38" s="1064" t="str">
        <f t="shared" si="26"/>
        <v/>
      </c>
      <c r="AT38" s="1064" t="str">
        <f t="shared" si="27"/>
        <v/>
      </c>
      <c r="AU38" s="1064" t="str">
        <f t="shared" si="28"/>
        <v/>
      </c>
      <c r="AV38" s="1064" t="str">
        <f t="shared" si="29"/>
        <v/>
      </c>
      <c r="AW38" s="1064" t="str">
        <f t="shared" si="30"/>
        <v/>
      </c>
      <c r="AX38" s="1064" t="str">
        <f t="shared" si="31"/>
        <v/>
      </c>
      <c r="AY38" s="1064" t="str">
        <f t="shared" si="32"/>
        <v/>
      </c>
      <c r="AZ38" s="1064" t="str">
        <f t="shared" si="33"/>
        <v/>
      </c>
      <c r="BA38" s="1064" t="str">
        <f t="shared" si="34"/>
        <v/>
      </c>
      <c r="BB38" s="1064" t="str">
        <f t="shared" si="35"/>
        <v/>
      </c>
      <c r="BC38" s="1064" t="str">
        <f t="shared" si="36"/>
        <v/>
      </c>
      <c r="BD38" s="1064" t="str">
        <f t="shared" si="37"/>
        <v/>
      </c>
      <c r="BE38" s="1064" t="str">
        <f t="shared" si="38"/>
        <v/>
      </c>
      <c r="BF38" s="1064" t="str">
        <f t="shared" si="39"/>
        <v/>
      </c>
      <c r="BG38" s="1064" t="str">
        <f t="shared" si="40"/>
        <v/>
      </c>
      <c r="BH38" s="1064" t="str">
        <f t="shared" si="41"/>
        <v/>
      </c>
      <c r="BI38" s="1064" t="str">
        <f t="shared" si="42"/>
        <v/>
      </c>
      <c r="BJ38" s="1064" t="str">
        <f t="shared" si="43"/>
        <v/>
      </c>
      <c r="BK38" s="1064" t="str">
        <f t="shared" si="44"/>
        <v/>
      </c>
      <c r="BL38" s="1064" t="str">
        <f t="shared" si="45"/>
        <v/>
      </c>
      <c r="BM38" s="1064" t="str">
        <f t="shared" si="46"/>
        <v/>
      </c>
      <c r="BN38" s="1064" t="str">
        <f t="shared" si="47"/>
        <v/>
      </c>
      <c r="BO38" s="1064" t="str">
        <f t="shared" si="48"/>
        <v/>
      </c>
      <c r="BP38" s="1064" t="str">
        <f t="shared" si="49"/>
        <v/>
      </c>
      <c r="BQ38" s="1064" t="str">
        <f t="shared" si="50"/>
        <v/>
      </c>
      <c r="BR38" s="1064" t="str">
        <f t="shared" si="51"/>
        <v/>
      </c>
      <c r="BS38" s="1064" t="str">
        <f t="shared" si="52"/>
        <v/>
      </c>
      <c r="BT38" s="1064" t="str">
        <f t="shared" si="53"/>
        <v/>
      </c>
      <c r="BU38" s="1064" t="str">
        <f t="shared" si="54"/>
        <v/>
      </c>
      <c r="BV38" s="1064" t="str">
        <f t="shared" si="55"/>
        <v/>
      </c>
      <c r="BW38" s="1064" t="str">
        <f t="shared" si="56"/>
        <v/>
      </c>
      <c r="BX38" s="1064" t="str">
        <f t="shared" si="57"/>
        <v/>
      </c>
      <c r="BY38" s="1064" t="str">
        <f t="shared" si="58"/>
        <v/>
      </c>
      <c r="BZ38" s="1064" t="str">
        <f t="shared" si="59"/>
        <v/>
      </c>
      <c r="CA38" s="1064" t="str">
        <f t="shared" si="60"/>
        <v/>
      </c>
      <c r="CB38" s="1064" t="str">
        <f t="shared" si="61"/>
        <v/>
      </c>
      <c r="CC38" s="1064" t="str">
        <f t="shared" si="62"/>
        <v/>
      </c>
      <c r="CD38" s="1064" t="str">
        <f t="shared" si="63"/>
        <v/>
      </c>
      <c r="CE38" s="1064" t="str">
        <f t="shared" si="64"/>
        <v/>
      </c>
      <c r="CF38" s="1064" t="str">
        <f t="shared" si="65"/>
        <v/>
      </c>
      <c r="CG38" s="1064" t="str">
        <f t="shared" si="66"/>
        <v/>
      </c>
      <c r="CH38" s="1064" t="str">
        <f t="shared" si="67"/>
        <v/>
      </c>
      <c r="CI38" s="1064" t="str">
        <f t="shared" si="68"/>
        <v/>
      </c>
      <c r="CJ38" s="1064" t="str">
        <f t="shared" si="69"/>
        <v/>
      </c>
      <c r="CK38" s="1064" t="str">
        <f t="shared" si="70"/>
        <v/>
      </c>
      <c r="CL38" s="1064" t="str">
        <f t="shared" si="71"/>
        <v/>
      </c>
      <c r="CM38" s="1064" t="str">
        <f t="shared" si="72"/>
        <v/>
      </c>
      <c r="CN38" s="1064" t="str">
        <f t="shared" si="73"/>
        <v/>
      </c>
      <c r="CO38" s="1064" t="str">
        <f t="shared" si="74"/>
        <v/>
      </c>
      <c r="CP38" s="1064" t="str">
        <f t="shared" si="75"/>
        <v/>
      </c>
      <c r="CQ38" s="1064" t="str">
        <f t="shared" si="76"/>
        <v/>
      </c>
      <c r="CR38" s="1064" t="str">
        <f t="shared" si="77"/>
        <v/>
      </c>
      <c r="CS38" s="1064" t="str">
        <f t="shared" si="78"/>
        <v/>
      </c>
      <c r="CT38" s="1064" t="str">
        <f t="shared" si="79"/>
        <v/>
      </c>
      <c r="CU38" s="1064" t="str">
        <f t="shared" si="80"/>
        <v/>
      </c>
      <c r="CV38" s="1064" t="str">
        <f t="shared" si="81"/>
        <v/>
      </c>
      <c r="CW38" s="1064" t="str">
        <f t="shared" si="82"/>
        <v/>
      </c>
      <c r="CX38" s="1064" t="str">
        <f t="shared" si="83"/>
        <v/>
      </c>
      <c r="CY38" s="1064" t="str">
        <f t="shared" si="84"/>
        <v/>
      </c>
      <c r="CZ38" s="1064" t="str">
        <f t="shared" si="85"/>
        <v/>
      </c>
      <c r="DA38" s="1064" t="str">
        <f t="shared" si="86"/>
        <v/>
      </c>
      <c r="DB38" s="1064" t="str">
        <f t="shared" si="87"/>
        <v/>
      </c>
      <c r="DC38" s="1064" t="str">
        <f t="shared" si="88"/>
        <v/>
      </c>
      <c r="DD38" s="1064" t="str">
        <f t="shared" si="89"/>
        <v/>
      </c>
      <c r="DE38" s="1064" t="str">
        <f t="shared" si="90"/>
        <v/>
      </c>
      <c r="DF38" s="1064" t="str">
        <f t="shared" si="91"/>
        <v/>
      </c>
      <c r="DG38" s="1064" t="str">
        <f t="shared" si="92"/>
        <v/>
      </c>
      <c r="DH38" s="1064" t="str">
        <f t="shared" si="93"/>
        <v/>
      </c>
      <c r="DI38" s="1064" t="str">
        <f t="shared" si="94"/>
        <v/>
      </c>
      <c r="DJ38" s="1064" t="str">
        <f t="shared" si="95"/>
        <v/>
      </c>
      <c r="DK38" s="1064" t="str">
        <f t="shared" si="96"/>
        <v/>
      </c>
      <c r="DL38" s="1064" t="str">
        <f t="shared" si="97"/>
        <v/>
      </c>
      <c r="DM38" s="1064" t="str">
        <f t="shared" si="98"/>
        <v/>
      </c>
      <c r="DN38" s="1064" t="str">
        <f t="shared" si="99"/>
        <v/>
      </c>
      <c r="DO38" s="1064" t="str">
        <f t="shared" si="100"/>
        <v/>
      </c>
      <c r="DP38" s="1064" t="str">
        <f t="shared" si="101"/>
        <v/>
      </c>
      <c r="DQ38" s="1064" t="str">
        <f t="shared" si="102"/>
        <v/>
      </c>
      <c r="DR38" s="1064" t="str">
        <f t="shared" si="103"/>
        <v/>
      </c>
      <c r="DS38" s="1064" t="str">
        <f t="shared" si="104"/>
        <v/>
      </c>
      <c r="DT38" s="1064" t="str">
        <f t="shared" si="105"/>
        <v/>
      </c>
      <c r="DU38" s="1064" t="str">
        <f t="shared" si="106"/>
        <v/>
      </c>
      <c r="DV38" s="1064" t="str">
        <f t="shared" si="107"/>
        <v/>
      </c>
      <c r="DW38" s="1064" t="str">
        <f t="shared" si="108"/>
        <v/>
      </c>
      <c r="DX38" s="1064" t="str">
        <f t="shared" si="109"/>
        <v/>
      </c>
      <c r="DY38" s="1064" t="str">
        <f t="shared" si="110"/>
        <v/>
      </c>
      <c r="DZ38" s="1064" t="str">
        <f t="shared" si="111"/>
        <v/>
      </c>
      <c r="EA38" s="1064" t="str">
        <f t="shared" si="112"/>
        <v/>
      </c>
      <c r="EB38" s="1064" t="str">
        <f t="shared" si="113"/>
        <v/>
      </c>
      <c r="EC38" s="1064" t="str">
        <f t="shared" si="114"/>
        <v/>
      </c>
      <c r="ED38" s="1064" t="str">
        <f t="shared" si="115"/>
        <v/>
      </c>
      <c r="EE38" s="1064" t="str">
        <f t="shared" si="116"/>
        <v/>
      </c>
      <c r="EF38" s="1064" t="str">
        <f t="shared" si="117"/>
        <v/>
      </c>
      <c r="EG38" s="1064" t="str">
        <f t="shared" si="313"/>
        <v/>
      </c>
      <c r="EH38" s="1064" t="str">
        <f t="shared" si="118"/>
        <v/>
      </c>
      <c r="EI38" s="1064" t="str">
        <f t="shared" si="119"/>
        <v/>
      </c>
      <c r="EJ38" s="1064" t="str">
        <f t="shared" si="120"/>
        <v/>
      </c>
      <c r="EK38" s="1064" t="str">
        <f t="shared" si="121"/>
        <v/>
      </c>
      <c r="EL38" s="1064" t="str">
        <f t="shared" si="122"/>
        <v/>
      </c>
      <c r="EM38" s="1064" t="str">
        <f t="shared" si="123"/>
        <v/>
      </c>
      <c r="EN38" s="1064" t="str">
        <f t="shared" si="124"/>
        <v/>
      </c>
      <c r="EO38" s="1064" t="str">
        <f t="shared" si="125"/>
        <v/>
      </c>
      <c r="EP38" s="1064" t="str">
        <f t="shared" si="126"/>
        <v/>
      </c>
      <c r="EQ38" s="1064" t="str">
        <f t="shared" si="127"/>
        <v/>
      </c>
      <c r="ER38" s="1064" t="str">
        <f t="shared" si="128"/>
        <v/>
      </c>
      <c r="ES38" s="1064" t="str">
        <f t="shared" si="129"/>
        <v/>
      </c>
      <c r="ET38" s="1064" t="str">
        <f t="shared" si="130"/>
        <v/>
      </c>
      <c r="EU38" s="1064" t="str">
        <f t="shared" si="131"/>
        <v/>
      </c>
      <c r="EV38" s="1064" t="str">
        <f t="shared" si="132"/>
        <v/>
      </c>
      <c r="EW38" s="1064" t="str">
        <f t="shared" si="314"/>
        <v/>
      </c>
      <c r="EX38" s="1064" t="str">
        <f t="shared" si="315"/>
        <v/>
      </c>
      <c r="EY38" s="1064" t="str">
        <f t="shared" si="316"/>
        <v/>
      </c>
      <c r="EZ38" s="1064" t="str">
        <f t="shared" si="317"/>
        <v/>
      </c>
      <c r="FA38" s="1064" t="str">
        <f t="shared" si="318"/>
        <v/>
      </c>
      <c r="FB38" s="1064" t="str">
        <f t="shared" si="133"/>
        <v/>
      </c>
      <c r="FC38" s="1064" t="str">
        <f t="shared" si="134"/>
        <v/>
      </c>
      <c r="FD38" s="1064" t="str">
        <f t="shared" si="135"/>
        <v/>
      </c>
      <c r="FE38" s="1064" t="str">
        <f t="shared" si="136"/>
        <v/>
      </c>
      <c r="FF38" s="1064" t="str">
        <f t="shared" si="137"/>
        <v/>
      </c>
      <c r="FG38" s="1064" t="str">
        <f t="shared" si="319"/>
        <v/>
      </c>
      <c r="FH38" s="1064" t="str">
        <f t="shared" si="320"/>
        <v/>
      </c>
      <c r="FI38" s="1064" t="str">
        <f t="shared" si="321"/>
        <v/>
      </c>
      <c r="FJ38" s="1064" t="str">
        <f t="shared" si="322"/>
        <v/>
      </c>
      <c r="FK38" s="1064" t="str">
        <f t="shared" si="323"/>
        <v/>
      </c>
      <c r="FL38" s="1064" t="str">
        <f t="shared" si="138"/>
        <v/>
      </c>
      <c r="FM38" s="1064" t="str">
        <f t="shared" si="139"/>
        <v/>
      </c>
      <c r="FN38" s="1064" t="str">
        <f t="shared" si="140"/>
        <v/>
      </c>
      <c r="FO38" s="1064" t="str">
        <f t="shared" si="141"/>
        <v/>
      </c>
      <c r="FP38" s="1064" t="str">
        <f t="shared" si="142"/>
        <v/>
      </c>
      <c r="FQ38" s="1064" t="str">
        <f t="shared" si="143"/>
        <v/>
      </c>
      <c r="FR38" s="1064" t="str">
        <f t="shared" si="144"/>
        <v/>
      </c>
      <c r="FS38" s="1064" t="str">
        <f t="shared" si="145"/>
        <v/>
      </c>
      <c r="FT38" s="1064" t="str">
        <f t="shared" si="146"/>
        <v/>
      </c>
      <c r="FU38" s="1064" t="str">
        <f t="shared" si="147"/>
        <v/>
      </c>
      <c r="FV38" s="1064" t="str">
        <f t="shared" si="148"/>
        <v/>
      </c>
      <c r="FW38" s="1064" t="str">
        <f t="shared" si="149"/>
        <v/>
      </c>
      <c r="FX38" s="1064" t="str">
        <f t="shared" si="150"/>
        <v/>
      </c>
      <c r="FY38" s="1064" t="str">
        <f t="shared" si="151"/>
        <v/>
      </c>
      <c r="FZ38" s="1064" t="str">
        <f t="shared" si="152"/>
        <v/>
      </c>
      <c r="GA38" s="1064" t="str">
        <f t="shared" si="153"/>
        <v/>
      </c>
      <c r="GB38" s="1064" t="str">
        <f t="shared" si="154"/>
        <v/>
      </c>
      <c r="GC38" s="1064" t="str">
        <f t="shared" si="155"/>
        <v/>
      </c>
      <c r="GD38" s="1064" t="str">
        <f t="shared" si="156"/>
        <v/>
      </c>
      <c r="GE38" s="1064" t="str">
        <f t="shared" si="157"/>
        <v/>
      </c>
      <c r="GF38" s="1064" t="str">
        <f t="shared" si="158"/>
        <v/>
      </c>
      <c r="GG38" s="1064" t="str">
        <f t="shared" si="159"/>
        <v/>
      </c>
      <c r="GH38" s="1064" t="str">
        <f t="shared" si="160"/>
        <v/>
      </c>
      <c r="GI38" s="1064" t="str">
        <f t="shared" si="161"/>
        <v/>
      </c>
      <c r="GJ38" s="1064" t="str">
        <f t="shared" si="162"/>
        <v/>
      </c>
      <c r="GK38" s="1064" t="str">
        <f t="shared" si="163"/>
        <v/>
      </c>
      <c r="GL38" s="1064" t="str">
        <f t="shared" si="164"/>
        <v/>
      </c>
      <c r="GM38" s="1064" t="str">
        <f t="shared" si="165"/>
        <v/>
      </c>
      <c r="GN38" s="1064" t="str">
        <f t="shared" si="166"/>
        <v/>
      </c>
      <c r="GO38" s="1064" t="str">
        <f t="shared" si="167"/>
        <v/>
      </c>
      <c r="GP38" s="1064" t="str">
        <f t="shared" si="168"/>
        <v/>
      </c>
      <c r="GQ38" s="1064" t="str">
        <f t="shared" si="169"/>
        <v/>
      </c>
      <c r="GR38" s="1064" t="str">
        <f t="shared" si="170"/>
        <v/>
      </c>
      <c r="GS38" s="1064" t="str">
        <f t="shared" si="171"/>
        <v/>
      </c>
      <c r="GT38" s="1064" t="str">
        <f t="shared" si="172"/>
        <v/>
      </c>
      <c r="GU38" s="1064" t="str">
        <f t="shared" si="173"/>
        <v/>
      </c>
      <c r="GV38" s="1064" t="str">
        <f t="shared" si="174"/>
        <v/>
      </c>
      <c r="GW38" s="1064" t="str">
        <f t="shared" si="175"/>
        <v/>
      </c>
      <c r="GX38" s="1064" t="str">
        <f t="shared" si="176"/>
        <v/>
      </c>
      <c r="GY38" s="1064" t="str">
        <f t="shared" si="177"/>
        <v/>
      </c>
      <c r="GZ38" s="1064" t="str">
        <f t="shared" si="178"/>
        <v/>
      </c>
      <c r="HA38" s="1064" t="str">
        <f t="shared" si="179"/>
        <v/>
      </c>
      <c r="HB38" s="1064" t="str">
        <f t="shared" si="180"/>
        <v/>
      </c>
      <c r="HC38" s="1064" t="str">
        <f t="shared" si="181"/>
        <v/>
      </c>
      <c r="HD38" s="1064" t="str">
        <f t="shared" si="182"/>
        <v/>
      </c>
      <c r="HE38" s="1064" t="str">
        <f t="shared" si="183"/>
        <v/>
      </c>
      <c r="HF38" s="1064" t="str">
        <f t="shared" si="184"/>
        <v/>
      </c>
      <c r="HG38" s="1064" t="str">
        <f t="shared" si="185"/>
        <v/>
      </c>
      <c r="HH38" s="1064" t="str">
        <f t="shared" si="186"/>
        <v/>
      </c>
      <c r="HI38" s="1064" t="str">
        <f t="shared" si="187"/>
        <v/>
      </c>
      <c r="HJ38" s="1064" t="str">
        <f t="shared" si="188"/>
        <v/>
      </c>
      <c r="HK38" s="1064" t="str">
        <f t="shared" si="189"/>
        <v/>
      </c>
      <c r="HL38" s="1064" t="str">
        <f t="shared" si="190"/>
        <v/>
      </c>
      <c r="HM38" s="1064" t="str">
        <f t="shared" si="191"/>
        <v/>
      </c>
      <c r="HN38" s="1064" t="str">
        <f t="shared" si="192"/>
        <v/>
      </c>
      <c r="HO38" s="1064" t="str">
        <f t="shared" si="193"/>
        <v/>
      </c>
      <c r="HP38" s="1064" t="str">
        <f t="shared" si="194"/>
        <v/>
      </c>
      <c r="HQ38" s="1064" t="str">
        <f t="shared" si="195"/>
        <v/>
      </c>
      <c r="HR38" s="1064" t="str">
        <f t="shared" si="196"/>
        <v/>
      </c>
      <c r="HS38" s="1064" t="str">
        <f t="shared" si="197"/>
        <v/>
      </c>
      <c r="HT38" s="1064" t="str">
        <f t="shared" si="198"/>
        <v/>
      </c>
      <c r="HU38" s="1064" t="str">
        <f t="shared" si="199"/>
        <v/>
      </c>
      <c r="HV38" s="1064" t="str">
        <f t="shared" si="200"/>
        <v/>
      </c>
      <c r="HW38" s="1064" t="str">
        <f t="shared" si="201"/>
        <v/>
      </c>
      <c r="HX38" s="1064" t="str">
        <f t="shared" si="202"/>
        <v/>
      </c>
      <c r="HY38" s="1097" t="str">
        <f t="shared" si="203"/>
        <v/>
      </c>
      <c r="HZ38" s="1097" t="str">
        <f t="shared" si="204"/>
        <v/>
      </c>
      <c r="IA38" s="1097" t="str">
        <f t="shared" si="205"/>
        <v/>
      </c>
      <c r="IB38" s="1097" t="str">
        <f t="shared" si="206"/>
        <v/>
      </c>
      <c r="IC38" s="1097" t="str">
        <f t="shared" si="207"/>
        <v/>
      </c>
      <c r="ID38" s="1097" t="str">
        <f t="shared" si="208"/>
        <v/>
      </c>
      <c r="IE38" s="1097" t="str">
        <f t="shared" si="209"/>
        <v/>
      </c>
      <c r="IF38" s="1097" t="str">
        <f t="shared" si="210"/>
        <v/>
      </c>
      <c r="IG38" s="1097" t="str">
        <f t="shared" si="211"/>
        <v/>
      </c>
      <c r="IH38" s="1097" t="str">
        <f t="shared" si="212"/>
        <v/>
      </c>
      <c r="II38" s="1097" t="str">
        <f t="shared" si="213"/>
        <v/>
      </c>
      <c r="IJ38" s="1097" t="str">
        <f t="shared" si="214"/>
        <v/>
      </c>
      <c r="IK38" s="1097" t="str">
        <f t="shared" si="215"/>
        <v/>
      </c>
      <c r="IL38" s="1097" t="str">
        <f t="shared" si="216"/>
        <v/>
      </c>
      <c r="IM38" s="1097" t="str">
        <f t="shared" si="217"/>
        <v/>
      </c>
      <c r="IN38" s="1097" t="str">
        <f t="shared" si="218"/>
        <v/>
      </c>
      <c r="IO38" s="1097" t="str">
        <f t="shared" si="219"/>
        <v/>
      </c>
      <c r="IP38" s="1097" t="str">
        <f t="shared" si="220"/>
        <v/>
      </c>
      <c r="IQ38" s="1097" t="str">
        <f t="shared" si="221"/>
        <v/>
      </c>
      <c r="IR38" s="1097" t="str">
        <f t="shared" si="222"/>
        <v/>
      </c>
      <c r="IS38" s="1097" t="str">
        <f t="shared" si="223"/>
        <v/>
      </c>
      <c r="IT38" s="1097" t="str">
        <f t="shared" si="224"/>
        <v/>
      </c>
      <c r="IU38" s="1097" t="str">
        <f t="shared" si="225"/>
        <v/>
      </c>
      <c r="IV38" s="1097" t="str">
        <f t="shared" si="226"/>
        <v/>
      </c>
      <c r="IW38" s="1097" t="str">
        <f t="shared" si="227"/>
        <v/>
      </c>
      <c r="IX38" s="1097" t="str">
        <f t="shared" si="228"/>
        <v/>
      </c>
      <c r="IY38" s="1097" t="str">
        <f t="shared" si="229"/>
        <v/>
      </c>
      <c r="IZ38" s="1097" t="str">
        <f t="shared" si="230"/>
        <v/>
      </c>
      <c r="JA38" s="1097" t="str">
        <f t="shared" si="231"/>
        <v/>
      </c>
      <c r="JB38" s="1097" t="str">
        <f t="shared" si="232"/>
        <v/>
      </c>
      <c r="JC38" s="1097" t="str">
        <f t="shared" si="233"/>
        <v/>
      </c>
      <c r="JD38" s="1097" t="str">
        <f t="shared" si="234"/>
        <v/>
      </c>
      <c r="JE38" s="1097" t="str">
        <f t="shared" si="235"/>
        <v/>
      </c>
      <c r="JF38" s="1097" t="str">
        <f t="shared" si="236"/>
        <v/>
      </c>
      <c r="JG38" s="1097" t="str">
        <f t="shared" si="237"/>
        <v/>
      </c>
      <c r="JH38" s="1097" t="str">
        <f t="shared" si="238"/>
        <v/>
      </c>
      <c r="JI38" s="1097" t="str">
        <f t="shared" si="239"/>
        <v/>
      </c>
      <c r="JJ38" s="1097" t="str">
        <f t="shared" si="240"/>
        <v/>
      </c>
      <c r="JK38" s="1097" t="str">
        <f t="shared" si="241"/>
        <v/>
      </c>
      <c r="JL38" s="1097" t="str">
        <f t="shared" si="242"/>
        <v/>
      </c>
      <c r="JM38" s="1097" t="str">
        <f t="shared" si="243"/>
        <v/>
      </c>
      <c r="JN38" s="1097" t="str">
        <f t="shared" si="244"/>
        <v/>
      </c>
      <c r="JO38" s="1097" t="str">
        <f t="shared" si="245"/>
        <v/>
      </c>
      <c r="JP38" s="1097" t="str">
        <f t="shared" si="246"/>
        <v/>
      </c>
      <c r="JQ38" s="1097" t="str">
        <f t="shared" si="247"/>
        <v/>
      </c>
      <c r="JR38" s="1097" t="str">
        <f t="shared" si="248"/>
        <v/>
      </c>
      <c r="JS38" s="1097" t="str">
        <f t="shared" si="249"/>
        <v/>
      </c>
      <c r="JT38" s="1097" t="str">
        <f t="shared" si="250"/>
        <v/>
      </c>
      <c r="JU38" s="1097" t="str">
        <f t="shared" si="251"/>
        <v/>
      </c>
      <c r="JV38" s="1097" t="str">
        <f t="shared" si="252"/>
        <v/>
      </c>
      <c r="JW38" s="1097" t="str">
        <f t="shared" si="253"/>
        <v/>
      </c>
      <c r="JX38" s="1097" t="str">
        <f t="shared" si="254"/>
        <v/>
      </c>
      <c r="JY38" s="1097" t="str">
        <f t="shared" si="255"/>
        <v/>
      </c>
      <c r="JZ38" s="1097" t="str">
        <f t="shared" si="256"/>
        <v/>
      </c>
      <c r="KA38" s="1097" t="str">
        <f t="shared" si="257"/>
        <v/>
      </c>
      <c r="KB38" s="1097" t="str">
        <f t="shared" si="258"/>
        <v/>
      </c>
      <c r="KC38" s="1097" t="str">
        <f t="shared" si="259"/>
        <v/>
      </c>
      <c r="KD38" s="1097" t="str">
        <f t="shared" si="260"/>
        <v/>
      </c>
      <c r="KE38" s="1097" t="str">
        <f t="shared" si="261"/>
        <v/>
      </c>
      <c r="KF38" s="1097" t="str">
        <f t="shared" si="262"/>
        <v/>
      </c>
      <c r="KG38" s="1097" t="str">
        <f t="shared" si="263"/>
        <v/>
      </c>
      <c r="KH38" s="1097" t="str">
        <f t="shared" si="264"/>
        <v/>
      </c>
      <c r="KI38" s="1097" t="str">
        <f t="shared" si="265"/>
        <v/>
      </c>
      <c r="KJ38" s="1097" t="str">
        <f t="shared" si="266"/>
        <v/>
      </c>
      <c r="KK38" s="1097" t="str">
        <f t="shared" si="267"/>
        <v/>
      </c>
      <c r="KL38" s="1097" t="str">
        <f t="shared" si="268"/>
        <v/>
      </c>
      <c r="KM38" s="1097" t="str">
        <f t="shared" si="269"/>
        <v/>
      </c>
      <c r="KN38" s="1097" t="str">
        <f t="shared" si="270"/>
        <v/>
      </c>
      <c r="KO38" s="1097" t="str">
        <f t="shared" si="271"/>
        <v/>
      </c>
      <c r="KP38" s="1097" t="str">
        <f t="shared" si="272"/>
        <v/>
      </c>
      <c r="KQ38" s="1097" t="str">
        <f t="shared" si="273"/>
        <v/>
      </c>
      <c r="KR38" s="1097" t="str">
        <f t="shared" si="274"/>
        <v/>
      </c>
      <c r="KS38" s="1097" t="str">
        <f t="shared" si="275"/>
        <v/>
      </c>
      <c r="KT38" s="1097" t="str">
        <f t="shared" si="276"/>
        <v/>
      </c>
      <c r="KU38" s="1097" t="str">
        <f t="shared" si="277"/>
        <v/>
      </c>
      <c r="KV38" s="1097" t="str">
        <f t="shared" si="278"/>
        <v/>
      </c>
      <c r="KW38" s="1097" t="str">
        <f t="shared" si="279"/>
        <v/>
      </c>
      <c r="KX38" s="1097" t="str">
        <f t="shared" si="280"/>
        <v/>
      </c>
      <c r="KY38" s="1097" t="str">
        <f t="shared" si="281"/>
        <v/>
      </c>
      <c r="KZ38" s="1097" t="str">
        <f t="shared" si="282"/>
        <v/>
      </c>
      <c r="LA38" s="1097" t="str">
        <f t="shared" si="283"/>
        <v/>
      </c>
      <c r="LB38" s="1097" t="str">
        <f t="shared" si="284"/>
        <v/>
      </c>
      <c r="LC38" s="1097" t="str">
        <f t="shared" si="285"/>
        <v/>
      </c>
      <c r="LD38" s="1097" t="str">
        <f t="shared" si="286"/>
        <v/>
      </c>
      <c r="LE38" s="1097" t="str">
        <f t="shared" si="287"/>
        <v/>
      </c>
      <c r="LF38" s="1098" t="str">
        <f t="shared" si="288"/>
        <v/>
      </c>
      <c r="LG38" s="1098" t="str">
        <f t="shared" si="289"/>
        <v/>
      </c>
      <c r="LH38" s="1098" t="str">
        <f t="shared" si="290"/>
        <v/>
      </c>
      <c r="LI38" s="1098" t="str">
        <f t="shared" si="291"/>
        <v/>
      </c>
      <c r="LJ38" s="1098" t="str">
        <f t="shared" si="292"/>
        <v/>
      </c>
      <c r="LK38" s="1064" t="str">
        <f t="shared" si="293"/>
        <v/>
      </c>
      <c r="LL38" s="1064" t="str">
        <f t="shared" si="294"/>
        <v/>
      </c>
      <c r="LM38" s="1064" t="str">
        <f t="shared" si="295"/>
        <v/>
      </c>
      <c r="LN38" s="1064" t="str">
        <f t="shared" si="296"/>
        <v/>
      </c>
      <c r="LO38" s="1064" t="str">
        <f t="shared" si="297"/>
        <v/>
      </c>
      <c r="LP38" s="1064" t="str">
        <f t="shared" si="298"/>
        <v/>
      </c>
      <c r="LQ38" s="1064" t="str">
        <f t="shared" si="299"/>
        <v/>
      </c>
      <c r="LR38" s="1064" t="str">
        <f t="shared" si="300"/>
        <v/>
      </c>
      <c r="LS38" s="1064" t="str">
        <f t="shared" si="301"/>
        <v/>
      </c>
      <c r="LT38" s="1064" t="str">
        <f t="shared" si="302"/>
        <v/>
      </c>
      <c r="LU38" s="1064" t="str">
        <f t="shared" si="303"/>
        <v/>
      </c>
      <c r="LV38" s="1064" t="str">
        <f t="shared" si="304"/>
        <v/>
      </c>
      <c r="LW38" s="1064" t="str">
        <f t="shared" si="305"/>
        <v/>
      </c>
      <c r="LX38" s="1064" t="str">
        <f t="shared" si="306"/>
        <v/>
      </c>
      <c r="LY38" s="1064" t="str">
        <f t="shared" si="307"/>
        <v/>
      </c>
      <c r="LZ38" s="1064" t="str">
        <f t="shared" si="308"/>
        <v/>
      </c>
      <c r="MA38" s="1064" t="str">
        <f t="shared" si="309"/>
        <v/>
      </c>
      <c r="MB38" s="1064" t="str">
        <f t="shared" si="310"/>
        <v/>
      </c>
      <c r="MC38" s="1064" t="str">
        <f t="shared" si="311"/>
        <v/>
      </c>
      <c r="MD38" s="1064" t="str">
        <f t="shared" si="312"/>
        <v/>
      </c>
      <c r="ME38" s="1081">
        <f t="shared" si="324"/>
        <v>0</v>
      </c>
      <c r="MF38" s="1081">
        <f t="shared" si="325"/>
        <v>0</v>
      </c>
      <c r="MG38" s="1081">
        <f t="shared" si="326"/>
        <v>0</v>
      </c>
      <c r="MH38" s="1081">
        <f t="shared" si="327"/>
        <v>0</v>
      </c>
      <c r="MI38" s="1081">
        <f t="shared" si="328"/>
        <v>0</v>
      </c>
      <c r="MJ38" s="1081">
        <f t="shared" si="329"/>
        <v>0</v>
      </c>
      <c r="MK38" s="1081">
        <f t="shared" si="330"/>
        <v>0</v>
      </c>
      <c r="ML38" s="1081">
        <f t="shared" si="331"/>
        <v>0</v>
      </c>
      <c r="MM38" s="1081">
        <f t="shared" si="332"/>
        <v>0</v>
      </c>
      <c r="MN38" s="1081">
        <f t="shared" si="333"/>
        <v>0</v>
      </c>
      <c r="MO38" s="1081">
        <f t="shared" si="334"/>
        <v>0</v>
      </c>
      <c r="MP38" s="1081">
        <f t="shared" si="335"/>
        <v>0</v>
      </c>
      <c r="MQ38" s="1081">
        <f t="shared" si="336"/>
        <v>0</v>
      </c>
      <c r="MR38" s="1081">
        <f t="shared" si="337"/>
        <v>0</v>
      </c>
      <c r="MS38" s="1081">
        <f t="shared" si="338"/>
        <v>0</v>
      </c>
    </row>
    <row r="39" spans="1:393" ht="12" customHeight="1">
      <c r="A39" s="1088" t="str">
        <f t="shared" si="0"/>
        <v/>
      </c>
      <c r="B39" s="44"/>
      <c r="C39" s="41"/>
      <c r="D39" s="42"/>
      <c r="E39" s="43"/>
      <c r="F39" s="43"/>
      <c r="G39" s="43"/>
      <c r="H39" s="43"/>
      <c r="I39" s="1100">
        <f>IF(C39="",0,HLOOKUP(C39,'Part V-Utility Allowances'!$I$11:$M$22,12))</f>
        <v>0</v>
      </c>
      <c r="J39" s="810"/>
      <c r="K39" s="512">
        <f t="shared" si="1"/>
        <v>0</v>
      </c>
      <c r="L39" s="512">
        <f t="shared" si="2"/>
        <v>0</v>
      </c>
      <c r="M39" s="1101"/>
      <c r="N39" s="1101"/>
      <c r="O39" s="1101"/>
      <c r="P39" s="1102"/>
      <c r="Q39" s="1103" t="str">
        <f t="shared" si="3"/>
        <v/>
      </c>
      <c r="R39" s="1104" t="str">
        <f>IF(H39="","",IF(C39="Efficiency",Q39/($O$6*VLOOKUP(0,'DCA Underwriting Assumptions'!$J$146:$K$151,2,FALSE)),Q39/($O$6*VLOOKUP(C39,'DCA Underwriting Assumptions'!$J$146:$K$151,2,FALSE))))</f>
        <v/>
      </c>
      <c r="S39" s="1105"/>
      <c r="T39" s="1106"/>
      <c r="U39" s="2314"/>
      <c r="V39" s="2316"/>
      <c r="W39" s="1064" t="str">
        <f t="shared" si="4"/>
        <v/>
      </c>
      <c r="X39" s="1064" t="str">
        <f t="shared" si="5"/>
        <v/>
      </c>
      <c r="Y39" s="1064" t="str">
        <f t="shared" si="6"/>
        <v/>
      </c>
      <c r="Z39" s="1064" t="str">
        <f t="shared" si="7"/>
        <v/>
      </c>
      <c r="AA39" s="1064" t="str">
        <f t="shared" si="8"/>
        <v/>
      </c>
      <c r="AB39" s="1064" t="str">
        <f t="shared" si="9"/>
        <v/>
      </c>
      <c r="AC39" s="1064" t="str">
        <f t="shared" si="10"/>
        <v/>
      </c>
      <c r="AD39" s="1064" t="str">
        <f t="shared" si="11"/>
        <v/>
      </c>
      <c r="AE39" s="1064" t="str">
        <f t="shared" si="12"/>
        <v/>
      </c>
      <c r="AF39" s="1064" t="str">
        <f t="shared" si="13"/>
        <v/>
      </c>
      <c r="AG39" s="1064" t="str">
        <f t="shared" si="14"/>
        <v/>
      </c>
      <c r="AH39" s="1064" t="str">
        <f t="shared" si="15"/>
        <v/>
      </c>
      <c r="AI39" s="1064" t="str">
        <f t="shared" si="16"/>
        <v/>
      </c>
      <c r="AJ39" s="1064" t="str">
        <f t="shared" si="17"/>
        <v/>
      </c>
      <c r="AK39" s="1064" t="str">
        <f t="shared" si="18"/>
        <v/>
      </c>
      <c r="AL39" s="1064" t="str">
        <f t="shared" si="19"/>
        <v/>
      </c>
      <c r="AM39" s="1064" t="str">
        <f t="shared" si="20"/>
        <v/>
      </c>
      <c r="AN39" s="1064" t="str">
        <f t="shared" si="21"/>
        <v/>
      </c>
      <c r="AO39" s="1064" t="str">
        <f t="shared" si="22"/>
        <v/>
      </c>
      <c r="AP39" s="1064" t="str">
        <f t="shared" si="23"/>
        <v/>
      </c>
      <c r="AQ39" s="1064" t="str">
        <f t="shared" si="24"/>
        <v/>
      </c>
      <c r="AR39" s="1064" t="str">
        <f t="shared" si="25"/>
        <v/>
      </c>
      <c r="AS39" s="1064" t="str">
        <f t="shared" si="26"/>
        <v/>
      </c>
      <c r="AT39" s="1064" t="str">
        <f t="shared" si="27"/>
        <v/>
      </c>
      <c r="AU39" s="1064" t="str">
        <f t="shared" si="28"/>
        <v/>
      </c>
      <c r="AV39" s="1064" t="str">
        <f t="shared" si="29"/>
        <v/>
      </c>
      <c r="AW39" s="1064" t="str">
        <f t="shared" si="30"/>
        <v/>
      </c>
      <c r="AX39" s="1064" t="str">
        <f t="shared" si="31"/>
        <v/>
      </c>
      <c r="AY39" s="1064" t="str">
        <f t="shared" si="32"/>
        <v/>
      </c>
      <c r="AZ39" s="1064" t="str">
        <f t="shared" si="33"/>
        <v/>
      </c>
      <c r="BA39" s="1064" t="str">
        <f t="shared" si="34"/>
        <v/>
      </c>
      <c r="BB39" s="1064" t="str">
        <f t="shared" si="35"/>
        <v/>
      </c>
      <c r="BC39" s="1064" t="str">
        <f t="shared" si="36"/>
        <v/>
      </c>
      <c r="BD39" s="1064" t="str">
        <f t="shared" si="37"/>
        <v/>
      </c>
      <c r="BE39" s="1064" t="str">
        <f t="shared" si="38"/>
        <v/>
      </c>
      <c r="BF39" s="1064" t="str">
        <f t="shared" si="39"/>
        <v/>
      </c>
      <c r="BG39" s="1064" t="str">
        <f t="shared" si="40"/>
        <v/>
      </c>
      <c r="BH39" s="1064" t="str">
        <f t="shared" si="41"/>
        <v/>
      </c>
      <c r="BI39" s="1064" t="str">
        <f t="shared" si="42"/>
        <v/>
      </c>
      <c r="BJ39" s="1064" t="str">
        <f t="shared" si="43"/>
        <v/>
      </c>
      <c r="BK39" s="1064" t="str">
        <f t="shared" si="44"/>
        <v/>
      </c>
      <c r="BL39" s="1064" t="str">
        <f t="shared" si="45"/>
        <v/>
      </c>
      <c r="BM39" s="1064" t="str">
        <f t="shared" si="46"/>
        <v/>
      </c>
      <c r="BN39" s="1064" t="str">
        <f t="shared" si="47"/>
        <v/>
      </c>
      <c r="BO39" s="1064" t="str">
        <f t="shared" si="48"/>
        <v/>
      </c>
      <c r="BP39" s="1064" t="str">
        <f t="shared" si="49"/>
        <v/>
      </c>
      <c r="BQ39" s="1064" t="str">
        <f t="shared" si="50"/>
        <v/>
      </c>
      <c r="BR39" s="1064" t="str">
        <f t="shared" si="51"/>
        <v/>
      </c>
      <c r="BS39" s="1064" t="str">
        <f t="shared" si="52"/>
        <v/>
      </c>
      <c r="BT39" s="1064" t="str">
        <f t="shared" si="53"/>
        <v/>
      </c>
      <c r="BU39" s="1064" t="str">
        <f t="shared" si="54"/>
        <v/>
      </c>
      <c r="BV39" s="1064" t="str">
        <f t="shared" si="55"/>
        <v/>
      </c>
      <c r="BW39" s="1064" t="str">
        <f t="shared" si="56"/>
        <v/>
      </c>
      <c r="BX39" s="1064" t="str">
        <f t="shared" si="57"/>
        <v/>
      </c>
      <c r="BY39" s="1064" t="str">
        <f t="shared" si="58"/>
        <v/>
      </c>
      <c r="BZ39" s="1064" t="str">
        <f t="shared" si="59"/>
        <v/>
      </c>
      <c r="CA39" s="1064" t="str">
        <f t="shared" si="60"/>
        <v/>
      </c>
      <c r="CB39" s="1064" t="str">
        <f t="shared" si="61"/>
        <v/>
      </c>
      <c r="CC39" s="1064" t="str">
        <f t="shared" si="62"/>
        <v/>
      </c>
      <c r="CD39" s="1064" t="str">
        <f t="shared" si="63"/>
        <v/>
      </c>
      <c r="CE39" s="1064" t="str">
        <f t="shared" si="64"/>
        <v/>
      </c>
      <c r="CF39" s="1064" t="str">
        <f t="shared" si="65"/>
        <v/>
      </c>
      <c r="CG39" s="1064" t="str">
        <f t="shared" si="66"/>
        <v/>
      </c>
      <c r="CH39" s="1064" t="str">
        <f t="shared" si="67"/>
        <v/>
      </c>
      <c r="CI39" s="1064" t="str">
        <f t="shared" si="68"/>
        <v/>
      </c>
      <c r="CJ39" s="1064" t="str">
        <f t="shared" si="69"/>
        <v/>
      </c>
      <c r="CK39" s="1064" t="str">
        <f t="shared" si="70"/>
        <v/>
      </c>
      <c r="CL39" s="1064" t="str">
        <f t="shared" si="71"/>
        <v/>
      </c>
      <c r="CM39" s="1064" t="str">
        <f t="shared" si="72"/>
        <v/>
      </c>
      <c r="CN39" s="1064" t="str">
        <f t="shared" si="73"/>
        <v/>
      </c>
      <c r="CO39" s="1064" t="str">
        <f t="shared" si="74"/>
        <v/>
      </c>
      <c r="CP39" s="1064" t="str">
        <f t="shared" si="75"/>
        <v/>
      </c>
      <c r="CQ39" s="1064" t="str">
        <f t="shared" si="76"/>
        <v/>
      </c>
      <c r="CR39" s="1064" t="str">
        <f t="shared" si="77"/>
        <v/>
      </c>
      <c r="CS39" s="1064" t="str">
        <f t="shared" si="78"/>
        <v/>
      </c>
      <c r="CT39" s="1064" t="str">
        <f t="shared" si="79"/>
        <v/>
      </c>
      <c r="CU39" s="1064" t="str">
        <f t="shared" si="80"/>
        <v/>
      </c>
      <c r="CV39" s="1064" t="str">
        <f t="shared" si="81"/>
        <v/>
      </c>
      <c r="CW39" s="1064" t="str">
        <f t="shared" si="82"/>
        <v/>
      </c>
      <c r="CX39" s="1064" t="str">
        <f t="shared" si="83"/>
        <v/>
      </c>
      <c r="CY39" s="1064" t="str">
        <f t="shared" si="84"/>
        <v/>
      </c>
      <c r="CZ39" s="1064" t="str">
        <f t="shared" si="85"/>
        <v/>
      </c>
      <c r="DA39" s="1064" t="str">
        <f t="shared" si="86"/>
        <v/>
      </c>
      <c r="DB39" s="1064" t="str">
        <f t="shared" si="87"/>
        <v/>
      </c>
      <c r="DC39" s="1064" t="str">
        <f t="shared" si="88"/>
        <v/>
      </c>
      <c r="DD39" s="1064" t="str">
        <f t="shared" si="89"/>
        <v/>
      </c>
      <c r="DE39" s="1064" t="str">
        <f t="shared" si="90"/>
        <v/>
      </c>
      <c r="DF39" s="1064" t="str">
        <f t="shared" si="91"/>
        <v/>
      </c>
      <c r="DG39" s="1064" t="str">
        <f t="shared" si="92"/>
        <v/>
      </c>
      <c r="DH39" s="1064" t="str">
        <f t="shared" si="93"/>
        <v/>
      </c>
      <c r="DI39" s="1064" t="str">
        <f t="shared" si="94"/>
        <v/>
      </c>
      <c r="DJ39" s="1064" t="str">
        <f t="shared" si="95"/>
        <v/>
      </c>
      <c r="DK39" s="1064" t="str">
        <f t="shared" si="96"/>
        <v/>
      </c>
      <c r="DL39" s="1064" t="str">
        <f t="shared" si="97"/>
        <v/>
      </c>
      <c r="DM39" s="1064" t="str">
        <f t="shared" si="98"/>
        <v/>
      </c>
      <c r="DN39" s="1064" t="str">
        <f t="shared" si="99"/>
        <v/>
      </c>
      <c r="DO39" s="1064" t="str">
        <f t="shared" si="100"/>
        <v/>
      </c>
      <c r="DP39" s="1064" t="str">
        <f t="shared" si="101"/>
        <v/>
      </c>
      <c r="DQ39" s="1064" t="str">
        <f t="shared" si="102"/>
        <v/>
      </c>
      <c r="DR39" s="1064" t="str">
        <f t="shared" si="103"/>
        <v/>
      </c>
      <c r="DS39" s="1064" t="str">
        <f t="shared" si="104"/>
        <v/>
      </c>
      <c r="DT39" s="1064" t="str">
        <f t="shared" si="105"/>
        <v/>
      </c>
      <c r="DU39" s="1064" t="str">
        <f t="shared" si="106"/>
        <v/>
      </c>
      <c r="DV39" s="1064" t="str">
        <f t="shared" si="107"/>
        <v/>
      </c>
      <c r="DW39" s="1064" t="str">
        <f t="shared" si="108"/>
        <v/>
      </c>
      <c r="DX39" s="1064" t="str">
        <f t="shared" si="109"/>
        <v/>
      </c>
      <c r="DY39" s="1064" t="str">
        <f t="shared" si="110"/>
        <v/>
      </c>
      <c r="DZ39" s="1064" t="str">
        <f t="shared" si="111"/>
        <v/>
      </c>
      <c r="EA39" s="1064" t="str">
        <f t="shared" si="112"/>
        <v/>
      </c>
      <c r="EB39" s="1064" t="str">
        <f t="shared" si="113"/>
        <v/>
      </c>
      <c r="EC39" s="1064" t="str">
        <f t="shared" si="114"/>
        <v/>
      </c>
      <c r="ED39" s="1064" t="str">
        <f t="shared" si="115"/>
        <v/>
      </c>
      <c r="EE39" s="1064" t="str">
        <f t="shared" si="116"/>
        <v/>
      </c>
      <c r="EF39" s="1064" t="str">
        <f t="shared" si="117"/>
        <v/>
      </c>
      <c r="EG39" s="1064" t="str">
        <f t="shared" si="313"/>
        <v/>
      </c>
      <c r="EH39" s="1064" t="str">
        <f t="shared" si="118"/>
        <v/>
      </c>
      <c r="EI39" s="1064" t="str">
        <f t="shared" si="119"/>
        <v/>
      </c>
      <c r="EJ39" s="1064" t="str">
        <f t="shared" si="120"/>
        <v/>
      </c>
      <c r="EK39" s="1064" t="str">
        <f t="shared" si="121"/>
        <v/>
      </c>
      <c r="EL39" s="1064" t="str">
        <f t="shared" si="122"/>
        <v/>
      </c>
      <c r="EM39" s="1064" t="str">
        <f t="shared" si="123"/>
        <v/>
      </c>
      <c r="EN39" s="1064" t="str">
        <f t="shared" si="124"/>
        <v/>
      </c>
      <c r="EO39" s="1064" t="str">
        <f t="shared" si="125"/>
        <v/>
      </c>
      <c r="EP39" s="1064" t="str">
        <f t="shared" si="126"/>
        <v/>
      </c>
      <c r="EQ39" s="1064" t="str">
        <f t="shared" si="127"/>
        <v/>
      </c>
      <c r="ER39" s="1064" t="str">
        <f t="shared" si="128"/>
        <v/>
      </c>
      <c r="ES39" s="1064" t="str">
        <f t="shared" si="129"/>
        <v/>
      </c>
      <c r="ET39" s="1064" t="str">
        <f t="shared" si="130"/>
        <v/>
      </c>
      <c r="EU39" s="1064" t="str">
        <f t="shared" si="131"/>
        <v/>
      </c>
      <c r="EV39" s="1064" t="str">
        <f t="shared" si="132"/>
        <v/>
      </c>
      <c r="EW39" s="1064" t="str">
        <f t="shared" si="314"/>
        <v/>
      </c>
      <c r="EX39" s="1064" t="str">
        <f t="shared" si="315"/>
        <v/>
      </c>
      <c r="EY39" s="1064" t="str">
        <f t="shared" si="316"/>
        <v/>
      </c>
      <c r="EZ39" s="1064" t="str">
        <f t="shared" si="317"/>
        <v/>
      </c>
      <c r="FA39" s="1064" t="str">
        <f t="shared" si="318"/>
        <v/>
      </c>
      <c r="FB39" s="1064" t="str">
        <f t="shared" si="133"/>
        <v/>
      </c>
      <c r="FC39" s="1064" t="str">
        <f t="shared" si="134"/>
        <v/>
      </c>
      <c r="FD39" s="1064" t="str">
        <f t="shared" si="135"/>
        <v/>
      </c>
      <c r="FE39" s="1064" t="str">
        <f t="shared" si="136"/>
        <v/>
      </c>
      <c r="FF39" s="1064" t="str">
        <f t="shared" si="137"/>
        <v/>
      </c>
      <c r="FG39" s="1064" t="str">
        <f t="shared" si="319"/>
        <v/>
      </c>
      <c r="FH39" s="1064" t="str">
        <f t="shared" si="320"/>
        <v/>
      </c>
      <c r="FI39" s="1064" t="str">
        <f t="shared" si="321"/>
        <v/>
      </c>
      <c r="FJ39" s="1064" t="str">
        <f t="shared" si="322"/>
        <v/>
      </c>
      <c r="FK39" s="1064" t="str">
        <f t="shared" si="323"/>
        <v/>
      </c>
      <c r="FL39" s="1064" t="str">
        <f t="shared" si="138"/>
        <v/>
      </c>
      <c r="FM39" s="1064" t="str">
        <f t="shared" si="139"/>
        <v/>
      </c>
      <c r="FN39" s="1064" t="str">
        <f t="shared" si="140"/>
        <v/>
      </c>
      <c r="FO39" s="1064" t="str">
        <f t="shared" si="141"/>
        <v/>
      </c>
      <c r="FP39" s="1064" t="str">
        <f t="shared" si="142"/>
        <v/>
      </c>
      <c r="FQ39" s="1064" t="str">
        <f t="shared" si="143"/>
        <v/>
      </c>
      <c r="FR39" s="1064" t="str">
        <f t="shared" si="144"/>
        <v/>
      </c>
      <c r="FS39" s="1064" t="str">
        <f t="shared" si="145"/>
        <v/>
      </c>
      <c r="FT39" s="1064" t="str">
        <f t="shared" si="146"/>
        <v/>
      </c>
      <c r="FU39" s="1064" t="str">
        <f t="shared" si="147"/>
        <v/>
      </c>
      <c r="FV39" s="1064" t="str">
        <f t="shared" si="148"/>
        <v/>
      </c>
      <c r="FW39" s="1064" t="str">
        <f t="shared" si="149"/>
        <v/>
      </c>
      <c r="FX39" s="1064" t="str">
        <f t="shared" si="150"/>
        <v/>
      </c>
      <c r="FY39" s="1064" t="str">
        <f t="shared" si="151"/>
        <v/>
      </c>
      <c r="FZ39" s="1064" t="str">
        <f t="shared" si="152"/>
        <v/>
      </c>
      <c r="GA39" s="1064" t="str">
        <f t="shared" si="153"/>
        <v/>
      </c>
      <c r="GB39" s="1064" t="str">
        <f t="shared" si="154"/>
        <v/>
      </c>
      <c r="GC39" s="1064" t="str">
        <f t="shared" si="155"/>
        <v/>
      </c>
      <c r="GD39" s="1064" t="str">
        <f t="shared" si="156"/>
        <v/>
      </c>
      <c r="GE39" s="1064" t="str">
        <f t="shared" si="157"/>
        <v/>
      </c>
      <c r="GF39" s="1064" t="str">
        <f t="shared" si="158"/>
        <v/>
      </c>
      <c r="GG39" s="1064" t="str">
        <f t="shared" si="159"/>
        <v/>
      </c>
      <c r="GH39" s="1064" t="str">
        <f t="shared" si="160"/>
        <v/>
      </c>
      <c r="GI39" s="1064" t="str">
        <f t="shared" si="161"/>
        <v/>
      </c>
      <c r="GJ39" s="1064" t="str">
        <f t="shared" si="162"/>
        <v/>
      </c>
      <c r="GK39" s="1064" t="str">
        <f t="shared" si="163"/>
        <v/>
      </c>
      <c r="GL39" s="1064" t="str">
        <f t="shared" si="164"/>
        <v/>
      </c>
      <c r="GM39" s="1064" t="str">
        <f t="shared" si="165"/>
        <v/>
      </c>
      <c r="GN39" s="1064" t="str">
        <f t="shared" si="166"/>
        <v/>
      </c>
      <c r="GO39" s="1064" t="str">
        <f t="shared" si="167"/>
        <v/>
      </c>
      <c r="GP39" s="1064" t="str">
        <f t="shared" si="168"/>
        <v/>
      </c>
      <c r="GQ39" s="1064" t="str">
        <f t="shared" si="169"/>
        <v/>
      </c>
      <c r="GR39" s="1064" t="str">
        <f t="shared" si="170"/>
        <v/>
      </c>
      <c r="GS39" s="1064" t="str">
        <f t="shared" si="171"/>
        <v/>
      </c>
      <c r="GT39" s="1064" t="str">
        <f t="shared" si="172"/>
        <v/>
      </c>
      <c r="GU39" s="1064" t="str">
        <f t="shared" si="173"/>
        <v/>
      </c>
      <c r="GV39" s="1064" t="str">
        <f t="shared" si="174"/>
        <v/>
      </c>
      <c r="GW39" s="1064" t="str">
        <f t="shared" si="175"/>
        <v/>
      </c>
      <c r="GX39" s="1064" t="str">
        <f t="shared" si="176"/>
        <v/>
      </c>
      <c r="GY39" s="1064" t="str">
        <f t="shared" si="177"/>
        <v/>
      </c>
      <c r="GZ39" s="1064" t="str">
        <f t="shared" si="178"/>
        <v/>
      </c>
      <c r="HA39" s="1064" t="str">
        <f t="shared" si="179"/>
        <v/>
      </c>
      <c r="HB39" s="1064" t="str">
        <f t="shared" si="180"/>
        <v/>
      </c>
      <c r="HC39" s="1064" t="str">
        <f t="shared" si="181"/>
        <v/>
      </c>
      <c r="HD39" s="1064" t="str">
        <f t="shared" si="182"/>
        <v/>
      </c>
      <c r="HE39" s="1064" t="str">
        <f t="shared" si="183"/>
        <v/>
      </c>
      <c r="HF39" s="1064" t="str">
        <f t="shared" si="184"/>
        <v/>
      </c>
      <c r="HG39" s="1064" t="str">
        <f t="shared" si="185"/>
        <v/>
      </c>
      <c r="HH39" s="1064" t="str">
        <f t="shared" si="186"/>
        <v/>
      </c>
      <c r="HI39" s="1064" t="str">
        <f t="shared" si="187"/>
        <v/>
      </c>
      <c r="HJ39" s="1064" t="str">
        <f t="shared" si="188"/>
        <v/>
      </c>
      <c r="HK39" s="1064" t="str">
        <f t="shared" si="189"/>
        <v/>
      </c>
      <c r="HL39" s="1064" t="str">
        <f t="shared" si="190"/>
        <v/>
      </c>
      <c r="HM39" s="1064" t="str">
        <f t="shared" si="191"/>
        <v/>
      </c>
      <c r="HN39" s="1064" t="str">
        <f t="shared" si="192"/>
        <v/>
      </c>
      <c r="HO39" s="1064" t="str">
        <f t="shared" si="193"/>
        <v/>
      </c>
      <c r="HP39" s="1064" t="str">
        <f t="shared" si="194"/>
        <v/>
      </c>
      <c r="HQ39" s="1064" t="str">
        <f t="shared" si="195"/>
        <v/>
      </c>
      <c r="HR39" s="1064" t="str">
        <f t="shared" si="196"/>
        <v/>
      </c>
      <c r="HS39" s="1064" t="str">
        <f t="shared" si="197"/>
        <v/>
      </c>
      <c r="HT39" s="1064" t="str">
        <f t="shared" si="198"/>
        <v/>
      </c>
      <c r="HU39" s="1064" t="str">
        <f t="shared" si="199"/>
        <v/>
      </c>
      <c r="HV39" s="1064" t="str">
        <f t="shared" si="200"/>
        <v/>
      </c>
      <c r="HW39" s="1064" t="str">
        <f t="shared" si="201"/>
        <v/>
      </c>
      <c r="HX39" s="1064" t="str">
        <f t="shared" si="202"/>
        <v/>
      </c>
      <c r="HY39" s="1097" t="str">
        <f t="shared" si="203"/>
        <v/>
      </c>
      <c r="HZ39" s="1097" t="str">
        <f t="shared" si="204"/>
        <v/>
      </c>
      <c r="IA39" s="1097" t="str">
        <f t="shared" si="205"/>
        <v/>
      </c>
      <c r="IB39" s="1097" t="str">
        <f t="shared" si="206"/>
        <v/>
      </c>
      <c r="IC39" s="1097" t="str">
        <f t="shared" si="207"/>
        <v/>
      </c>
      <c r="ID39" s="1097" t="str">
        <f t="shared" si="208"/>
        <v/>
      </c>
      <c r="IE39" s="1097" t="str">
        <f t="shared" si="209"/>
        <v/>
      </c>
      <c r="IF39" s="1097" t="str">
        <f t="shared" si="210"/>
        <v/>
      </c>
      <c r="IG39" s="1097" t="str">
        <f t="shared" si="211"/>
        <v/>
      </c>
      <c r="IH39" s="1097" t="str">
        <f t="shared" si="212"/>
        <v/>
      </c>
      <c r="II39" s="1097" t="str">
        <f t="shared" si="213"/>
        <v/>
      </c>
      <c r="IJ39" s="1097" t="str">
        <f t="shared" si="214"/>
        <v/>
      </c>
      <c r="IK39" s="1097" t="str">
        <f t="shared" si="215"/>
        <v/>
      </c>
      <c r="IL39" s="1097" t="str">
        <f t="shared" si="216"/>
        <v/>
      </c>
      <c r="IM39" s="1097" t="str">
        <f t="shared" si="217"/>
        <v/>
      </c>
      <c r="IN39" s="1097" t="str">
        <f t="shared" si="218"/>
        <v/>
      </c>
      <c r="IO39" s="1097" t="str">
        <f t="shared" si="219"/>
        <v/>
      </c>
      <c r="IP39" s="1097" t="str">
        <f t="shared" si="220"/>
        <v/>
      </c>
      <c r="IQ39" s="1097" t="str">
        <f t="shared" si="221"/>
        <v/>
      </c>
      <c r="IR39" s="1097" t="str">
        <f t="shared" si="222"/>
        <v/>
      </c>
      <c r="IS39" s="1097" t="str">
        <f t="shared" si="223"/>
        <v/>
      </c>
      <c r="IT39" s="1097" t="str">
        <f t="shared" si="224"/>
        <v/>
      </c>
      <c r="IU39" s="1097" t="str">
        <f t="shared" si="225"/>
        <v/>
      </c>
      <c r="IV39" s="1097" t="str">
        <f t="shared" si="226"/>
        <v/>
      </c>
      <c r="IW39" s="1097" t="str">
        <f t="shared" si="227"/>
        <v/>
      </c>
      <c r="IX39" s="1097" t="str">
        <f t="shared" si="228"/>
        <v/>
      </c>
      <c r="IY39" s="1097" t="str">
        <f t="shared" si="229"/>
        <v/>
      </c>
      <c r="IZ39" s="1097" t="str">
        <f t="shared" si="230"/>
        <v/>
      </c>
      <c r="JA39" s="1097" t="str">
        <f t="shared" si="231"/>
        <v/>
      </c>
      <c r="JB39" s="1097" t="str">
        <f t="shared" si="232"/>
        <v/>
      </c>
      <c r="JC39" s="1097" t="str">
        <f t="shared" si="233"/>
        <v/>
      </c>
      <c r="JD39" s="1097" t="str">
        <f t="shared" si="234"/>
        <v/>
      </c>
      <c r="JE39" s="1097" t="str">
        <f t="shared" si="235"/>
        <v/>
      </c>
      <c r="JF39" s="1097" t="str">
        <f t="shared" si="236"/>
        <v/>
      </c>
      <c r="JG39" s="1097" t="str">
        <f t="shared" si="237"/>
        <v/>
      </c>
      <c r="JH39" s="1097" t="str">
        <f t="shared" si="238"/>
        <v/>
      </c>
      <c r="JI39" s="1097" t="str">
        <f t="shared" si="239"/>
        <v/>
      </c>
      <c r="JJ39" s="1097" t="str">
        <f t="shared" si="240"/>
        <v/>
      </c>
      <c r="JK39" s="1097" t="str">
        <f t="shared" si="241"/>
        <v/>
      </c>
      <c r="JL39" s="1097" t="str">
        <f t="shared" si="242"/>
        <v/>
      </c>
      <c r="JM39" s="1097" t="str">
        <f t="shared" si="243"/>
        <v/>
      </c>
      <c r="JN39" s="1097" t="str">
        <f t="shared" si="244"/>
        <v/>
      </c>
      <c r="JO39" s="1097" t="str">
        <f t="shared" si="245"/>
        <v/>
      </c>
      <c r="JP39" s="1097" t="str">
        <f t="shared" si="246"/>
        <v/>
      </c>
      <c r="JQ39" s="1097" t="str">
        <f t="shared" si="247"/>
        <v/>
      </c>
      <c r="JR39" s="1097" t="str">
        <f t="shared" si="248"/>
        <v/>
      </c>
      <c r="JS39" s="1097" t="str">
        <f t="shared" si="249"/>
        <v/>
      </c>
      <c r="JT39" s="1097" t="str">
        <f t="shared" si="250"/>
        <v/>
      </c>
      <c r="JU39" s="1097" t="str">
        <f t="shared" si="251"/>
        <v/>
      </c>
      <c r="JV39" s="1097" t="str">
        <f t="shared" si="252"/>
        <v/>
      </c>
      <c r="JW39" s="1097" t="str">
        <f t="shared" si="253"/>
        <v/>
      </c>
      <c r="JX39" s="1097" t="str">
        <f t="shared" si="254"/>
        <v/>
      </c>
      <c r="JY39" s="1097" t="str">
        <f t="shared" si="255"/>
        <v/>
      </c>
      <c r="JZ39" s="1097" t="str">
        <f t="shared" si="256"/>
        <v/>
      </c>
      <c r="KA39" s="1097" t="str">
        <f t="shared" si="257"/>
        <v/>
      </c>
      <c r="KB39" s="1097" t="str">
        <f t="shared" si="258"/>
        <v/>
      </c>
      <c r="KC39" s="1097" t="str">
        <f t="shared" si="259"/>
        <v/>
      </c>
      <c r="KD39" s="1097" t="str">
        <f t="shared" si="260"/>
        <v/>
      </c>
      <c r="KE39" s="1097" t="str">
        <f t="shared" si="261"/>
        <v/>
      </c>
      <c r="KF39" s="1097" t="str">
        <f t="shared" si="262"/>
        <v/>
      </c>
      <c r="KG39" s="1097" t="str">
        <f t="shared" si="263"/>
        <v/>
      </c>
      <c r="KH39" s="1097" t="str">
        <f t="shared" si="264"/>
        <v/>
      </c>
      <c r="KI39" s="1097" t="str">
        <f t="shared" si="265"/>
        <v/>
      </c>
      <c r="KJ39" s="1097" t="str">
        <f t="shared" si="266"/>
        <v/>
      </c>
      <c r="KK39" s="1097" t="str">
        <f t="shared" si="267"/>
        <v/>
      </c>
      <c r="KL39" s="1097" t="str">
        <f t="shared" si="268"/>
        <v/>
      </c>
      <c r="KM39" s="1097" t="str">
        <f t="shared" si="269"/>
        <v/>
      </c>
      <c r="KN39" s="1097" t="str">
        <f t="shared" si="270"/>
        <v/>
      </c>
      <c r="KO39" s="1097" t="str">
        <f t="shared" si="271"/>
        <v/>
      </c>
      <c r="KP39" s="1097" t="str">
        <f t="shared" si="272"/>
        <v/>
      </c>
      <c r="KQ39" s="1097" t="str">
        <f t="shared" si="273"/>
        <v/>
      </c>
      <c r="KR39" s="1097" t="str">
        <f t="shared" si="274"/>
        <v/>
      </c>
      <c r="KS39" s="1097" t="str">
        <f t="shared" si="275"/>
        <v/>
      </c>
      <c r="KT39" s="1097" t="str">
        <f t="shared" si="276"/>
        <v/>
      </c>
      <c r="KU39" s="1097" t="str">
        <f t="shared" si="277"/>
        <v/>
      </c>
      <c r="KV39" s="1097" t="str">
        <f t="shared" si="278"/>
        <v/>
      </c>
      <c r="KW39" s="1097" t="str">
        <f t="shared" si="279"/>
        <v/>
      </c>
      <c r="KX39" s="1097" t="str">
        <f t="shared" si="280"/>
        <v/>
      </c>
      <c r="KY39" s="1097" t="str">
        <f t="shared" si="281"/>
        <v/>
      </c>
      <c r="KZ39" s="1097" t="str">
        <f t="shared" si="282"/>
        <v/>
      </c>
      <c r="LA39" s="1097" t="str">
        <f t="shared" si="283"/>
        <v/>
      </c>
      <c r="LB39" s="1097" t="str">
        <f t="shared" si="284"/>
        <v/>
      </c>
      <c r="LC39" s="1097" t="str">
        <f t="shared" si="285"/>
        <v/>
      </c>
      <c r="LD39" s="1097" t="str">
        <f t="shared" si="286"/>
        <v/>
      </c>
      <c r="LE39" s="1097" t="str">
        <f t="shared" si="287"/>
        <v/>
      </c>
      <c r="LF39" s="1098" t="str">
        <f t="shared" si="288"/>
        <v/>
      </c>
      <c r="LG39" s="1098" t="str">
        <f t="shared" si="289"/>
        <v/>
      </c>
      <c r="LH39" s="1098" t="str">
        <f t="shared" si="290"/>
        <v/>
      </c>
      <c r="LI39" s="1098" t="str">
        <f t="shared" si="291"/>
        <v/>
      </c>
      <c r="LJ39" s="1098" t="str">
        <f t="shared" si="292"/>
        <v/>
      </c>
      <c r="LK39" s="1064" t="str">
        <f t="shared" si="293"/>
        <v/>
      </c>
      <c r="LL39" s="1064" t="str">
        <f t="shared" si="294"/>
        <v/>
      </c>
      <c r="LM39" s="1064" t="str">
        <f t="shared" si="295"/>
        <v/>
      </c>
      <c r="LN39" s="1064" t="str">
        <f t="shared" si="296"/>
        <v/>
      </c>
      <c r="LO39" s="1064" t="str">
        <f t="shared" si="297"/>
        <v/>
      </c>
      <c r="LP39" s="1064" t="str">
        <f t="shared" si="298"/>
        <v/>
      </c>
      <c r="LQ39" s="1064" t="str">
        <f t="shared" si="299"/>
        <v/>
      </c>
      <c r="LR39" s="1064" t="str">
        <f t="shared" si="300"/>
        <v/>
      </c>
      <c r="LS39" s="1064" t="str">
        <f t="shared" si="301"/>
        <v/>
      </c>
      <c r="LT39" s="1064" t="str">
        <f t="shared" si="302"/>
        <v/>
      </c>
      <c r="LU39" s="1064" t="str">
        <f t="shared" si="303"/>
        <v/>
      </c>
      <c r="LV39" s="1064" t="str">
        <f t="shared" si="304"/>
        <v/>
      </c>
      <c r="LW39" s="1064" t="str">
        <f t="shared" si="305"/>
        <v/>
      </c>
      <c r="LX39" s="1064" t="str">
        <f t="shared" si="306"/>
        <v/>
      </c>
      <c r="LY39" s="1064" t="str">
        <f t="shared" si="307"/>
        <v/>
      </c>
      <c r="LZ39" s="1064" t="str">
        <f t="shared" si="308"/>
        <v/>
      </c>
      <c r="MA39" s="1064" t="str">
        <f t="shared" si="309"/>
        <v/>
      </c>
      <c r="MB39" s="1064" t="str">
        <f t="shared" si="310"/>
        <v/>
      </c>
      <c r="MC39" s="1064" t="str">
        <f t="shared" si="311"/>
        <v/>
      </c>
      <c r="MD39" s="1064" t="str">
        <f t="shared" si="312"/>
        <v/>
      </c>
      <c r="ME39" s="1081">
        <f t="shared" si="324"/>
        <v>0</v>
      </c>
      <c r="MF39" s="1081">
        <f t="shared" si="325"/>
        <v>0</v>
      </c>
      <c r="MG39" s="1081">
        <f t="shared" si="326"/>
        <v>0</v>
      </c>
      <c r="MH39" s="1081">
        <f t="shared" si="327"/>
        <v>0</v>
      </c>
      <c r="MI39" s="1081">
        <f t="shared" si="328"/>
        <v>0</v>
      </c>
      <c r="MJ39" s="1081">
        <f t="shared" si="329"/>
        <v>0</v>
      </c>
      <c r="MK39" s="1081">
        <f t="shared" si="330"/>
        <v>0</v>
      </c>
      <c r="ML39" s="1081">
        <f t="shared" si="331"/>
        <v>0</v>
      </c>
      <c r="MM39" s="1081">
        <f t="shared" si="332"/>
        <v>0</v>
      </c>
      <c r="MN39" s="1081">
        <f t="shared" si="333"/>
        <v>0</v>
      </c>
      <c r="MO39" s="1081">
        <f t="shared" si="334"/>
        <v>0</v>
      </c>
      <c r="MP39" s="1081">
        <f t="shared" si="335"/>
        <v>0</v>
      </c>
      <c r="MQ39" s="1081">
        <f t="shared" si="336"/>
        <v>0</v>
      </c>
      <c r="MR39" s="1081">
        <f t="shared" si="337"/>
        <v>0</v>
      </c>
      <c r="MS39" s="1081">
        <f t="shared" si="338"/>
        <v>0</v>
      </c>
    </row>
    <row r="40" spans="1:393" ht="12" customHeight="1">
      <c r="A40" s="1088" t="str">
        <f t="shared" si="0"/>
        <v/>
      </c>
      <c r="B40" s="44"/>
      <c r="C40" s="41"/>
      <c r="D40" s="42"/>
      <c r="E40" s="43"/>
      <c r="F40" s="43"/>
      <c r="G40" s="43"/>
      <c r="H40" s="43"/>
      <c r="I40" s="1100">
        <f>IF(C40="",0,HLOOKUP(C40,'Part V-Utility Allowances'!$I$11:$M$22,12))</f>
        <v>0</v>
      </c>
      <c r="J40" s="810"/>
      <c r="K40" s="512">
        <f t="shared" si="1"/>
        <v>0</v>
      </c>
      <c r="L40" s="512">
        <f t="shared" si="2"/>
        <v>0</v>
      </c>
      <c r="M40" s="1101"/>
      <c r="N40" s="1101"/>
      <c r="O40" s="1101"/>
      <c r="P40" s="1102"/>
      <c r="Q40" s="1103" t="str">
        <f t="shared" si="3"/>
        <v/>
      </c>
      <c r="R40" s="1104" t="str">
        <f>IF(H40="","",IF(C40="Efficiency",Q40/($O$6*VLOOKUP(0,'DCA Underwriting Assumptions'!$J$146:$K$151,2,FALSE)),Q40/($O$6*VLOOKUP(C40,'DCA Underwriting Assumptions'!$J$146:$K$151,2,FALSE))))</f>
        <v/>
      </c>
      <c r="S40" s="1105"/>
      <c r="T40" s="1106"/>
      <c r="U40" s="2314"/>
      <c r="V40" s="2316"/>
      <c r="W40" s="1064" t="str">
        <f t="shared" si="4"/>
        <v/>
      </c>
      <c r="X40" s="1064" t="str">
        <f t="shared" si="5"/>
        <v/>
      </c>
      <c r="Y40" s="1064" t="str">
        <f t="shared" si="6"/>
        <v/>
      </c>
      <c r="Z40" s="1064" t="str">
        <f t="shared" si="7"/>
        <v/>
      </c>
      <c r="AA40" s="1064" t="str">
        <f t="shared" si="8"/>
        <v/>
      </c>
      <c r="AB40" s="1064" t="str">
        <f t="shared" si="9"/>
        <v/>
      </c>
      <c r="AC40" s="1064" t="str">
        <f t="shared" si="10"/>
        <v/>
      </c>
      <c r="AD40" s="1064" t="str">
        <f t="shared" si="11"/>
        <v/>
      </c>
      <c r="AE40" s="1064" t="str">
        <f t="shared" si="12"/>
        <v/>
      </c>
      <c r="AF40" s="1064" t="str">
        <f t="shared" si="13"/>
        <v/>
      </c>
      <c r="AG40" s="1064" t="str">
        <f t="shared" si="14"/>
        <v/>
      </c>
      <c r="AH40" s="1064" t="str">
        <f t="shared" si="15"/>
        <v/>
      </c>
      <c r="AI40" s="1064" t="str">
        <f t="shared" si="16"/>
        <v/>
      </c>
      <c r="AJ40" s="1064" t="str">
        <f t="shared" si="17"/>
        <v/>
      </c>
      <c r="AK40" s="1064" t="str">
        <f t="shared" si="18"/>
        <v/>
      </c>
      <c r="AL40" s="1064" t="str">
        <f t="shared" si="19"/>
        <v/>
      </c>
      <c r="AM40" s="1064" t="str">
        <f t="shared" si="20"/>
        <v/>
      </c>
      <c r="AN40" s="1064" t="str">
        <f t="shared" si="21"/>
        <v/>
      </c>
      <c r="AO40" s="1064" t="str">
        <f t="shared" si="22"/>
        <v/>
      </c>
      <c r="AP40" s="1064" t="str">
        <f t="shared" si="23"/>
        <v/>
      </c>
      <c r="AQ40" s="1064" t="str">
        <f t="shared" si="24"/>
        <v/>
      </c>
      <c r="AR40" s="1064" t="str">
        <f t="shared" si="25"/>
        <v/>
      </c>
      <c r="AS40" s="1064" t="str">
        <f t="shared" si="26"/>
        <v/>
      </c>
      <c r="AT40" s="1064" t="str">
        <f t="shared" si="27"/>
        <v/>
      </c>
      <c r="AU40" s="1064" t="str">
        <f t="shared" si="28"/>
        <v/>
      </c>
      <c r="AV40" s="1064" t="str">
        <f t="shared" si="29"/>
        <v/>
      </c>
      <c r="AW40" s="1064" t="str">
        <f t="shared" si="30"/>
        <v/>
      </c>
      <c r="AX40" s="1064" t="str">
        <f t="shared" si="31"/>
        <v/>
      </c>
      <c r="AY40" s="1064" t="str">
        <f t="shared" si="32"/>
        <v/>
      </c>
      <c r="AZ40" s="1064" t="str">
        <f t="shared" si="33"/>
        <v/>
      </c>
      <c r="BA40" s="1064" t="str">
        <f t="shared" si="34"/>
        <v/>
      </c>
      <c r="BB40" s="1064" t="str">
        <f t="shared" si="35"/>
        <v/>
      </c>
      <c r="BC40" s="1064" t="str">
        <f t="shared" si="36"/>
        <v/>
      </c>
      <c r="BD40" s="1064" t="str">
        <f t="shared" si="37"/>
        <v/>
      </c>
      <c r="BE40" s="1064" t="str">
        <f t="shared" si="38"/>
        <v/>
      </c>
      <c r="BF40" s="1064" t="str">
        <f t="shared" si="39"/>
        <v/>
      </c>
      <c r="BG40" s="1064" t="str">
        <f t="shared" si="40"/>
        <v/>
      </c>
      <c r="BH40" s="1064" t="str">
        <f t="shared" si="41"/>
        <v/>
      </c>
      <c r="BI40" s="1064" t="str">
        <f t="shared" si="42"/>
        <v/>
      </c>
      <c r="BJ40" s="1064" t="str">
        <f t="shared" si="43"/>
        <v/>
      </c>
      <c r="BK40" s="1064" t="str">
        <f t="shared" si="44"/>
        <v/>
      </c>
      <c r="BL40" s="1064" t="str">
        <f t="shared" si="45"/>
        <v/>
      </c>
      <c r="BM40" s="1064" t="str">
        <f t="shared" si="46"/>
        <v/>
      </c>
      <c r="BN40" s="1064" t="str">
        <f t="shared" si="47"/>
        <v/>
      </c>
      <c r="BO40" s="1064" t="str">
        <f t="shared" si="48"/>
        <v/>
      </c>
      <c r="BP40" s="1064" t="str">
        <f t="shared" si="49"/>
        <v/>
      </c>
      <c r="BQ40" s="1064" t="str">
        <f t="shared" si="50"/>
        <v/>
      </c>
      <c r="BR40" s="1064" t="str">
        <f t="shared" si="51"/>
        <v/>
      </c>
      <c r="BS40" s="1064" t="str">
        <f t="shared" si="52"/>
        <v/>
      </c>
      <c r="BT40" s="1064" t="str">
        <f t="shared" si="53"/>
        <v/>
      </c>
      <c r="BU40" s="1064" t="str">
        <f t="shared" si="54"/>
        <v/>
      </c>
      <c r="BV40" s="1064" t="str">
        <f t="shared" si="55"/>
        <v/>
      </c>
      <c r="BW40" s="1064" t="str">
        <f t="shared" si="56"/>
        <v/>
      </c>
      <c r="BX40" s="1064" t="str">
        <f t="shared" si="57"/>
        <v/>
      </c>
      <c r="BY40" s="1064" t="str">
        <f t="shared" si="58"/>
        <v/>
      </c>
      <c r="BZ40" s="1064" t="str">
        <f t="shared" si="59"/>
        <v/>
      </c>
      <c r="CA40" s="1064" t="str">
        <f t="shared" si="60"/>
        <v/>
      </c>
      <c r="CB40" s="1064" t="str">
        <f t="shared" si="61"/>
        <v/>
      </c>
      <c r="CC40" s="1064" t="str">
        <f t="shared" si="62"/>
        <v/>
      </c>
      <c r="CD40" s="1064" t="str">
        <f t="shared" si="63"/>
        <v/>
      </c>
      <c r="CE40" s="1064" t="str">
        <f t="shared" si="64"/>
        <v/>
      </c>
      <c r="CF40" s="1064" t="str">
        <f t="shared" si="65"/>
        <v/>
      </c>
      <c r="CG40" s="1064" t="str">
        <f t="shared" si="66"/>
        <v/>
      </c>
      <c r="CH40" s="1064" t="str">
        <f t="shared" si="67"/>
        <v/>
      </c>
      <c r="CI40" s="1064" t="str">
        <f t="shared" si="68"/>
        <v/>
      </c>
      <c r="CJ40" s="1064" t="str">
        <f t="shared" si="69"/>
        <v/>
      </c>
      <c r="CK40" s="1064" t="str">
        <f t="shared" si="70"/>
        <v/>
      </c>
      <c r="CL40" s="1064" t="str">
        <f t="shared" si="71"/>
        <v/>
      </c>
      <c r="CM40" s="1064" t="str">
        <f t="shared" si="72"/>
        <v/>
      </c>
      <c r="CN40" s="1064" t="str">
        <f t="shared" si="73"/>
        <v/>
      </c>
      <c r="CO40" s="1064" t="str">
        <f t="shared" si="74"/>
        <v/>
      </c>
      <c r="CP40" s="1064" t="str">
        <f t="shared" si="75"/>
        <v/>
      </c>
      <c r="CQ40" s="1064" t="str">
        <f t="shared" si="76"/>
        <v/>
      </c>
      <c r="CR40" s="1064" t="str">
        <f t="shared" si="77"/>
        <v/>
      </c>
      <c r="CS40" s="1064" t="str">
        <f t="shared" si="78"/>
        <v/>
      </c>
      <c r="CT40" s="1064" t="str">
        <f t="shared" si="79"/>
        <v/>
      </c>
      <c r="CU40" s="1064" t="str">
        <f t="shared" si="80"/>
        <v/>
      </c>
      <c r="CV40" s="1064" t="str">
        <f t="shared" si="81"/>
        <v/>
      </c>
      <c r="CW40" s="1064" t="str">
        <f t="shared" si="82"/>
        <v/>
      </c>
      <c r="CX40" s="1064" t="str">
        <f t="shared" si="83"/>
        <v/>
      </c>
      <c r="CY40" s="1064" t="str">
        <f t="shared" si="84"/>
        <v/>
      </c>
      <c r="CZ40" s="1064" t="str">
        <f t="shared" si="85"/>
        <v/>
      </c>
      <c r="DA40" s="1064" t="str">
        <f t="shared" si="86"/>
        <v/>
      </c>
      <c r="DB40" s="1064" t="str">
        <f t="shared" si="87"/>
        <v/>
      </c>
      <c r="DC40" s="1064" t="str">
        <f t="shared" si="88"/>
        <v/>
      </c>
      <c r="DD40" s="1064" t="str">
        <f t="shared" si="89"/>
        <v/>
      </c>
      <c r="DE40" s="1064" t="str">
        <f t="shared" si="90"/>
        <v/>
      </c>
      <c r="DF40" s="1064" t="str">
        <f t="shared" si="91"/>
        <v/>
      </c>
      <c r="DG40" s="1064" t="str">
        <f t="shared" si="92"/>
        <v/>
      </c>
      <c r="DH40" s="1064" t="str">
        <f t="shared" si="93"/>
        <v/>
      </c>
      <c r="DI40" s="1064" t="str">
        <f t="shared" si="94"/>
        <v/>
      </c>
      <c r="DJ40" s="1064" t="str">
        <f t="shared" si="95"/>
        <v/>
      </c>
      <c r="DK40" s="1064" t="str">
        <f t="shared" si="96"/>
        <v/>
      </c>
      <c r="DL40" s="1064" t="str">
        <f t="shared" si="97"/>
        <v/>
      </c>
      <c r="DM40" s="1064" t="str">
        <f t="shared" si="98"/>
        <v/>
      </c>
      <c r="DN40" s="1064" t="str">
        <f t="shared" si="99"/>
        <v/>
      </c>
      <c r="DO40" s="1064" t="str">
        <f t="shared" si="100"/>
        <v/>
      </c>
      <c r="DP40" s="1064" t="str">
        <f t="shared" si="101"/>
        <v/>
      </c>
      <c r="DQ40" s="1064" t="str">
        <f t="shared" si="102"/>
        <v/>
      </c>
      <c r="DR40" s="1064" t="str">
        <f t="shared" si="103"/>
        <v/>
      </c>
      <c r="DS40" s="1064" t="str">
        <f t="shared" si="104"/>
        <v/>
      </c>
      <c r="DT40" s="1064" t="str">
        <f t="shared" si="105"/>
        <v/>
      </c>
      <c r="DU40" s="1064" t="str">
        <f t="shared" si="106"/>
        <v/>
      </c>
      <c r="DV40" s="1064" t="str">
        <f t="shared" si="107"/>
        <v/>
      </c>
      <c r="DW40" s="1064" t="str">
        <f t="shared" si="108"/>
        <v/>
      </c>
      <c r="DX40" s="1064" t="str">
        <f t="shared" si="109"/>
        <v/>
      </c>
      <c r="DY40" s="1064" t="str">
        <f t="shared" si="110"/>
        <v/>
      </c>
      <c r="DZ40" s="1064" t="str">
        <f t="shared" si="111"/>
        <v/>
      </c>
      <c r="EA40" s="1064" t="str">
        <f t="shared" si="112"/>
        <v/>
      </c>
      <c r="EB40" s="1064" t="str">
        <f t="shared" si="113"/>
        <v/>
      </c>
      <c r="EC40" s="1064" t="str">
        <f t="shared" si="114"/>
        <v/>
      </c>
      <c r="ED40" s="1064" t="str">
        <f t="shared" si="115"/>
        <v/>
      </c>
      <c r="EE40" s="1064" t="str">
        <f t="shared" si="116"/>
        <v/>
      </c>
      <c r="EF40" s="1064" t="str">
        <f t="shared" si="117"/>
        <v/>
      </c>
      <c r="EG40" s="1064" t="str">
        <f t="shared" si="313"/>
        <v/>
      </c>
      <c r="EH40" s="1064" t="str">
        <f t="shared" si="118"/>
        <v/>
      </c>
      <c r="EI40" s="1064" t="str">
        <f t="shared" si="119"/>
        <v/>
      </c>
      <c r="EJ40" s="1064" t="str">
        <f t="shared" si="120"/>
        <v/>
      </c>
      <c r="EK40" s="1064" t="str">
        <f t="shared" si="121"/>
        <v/>
      </c>
      <c r="EL40" s="1064" t="str">
        <f t="shared" si="122"/>
        <v/>
      </c>
      <c r="EM40" s="1064" t="str">
        <f t="shared" si="123"/>
        <v/>
      </c>
      <c r="EN40" s="1064" t="str">
        <f t="shared" si="124"/>
        <v/>
      </c>
      <c r="EO40" s="1064" t="str">
        <f t="shared" si="125"/>
        <v/>
      </c>
      <c r="EP40" s="1064" t="str">
        <f t="shared" si="126"/>
        <v/>
      </c>
      <c r="EQ40" s="1064" t="str">
        <f t="shared" si="127"/>
        <v/>
      </c>
      <c r="ER40" s="1064" t="str">
        <f t="shared" si="128"/>
        <v/>
      </c>
      <c r="ES40" s="1064" t="str">
        <f t="shared" si="129"/>
        <v/>
      </c>
      <c r="ET40" s="1064" t="str">
        <f t="shared" si="130"/>
        <v/>
      </c>
      <c r="EU40" s="1064" t="str">
        <f t="shared" si="131"/>
        <v/>
      </c>
      <c r="EV40" s="1064" t="str">
        <f t="shared" si="132"/>
        <v/>
      </c>
      <c r="EW40" s="1064" t="str">
        <f t="shared" si="314"/>
        <v/>
      </c>
      <c r="EX40" s="1064" t="str">
        <f t="shared" si="315"/>
        <v/>
      </c>
      <c r="EY40" s="1064" t="str">
        <f t="shared" si="316"/>
        <v/>
      </c>
      <c r="EZ40" s="1064" t="str">
        <f t="shared" si="317"/>
        <v/>
      </c>
      <c r="FA40" s="1064" t="str">
        <f t="shared" si="318"/>
        <v/>
      </c>
      <c r="FB40" s="1064" t="str">
        <f t="shared" si="133"/>
        <v/>
      </c>
      <c r="FC40" s="1064" t="str">
        <f t="shared" si="134"/>
        <v/>
      </c>
      <c r="FD40" s="1064" t="str">
        <f t="shared" si="135"/>
        <v/>
      </c>
      <c r="FE40" s="1064" t="str">
        <f t="shared" si="136"/>
        <v/>
      </c>
      <c r="FF40" s="1064" t="str">
        <f t="shared" si="137"/>
        <v/>
      </c>
      <c r="FG40" s="1064" t="str">
        <f t="shared" si="319"/>
        <v/>
      </c>
      <c r="FH40" s="1064" t="str">
        <f t="shared" si="320"/>
        <v/>
      </c>
      <c r="FI40" s="1064" t="str">
        <f t="shared" si="321"/>
        <v/>
      </c>
      <c r="FJ40" s="1064" t="str">
        <f t="shared" si="322"/>
        <v/>
      </c>
      <c r="FK40" s="1064" t="str">
        <f t="shared" si="323"/>
        <v/>
      </c>
      <c r="FL40" s="1064" t="str">
        <f t="shared" si="138"/>
        <v/>
      </c>
      <c r="FM40" s="1064" t="str">
        <f t="shared" si="139"/>
        <v/>
      </c>
      <c r="FN40" s="1064" t="str">
        <f t="shared" si="140"/>
        <v/>
      </c>
      <c r="FO40" s="1064" t="str">
        <f t="shared" si="141"/>
        <v/>
      </c>
      <c r="FP40" s="1064" t="str">
        <f t="shared" si="142"/>
        <v/>
      </c>
      <c r="FQ40" s="1064" t="str">
        <f t="shared" si="143"/>
        <v/>
      </c>
      <c r="FR40" s="1064" t="str">
        <f t="shared" si="144"/>
        <v/>
      </c>
      <c r="FS40" s="1064" t="str">
        <f t="shared" si="145"/>
        <v/>
      </c>
      <c r="FT40" s="1064" t="str">
        <f t="shared" si="146"/>
        <v/>
      </c>
      <c r="FU40" s="1064" t="str">
        <f t="shared" si="147"/>
        <v/>
      </c>
      <c r="FV40" s="1064" t="str">
        <f t="shared" si="148"/>
        <v/>
      </c>
      <c r="FW40" s="1064" t="str">
        <f t="shared" si="149"/>
        <v/>
      </c>
      <c r="FX40" s="1064" t="str">
        <f t="shared" si="150"/>
        <v/>
      </c>
      <c r="FY40" s="1064" t="str">
        <f t="shared" si="151"/>
        <v/>
      </c>
      <c r="FZ40" s="1064" t="str">
        <f t="shared" si="152"/>
        <v/>
      </c>
      <c r="GA40" s="1064" t="str">
        <f t="shared" si="153"/>
        <v/>
      </c>
      <c r="GB40" s="1064" t="str">
        <f t="shared" si="154"/>
        <v/>
      </c>
      <c r="GC40" s="1064" t="str">
        <f t="shared" si="155"/>
        <v/>
      </c>
      <c r="GD40" s="1064" t="str">
        <f t="shared" si="156"/>
        <v/>
      </c>
      <c r="GE40" s="1064" t="str">
        <f t="shared" si="157"/>
        <v/>
      </c>
      <c r="GF40" s="1064" t="str">
        <f t="shared" si="158"/>
        <v/>
      </c>
      <c r="GG40" s="1064" t="str">
        <f t="shared" si="159"/>
        <v/>
      </c>
      <c r="GH40" s="1064" t="str">
        <f t="shared" si="160"/>
        <v/>
      </c>
      <c r="GI40" s="1064" t="str">
        <f t="shared" si="161"/>
        <v/>
      </c>
      <c r="GJ40" s="1064" t="str">
        <f t="shared" si="162"/>
        <v/>
      </c>
      <c r="GK40" s="1064" t="str">
        <f t="shared" si="163"/>
        <v/>
      </c>
      <c r="GL40" s="1064" t="str">
        <f t="shared" si="164"/>
        <v/>
      </c>
      <c r="GM40" s="1064" t="str">
        <f t="shared" si="165"/>
        <v/>
      </c>
      <c r="GN40" s="1064" t="str">
        <f t="shared" si="166"/>
        <v/>
      </c>
      <c r="GO40" s="1064" t="str">
        <f t="shared" si="167"/>
        <v/>
      </c>
      <c r="GP40" s="1064" t="str">
        <f t="shared" si="168"/>
        <v/>
      </c>
      <c r="GQ40" s="1064" t="str">
        <f t="shared" si="169"/>
        <v/>
      </c>
      <c r="GR40" s="1064" t="str">
        <f t="shared" si="170"/>
        <v/>
      </c>
      <c r="GS40" s="1064" t="str">
        <f t="shared" si="171"/>
        <v/>
      </c>
      <c r="GT40" s="1064" t="str">
        <f t="shared" si="172"/>
        <v/>
      </c>
      <c r="GU40" s="1064" t="str">
        <f t="shared" si="173"/>
        <v/>
      </c>
      <c r="GV40" s="1064" t="str">
        <f t="shared" si="174"/>
        <v/>
      </c>
      <c r="GW40" s="1064" t="str">
        <f t="shared" si="175"/>
        <v/>
      </c>
      <c r="GX40" s="1064" t="str">
        <f t="shared" si="176"/>
        <v/>
      </c>
      <c r="GY40" s="1064" t="str">
        <f t="shared" si="177"/>
        <v/>
      </c>
      <c r="GZ40" s="1064" t="str">
        <f t="shared" si="178"/>
        <v/>
      </c>
      <c r="HA40" s="1064" t="str">
        <f t="shared" si="179"/>
        <v/>
      </c>
      <c r="HB40" s="1064" t="str">
        <f t="shared" si="180"/>
        <v/>
      </c>
      <c r="HC40" s="1064" t="str">
        <f t="shared" si="181"/>
        <v/>
      </c>
      <c r="HD40" s="1064" t="str">
        <f t="shared" si="182"/>
        <v/>
      </c>
      <c r="HE40" s="1064" t="str">
        <f t="shared" si="183"/>
        <v/>
      </c>
      <c r="HF40" s="1064" t="str">
        <f t="shared" si="184"/>
        <v/>
      </c>
      <c r="HG40" s="1064" t="str">
        <f t="shared" si="185"/>
        <v/>
      </c>
      <c r="HH40" s="1064" t="str">
        <f t="shared" si="186"/>
        <v/>
      </c>
      <c r="HI40" s="1064" t="str">
        <f t="shared" si="187"/>
        <v/>
      </c>
      <c r="HJ40" s="1064" t="str">
        <f t="shared" si="188"/>
        <v/>
      </c>
      <c r="HK40" s="1064" t="str">
        <f t="shared" si="189"/>
        <v/>
      </c>
      <c r="HL40" s="1064" t="str">
        <f t="shared" si="190"/>
        <v/>
      </c>
      <c r="HM40" s="1064" t="str">
        <f t="shared" si="191"/>
        <v/>
      </c>
      <c r="HN40" s="1064" t="str">
        <f t="shared" si="192"/>
        <v/>
      </c>
      <c r="HO40" s="1064" t="str">
        <f t="shared" si="193"/>
        <v/>
      </c>
      <c r="HP40" s="1064" t="str">
        <f t="shared" si="194"/>
        <v/>
      </c>
      <c r="HQ40" s="1064" t="str">
        <f t="shared" si="195"/>
        <v/>
      </c>
      <c r="HR40" s="1064" t="str">
        <f t="shared" si="196"/>
        <v/>
      </c>
      <c r="HS40" s="1064" t="str">
        <f t="shared" si="197"/>
        <v/>
      </c>
      <c r="HT40" s="1064" t="str">
        <f t="shared" si="198"/>
        <v/>
      </c>
      <c r="HU40" s="1064" t="str">
        <f t="shared" si="199"/>
        <v/>
      </c>
      <c r="HV40" s="1064" t="str">
        <f t="shared" si="200"/>
        <v/>
      </c>
      <c r="HW40" s="1064" t="str">
        <f t="shared" si="201"/>
        <v/>
      </c>
      <c r="HX40" s="1064" t="str">
        <f t="shared" si="202"/>
        <v/>
      </c>
      <c r="HY40" s="1097" t="str">
        <f t="shared" si="203"/>
        <v/>
      </c>
      <c r="HZ40" s="1097" t="str">
        <f t="shared" si="204"/>
        <v/>
      </c>
      <c r="IA40" s="1097" t="str">
        <f t="shared" si="205"/>
        <v/>
      </c>
      <c r="IB40" s="1097" t="str">
        <f t="shared" si="206"/>
        <v/>
      </c>
      <c r="IC40" s="1097" t="str">
        <f t="shared" si="207"/>
        <v/>
      </c>
      <c r="ID40" s="1097" t="str">
        <f t="shared" si="208"/>
        <v/>
      </c>
      <c r="IE40" s="1097" t="str">
        <f t="shared" si="209"/>
        <v/>
      </c>
      <c r="IF40" s="1097" t="str">
        <f t="shared" si="210"/>
        <v/>
      </c>
      <c r="IG40" s="1097" t="str">
        <f t="shared" si="211"/>
        <v/>
      </c>
      <c r="IH40" s="1097" t="str">
        <f t="shared" si="212"/>
        <v/>
      </c>
      <c r="II40" s="1097" t="str">
        <f t="shared" si="213"/>
        <v/>
      </c>
      <c r="IJ40" s="1097" t="str">
        <f t="shared" si="214"/>
        <v/>
      </c>
      <c r="IK40" s="1097" t="str">
        <f t="shared" si="215"/>
        <v/>
      </c>
      <c r="IL40" s="1097" t="str">
        <f t="shared" si="216"/>
        <v/>
      </c>
      <c r="IM40" s="1097" t="str">
        <f t="shared" si="217"/>
        <v/>
      </c>
      <c r="IN40" s="1097" t="str">
        <f t="shared" si="218"/>
        <v/>
      </c>
      <c r="IO40" s="1097" t="str">
        <f t="shared" si="219"/>
        <v/>
      </c>
      <c r="IP40" s="1097" t="str">
        <f t="shared" si="220"/>
        <v/>
      </c>
      <c r="IQ40" s="1097" t="str">
        <f t="shared" si="221"/>
        <v/>
      </c>
      <c r="IR40" s="1097" t="str">
        <f t="shared" si="222"/>
        <v/>
      </c>
      <c r="IS40" s="1097" t="str">
        <f t="shared" si="223"/>
        <v/>
      </c>
      <c r="IT40" s="1097" t="str">
        <f t="shared" si="224"/>
        <v/>
      </c>
      <c r="IU40" s="1097" t="str">
        <f t="shared" si="225"/>
        <v/>
      </c>
      <c r="IV40" s="1097" t="str">
        <f t="shared" si="226"/>
        <v/>
      </c>
      <c r="IW40" s="1097" t="str">
        <f t="shared" si="227"/>
        <v/>
      </c>
      <c r="IX40" s="1097" t="str">
        <f t="shared" si="228"/>
        <v/>
      </c>
      <c r="IY40" s="1097" t="str">
        <f t="shared" si="229"/>
        <v/>
      </c>
      <c r="IZ40" s="1097" t="str">
        <f t="shared" si="230"/>
        <v/>
      </c>
      <c r="JA40" s="1097" t="str">
        <f t="shared" si="231"/>
        <v/>
      </c>
      <c r="JB40" s="1097" t="str">
        <f t="shared" si="232"/>
        <v/>
      </c>
      <c r="JC40" s="1097" t="str">
        <f t="shared" si="233"/>
        <v/>
      </c>
      <c r="JD40" s="1097" t="str">
        <f t="shared" si="234"/>
        <v/>
      </c>
      <c r="JE40" s="1097" t="str">
        <f t="shared" si="235"/>
        <v/>
      </c>
      <c r="JF40" s="1097" t="str">
        <f t="shared" si="236"/>
        <v/>
      </c>
      <c r="JG40" s="1097" t="str">
        <f t="shared" si="237"/>
        <v/>
      </c>
      <c r="JH40" s="1097" t="str">
        <f t="shared" si="238"/>
        <v/>
      </c>
      <c r="JI40" s="1097" t="str">
        <f t="shared" si="239"/>
        <v/>
      </c>
      <c r="JJ40" s="1097" t="str">
        <f t="shared" si="240"/>
        <v/>
      </c>
      <c r="JK40" s="1097" t="str">
        <f t="shared" si="241"/>
        <v/>
      </c>
      <c r="JL40" s="1097" t="str">
        <f t="shared" si="242"/>
        <v/>
      </c>
      <c r="JM40" s="1097" t="str">
        <f t="shared" si="243"/>
        <v/>
      </c>
      <c r="JN40" s="1097" t="str">
        <f t="shared" si="244"/>
        <v/>
      </c>
      <c r="JO40" s="1097" t="str">
        <f t="shared" si="245"/>
        <v/>
      </c>
      <c r="JP40" s="1097" t="str">
        <f t="shared" si="246"/>
        <v/>
      </c>
      <c r="JQ40" s="1097" t="str">
        <f t="shared" si="247"/>
        <v/>
      </c>
      <c r="JR40" s="1097" t="str">
        <f t="shared" si="248"/>
        <v/>
      </c>
      <c r="JS40" s="1097" t="str">
        <f t="shared" si="249"/>
        <v/>
      </c>
      <c r="JT40" s="1097" t="str">
        <f t="shared" si="250"/>
        <v/>
      </c>
      <c r="JU40" s="1097" t="str">
        <f t="shared" si="251"/>
        <v/>
      </c>
      <c r="JV40" s="1097" t="str">
        <f t="shared" si="252"/>
        <v/>
      </c>
      <c r="JW40" s="1097" t="str">
        <f t="shared" si="253"/>
        <v/>
      </c>
      <c r="JX40" s="1097" t="str">
        <f t="shared" si="254"/>
        <v/>
      </c>
      <c r="JY40" s="1097" t="str">
        <f t="shared" si="255"/>
        <v/>
      </c>
      <c r="JZ40" s="1097" t="str">
        <f t="shared" si="256"/>
        <v/>
      </c>
      <c r="KA40" s="1097" t="str">
        <f t="shared" si="257"/>
        <v/>
      </c>
      <c r="KB40" s="1097" t="str">
        <f t="shared" si="258"/>
        <v/>
      </c>
      <c r="KC40" s="1097" t="str">
        <f t="shared" si="259"/>
        <v/>
      </c>
      <c r="KD40" s="1097" t="str">
        <f t="shared" si="260"/>
        <v/>
      </c>
      <c r="KE40" s="1097" t="str">
        <f t="shared" si="261"/>
        <v/>
      </c>
      <c r="KF40" s="1097" t="str">
        <f t="shared" si="262"/>
        <v/>
      </c>
      <c r="KG40" s="1097" t="str">
        <f t="shared" si="263"/>
        <v/>
      </c>
      <c r="KH40" s="1097" t="str">
        <f t="shared" si="264"/>
        <v/>
      </c>
      <c r="KI40" s="1097" t="str">
        <f t="shared" si="265"/>
        <v/>
      </c>
      <c r="KJ40" s="1097" t="str">
        <f t="shared" si="266"/>
        <v/>
      </c>
      <c r="KK40" s="1097" t="str">
        <f t="shared" si="267"/>
        <v/>
      </c>
      <c r="KL40" s="1097" t="str">
        <f t="shared" si="268"/>
        <v/>
      </c>
      <c r="KM40" s="1097" t="str">
        <f t="shared" si="269"/>
        <v/>
      </c>
      <c r="KN40" s="1097" t="str">
        <f t="shared" si="270"/>
        <v/>
      </c>
      <c r="KO40" s="1097" t="str">
        <f t="shared" si="271"/>
        <v/>
      </c>
      <c r="KP40" s="1097" t="str">
        <f t="shared" si="272"/>
        <v/>
      </c>
      <c r="KQ40" s="1097" t="str">
        <f t="shared" si="273"/>
        <v/>
      </c>
      <c r="KR40" s="1097" t="str">
        <f t="shared" si="274"/>
        <v/>
      </c>
      <c r="KS40" s="1097" t="str">
        <f t="shared" si="275"/>
        <v/>
      </c>
      <c r="KT40" s="1097" t="str">
        <f t="shared" si="276"/>
        <v/>
      </c>
      <c r="KU40" s="1097" t="str">
        <f t="shared" si="277"/>
        <v/>
      </c>
      <c r="KV40" s="1097" t="str">
        <f t="shared" si="278"/>
        <v/>
      </c>
      <c r="KW40" s="1097" t="str">
        <f t="shared" si="279"/>
        <v/>
      </c>
      <c r="KX40" s="1097" t="str">
        <f t="shared" si="280"/>
        <v/>
      </c>
      <c r="KY40" s="1097" t="str">
        <f t="shared" si="281"/>
        <v/>
      </c>
      <c r="KZ40" s="1097" t="str">
        <f t="shared" si="282"/>
        <v/>
      </c>
      <c r="LA40" s="1097" t="str">
        <f t="shared" si="283"/>
        <v/>
      </c>
      <c r="LB40" s="1097" t="str">
        <f t="shared" si="284"/>
        <v/>
      </c>
      <c r="LC40" s="1097" t="str">
        <f t="shared" si="285"/>
        <v/>
      </c>
      <c r="LD40" s="1097" t="str">
        <f t="shared" si="286"/>
        <v/>
      </c>
      <c r="LE40" s="1097" t="str">
        <f t="shared" si="287"/>
        <v/>
      </c>
      <c r="LF40" s="1098" t="str">
        <f t="shared" si="288"/>
        <v/>
      </c>
      <c r="LG40" s="1098" t="str">
        <f t="shared" si="289"/>
        <v/>
      </c>
      <c r="LH40" s="1098" t="str">
        <f t="shared" si="290"/>
        <v/>
      </c>
      <c r="LI40" s="1098" t="str">
        <f t="shared" si="291"/>
        <v/>
      </c>
      <c r="LJ40" s="1098" t="str">
        <f t="shared" si="292"/>
        <v/>
      </c>
      <c r="LK40" s="1064" t="str">
        <f t="shared" si="293"/>
        <v/>
      </c>
      <c r="LL40" s="1064" t="str">
        <f t="shared" si="294"/>
        <v/>
      </c>
      <c r="LM40" s="1064" t="str">
        <f t="shared" si="295"/>
        <v/>
      </c>
      <c r="LN40" s="1064" t="str">
        <f t="shared" si="296"/>
        <v/>
      </c>
      <c r="LO40" s="1064" t="str">
        <f t="shared" si="297"/>
        <v/>
      </c>
      <c r="LP40" s="1064" t="str">
        <f t="shared" si="298"/>
        <v/>
      </c>
      <c r="LQ40" s="1064" t="str">
        <f t="shared" si="299"/>
        <v/>
      </c>
      <c r="LR40" s="1064" t="str">
        <f t="shared" si="300"/>
        <v/>
      </c>
      <c r="LS40" s="1064" t="str">
        <f t="shared" si="301"/>
        <v/>
      </c>
      <c r="LT40" s="1064" t="str">
        <f t="shared" si="302"/>
        <v/>
      </c>
      <c r="LU40" s="1064" t="str">
        <f t="shared" si="303"/>
        <v/>
      </c>
      <c r="LV40" s="1064" t="str">
        <f t="shared" si="304"/>
        <v/>
      </c>
      <c r="LW40" s="1064" t="str">
        <f t="shared" si="305"/>
        <v/>
      </c>
      <c r="LX40" s="1064" t="str">
        <f t="shared" si="306"/>
        <v/>
      </c>
      <c r="LY40" s="1064" t="str">
        <f t="shared" si="307"/>
        <v/>
      </c>
      <c r="LZ40" s="1064" t="str">
        <f t="shared" si="308"/>
        <v/>
      </c>
      <c r="MA40" s="1064" t="str">
        <f t="shared" si="309"/>
        <v/>
      </c>
      <c r="MB40" s="1064" t="str">
        <f t="shared" si="310"/>
        <v/>
      </c>
      <c r="MC40" s="1064" t="str">
        <f t="shared" si="311"/>
        <v/>
      </c>
      <c r="MD40" s="1064" t="str">
        <f t="shared" si="312"/>
        <v/>
      </c>
      <c r="ME40" s="1081">
        <f t="shared" si="324"/>
        <v>0</v>
      </c>
      <c r="MF40" s="1081">
        <f t="shared" si="325"/>
        <v>0</v>
      </c>
      <c r="MG40" s="1081">
        <f t="shared" si="326"/>
        <v>0</v>
      </c>
      <c r="MH40" s="1081">
        <f t="shared" si="327"/>
        <v>0</v>
      </c>
      <c r="MI40" s="1081">
        <f t="shared" si="328"/>
        <v>0</v>
      </c>
      <c r="MJ40" s="1081">
        <f t="shared" si="329"/>
        <v>0</v>
      </c>
      <c r="MK40" s="1081">
        <f t="shared" si="330"/>
        <v>0</v>
      </c>
      <c r="ML40" s="1081">
        <f t="shared" si="331"/>
        <v>0</v>
      </c>
      <c r="MM40" s="1081">
        <f t="shared" si="332"/>
        <v>0</v>
      </c>
      <c r="MN40" s="1081">
        <f t="shared" si="333"/>
        <v>0</v>
      </c>
      <c r="MO40" s="1081">
        <f t="shared" si="334"/>
        <v>0</v>
      </c>
      <c r="MP40" s="1081">
        <f t="shared" si="335"/>
        <v>0</v>
      </c>
      <c r="MQ40" s="1081">
        <f t="shared" si="336"/>
        <v>0</v>
      </c>
      <c r="MR40" s="1081">
        <f t="shared" si="337"/>
        <v>0</v>
      </c>
      <c r="MS40" s="1081">
        <f t="shared" si="338"/>
        <v>0</v>
      </c>
    </row>
    <row r="41" spans="1:393" ht="12" customHeight="1">
      <c r="A41" s="1088" t="str">
        <f t="shared" si="0"/>
        <v/>
      </c>
      <c r="B41" s="44"/>
      <c r="C41" s="41"/>
      <c r="D41" s="42"/>
      <c r="E41" s="43"/>
      <c r="F41" s="43"/>
      <c r="G41" s="43"/>
      <c r="H41" s="43"/>
      <c r="I41" s="1100">
        <f>IF(C41="",0,HLOOKUP(C41,'Part V-Utility Allowances'!$I$11:$M$22,12))</f>
        <v>0</v>
      </c>
      <c r="J41" s="810"/>
      <c r="K41" s="512">
        <f t="shared" si="1"/>
        <v>0</v>
      </c>
      <c r="L41" s="512">
        <f t="shared" si="2"/>
        <v>0</v>
      </c>
      <c r="M41" s="1101"/>
      <c r="N41" s="1101"/>
      <c r="O41" s="1101"/>
      <c r="P41" s="1102"/>
      <c r="Q41" s="1103" t="str">
        <f t="shared" si="3"/>
        <v/>
      </c>
      <c r="R41" s="1104" t="str">
        <f>IF(H41="","",IF(C41="Efficiency",Q41/($O$6*VLOOKUP(0,'DCA Underwriting Assumptions'!$J$146:$K$151,2,FALSE)),Q41/($O$6*VLOOKUP(C41,'DCA Underwriting Assumptions'!$J$146:$K$151,2,FALSE))))</f>
        <v/>
      </c>
      <c r="S41" s="1105"/>
      <c r="T41" s="1106"/>
      <c r="U41" s="2314"/>
      <c r="V41" s="2316"/>
      <c r="W41" s="1064" t="str">
        <f t="shared" si="4"/>
        <v/>
      </c>
      <c r="X41" s="1064" t="str">
        <f t="shared" si="5"/>
        <v/>
      </c>
      <c r="Y41" s="1064" t="str">
        <f t="shared" si="6"/>
        <v/>
      </c>
      <c r="Z41" s="1064" t="str">
        <f t="shared" si="7"/>
        <v/>
      </c>
      <c r="AA41" s="1064" t="str">
        <f t="shared" si="8"/>
        <v/>
      </c>
      <c r="AB41" s="1064" t="str">
        <f t="shared" si="9"/>
        <v/>
      </c>
      <c r="AC41" s="1064" t="str">
        <f t="shared" si="10"/>
        <v/>
      </c>
      <c r="AD41" s="1064" t="str">
        <f t="shared" si="11"/>
        <v/>
      </c>
      <c r="AE41" s="1064" t="str">
        <f t="shared" si="12"/>
        <v/>
      </c>
      <c r="AF41" s="1064" t="str">
        <f t="shared" si="13"/>
        <v/>
      </c>
      <c r="AG41" s="1064" t="str">
        <f t="shared" si="14"/>
        <v/>
      </c>
      <c r="AH41" s="1064" t="str">
        <f t="shared" si="15"/>
        <v/>
      </c>
      <c r="AI41" s="1064" t="str">
        <f t="shared" si="16"/>
        <v/>
      </c>
      <c r="AJ41" s="1064" t="str">
        <f t="shared" si="17"/>
        <v/>
      </c>
      <c r="AK41" s="1064" t="str">
        <f t="shared" si="18"/>
        <v/>
      </c>
      <c r="AL41" s="1064" t="str">
        <f t="shared" si="19"/>
        <v/>
      </c>
      <c r="AM41" s="1064" t="str">
        <f t="shared" si="20"/>
        <v/>
      </c>
      <c r="AN41" s="1064" t="str">
        <f t="shared" si="21"/>
        <v/>
      </c>
      <c r="AO41" s="1064" t="str">
        <f t="shared" si="22"/>
        <v/>
      </c>
      <c r="AP41" s="1064" t="str">
        <f t="shared" si="23"/>
        <v/>
      </c>
      <c r="AQ41" s="1064" t="str">
        <f t="shared" si="24"/>
        <v/>
      </c>
      <c r="AR41" s="1064" t="str">
        <f t="shared" si="25"/>
        <v/>
      </c>
      <c r="AS41" s="1064" t="str">
        <f t="shared" si="26"/>
        <v/>
      </c>
      <c r="AT41" s="1064" t="str">
        <f t="shared" si="27"/>
        <v/>
      </c>
      <c r="AU41" s="1064" t="str">
        <f t="shared" si="28"/>
        <v/>
      </c>
      <c r="AV41" s="1064" t="str">
        <f t="shared" si="29"/>
        <v/>
      </c>
      <c r="AW41" s="1064" t="str">
        <f t="shared" si="30"/>
        <v/>
      </c>
      <c r="AX41" s="1064" t="str">
        <f t="shared" si="31"/>
        <v/>
      </c>
      <c r="AY41" s="1064" t="str">
        <f t="shared" si="32"/>
        <v/>
      </c>
      <c r="AZ41" s="1064" t="str">
        <f t="shared" si="33"/>
        <v/>
      </c>
      <c r="BA41" s="1064" t="str">
        <f t="shared" si="34"/>
        <v/>
      </c>
      <c r="BB41" s="1064" t="str">
        <f t="shared" si="35"/>
        <v/>
      </c>
      <c r="BC41" s="1064" t="str">
        <f t="shared" si="36"/>
        <v/>
      </c>
      <c r="BD41" s="1064" t="str">
        <f t="shared" si="37"/>
        <v/>
      </c>
      <c r="BE41" s="1064" t="str">
        <f t="shared" si="38"/>
        <v/>
      </c>
      <c r="BF41" s="1064" t="str">
        <f t="shared" si="39"/>
        <v/>
      </c>
      <c r="BG41" s="1064" t="str">
        <f t="shared" si="40"/>
        <v/>
      </c>
      <c r="BH41" s="1064" t="str">
        <f t="shared" si="41"/>
        <v/>
      </c>
      <c r="BI41" s="1064" t="str">
        <f t="shared" si="42"/>
        <v/>
      </c>
      <c r="BJ41" s="1064" t="str">
        <f t="shared" si="43"/>
        <v/>
      </c>
      <c r="BK41" s="1064" t="str">
        <f t="shared" si="44"/>
        <v/>
      </c>
      <c r="BL41" s="1064" t="str">
        <f t="shared" si="45"/>
        <v/>
      </c>
      <c r="BM41" s="1064" t="str">
        <f t="shared" si="46"/>
        <v/>
      </c>
      <c r="BN41" s="1064" t="str">
        <f t="shared" si="47"/>
        <v/>
      </c>
      <c r="BO41" s="1064" t="str">
        <f t="shared" si="48"/>
        <v/>
      </c>
      <c r="BP41" s="1064" t="str">
        <f t="shared" si="49"/>
        <v/>
      </c>
      <c r="BQ41" s="1064" t="str">
        <f t="shared" si="50"/>
        <v/>
      </c>
      <c r="BR41" s="1064" t="str">
        <f t="shared" si="51"/>
        <v/>
      </c>
      <c r="BS41" s="1064" t="str">
        <f t="shared" si="52"/>
        <v/>
      </c>
      <c r="BT41" s="1064" t="str">
        <f t="shared" si="53"/>
        <v/>
      </c>
      <c r="BU41" s="1064" t="str">
        <f t="shared" si="54"/>
        <v/>
      </c>
      <c r="BV41" s="1064" t="str">
        <f t="shared" si="55"/>
        <v/>
      </c>
      <c r="BW41" s="1064" t="str">
        <f t="shared" si="56"/>
        <v/>
      </c>
      <c r="BX41" s="1064" t="str">
        <f t="shared" si="57"/>
        <v/>
      </c>
      <c r="BY41" s="1064" t="str">
        <f t="shared" si="58"/>
        <v/>
      </c>
      <c r="BZ41" s="1064" t="str">
        <f t="shared" si="59"/>
        <v/>
      </c>
      <c r="CA41" s="1064" t="str">
        <f t="shared" si="60"/>
        <v/>
      </c>
      <c r="CB41" s="1064" t="str">
        <f t="shared" si="61"/>
        <v/>
      </c>
      <c r="CC41" s="1064" t="str">
        <f t="shared" si="62"/>
        <v/>
      </c>
      <c r="CD41" s="1064" t="str">
        <f t="shared" si="63"/>
        <v/>
      </c>
      <c r="CE41" s="1064" t="str">
        <f t="shared" si="64"/>
        <v/>
      </c>
      <c r="CF41" s="1064" t="str">
        <f t="shared" si="65"/>
        <v/>
      </c>
      <c r="CG41" s="1064" t="str">
        <f t="shared" si="66"/>
        <v/>
      </c>
      <c r="CH41" s="1064" t="str">
        <f t="shared" si="67"/>
        <v/>
      </c>
      <c r="CI41" s="1064" t="str">
        <f t="shared" si="68"/>
        <v/>
      </c>
      <c r="CJ41" s="1064" t="str">
        <f t="shared" si="69"/>
        <v/>
      </c>
      <c r="CK41" s="1064" t="str">
        <f t="shared" si="70"/>
        <v/>
      </c>
      <c r="CL41" s="1064" t="str">
        <f t="shared" si="71"/>
        <v/>
      </c>
      <c r="CM41" s="1064" t="str">
        <f t="shared" si="72"/>
        <v/>
      </c>
      <c r="CN41" s="1064" t="str">
        <f t="shared" si="73"/>
        <v/>
      </c>
      <c r="CO41" s="1064" t="str">
        <f t="shared" si="74"/>
        <v/>
      </c>
      <c r="CP41" s="1064" t="str">
        <f t="shared" si="75"/>
        <v/>
      </c>
      <c r="CQ41" s="1064" t="str">
        <f t="shared" si="76"/>
        <v/>
      </c>
      <c r="CR41" s="1064" t="str">
        <f t="shared" si="77"/>
        <v/>
      </c>
      <c r="CS41" s="1064" t="str">
        <f t="shared" si="78"/>
        <v/>
      </c>
      <c r="CT41" s="1064" t="str">
        <f t="shared" si="79"/>
        <v/>
      </c>
      <c r="CU41" s="1064" t="str">
        <f t="shared" si="80"/>
        <v/>
      </c>
      <c r="CV41" s="1064" t="str">
        <f t="shared" si="81"/>
        <v/>
      </c>
      <c r="CW41" s="1064" t="str">
        <f t="shared" si="82"/>
        <v/>
      </c>
      <c r="CX41" s="1064" t="str">
        <f t="shared" si="83"/>
        <v/>
      </c>
      <c r="CY41" s="1064" t="str">
        <f t="shared" si="84"/>
        <v/>
      </c>
      <c r="CZ41" s="1064" t="str">
        <f t="shared" si="85"/>
        <v/>
      </c>
      <c r="DA41" s="1064" t="str">
        <f t="shared" si="86"/>
        <v/>
      </c>
      <c r="DB41" s="1064" t="str">
        <f t="shared" si="87"/>
        <v/>
      </c>
      <c r="DC41" s="1064" t="str">
        <f t="shared" si="88"/>
        <v/>
      </c>
      <c r="DD41" s="1064" t="str">
        <f t="shared" si="89"/>
        <v/>
      </c>
      <c r="DE41" s="1064" t="str">
        <f t="shared" si="90"/>
        <v/>
      </c>
      <c r="DF41" s="1064" t="str">
        <f t="shared" si="91"/>
        <v/>
      </c>
      <c r="DG41" s="1064" t="str">
        <f t="shared" si="92"/>
        <v/>
      </c>
      <c r="DH41" s="1064" t="str">
        <f t="shared" si="93"/>
        <v/>
      </c>
      <c r="DI41" s="1064" t="str">
        <f t="shared" si="94"/>
        <v/>
      </c>
      <c r="DJ41" s="1064" t="str">
        <f t="shared" si="95"/>
        <v/>
      </c>
      <c r="DK41" s="1064" t="str">
        <f t="shared" si="96"/>
        <v/>
      </c>
      <c r="DL41" s="1064" t="str">
        <f t="shared" si="97"/>
        <v/>
      </c>
      <c r="DM41" s="1064" t="str">
        <f t="shared" si="98"/>
        <v/>
      </c>
      <c r="DN41" s="1064" t="str">
        <f t="shared" si="99"/>
        <v/>
      </c>
      <c r="DO41" s="1064" t="str">
        <f t="shared" si="100"/>
        <v/>
      </c>
      <c r="DP41" s="1064" t="str">
        <f t="shared" si="101"/>
        <v/>
      </c>
      <c r="DQ41" s="1064" t="str">
        <f t="shared" si="102"/>
        <v/>
      </c>
      <c r="DR41" s="1064" t="str">
        <f t="shared" si="103"/>
        <v/>
      </c>
      <c r="DS41" s="1064" t="str">
        <f t="shared" si="104"/>
        <v/>
      </c>
      <c r="DT41" s="1064" t="str">
        <f t="shared" si="105"/>
        <v/>
      </c>
      <c r="DU41" s="1064" t="str">
        <f t="shared" si="106"/>
        <v/>
      </c>
      <c r="DV41" s="1064" t="str">
        <f t="shared" si="107"/>
        <v/>
      </c>
      <c r="DW41" s="1064" t="str">
        <f t="shared" si="108"/>
        <v/>
      </c>
      <c r="DX41" s="1064" t="str">
        <f t="shared" si="109"/>
        <v/>
      </c>
      <c r="DY41" s="1064" t="str">
        <f t="shared" si="110"/>
        <v/>
      </c>
      <c r="DZ41" s="1064" t="str">
        <f t="shared" si="111"/>
        <v/>
      </c>
      <c r="EA41" s="1064" t="str">
        <f t="shared" si="112"/>
        <v/>
      </c>
      <c r="EB41" s="1064" t="str">
        <f t="shared" si="113"/>
        <v/>
      </c>
      <c r="EC41" s="1064" t="str">
        <f t="shared" si="114"/>
        <v/>
      </c>
      <c r="ED41" s="1064" t="str">
        <f t="shared" si="115"/>
        <v/>
      </c>
      <c r="EE41" s="1064" t="str">
        <f t="shared" si="116"/>
        <v/>
      </c>
      <c r="EF41" s="1064" t="str">
        <f t="shared" si="117"/>
        <v/>
      </c>
      <c r="EG41" s="1064" t="str">
        <f t="shared" si="313"/>
        <v/>
      </c>
      <c r="EH41" s="1064" t="str">
        <f t="shared" si="118"/>
        <v/>
      </c>
      <c r="EI41" s="1064" t="str">
        <f t="shared" si="119"/>
        <v/>
      </c>
      <c r="EJ41" s="1064" t="str">
        <f t="shared" si="120"/>
        <v/>
      </c>
      <c r="EK41" s="1064" t="str">
        <f t="shared" si="121"/>
        <v/>
      </c>
      <c r="EL41" s="1064" t="str">
        <f t="shared" si="122"/>
        <v/>
      </c>
      <c r="EM41" s="1064" t="str">
        <f t="shared" si="123"/>
        <v/>
      </c>
      <c r="EN41" s="1064" t="str">
        <f t="shared" si="124"/>
        <v/>
      </c>
      <c r="EO41" s="1064" t="str">
        <f t="shared" si="125"/>
        <v/>
      </c>
      <c r="EP41" s="1064" t="str">
        <f t="shared" si="126"/>
        <v/>
      </c>
      <c r="EQ41" s="1064" t="str">
        <f t="shared" si="127"/>
        <v/>
      </c>
      <c r="ER41" s="1064" t="str">
        <f t="shared" si="128"/>
        <v/>
      </c>
      <c r="ES41" s="1064" t="str">
        <f t="shared" si="129"/>
        <v/>
      </c>
      <c r="ET41" s="1064" t="str">
        <f t="shared" si="130"/>
        <v/>
      </c>
      <c r="EU41" s="1064" t="str">
        <f t="shared" si="131"/>
        <v/>
      </c>
      <c r="EV41" s="1064" t="str">
        <f t="shared" si="132"/>
        <v/>
      </c>
      <c r="EW41" s="1064" t="str">
        <f t="shared" si="314"/>
        <v/>
      </c>
      <c r="EX41" s="1064" t="str">
        <f t="shared" si="315"/>
        <v/>
      </c>
      <c r="EY41" s="1064" t="str">
        <f t="shared" si="316"/>
        <v/>
      </c>
      <c r="EZ41" s="1064" t="str">
        <f t="shared" si="317"/>
        <v/>
      </c>
      <c r="FA41" s="1064" t="str">
        <f t="shared" si="318"/>
        <v/>
      </c>
      <c r="FB41" s="1064" t="str">
        <f t="shared" si="133"/>
        <v/>
      </c>
      <c r="FC41" s="1064" t="str">
        <f t="shared" si="134"/>
        <v/>
      </c>
      <c r="FD41" s="1064" t="str">
        <f t="shared" si="135"/>
        <v/>
      </c>
      <c r="FE41" s="1064" t="str">
        <f t="shared" si="136"/>
        <v/>
      </c>
      <c r="FF41" s="1064" t="str">
        <f t="shared" si="137"/>
        <v/>
      </c>
      <c r="FG41" s="1064" t="str">
        <f t="shared" si="319"/>
        <v/>
      </c>
      <c r="FH41" s="1064" t="str">
        <f t="shared" si="320"/>
        <v/>
      </c>
      <c r="FI41" s="1064" t="str">
        <f t="shared" si="321"/>
        <v/>
      </c>
      <c r="FJ41" s="1064" t="str">
        <f t="shared" si="322"/>
        <v/>
      </c>
      <c r="FK41" s="1064" t="str">
        <f t="shared" si="323"/>
        <v/>
      </c>
      <c r="FL41" s="1064" t="str">
        <f t="shared" si="138"/>
        <v/>
      </c>
      <c r="FM41" s="1064" t="str">
        <f t="shared" si="139"/>
        <v/>
      </c>
      <c r="FN41" s="1064" t="str">
        <f t="shared" si="140"/>
        <v/>
      </c>
      <c r="FO41" s="1064" t="str">
        <f t="shared" si="141"/>
        <v/>
      </c>
      <c r="FP41" s="1064" t="str">
        <f t="shared" si="142"/>
        <v/>
      </c>
      <c r="FQ41" s="1064" t="str">
        <f t="shared" si="143"/>
        <v/>
      </c>
      <c r="FR41" s="1064" t="str">
        <f t="shared" si="144"/>
        <v/>
      </c>
      <c r="FS41" s="1064" t="str">
        <f t="shared" si="145"/>
        <v/>
      </c>
      <c r="FT41" s="1064" t="str">
        <f t="shared" si="146"/>
        <v/>
      </c>
      <c r="FU41" s="1064" t="str">
        <f t="shared" si="147"/>
        <v/>
      </c>
      <c r="FV41" s="1064" t="str">
        <f t="shared" si="148"/>
        <v/>
      </c>
      <c r="FW41" s="1064" t="str">
        <f t="shared" si="149"/>
        <v/>
      </c>
      <c r="FX41" s="1064" t="str">
        <f t="shared" si="150"/>
        <v/>
      </c>
      <c r="FY41" s="1064" t="str">
        <f t="shared" si="151"/>
        <v/>
      </c>
      <c r="FZ41" s="1064" t="str">
        <f t="shared" si="152"/>
        <v/>
      </c>
      <c r="GA41" s="1064" t="str">
        <f t="shared" si="153"/>
        <v/>
      </c>
      <c r="GB41" s="1064" t="str">
        <f t="shared" si="154"/>
        <v/>
      </c>
      <c r="GC41" s="1064" t="str">
        <f t="shared" si="155"/>
        <v/>
      </c>
      <c r="GD41" s="1064" t="str">
        <f t="shared" si="156"/>
        <v/>
      </c>
      <c r="GE41" s="1064" t="str">
        <f t="shared" si="157"/>
        <v/>
      </c>
      <c r="GF41" s="1064" t="str">
        <f t="shared" si="158"/>
        <v/>
      </c>
      <c r="GG41" s="1064" t="str">
        <f t="shared" si="159"/>
        <v/>
      </c>
      <c r="GH41" s="1064" t="str">
        <f t="shared" si="160"/>
        <v/>
      </c>
      <c r="GI41" s="1064" t="str">
        <f t="shared" si="161"/>
        <v/>
      </c>
      <c r="GJ41" s="1064" t="str">
        <f t="shared" si="162"/>
        <v/>
      </c>
      <c r="GK41" s="1064" t="str">
        <f t="shared" si="163"/>
        <v/>
      </c>
      <c r="GL41" s="1064" t="str">
        <f t="shared" si="164"/>
        <v/>
      </c>
      <c r="GM41" s="1064" t="str">
        <f t="shared" si="165"/>
        <v/>
      </c>
      <c r="GN41" s="1064" t="str">
        <f t="shared" si="166"/>
        <v/>
      </c>
      <c r="GO41" s="1064" t="str">
        <f t="shared" si="167"/>
        <v/>
      </c>
      <c r="GP41" s="1064" t="str">
        <f t="shared" si="168"/>
        <v/>
      </c>
      <c r="GQ41" s="1064" t="str">
        <f t="shared" si="169"/>
        <v/>
      </c>
      <c r="GR41" s="1064" t="str">
        <f t="shared" si="170"/>
        <v/>
      </c>
      <c r="GS41" s="1064" t="str">
        <f t="shared" si="171"/>
        <v/>
      </c>
      <c r="GT41" s="1064" t="str">
        <f t="shared" si="172"/>
        <v/>
      </c>
      <c r="GU41" s="1064" t="str">
        <f t="shared" si="173"/>
        <v/>
      </c>
      <c r="GV41" s="1064" t="str">
        <f t="shared" si="174"/>
        <v/>
      </c>
      <c r="GW41" s="1064" t="str">
        <f t="shared" si="175"/>
        <v/>
      </c>
      <c r="GX41" s="1064" t="str">
        <f t="shared" si="176"/>
        <v/>
      </c>
      <c r="GY41" s="1064" t="str">
        <f t="shared" si="177"/>
        <v/>
      </c>
      <c r="GZ41" s="1064" t="str">
        <f t="shared" si="178"/>
        <v/>
      </c>
      <c r="HA41" s="1064" t="str">
        <f t="shared" si="179"/>
        <v/>
      </c>
      <c r="HB41" s="1064" t="str">
        <f t="shared" si="180"/>
        <v/>
      </c>
      <c r="HC41" s="1064" t="str">
        <f t="shared" si="181"/>
        <v/>
      </c>
      <c r="HD41" s="1064" t="str">
        <f t="shared" si="182"/>
        <v/>
      </c>
      <c r="HE41" s="1064" t="str">
        <f t="shared" si="183"/>
        <v/>
      </c>
      <c r="HF41" s="1064" t="str">
        <f t="shared" si="184"/>
        <v/>
      </c>
      <c r="HG41" s="1064" t="str">
        <f t="shared" si="185"/>
        <v/>
      </c>
      <c r="HH41" s="1064" t="str">
        <f t="shared" si="186"/>
        <v/>
      </c>
      <c r="HI41" s="1064" t="str">
        <f t="shared" si="187"/>
        <v/>
      </c>
      <c r="HJ41" s="1064" t="str">
        <f t="shared" si="188"/>
        <v/>
      </c>
      <c r="HK41" s="1064" t="str">
        <f t="shared" si="189"/>
        <v/>
      </c>
      <c r="HL41" s="1064" t="str">
        <f t="shared" si="190"/>
        <v/>
      </c>
      <c r="HM41" s="1064" t="str">
        <f t="shared" si="191"/>
        <v/>
      </c>
      <c r="HN41" s="1064" t="str">
        <f t="shared" si="192"/>
        <v/>
      </c>
      <c r="HO41" s="1064" t="str">
        <f t="shared" si="193"/>
        <v/>
      </c>
      <c r="HP41" s="1064" t="str">
        <f t="shared" si="194"/>
        <v/>
      </c>
      <c r="HQ41" s="1064" t="str">
        <f t="shared" si="195"/>
        <v/>
      </c>
      <c r="HR41" s="1064" t="str">
        <f t="shared" si="196"/>
        <v/>
      </c>
      <c r="HS41" s="1064" t="str">
        <f t="shared" si="197"/>
        <v/>
      </c>
      <c r="HT41" s="1064" t="str">
        <f t="shared" si="198"/>
        <v/>
      </c>
      <c r="HU41" s="1064" t="str">
        <f t="shared" si="199"/>
        <v/>
      </c>
      <c r="HV41" s="1064" t="str">
        <f t="shared" si="200"/>
        <v/>
      </c>
      <c r="HW41" s="1064" t="str">
        <f t="shared" si="201"/>
        <v/>
      </c>
      <c r="HX41" s="1064" t="str">
        <f t="shared" si="202"/>
        <v/>
      </c>
      <c r="HY41" s="1097" t="str">
        <f t="shared" si="203"/>
        <v/>
      </c>
      <c r="HZ41" s="1097" t="str">
        <f t="shared" si="204"/>
        <v/>
      </c>
      <c r="IA41" s="1097" t="str">
        <f t="shared" si="205"/>
        <v/>
      </c>
      <c r="IB41" s="1097" t="str">
        <f t="shared" si="206"/>
        <v/>
      </c>
      <c r="IC41" s="1097" t="str">
        <f t="shared" si="207"/>
        <v/>
      </c>
      <c r="ID41" s="1097" t="str">
        <f t="shared" si="208"/>
        <v/>
      </c>
      <c r="IE41" s="1097" t="str">
        <f t="shared" si="209"/>
        <v/>
      </c>
      <c r="IF41" s="1097" t="str">
        <f t="shared" si="210"/>
        <v/>
      </c>
      <c r="IG41" s="1097" t="str">
        <f t="shared" si="211"/>
        <v/>
      </c>
      <c r="IH41" s="1097" t="str">
        <f t="shared" si="212"/>
        <v/>
      </c>
      <c r="II41" s="1097" t="str">
        <f t="shared" si="213"/>
        <v/>
      </c>
      <c r="IJ41" s="1097" t="str">
        <f t="shared" si="214"/>
        <v/>
      </c>
      <c r="IK41" s="1097" t="str">
        <f t="shared" si="215"/>
        <v/>
      </c>
      <c r="IL41" s="1097" t="str">
        <f t="shared" si="216"/>
        <v/>
      </c>
      <c r="IM41" s="1097" t="str">
        <f t="shared" si="217"/>
        <v/>
      </c>
      <c r="IN41" s="1097" t="str">
        <f t="shared" si="218"/>
        <v/>
      </c>
      <c r="IO41" s="1097" t="str">
        <f t="shared" si="219"/>
        <v/>
      </c>
      <c r="IP41" s="1097" t="str">
        <f t="shared" si="220"/>
        <v/>
      </c>
      <c r="IQ41" s="1097" t="str">
        <f t="shared" si="221"/>
        <v/>
      </c>
      <c r="IR41" s="1097" t="str">
        <f t="shared" si="222"/>
        <v/>
      </c>
      <c r="IS41" s="1097" t="str">
        <f t="shared" si="223"/>
        <v/>
      </c>
      <c r="IT41" s="1097" t="str">
        <f t="shared" si="224"/>
        <v/>
      </c>
      <c r="IU41" s="1097" t="str">
        <f t="shared" si="225"/>
        <v/>
      </c>
      <c r="IV41" s="1097" t="str">
        <f t="shared" si="226"/>
        <v/>
      </c>
      <c r="IW41" s="1097" t="str">
        <f t="shared" si="227"/>
        <v/>
      </c>
      <c r="IX41" s="1097" t="str">
        <f t="shared" si="228"/>
        <v/>
      </c>
      <c r="IY41" s="1097" t="str">
        <f t="shared" si="229"/>
        <v/>
      </c>
      <c r="IZ41" s="1097" t="str">
        <f t="shared" si="230"/>
        <v/>
      </c>
      <c r="JA41" s="1097" t="str">
        <f t="shared" si="231"/>
        <v/>
      </c>
      <c r="JB41" s="1097" t="str">
        <f t="shared" si="232"/>
        <v/>
      </c>
      <c r="JC41" s="1097" t="str">
        <f t="shared" si="233"/>
        <v/>
      </c>
      <c r="JD41" s="1097" t="str">
        <f t="shared" si="234"/>
        <v/>
      </c>
      <c r="JE41" s="1097" t="str">
        <f t="shared" si="235"/>
        <v/>
      </c>
      <c r="JF41" s="1097" t="str">
        <f t="shared" si="236"/>
        <v/>
      </c>
      <c r="JG41" s="1097" t="str">
        <f t="shared" si="237"/>
        <v/>
      </c>
      <c r="JH41" s="1097" t="str">
        <f t="shared" si="238"/>
        <v/>
      </c>
      <c r="JI41" s="1097" t="str">
        <f t="shared" si="239"/>
        <v/>
      </c>
      <c r="JJ41" s="1097" t="str">
        <f t="shared" si="240"/>
        <v/>
      </c>
      <c r="JK41" s="1097" t="str">
        <f t="shared" si="241"/>
        <v/>
      </c>
      <c r="JL41" s="1097" t="str">
        <f t="shared" si="242"/>
        <v/>
      </c>
      <c r="JM41" s="1097" t="str">
        <f t="shared" si="243"/>
        <v/>
      </c>
      <c r="JN41" s="1097" t="str">
        <f t="shared" si="244"/>
        <v/>
      </c>
      <c r="JO41" s="1097" t="str">
        <f t="shared" si="245"/>
        <v/>
      </c>
      <c r="JP41" s="1097" t="str">
        <f t="shared" si="246"/>
        <v/>
      </c>
      <c r="JQ41" s="1097" t="str">
        <f t="shared" si="247"/>
        <v/>
      </c>
      <c r="JR41" s="1097" t="str">
        <f t="shared" si="248"/>
        <v/>
      </c>
      <c r="JS41" s="1097" t="str">
        <f t="shared" si="249"/>
        <v/>
      </c>
      <c r="JT41" s="1097" t="str">
        <f t="shared" si="250"/>
        <v/>
      </c>
      <c r="JU41" s="1097" t="str">
        <f t="shared" si="251"/>
        <v/>
      </c>
      <c r="JV41" s="1097" t="str">
        <f t="shared" si="252"/>
        <v/>
      </c>
      <c r="JW41" s="1097" t="str">
        <f t="shared" si="253"/>
        <v/>
      </c>
      <c r="JX41" s="1097" t="str">
        <f t="shared" si="254"/>
        <v/>
      </c>
      <c r="JY41" s="1097" t="str">
        <f t="shared" si="255"/>
        <v/>
      </c>
      <c r="JZ41" s="1097" t="str">
        <f t="shared" si="256"/>
        <v/>
      </c>
      <c r="KA41" s="1097" t="str">
        <f t="shared" si="257"/>
        <v/>
      </c>
      <c r="KB41" s="1097" t="str">
        <f t="shared" si="258"/>
        <v/>
      </c>
      <c r="KC41" s="1097" t="str">
        <f t="shared" si="259"/>
        <v/>
      </c>
      <c r="KD41" s="1097" t="str">
        <f t="shared" si="260"/>
        <v/>
      </c>
      <c r="KE41" s="1097" t="str">
        <f t="shared" si="261"/>
        <v/>
      </c>
      <c r="KF41" s="1097" t="str">
        <f t="shared" si="262"/>
        <v/>
      </c>
      <c r="KG41" s="1097" t="str">
        <f t="shared" si="263"/>
        <v/>
      </c>
      <c r="KH41" s="1097" t="str">
        <f t="shared" si="264"/>
        <v/>
      </c>
      <c r="KI41" s="1097" t="str">
        <f t="shared" si="265"/>
        <v/>
      </c>
      <c r="KJ41" s="1097" t="str">
        <f t="shared" si="266"/>
        <v/>
      </c>
      <c r="KK41" s="1097" t="str">
        <f t="shared" si="267"/>
        <v/>
      </c>
      <c r="KL41" s="1097" t="str">
        <f t="shared" si="268"/>
        <v/>
      </c>
      <c r="KM41" s="1097" t="str">
        <f t="shared" si="269"/>
        <v/>
      </c>
      <c r="KN41" s="1097" t="str">
        <f t="shared" si="270"/>
        <v/>
      </c>
      <c r="KO41" s="1097" t="str">
        <f t="shared" si="271"/>
        <v/>
      </c>
      <c r="KP41" s="1097" t="str">
        <f t="shared" si="272"/>
        <v/>
      </c>
      <c r="KQ41" s="1097" t="str">
        <f t="shared" si="273"/>
        <v/>
      </c>
      <c r="KR41" s="1097" t="str">
        <f t="shared" si="274"/>
        <v/>
      </c>
      <c r="KS41" s="1097" t="str">
        <f t="shared" si="275"/>
        <v/>
      </c>
      <c r="KT41" s="1097" t="str">
        <f t="shared" si="276"/>
        <v/>
      </c>
      <c r="KU41" s="1097" t="str">
        <f t="shared" si="277"/>
        <v/>
      </c>
      <c r="KV41" s="1097" t="str">
        <f t="shared" si="278"/>
        <v/>
      </c>
      <c r="KW41" s="1097" t="str">
        <f t="shared" si="279"/>
        <v/>
      </c>
      <c r="KX41" s="1097" t="str">
        <f t="shared" si="280"/>
        <v/>
      </c>
      <c r="KY41" s="1097" t="str">
        <f t="shared" si="281"/>
        <v/>
      </c>
      <c r="KZ41" s="1097" t="str">
        <f t="shared" si="282"/>
        <v/>
      </c>
      <c r="LA41" s="1097" t="str">
        <f t="shared" si="283"/>
        <v/>
      </c>
      <c r="LB41" s="1097" t="str">
        <f t="shared" si="284"/>
        <v/>
      </c>
      <c r="LC41" s="1097" t="str">
        <f t="shared" si="285"/>
        <v/>
      </c>
      <c r="LD41" s="1097" t="str">
        <f t="shared" si="286"/>
        <v/>
      </c>
      <c r="LE41" s="1097" t="str">
        <f t="shared" si="287"/>
        <v/>
      </c>
      <c r="LF41" s="1098" t="str">
        <f t="shared" si="288"/>
        <v/>
      </c>
      <c r="LG41" s="1098" t="str">
        <f t="shared" si="289"/>
        <v/>
      </c>
      <c r="LH41" s="1098" t="str">
        <f t="shared" si="290"/>
        <v/>
      </c>
      <c r="LI41" s="1098" t="str">
        <f t="shared" si="291"/>
        <v/>
      </c>
      <c r="LJ41" s="1098" t="str">
        <f t="shared" si="292"/>
        <v/>
      </c>
      <c r="LK41" s="1064" t="str">
        <f t="shared" si="293"/>
        <v/>
      </c>
      <c r="LL41" s="1064" t="str">
        <f t="shared" si="294"/>
        <v/>
      </c>
      <c r="LM41" s="1064" t="str">
        <f t="shared" si="295"/>
        <v/>
      </c>
      <c r="LN41" s="1064" t="str">
        <f t="shared" si="296"/>
        <v/>
      </c>
      <c r="LO41" s="1064" t="str">
        <f t="shared" si="297"/>
        <v/>
      </c>
      <c r="LP41" s="1064" t="str">
        <f t="shared" si="298"/>
        <v/>
      </c>
      <c r="LQ41" s="1064" t="str">
        <f t="shared" si="299"/>
        <v/>
      </c>
      <c r="LR41" s="1064" t="str">
        <f t="shared" si="300"/>
        <v/>
      </c>
      <c r="LS41" s="1064" t="str">
        <f t="shared" si="301"/>
        <v/>
      </c>
      <c r="LT41" s="1064" t="str">
        <f t="shared" si="302"/>
        <v/>
      </c>
      <c r="LU41" s="1064" t="str">
        <f t="shared" si="303"/>
        <v/>
      </c>
      <c r="LV41" s="1064" t="str">
        <f t="shared" si="304"/>
        <v/>
      </c>
      <c r="LW41" s="1064" t="str">
        <f t="shared" si="305"/>
        <v/>
      </c>
      <c r="LX41" s="1064" t="str">
        <f t="shared" si="306"/>
        <v/>
      </c>
      <c r="LY41" s="1064" t="str">
        <f t="shared" si="307"/>
        <v/>
      </c>
      <c r="LZ41" s="1064" t="str">
        <f t="shared" si="308"/>
        <v/>
      </c>
      <c r="MA41" s="1064" t="str">
        <f t="shared" si="309"/>
        <v/>
      </c>
      <c r="MB41" s="1064" t="str">
        <f t="shared" si="310"/>
        <v/>
      </c>
      <c r="MC41" s="1064" t="str">
        <f t="shared" si="311"/>
        <v/>
      </c>
      <c r="MD41" s="1064" t="str">
        <f t="shared" si="312"/>
        <v/>
      </c>
      <c r="ME41" s="1081">
        <f t="shared" si="324"/>
        <v>0</v>
      </c>
      <c r="MF41" s="1081">
        <f t="shared" si="325"/>
        <v>0</v>
      </c>
      <c r="MG41" s="1081">
        <f t="shared" si="326"/>
        <v>0</v>
      </c>
      <c r="MH41" s="1081">
        <f t="shared" si="327"/>
        <v>0</v>
      </c>
      <c r="MI41" s="1081">
        <f t="shared" si="328"/>
        <v>0</v>
      </c>
      <c r="MJ41" s="1081">
        <f t="shared" si="329"/>
        <v>0</v>
      </c>
      <c r="MK41" s="1081">
        <f t="shared" si="330"/>
        <v>0</v>
      </c>
      <c r="ML41" s="1081">
        <f t="shared" si="331"/>
        <v>0</v>
      </c>
      <c r="MM41" s="1081">
        <f t="shared" si="332"/>
        <v>0</v>
      </c>
      <c r="MN41" s="1081">
        <f t="shared" si="333"/>
        <v>0</v>
      </c>
      <c r="MO41" s="1081">
        <f t="shared" si="334"/>
        <v>0</v>
      </c>
      <c r="MP41" s="1081">
        <f t="shared" si="335"/>
        <v>0</v>
      </c>
      <c r="MQ41" s="1081">
        <f t="shared" si="336"/>
        <v>0</v>
      </c>
      <c r="MR41" s="1081">
        <f t="shared" si="337"/>
        <v>0</v>
      </c>
      <c r="MS41" s="1081">
        <f t="shared" si="338"/>
        <v>0</v>
      </c>
    </row>
    <row r="42" spans="1:393" ht="12" customHeight="1">
      <c r="A42" s="1088" t="str">
        <f t="shared" si="0"/>
        <v/>
      </c>
      <c r="B42" s="44"/>
      <c r="C42" s="41"/>
      <c r="D42" s="42"/>
      <c r="E42" s="43"/>
      <c r="F42" s="43"/>
      <c r="G42" s="43"/>
      <c r="H42" s="43"/>
      <c r="I42" s="1100">
        <f>IF(C42="",0,HLOOKUP(C42,'Part V-Utility Allowances'!$I$11:$M$22,12))</f>
        <v>0</v>
      </c>
      <c r="J42" s="810"/>
      <c r="K42" s="512">
        <f t="shared" si="1"/>
        <v>0</v>
      </c>
      <c r="L42" s="512">
        <f t="shared" si="2"/>
        <v>0</v>
      </c>
      <c r="M42" s="1101"/>
      <c r="N42" s="1101"/>
      <c r="O42" s="1101"/>
      <c r="P42" s="1102"/>
      <c r="Q42" s="1103" t="str">
        <f t="shared" si="3"/>
        <v/>
      </c>
      <c r="R42" s="1104" t="str">
        <f>IF(H42="","",IF(C42="Efficiency",Q42/($O$6*VLOOKUP(0,'DCA Underwriting Assumptions'!$J$146:$K$151,2,FALSE)),Q42/($O$6*VLOOKUP(C42,'DCA Underwriting Assumptions'!$J$146:$K$151,2,FALSE))))</f>
        <v/>
      </c>
      <c r="S42" s="1105"/>
      <c r="T42" s="1106"/>
      <c r="U42" s="2314"/>
      <c r="V42" s="2316"/>
      <c r="W42" s="1064" t="str">
        <f t="shared" si="4"/>
        <v/>
      </c>
      <c r="X42" s="1064" t="str">
        <f t="shared" si="5"/>
        <v/>
      </c>
      <c r="Y42" s="1064" t="str">
        <f t="shared" si="6"/>
        <v/>
      </c>
      <c r="Z42" s="1064" t="str">
        <f t="shared" si="7"/>
        <v/>
      </c>
      <c r="AA42" s="1064" t="str">
        <f t="shared" si="8"/>
        <v/>
      </c>
      <c r="AB42" s="1064" t="str">
        <f t="shared" si="9"/>
        <v/>
      </c>
      <c r="AC42" s="1064" t="str">
        <f t="shared" si="10"/>
        <v/>
      </c>
      <c r="AD42" s="1064" t="str">
        <f t="shared" si="11"/>
        <v/>
      </c>
      <c r="AE42" s="1064" t="str">
        <f t="shared" si="12"/>
        <v/>
      </c>
      <c r="AF42" s="1064" t="str">
        <f t="shared" si="13"/>
        <v/>
      </c>
      <c r="AG42" s="1064" t="str">
        <f t="shared" si="14"/>
        <v/>
      </c>
      <c r="AH42" s="1064" t="str">
        <f t="shared" si="15"/>
        <v/>
      </c>
      <c r="AI42" s="1064" t="str">
        <f t="shared" si="16"/>
        <v/>
      </c>
      <c r="AJ42" s="1064" t="str">
        <f t="shared" si="17"/>
        <v/>
      </c>
      <c r="AK42" s="1064" t="str">
        <f t="shared" si="18"/>
        <v/>
      </c>
      <c r="AL42" s="1064" t="str">
        <f t="shared" si="19"/>
        <v/>
      </c>
      <c r="AM42" s="1064" t="str">
        <f t="shared" si="20"/>
        <v/>
      </c>
      <c r="AN42" s="1064" t="str">
        <f t="shared" si="21"/>
        <v/>
      </c>
      <c r="AO42" s="1064" t="str">
        <f t="shared" si="22"/>
        <v/>
      </c>
      <c r="AP42" s="1064" t="str">
        <f t="shared" si="23"/>
        <v/>
      </c>
      <c r="AQ42" s="1064" t="str">
        <f t="shared" si="24"/>
        <v/>
      </c>
      <c r="AR42" s="1064" t="str">
        <f t="shared" si="25"/>
        <v/>
      </c>
      <c r="AS42" s="1064" t="str">
        <f t="shared" si="26"/>
        <v/>
      </c>
      <c r="AT42" s="1064" t="str">
        <f t="shared" si="27"/>
        <v/>
      </c>
      <c r="AU42" s="1064" t="str">
        <f t="shared" si="28"/>
        <v/>
      </c>
      <c r="AV42" s="1064" t="str">
        <f t="shared" si="29"/>
        <v/>
      </c>
      <c r="AW42" s="1064" t="str">
        <f t="shared" si="30"/>
        <v/>
      </c>
      <c r="AX42" s="1064" t="str">
        <f t="shared" si="31"/>
        <v/>
      </c>
      <c r="AY42" s="1064" t="str">
        <f t="shared" si="32"/>
        <v/>
      </c>
      <c r="AZ42" s="1064" t="str">
        <f t="shared" si="33"/>
        <v/>
      </c>
      <c r="BA42" s="1064" t="str">
        <f t="shared" si="34"/>
        <v/>
      </c>
      <c r="BB42" s="1064" t="str">
        <f t="shared" si="35"/>
        <v/>
      </c>
      <c r="BC42" s="1064" t="str">
        <f t="shared" si="36"/>
        <v/>
      </c>
      <c r="BD42" s="1064" t="str">
        <f t="shared" si="37"/>
        <v/>
      </c>
      <c r="BE42" s="1064" t="str">
        <f t="shared" si="38"/>
        <v/>
      </c>
      <c r="BF42" s="1064" t="str">
        <f t="shared" si="39"/>
        <v/>
      </c>
      <c r="BG42" s="1064" t="str">
        <f t="shared" si="40"/>
        <v/>
      </c>
      <c r="BH42" s="1064" t="str">
        <f t="shared" si="41"/>
        <v/>
      </c>
      <c r="BI42" s="1064" t="str">
        <f t="shared" si="42"/>
        <v/>
      </c>
      <c r="BJ42" s="1064" t="str">
        <f t="shared" si="43"/>
        <v/>
      </c>
      <c r="BK42" s="1064" t="str">
        <f t="shared" si="44"/>
        <v/>
      </c>
      <c r="BL42" s="1064" t="str">
        <f t="shared" si="45"/>
        <v/>
      </c>
      <c r="BM42" s="1064" t="str">
        <f t="shared" si="46"/>
        <v/>
      </c>
      <c r="BN42" s="1064" t="str">
        <f t="shared" si="47"/>
        <v/>
      </c>
      <c r="BO42" s="1064" t="str">
        <f t="shared" si="48"/>
        <v/>
      </c>
      <c r="BP42" s="1064" t="str">
        <f t="shared" si="49"/>
        <v/>
      </c>
      <c r="BQ42" s="1064" t="str">
        <f t="shared" si="50"/>
        <v/>
      </c>
      <c r="BR42" s="1064" t="str">
        <f t="shared" si="51"/>
        <v/>
      </c>
      <c r="BS42" s="1064" t="str">
        <f t="shared" si="52"/>
        <v/>
      </c>
      <c r="BT42" s="1064" t="str">
        <f t="shared" si="53"/>
        <v/>
      </c>
      <c r="BU42" s="1064" t="str">
        <f t="shared" si="54"/>
        <v/>
      </c>
      <c r="BV42" s="1064" t="str">
        <f t="shared" si="55"/>
        <v/>
      </c>
      <c r="BW42" s="1064" t="str">
        <f t="shared" si="56"/>
        <v/>
      </c>
      <c r="BX42" s="1064" t="str">
        <f t="shared" si="57"/>
        <v/>
      </c>
      <c r="BY42" s="1064" t="str">
        <f t="shared" si="58"/>
        <v/>
      </c>
      <c r="BZ42" s="1064" t="str">
        <f t="shared" si="59"/>
        <v/>
      </c>
      <c r="CA42" s="1064" t="str">
        <f t="shared" si="60"/>
        <v/>
      </c>
      <c r="CB42" s="1064" t="str">
        <f t="shared" si="61"/>
        <v/>
      </c>
      <c r="CC42" s="1064" t="str">
        <f t="shared" si="62"/>
        <v/>
      </c>
      <c r="CD42" s="1064" t="str">
        <f t="shared" si="63"/>
        <v/>
      </c>
      <c r="CE42" s="1064" t="str">
        <f t="shared" si="64"/>
        <v/>
      </c>
      <c r="CF42" s="1064" t="str">
        <f t="shared" si="65"/>
        <v/>
      </c>
      <c r="CG42" s="1064" t="str">
        <f t="shared" si="66"/>
        <v/>
      </c>
      <c r="CH42" s="1064" t="str">
        <f t="shared" si="67"/>
        <v/>
      </c>
      <c r="CI42" s="1064" t="str">
        <f t="shared" si="68"/>
        <v/>
      </c>
      <c r="CJ42" s="1064" t="str">
        <f t="shared" si="69"/>
        <v/>
      </c>
      <c r="CK42" s="1064" t="str">
        <f t="shared" si="70"/>
        <v/>
      </c>
      <c r="CL42" s="1064" t="str">
        <f t="shared" si="71"/>
        <v/>
      </c>
      <c r="CM42" s="1064" t="str">
        <f t="shared" si="72"/>
        <v/>
      </c>
      <c r="CN42" s="1064" t="str">
        <f t="shared" si="73"/>
        <v/>
      </c>
      <c r="CO42" s="1064" t="str">
        <f t="shared" si="74"/>
        <v/>
      </c>
      <c r="CP42" s="1064" t="str">
        <f t="shared" si="75"/>
        <v/>
      </c>
      <c r="CQ42" s="1064" t="str">
        <f t="shared" si="76"/>
        <v/>
      </c>
      <c r="CR42" s="1064" t="str">
        <f t="shared" si="77"/>
        <v/>
      </c>
      <c r="CS42" s="1064" t="str">
        <f t="shared" si="78"/>
        <v/>
      </c>
      <c r="CT42" s="1064" t="str">
        <f t="shared" si="79"/>
        <v/>
      </c>
      <c r="CU42" s="1064" t="str">
        <f t="shared" si="80"/>
        <v/>
      </c>
      <c r="CV42" s="1064" t="str">
        <f t="shared" si="81"/>
        <v/>
      </c>
      <c r="CW42" s="1064" t="str">
        <f t="shared" si="82"/>
        <v/>
      </c>
      <c r="CX42" s="1064" t="str">
        <f t="shared" si="83"/>
        <v/>
      </c>
      <c r="CY42" s="1064" t="str">
        <f t="shared" si="84"/>
        <v/>
      </c>
      <c r="CZ42" s="1064" t="str">
        <f t="shared" si="85"/>
        <v/>
      </c>
      <c r="DA42" s="1064" t="str">
        <f t="shared" si="86"/>
        <v/>
      </c>
      <c r="DB42" s="1064" t="str">
        <f t="shared" si="87"/>
        <v/>
      </c>
      <c r="DC42" s="1064" t="str">
        <f t="shared" si="88"/>
        <v/>
      </c>
      <c r="DD42" s="1064" t="str">
        <f t="shared" si="89"/>
        <v/>
      </c>
      <c r="DE42" s="1064" t="str">
        <f t="shared" si="90"/>
        <v/>
      </c>
      <c r="DF42" s="1064" t="str">
        <f t="shared" si="91"/>
        <v/>
      </c>
      <c r="DG42" s="1064" t="str">
        <f t="shared" si="92"/>
        <v/>
      </c>
      <c r="DH42" s="1064" t="str">
        <f t="shared" si="93"/>
        <v/>
      </c>
      <c r="DI42" s="1064" t="str">
        <f t="shared" si="94"/>
        <v/>
      </c>
      <c r="DJ42" s="1064" t="str">
        <f t="shared" si="95"/>
        <v/>
      </c>
      <c r="DK42" s="1064" t="str">
        <f t="shared" si="96"/>
        <v/>
      </c>
      <c r="DL42" s="1064" t="str">
        <f t="shared" si="97"/>
        <v/>
      </c>
      <c r="DM42" s="1064" t="str">
        <f t="shared" si="98"/>
        <v/>
      </c>
      <c r="DN42" s="1064" t="str">
        <f t="shared" si="99"/>
        <v/>
      </c>
      <c r="DO42" s="1064" t="str">
        <f t="shared" si="100"/>
        <v/>
      </c>
      <c r="DP42" s="1064" t="str">
        <f t="shared" si="101"/>
        <v/>
      </c>
      <c r="DQ42" s="1064" t="str">
        <f t="shared" si="102"/>
        <v/>
      </c>
      <c r="DR42" s="1064" t="str">
        <f t="shared" si="103"/>
        <v/>
      </c>
      <c r="DS42" s="1064" t="str">
        <f t="shared" si="104"/>
        <v/>
      </c>
      <c r="DT42" s="1064" t="str">
        <f t="shared" si="105"/>
        <v/>
      </c>
      <c r="DU42" s="1064" t="str">
        <f t="shared" si="106"/>
        <v/>
      </c>
      <c r="DV42" s="1064" t="str">
        <f t="shared" si="107"/>
        <v/>
      </c>
      <c r="DW42" s="1064" t="str">
        <f t="shared" si="108"/>
        <v/>
      </c>
      <c r="DX42" s="1064" t="str">
        <f t="shared" si="109"/>
        <v/>
      </c>
      <c r="DY42" s="1064" t="str">
        <f t="shared" si="110"/>
        <v/>
      </c>
      <c r="DZ42" s="1064" t="str">
        <f t="shared" si="111"/>
        <v/>
      </c>
      <c r="EA42" s="1064" t="str">
        <f t="shared" si="112"/>
        <v/>
      </c>
      <c r="EB42" s="1064" t="str">
        <f t="shared" si="113"/>
        <v/>
      </c>
      <c r="EC42" s="1064" t="str">
        <f t="shared" si="114"/>
        <v/>
      </c>
      <c r="ED42" s="1064" t="str">
        <f t="shared" si="115"/>
        <v/>
      </c>
      <c r="EE42" s="1064" t="str">
        <f t="shared" si="116"/>
        <v/>
      </c>
      <c r="EF42" s="1064" t="str">
        <f t="shared" si="117"/>
        <v/>
      </c>
      <c r="EG42" s="1064" t="str">
        <f t="shared" si="313"/>
        <v/>
      </c>
      <c r="EH42" s="1064" t="str">
        <f t="shared" si="118"/>
        <v/>
      </c>
      <c r="EI42" s="1064" t="str">
        <f t="shared" si="119"/>
        <v/>
      </c>
      <c r="EJ42" s="1064" t="str">
        <f t="shared" si="120"/>
        <v/>
      </c>
      <c r="EK42" s="1064" t="str">
        <f t="shared" si="121"/>
        <v/>
      </c>
      <c r="EL42" s="1064" t="str">
        <f t="shared" si="122"/>
        <v/>
      </c>
      <c r="EM42" s="1064" t="str">
        <f t="shared" si="123"/>
        <v/>
      </c>
      <c r="EN42" s="1064" t="str">
        <f t="shared" si="124"/>
        <v/>
      </c>
      <c r="EO42" s="1064" t="str">
        <f t="shared" si="125"/>
        <v/>
      </c>
      <c r="EP42" s="1064" t="str">
        <f t="shared" si="126"/>
        <v/>
      </c>
      <c r="EQ42" s="1064" t="str">
        <f t="shared" si="127"/>
        <v/>
      </c>
      <c r="ER42" s="1064" t="str">
        <f t="shared" si="128"/>
        <v/>
      </c>
      <c r="ES42" s="1064" t="str">
        <f t="shared" si="129"/>
        <v/>
      </c>
      <c r="ET42" s="1064" t="str">
        <f t="shared" si="130"/>
        <v/>
      </c>
      <c r="EU42" s="1064" t="str">
        <f t="shared" si="131"/>
        <v/>
      </c>
      <c r="EV42" s="1064" t="str">
        <f t="shared" si="132"/>
        <v/>
      </c>
      <c r="EW42" s="1064" t="str">
        <f t="shared" si="314"/>
        <v/>
      </c>
      <c r="EX42" s="1064" t="str">
        <f t="shared" si="315"/>
        <v/>
      </c>
      <c r="EY42" s="1064" t="str">
        <f t="shared" si="316"/>
        <v/>
      </c>
      <c r="EZ42" s="1064" t="str">
        <f t="shared" si="317"/>
        <v/>
      </c>
      <c r="FA42" s="1064" t="str">
        <f t="shared" si="318"/>
        <v/>
      </c>
      <c r="FB42" s="1064" t="str">
        <f t="shared" si="133"/>
        <v/>
      </c>
      <c r="FC42" s="1064" t="str">
        <f t="shared" si="134"/>
        <v/>
      </c>
      <c r="FD42" s="1064" t="str">
        <f t="shared" si="135"/>
        <v/>
      </c>
      <c r="FE42" s="1064" t="str">
        <f t="shared" si="136"/>
        <v/>
      </c>
      <c r="FF42" s="1064" t="str">
        <f t="shared" si="137"/>
        <v/>
      </c>
      <c r="FG42" s="1064" t="str">
        <f t="shared" si="319"/>
        <v/>
      </c>
      <c r="FH42" s="1064" t="str">
        <f t="shared" si="320"/>
        <v/>
      </c>
      <c r="FI42" s="1064" t="str">
        <f t="shared" si="321"/>
        <v/>
      </c>
      <c r="FJ42" s="1064" t="str">
        <f t="shared" si="322"/>
        <v/>
      </c>
      <c r="FK42" s="1064" t="str">
        <f t="shared" si="323"/>
        <v/>
      </c>
      <c r="FL42" s="1064" t="str">
        <f t="shared" si="138"/>
        <v/>
      </c>
      <c r="FM42" s="1064" t="str">
        <f t="shared" si="139"/>
        <v/>
      </c>
      <c r="FN42" s="1064" t="str">
        <f t="shared" si="140"/>
        <v/>
      </c>
      <c r="FO42" s="1064" t="str">
        <f t="shared" si="141"/>
        <v/>
      </c>
      <c r="FP42" s="1064" t="str">
        <f t="shared" si="142"/>
        <v/>
      </c>
      <c r="FQ42" s="1064" t="str">
        <f t="shared" si="143"/>
        <v/>
      </c>
      <c r="FR42" s="1064" t="str">
        <f t="shared" si="144"/>
        <v/>
      </c>
      <c r="FS42" s="1064" t="str">
        <f t="shared" si="145"/>
        <v/>
      </c>
      <c r="FT42" s="1064" t="str">
        <f t="shared" si="146"/>
        <v/>
      </c>
      <c r="FU42" s="1064" t="str">
        <f t="shared" si="147"/>
        <v/>
      </c>
      <c r="FV42" s="1064" t="str">
        <f t="shared" si="148"/>
        <v/>
      </c>
      <c r="FW42" s="1064" t="str">
        <f t="shared" si="149"/>
        <v/>
      </c>
      <c r="FX42" s="1064" t="str">
        <f t="shared" si="150"/>
        <v/>
      </c>
      <c r="FY42" s="1064" t="str">
        <f t="shared" si="151"/>
        <v/>
      </c>
      <c r="FZ42" s="1064" t="str">
        <f t="shared" si="152"/>
        <v/>
      </c>
      <c r="GA42" s="1064" t="str">
        <f t="shared" si="153"/>
        <v/>
      </c>
      <c r="GB42" s="1064" t="str">
        <f t="shared" si="154"/>
        <v/>
      </c>
      <c r="GC42" s="1064" t="str">
        <f t="shared" si="155"/>
        <v/>
      </c>
      <c r="GD42" s="1064" t="str">
        <f t="shared" si="156"/>
        <v/>
      </c>
      <c r="GE42" s="1064" t="str">
        <f t="shared" si="157"/>
        <v/>
      </c>
      <c r="GF42" s="1064" t="str">
        <f t="shared" si="158"/>
        <v/>
      </c>
      <c r="GG42" s="1064" t="str">
        <f t="shared" si="159"/>
        <v/>
      </c>
      <c r="GH42" s="1064" t="str">
        <f t="shared" si="160"/>
        <v/>
      </c>
      <c r="GI42" s="1064" t="str">
        <f t="shared" si="161"/>
        <v/>
      </c>
      <c r="GJ42" s="1064" t="str">
        <f t="shared" si="162"/>
        <v/>
      </c>
      <c r="GK42" s="1064" t="str">
        <f t="shared" si="163"/>
        <v/>
      </c>
      <c r="GL42" s="1064" t="str">
        <f t="shared" si="164"/>
        <v/>
      </c>
      <c r="GM42" s="1064" t="str">
        <f t="shared" si="165"/>
        <v/>
      </c>
      <c r="GN42" s="1064" t="str">
        <f t="shared" si="166"/>
        <v/>
      </c>
      <c r="GO42" s="1064" t="str">
        <f t="shared" si="167"/>
        <v/>
      </c>
      <c r="GP42" s="1064" t="str">
        <f t="shared" si="168"/>
        <v/>
      </c>
      <c r="GQ42" s="1064" t="str">
        <f t="shared" si="169"/>
        <v/>
      </c>
      <c r="GR42" s="1064" t="str">
        <f t="shared" si="170"/>
        <v/>
      </c>
      <c r="GS42" s="1064" t="str">
        <f t="shared" si="171"/>
        <v/>
      </c>
      <c r="GT42" s="1064" t="str">
        <f t="shared" si="172"/>
        <v/>
      </c>
      <c r="GU42" s="1064" t="str">
        <f t="shared" si="173"/>
        <v/>
      </c>
      <c r="GV42" s="1064" t="str">
        <f t="shared" si="174"/>
        <v/>
      </c>
      <c r="GW42" s="1064" t="str">
        <f t="shared" si="175"/>
        <v/>
      </c>
      <c r="GX42" s="1064" t="str">
        <f t="shared" si="176"/>
        <v/>
      </c>
      <c r="GY42" s="1064" t="str">
        <f t="shared" si="177"/>
        <v/>
      </c>
      <c r="GZ42" s="1064" t="str">
        <f t="shared" si="178"/>
        <v/>
      </c>
      <c r="HA42" s="1064" t="str">
        <f t="shared" si="179"/>
        <v/>
      </c>
      <c r="HB42" s="1064" t="str">
        <f t="shared" si="180"/>
        <v/>
      </c>
      <c r="HC42" s="1064" t="str">
        <f t="shared" si="181"/>
        <v/>
      </c>
      <c r="HD42" s="1064" t="str">
        <f t="shared" si="182"/>
        <v/>
      </c>
      <c r="HE42" s="1064" t="str">
        <f t="shared" si="183"/>
        <v/>
      </c>
      <c r="HF42" s="1064" t="str">
        <f t="shared" si="184"/>
        <v/>
      </c>
      <c r="HG42" s="1064" t="str">
        <f t="shared" si="185"/>
        <v/>
      </c>
      <c r="HH42" s="1064" t="str">
        <f t="shared" si="186"/>
        <v/>
      </c>
      <c r="HI42" s="1064" t="str">
        <f t="shared" si="187"/>
        <v/>
      </c>
      <c r="HJ42" s="1064" t="str">
        <f t="shared" si="188"/>
        <v/>
      </c>
      <c r="HK42" s="1064" t="str">
        <f t="shared" si="189"/>
        <v/>
      </c>
      <c r="HL42" s="1064" t="str">
        <f t="shared" si="190"/>
        <v/>
      </c>
      <c r="HM42" s="1064" t="str">
        <f t="shared" si="191"/>
        <v/>
      </c>
      <c r="HN42" s="1064" t="str">
        <f t="shared" si="192"/>
        <v/>
      </c>
      <c r="HO42" s="1064" t="str">
        <f t="shared" si="193"/>
        <v/>
      </c>
      <c r="HP42" s="1064" t="str">
        <f t="shared" si="194"/>
        <v/>
      </c>
      <c r="HQ42" s="1064" t="str">
        <f t="shared" si="195"/>
        <v/>
      </c>
      <c r="HR42" s="1064" t="str">
        <f t="shared" si="196"/>
        <v/>
      </c>
      <c r="HS42" s="1064" t="str">
        <f t="shared" si="197"/>
        <v/>
      </c>
      <c r="HT42" s="1064" t="str">
        <f t="shared" si="198"/>
        <v/>
      </c>
      <c r="HU42" s="1064" t="str">
        <f t="shared" si="199"/>
        <v/>
      </c>
      <c r="HV42" s="1064" t="str">
        <f t="shared" si="200"/>
        <v/>
      </c>
      <c r="HW42" s="1064" t="str">
        <f t="shared" si="201"/>
        <v/>
      </c>
      <c r="HX42" s="1064" t="str">
        <f t="shared" si="202"/>
        <v/>
      </c>
      <c r="HY42" s="1097" t="str">
        <f t="shared" si="203"/>
        <v/>
      </c>
      <c r="HZ42" s="1097" t="str">
        <f t="shared" si="204"/>
        <v/>
      </c>
      <c r="IA42" s="1097" t="str">
        <f t="shared" si="205"/>
        <v/>
      </c>
      <c r="IB42" s="1097" t="str">
        <f t="shared" si="206"/>
        <v/>
      </c>
      <c r="IC42" s="1097" t="str">
        <f t="shared" si="207"/>
        <v/>
      </c>
      <c r="ID42" s="1097" t="str">
        <f t="shared" si="208"/>
        <v/>
      </c>
      <c r="IE42" s="1097" t="str">
        <f t="shared" si="209"/>
        <v/>
      </c>
      <c r="IF42" s="1097" t="str">
        <f t="shared" si="210"/>
        <v/>
      </c>
      <c r="IG42" s="1097" t="str">
        <f t="shared" si="211"/>
        <v/>
      </c>
      <c r="IH42" s="1097" t="str">
        <f t="shared" si="212"/>
        <v/>
      </c>
      <c r="II42" s="1097" t="str">
        <f t="shared" si="213"/>
        <v/>
      </c>
      <c r="IJ42" s="1097" t="str">
        <f t="shared" si="214"/>
        <v/>
      </c>
      <c r="IK42" s="1097" t="str">
        <f t="shared" si="215"/>
        <v/>
      </c>
      <c r="IL42" s="1097" t="str">
        <f t="shared" si="216"/>
        <v/>
      </c>
      <c r="IM42" s="1097" t="str">
        <f t="shared" si="217"/>
        <v/>
      </c>
      <c r="IN42" s="1097" t="str">
        <f t="shared" si="218"/>
        <v/>
      </c>
      <c r="IO42" s="1097" t="str">
        <f t="shared" si="219"/>
        <v/>
      </c>
      <c r="IP42" s="1097" t="str">
        <f t="shared" si="220"/>
        <v/>
      </c>
      <c r="IQ42" s="1097" t="str">
        <f t="shared" si="221"/>
        <v/>
      </c>
      <c r="IR42" s="1097" t="str">
        <f t="shared" si="222"/>
        <v/>
      </c>
      <c r="IS42" s="1097" t="str">
        <f t="shared" si="223"/>
        <v/>
      </c>
      <c r="IT42" s="1097" t="str">
        <f t="shared" si="224"/>
        <v/>
      </c>
      <c r="IU42" s="1097" t="str">
        <f t="shared" si="225"/>
        <v/>
      </c>
      <c r="IV42" s="1097" t="str">
        <f t="shared" si="226"/>
        <v/>
      </c>
      <c r="IW42" s="1097" t="str">
        <f t="shared" si="227"/>
        <v/>
      </c>
      <c r="IX42" s="1097" t="str">
        <f t="shared" si="228"/>
        <v/>
      </c>
      <c r="IY42" s="1097" t="str">
        <f t="shared" si="229"/>
        <v/>
      </c>
      <c r="IZ42" s="1097" t="str">
        <f t="shared" si="230"/>
        <v/>
      </c>
      <c r="JA42" s="1097" t="str">
        <f t="shared" si="231"/>
        <v/>
      </c>
      <c r="JB42" s="1097" t="str">
        <f t="shared" si="232"/>
        <v/>
      </c>
      <c r="JC42" s="1097" t="str">
        <f t="shared" si="233"/>
        <v/>
      </c>
      <c r="JD42" s="1097" t="str">
        <f t="shared" si="234"/>
        <v/>
      </c>
      <c r="JE42" s="1097" t="str">
        <f t="shared" si="235"/>
        <v/>
      </c>
      <c r="JF42" s="1097" t="str">
        <f t="shared" si="236"/>
        <v/>
      </c>
      <c r="JG42" s="1097" t="str">
        <f t="shared" si="237"/>
        <v/>
      </c>
      <c r="JH42" s="1097" t="str">
        <f t="shared" si="238"/>
        <v/>
      </c>
      <c r="JI42" s="1097" t="str">
        <f t="shared" si="239"/>
        <v/>
      </c>
      <c r="JJ42" s="1097" t="str">
        <f t="shared" si="240"/>
        <v/>
      </c>
      <c r="JK42" s="1097" t="str">
        <f t="shared" si="241"/>
        <v/>
      </c>
      <c r="JL42" s="1097" t="str">
        <f t="shared" si="242"/>
        <v/>
      </c>
      <c r="JM42" s="1097" t="str">
        <f t="shared" si="243"/>
        <v/>
      </c>
      <c r="JN42" s="1097" t="str">
        <f t="shared" si="244"/>
        <v/>
      </c>
      <c r="JO42" s="1097" t="str">
        <f t="shared" si="245"/>
        <v/>
      </c>
      <c r="JP42" s="1097" t="str">
        <f t="shared" si="246"/>
        <v/>
      </c>
      <c r="JQ42" s="1097" t="str">
        <f t="shared" si="247"/>
        <v/>
      </c>
      <c r="JR42" s="1097" t="str">
        <f t="shared" si="248"/>
        <v/>
      </c>
      <c r="JS42" s="1097" t="str">
        <f t="shared" si="249"/>
        <v/>
      </c>
      <c r="JT42" s="1097" t="str">
        <f t="shared" si="250"/>
        <v/>
      </c>
      <c r="JU42" s="1097" t="str">
        <f t="shared" si="251"/>
        <v/>
      </c>
      <c r="JV42" s="1097" t="str">
        <f t="shared" si="252"/>
        <v/>
      </c>
      <c r="JW42" s="1097" t="str">
        <f t="shared" si="253"/>
        <v/>
      </c>
      <c r="JX42" s="1097" t="str">
        <f t="shared" si="254"/>
        <v/>
      </c>
      <c r="JY42" s="1097" t="str">
        <f t="shared" si="255"/>
        <v/>
      </c>
      <c r="JZ42" s="1097" t="str">
        <f t="shared" si="256"/>
        <v/>
      </c>
      <c r="KA42" s="1097" t="str">
        <f t="shared" si="257"/>
        <v/>
      </c>
      <c r="KB42" s="1097" t="str">
        <f t="shared" si="258"/>
        <v/>
      </c>
      <c r="KC42" s="1097" t="str">
        <f t="shared" si="259"/>
        <v/>
      </c>
      <c r="KD42" s="1097" t="str">
        <f t="shared" si="260"/>
        <v/>
      </c>
      <c r="KE42" s="1097" t="str">
        <f t="shared" si="261"/>
        <v/>
      </c>
      <c r="KF42" s="1097" t="str">
        <f t="shared" si="262"/>
        <v/>
      </c>
      <c r="KG42" s="1097" t="str">
        <f t="shared" si="263"/>
        <v/>
      </c>
      <c r="KH42" s="1097" t="str">
        <f t="shared" si="264"/>
        <v/>
      </c>
      <c r="KI42" s="1097" t="str">
        <f t="shared" si="265"/>
        <v/>
      </c>
      <c r="KJ42" s="1097" t="str">
        <f t="shared" si="266"/>
        <v/>
      </c>
      <c r="KK42" s="1097" t="str">
        <f t="shared" si="267"/>
        <v/>
      </c>
      <c r="KL42" s="1097" t="str">
        <f t="shared" si="268"/>
        <v/>
      </c>
      <c r="KM42" s="1097" t="str">
        <f t="shared" si="269"/>
        <v/>
      </c>
      <c r="KN42" s="1097" t="str">
        <f t="shared" si="270"/>
        <v/>
      </c>
      <c r="KO42" s="1097" t="str">
        <f t="shared" si="271"/>
        <v/>
      </c>
      <c r="KP42" s="1097" t="str">
        <f t="shared" si="272"/>
        <v/>
      </c>
      <c r="KQ42" s="1097" t="str">
        <f t="shared" si="273"/>
        <v/>
      </c>
      <c r="KR42" s="1097" t="str">
        <f t="shared" si="274"/>
        <v/>
      </c>
      <c r="KS42" s="1097" t="str">
        <f t="shared" si="275"/>
        <v/>
      </c>
      <c r="KT42" s="1097" t="str">
        <f t="shared" si="276"/>
        <v/>
      </c>
      <c r="KU42" s="1097" t="str">
        <f t="shared" si="277"/>
        <v/>
      </c>
      <c r="KV42" s="1097" t="str">
        <f t="shared" si="278"/>
        <v/>
      </c>
      <c r="KW42" s="1097" t="str">
        <f t="shared" si="279"/>
        <v/>
      </c>
      <c r="KX42" s="1097" t="str">
        <f t="shared" si="280"/>
        <v/>
      </c>
      <c r="KY42" s="1097" t="str">
        <f t="shared" si="281"/>
        <v/>
      </c>
      <c r="KZ42" s="1097" t="str">
        <f t="shared" si="282"/>
        <v/>
      </c>
      <c r="LA42" s="1097" t="str">
        <f t="shared" si="283"/>
        <v/>
      </c>
      <c r="LB42" s="1097" t="str">
        <f t="shared" si="284"/>
        <v/>
      </c>
      <c r="LC42" s="1097" t="str">
        <f t="shared" si="285"/>
        <v/>
      </c>
      <c r="LD42" s="1097" t="str">
        <f t="shared" si="286"/>
        <v/>
      </c>
      <c r="LE42" s="1097" t="str">
        <f t="shared" si="287"/>
        <v/>
      </c>
      <c r="LF42" s="1098" t="str">
        <f t="shared" si="288"/>
        <v/>
      </c>
      <c r="LG42" s="1098" t="str">
        <f t="shared" si="289"/>
        <v/>
      </c>
      <c r="LH42" s="1098" t="str">
        <f t="shared" si="290"/>
        <v/>
      </c>
      <c r="LI42" s="1098" t="str">
        <f t="shared" si="291"/>
        <v/>
      </c>
      <c r="LJ42" s="1098" t="str">
        <f t="shared" si="292"/>
        <v/>
      </c>
      <c r="LK42" s="1064" t="str">
        <f t="shared" si="293"/>
        <v/>
      </c>
      <c r="LL42" s="1064" t="str">
        <f t="shared" si="294"/>
        <v/>
      </c>
      <c r="LM42" s="1064" t="str">
        <f t="shared" si="295"/>
        <v/>
      </c>
      <c r="LN42" s="1064" t="str">
        <f t="shared" si="296"/>
        <v/>
      </c>
      <c r="LO42" s="1064" t="str">
        <f t="shared" si="297"/>
        <v/>
      </c>
      <c r="LP42" s="1064" t="str">
        <f t="shared" si="298"/>
        <v/>
      </c>
      <c r="LQ42" s="1064" t="str">
        <f t="shared" si="299"/>
        <v/>
      </c>
      <c r="LR42" s="1064" t="str">
        <f t="shared" si="300"/>
        <v/>
      </c>
      <c r="LS42" s="1064" t="str">
        <f t="shared" si="301"/>
        <v/>
      </c>
      <c r="LT42" s="1064" t="str">
        <f t="shared" si="302"/>
        <v/>
      </c>
      <c r="LU42" s="1064" t="str">
        <f t="shared" si="303"/>
        <v/>
      </c>
      <c r="LV42" s="1064" t="str">
        <f t="shared" si="304"/>
        <v/>
      </c>
      <c r="LW42" s="1064" t="str">
        <f t="shared" si="305"/>
        <v/>
      </c>
      <c r="LX42" s="1064" t="str">
        <f t="shared" si="306"/>
        <v/>
      </c>
      <c r="LY42" s="1064" t="str">
        <f t="shared" si="307"/>
        <v/>
      </c>
      <c r="LZ42" s="1064" t="str">
        <f t="shared" si="308"/>
        <v/>
      </c>
      <c r="MA42" s="1064" t="str">
        <f t="shared" si="309"/>
        <v/>
      </c>
      <c r="MB42" s="1064" t="str">
        <f t="shared" si="310"/>
        <v/>
      </c>
      <c r="MC42" s="1064" t="str">
        <f t="shared" si="311"/>
        <v/>
      </c>
      <c r="MD42" s="1064" t="str">
        <f t="shared" si="312"/>
        <v/>
      </c>
      <c r="ME42" s="1081">
        <f t="shared" si="324"/>
        <v>0</v>
      </c>
      <c r="MF42" s="1081">
        <f t="shared" si="325"/>
        <v>0</v>
      </c>
      <c r="MG42" s="1081">
        <f t="shared" si="326"/>
        <v>0</v>
      </c>
      <c r="MH42" s="1081">
        <f t="shared" si="327"/>
        <v>0</v>
      </c>
      <c r="MI42" s="1081">
        <f t="shared" si="328"/>
        <v>0</v>
      </c>
      <c r="MJ42" s="1081">
        <f t="shared" si="329"/>
        <v>0</v>
      </c>
      <c r="MK42" s="1081">
        <f t="shared" si="330"/>
        <v>0</v>
      </c>
      <c r="ML42" s="1081">
        <f t="shared" si="331"/>
        <v>0</v>
      </c>
      <c r="MM42" s="1081">
        <f t="shared" si="332"/>
        <v>0</v>
      </c>
      <c r="MN42" s="1081">
        <f t="shared" si="333"/>
        <v>0</v>
      </c>
      <c r="MO42" s="1081">
        <f t="shared" si="334"/>
        <v>0</v>
      </c>
      <c r="MP42" s="1081">
        <f t="shared" si="335"/>
        <v>0</v>
      </c>
      <c r="MQ42" s="1081">
        <f t="shared" si="336"/>
        <v>0</v>
      </c>
      <c r="MR42" s="1081">
        <f t="shared" si="337"/>
        <v>0</v>
      </c>
      <c r="MS42" s="1081">
        <f t="shared" si="338"/>
        <v>0</v>
      </c>
    </row>
    <row r="43" spans="1:393" ht="12" customHeight="1">
      <c r="A43" s="1088" t="str">
        <f t="shared" si="0"/>
        <v/>
      </c>
      <c r="B43" s="44"/>
      <c r="C43" s="41"/>
      <c r="D43" s="42"/>
      <c r="E43" s="43"/>
      <c r="F43" s="43"/>
      <c r="G43" s="43"/>
      <c r="H43" s="43"/>
      <c r="I43" s="1100">
        <f>IF(C43="",0,HLOOKUP(C43,'Part V-Utility Allowances'!$I$11:$M$22,12))</f>
        <v>0</v>
      </c>
      <c r="J43" s="810"/>
      <c r="K43" s="512">
        <f t="shared" si="1"/>
        <v>0</v>
      </c>
      <c r="L43" s="512">
        <f t="shared" si="2"/>
        <v>0</v>
      </c>
      <c r="M43" s="1101"/>
      <c r="N43" s="1101"/>
      <c r="O43" s="1101"/>
      <c r="P43" s="1102"/>
      <c r="Q43" s="1103" t="str">
        <f t="shared" si="3"/>
        <v/>
      </c>
      <c r="R43" s="1104" t="str">
        <f>IF(H43="","",IF(C43="Efficiency",Q43/($O$6*VLOOKUP(0,'DCA Underwriting Assumptions'!$J$146:$K$151,2,FALSE)),Q43/($O$6*VLOOKUP(C43,'DCA Underwriting Assumptions'!$J$146:$K$151,2,FALSE))))</f>
        <v/>
      </c>
      <c r="S43" s="1105"/>
      <c r="T43" s="1106"/>
      <c r="U43" s="2314"/>
      <c r="V43" s="2316"/>
      <c r="W43" s="1064" t="str">
        <f t="shared" si="4"/>
        <v/>
      </c>
      <c r="X43" s="1064" t="str">
        <f t="shared" si="5"/>
        <v/>
      </c>
      <c r="Y43" s="1064" t="str">
        <f t="shared" si="6"/>
        <v/>
      </c>
      <c r="Z43" s="1064" t="str">
        <f t="shared" si="7"/>
        <v/>
      </c>
      <c r="AA43" s="1064" t="str">
        <f t="shared" si="8"/>
        <v/>
      </c>
      <c r="AB43" s="1064" t="str">
        <f t="shared" si="9"/>
        <v/>
      </c>
      <c r="AC43" s="1064" t="str">
        <f t="shared" si="10"/>
        <v/>
      </c>
      <c r="AD43" s="1064" t="str">
        <f t="shared" si="11"/>
        <v/>
      </c>
      <c r="AE43" s="1064" t="str">
        <f t="shared" si="12"/>
        <v/>
      </c>
      <c r="AF43" s="1064" t="str">
        <f t="shared" si="13"/>
        <v/>
      </c>
      <c r="AG43" s="1064" t="str">
        <f t="shared" si="14"/>
        <v/>
      </c>
      <c r="AH43" s="1064" t="str">
        <f t="shared" si="15"/>
        <v/>
      </c>
      <c r="AI43" s="1064" t="str">
        <f t="shared" si="16"/>
        <v/>
      </c>
      <c r="AJ43" s="1064" t="str">
        <f t="shared" si="17"/>
        <v/>
      </c>
      <c r="AK43" s="1064" t="str">
        <f t="shared" si="18"/>
        <v/>
      </c>
      <c r="AL43" s="1064" t="str">
        <f t="shared" si="19"/>
        <v/>
      </c>
      <c r="AM43" s="1064" t="str">
        <f t="shared" si="20"/>
        <v/>
      </c>
      <c r="AN43" s="1064" t="str">
        <f t="shared" si="21"/>
        <v/>
      </c>
      <c r="AO43" s="1064" t="str">
        <f t="shared" si="22"/>
        <v/>
      </c>
      <c r="AP43" s="1064" t="str">
        <f t="shared" si="23"/>
        <v/>
      </c>
      <c r="AQ43" s="1064" t="str">
        <f t="shared" si="24"/>
        <v/>
      </c>
      <c r="AR43" s="1064" t="str">
        <f t="shared" si="25"/>
        <v/>
      </c>
      <c r="AS43" s="1064" t="str">
        <f t="shared" si="26"/>
        <v/>
      </c>
      <c r="AT43" s="1064" t="str">
        <f t="shared" si="27"/>
        <v/>
      </c>
      <c r="AU43" s="1064" t="str">
        <f t="shared" si="28"/>
        <v/>
      </c>
      <c r="AV43" s="1064" t="str">
        <f t="shared" si="29"/>
        <v/>
      </c>
      <c r="AW43" s="1064" t="str">
        <f t="shared" si="30"/>
        <v/>
      </c>
      <c r="AX43" s="1064" t="str">
        <f t="shared" si="31"/>
        <v/>
      </c>
      <c r="AY43" s="1064" t="str">
        <f t="shared" si="32"/>
        <v/>
      </c>
      <c r="AZ43" s="1064" t="str">
        <f t="shared" si="33"/>
        <v/>
      </c>
      <c r="BA43" s="1064" t="str">
        <f t="shared" si="34"/>
        <v/>
      </c>
      <c r="BB43" s="1064" t="str">
        <f t="shared" si="35"/>
        <v/>
      </c>
      <c r="BC43" s="1064" t="str">
        <f t="shared" si="36"/>
        <v/>
      </c>
      <c r="BD43" s="1064" t="str">
        <f t="shared" si="37"/>
        <v/>
      </c>
      <c r="BE43" s="1064" t="str">
        <f t="shared" si="38"/>
        <v/>
      </c>
      <c r="BF43" s="1064" t="str">
        <f t="shared" si="39"/>
        <v/>
      </c>
      <c r="BG43" s="1064" t="str">
        <f t="shared" si="40"/>
        <v/>
      </c>
      <c r="BH43" s="1064" t="str">
        <f t="shared" si="41"/>
        <v/>
      </c>
      <c r="BI43" s="1064" t="str">
        <f t="shared" si="42"/>
        <v/>
      </c>
      <c r="BJ43" s="1064" t="str">
        <f t="shared" si="43"/>
        <v/>
      </c>
      <c r="BK43" s="1064" t="str">
        <f t="shared" si="44"/>
        <v/>
      </c>
      <c r="BL43" s="1064" t="str">
        <f t="shared" si="45"/>
        <v/>
      </c>
      <c r="BM43" s="1064" t="str">
        <f t="shared" si="46"/>
        <v/>
      </c>
      <c r="BN43" s="1064" t="str">
        <f t="shared" si="47"/>
        <v/>
      </c>
      <c r="BO43" s="1064" t="str">
        <f t="shared" si="48"/>
        <v/>
      </c>
      <c r="BP43" s="1064" t="str">
        <f t="shared" si="49"/>
        <v/>
      </c>
      <c r="BQ43" s="1064" t="str">
        <f t="shared" si="50"/>
        <v/>
      </c>
      <c r="BR43" s="1064" t="str">
        <f t="shared" si="51"/>
        <v/>
      </c>
      <c r="BS43" s="1064" t="str">
        <f t="shared" si="52"/>
        <v/>
      </c>
      <c r="BT43" s="1064" t="str">
        <f t="shared" si="53"/>
        <v/>
      </c>
      <c r="BU43" s="1064" t="str">
        <f t="shared" si="54"/>
        <v/>
      </c>
      <c r="BV43" s="1064" t="str">
        <f t="shared" si="55"/>
        <v/>
      </c>
      <c r="BW43" s="1064" t="str">
        <f t="shared" si="56"/>
        <v/>
      </c>
      <c r="BX43" s="1064" t="str">
        <f t="shared" si="57"/>
        <v/>
      </c>
      <c r="BY43" s="1064" t="str">
        <f t="shared" si="58"/>
        <v/>
      </c>
      <c r="BZ43" s="1064" t="str">
        <f t="shared" si="59"/>
        <v/>
      </c>
      <c r="CA43" s="1064" t="str">
        <f t="shared" si="60"/>
        <v/>
      </c>
      <c r="CB43" s="1064" t="str">
        <f t="shared" si="61"/>
        <v/>
      </c>
      <c r="CC43" s="1064" t="str">
        <f t="shared" si="62"/>
        <v/>
      </c>
      <c r="CD43" s="1064" t="str">
        <f t="shared" si="63"/>
        <v/>
      </c>
      <c r="CE43" s="1064" t="str">
        <f t="shared" si="64"/>
        <v/>
      </c>
      <c r="CF43" s="1064" t="str">
        <f t="shared" si="65"/>
        <v/>
      </c>
      <c r="CG43" s="1064" t="str">
        <f t="shared" si="66"/>
        <v/>
      </c>
      <c r="CH43" s="1064" t="str">
        <f t="shared" si="67"/>
        <v/>
      </c>
      <c r="CI43" s="1064" t="str">
        <f t="shared" si="68"/>
        <v/>
      </c>
      <c r="CJ43" s="1064" t="str">
        <f t="shared" si="69"/>
        <v/>
      </c>
      <c r="CK43" s="1064" t="str">
        <f t="shared" si="70"/>
        <v/>
      </c>
      <c r="CL43" s="1064" t="str">
        <f t="shared" si="71"/>
        <v/>
      </c>
      <c r="CM43" s="1064" t="str">
        <f t="shared" si="72"/>
        <v/>
      </c>
      <c r="CN43" s="1064" t="str">
        <f t="shared" si="73"/>
        <v/>
      </c>
      <c r="CO43" s="1064" t="str">
        <f t="shared" si="74"/>
        <v/>
      </c>
      <c r="CP43" s="1064" t="str">
        <f t="shared" si="75"/>
        <v/>
      </c>
      <c r="CQ43" s="1064" t="str">
        <f t="shared" si="76"/>
        <v/>
      </c>
      <c r="CR43" s="1064" t="str">
        <f t="shared" si="77"/>
        <v/>
      </c>
      <c r="CS43" s="1064" t="str">
        <f t="shared" si="78"/>
        <v/>
      </c>
      <c r="CT43" s="1064" t="str">
        <f t="shared" si="79"/>
        <v/>
      </c>
      <c r="CU43" s="1064" t="str">
        <f t="shared" si="80"/>
        <v/>
      </c>
      <c r="CV43" s="1064" t="str">
        <f t="shared" si="81"/>
        <v/>
      </c>
      <c r="CW43" s="1064" t="str">
        <f t="shared" si="82"/>
        <v/>
      </c>
      <c r="CX43" s="1064" t="str">
        <f t="shared" si="83"/>
        <v/>
      </c>
      <c r="CY43" s="1064" t="str">
        <f t="shared" si="84"/>
        <v/>
      </c>
      <c r="CZ43" s="1064" t="str">
        <f t="shared" si="85"/>
        <v/>
      </c>
      <c r="DA43" s="1064" t="str">
        <f t="shared" si="86"/>
        <v/>
      </c>
      <c r="DB43" s="1064" t="str">
        <f t="shared" si="87"/>
        <v/>
      </c>
      <c r="DC43" s="1064" t="str">
        <f t="shared" si="88"/>
        <v/>
      </c>
      <c r="DD43" s="1064" t="str">
        <f t="shared" si="89"/>
        <v/>
      </c>
      <c r="DE43" s="1064" t="str">
        <f t="shared" si="90"/>
        <v/>
      </c>
      <c r="DF43" s="1064" t="str">
        <f t="shared" si="91"/>
        <v/>
      </c>
      <c r="DG43" s="1064" t="str">
        <f t="shared" si="92"/>
        <v/>
      </c>
      <c r="DH43" s="1064" t="str">
        <f t="shared" si="93"/>
        <v/>
      </c>
      <c r="DI43" s="1064" t="str">
        <f t="shared" si="94"/>
        <v/>
      </c>
      <c r="DJ43" s="1064" t="str">
        <f t="shared" si="95"/>
        <v/>
      </c>
      <c r="DK43" s="1064" t="str">
        <f t="shared" si="96"/>
        <v/>
      </c>
      <c r="DL43" s="1064" t="str">
        <f t="shared" si="97"/>
        <v/>
      </c>
      <c r="DM43" s="1064" t="str">
        <f t="shared" si="98"/>
        <v/>
      </c>
      <c r="DN43" s="1064" t="str">
        <f t="shared" si="99"/>
        <v/>
      </c>
      <c r="DO43" s="1064" t="str">
        <f t="shared" si="100"/>
        <v/>
      </c>
      <c r="DP43" s="1064" t="str">
        <f t="shared" si="101"/>
        <v/>
      </c>
      <c r="DQ43" s="1064" t="str">
        <f t="shared" si="102"/>
        <v/>
      </c>
      <c r="DR43" s="1064" t="str">
        <f t="shared" si="103"/>
        <v/>
      </c>
      <c r="DS43" s="1064" t="str">
        <f t="shared" si="104"/>
        <v/>
      </c>
      <c r="DT43" s="1064" t="str">
        <f t="shared" si="105"/>
        <v/>
      </c>
      <c r="DU43" s="1064" t="str">
        <f t="shared" si="106"/>
        <v/>
      </c>
      <c r="DV43" s="1064" t="str">
        <f t="shared" si="107"/>
        <v/>
      </c>
      <c r="DW43" s="1064" t="str">
        <f t="shared" si="108"/>
        <v/>
      </c>
      <c r="DX43" s="1064" t="str">
        <f t="shared" si="109"/>
        <v/>
      </c>
      <c r="DY43" s="1064" t="str">
        <f t="shared" si="110"/>
        <v/>
      </c>
      <c r="DZ43" s="1064" t="str">
        <f t="shared" si="111"/>
        <v/>
      </c>
      <c r="EA43" s="1064" t="str">
        <f t="shared" si="112"/>
        <v/>
      </c>
      <c r="EB43" s="1064" t="str">
        <f t="shared" si="113"/>
        <v/>
      </c>
      <c r="EC43" s="1064" t="str">
        <f t="shared" si="114"/>
        <v/>
      </c>
      <c r="ED43" s="1064" t="str">
        <f t="shared" si="115"/>
        <v/>
      </c>
      <c r="EE43" s="1064" t="str">
        <f t="shared" si="116"/>
        <v/>
      </c>
      <c r="EF43" s="1064" t="str">
        <f t="shared" si="117"/>
        <v/>
      </c>
      <c r="EG43" s="1064" t="str">
        <f t="shared" si="313"/>
        <v/>
      </c>
      <c r="EH43" s="1064" t="str">
        <f t="shared" si="118"/>
        <v/>
      </c>
      <c r="EI43" s="1064" t="str">
        <f t="shared" si="119"/>
        <v/>
      </c>
      <c r="EJ43" s="1064" t="str">
        <f t="shared" si="120"/>
        <v/>
      </c>
      <c r="EK43" s="1064" t="str">
        <f t="shared" si="121"/>
        <v/>
      </c>
      <c r="EL43" s="1064" t="str">
        <f t="shared" si="122"/>
        <v/>
      </c>
      <c r="EM43" s="1064" t="str">
        <f t="shared" si="123"/>
        <v/>
      </c>
      <c r="EN43" s="1064" t="str">
        <f t="shared" si="124"/>
        <v/>
      </c>
      <c r="EO43" s="1064" t="str">
        <f t="shared" si="125"/>
        <v/>
      </c>
      <c r="EP43" s="1064" t="str">
        <f t="shared" si="126"/>
        <v/>
      </c>
      <c r="EQ43" s="1064" t="str">
        <f t="shared" si="127"/>
        <v/>
      </c>
      <c r="ER43" s="1064" t="str">
        <f t="shared" si="128"/>
        <v/>
      </c>
      <c r="ES43" s="1064" t="str">
        <f t="shared" si="129"/>
        <v/>
      </c>
      <c r="ET43" s="1064" t="str">
        <f t="shared" si="130"/>
        <v/>
      </c>
      <c r="EU43" s="1064" t="str">
        <f t="shared" si="131"/>
        <v/>
      </c>
      <c r="EV43" s="1064" t="str">
        <f t="shared" si="132"/>
        <v/>
      </c>
      <c r="EW43" s="1064" t="str">
        <f t="shared" si="314"/>
        <v/>
      </c>
      <c r="EX43" s="1064" t="str">
        <f t="shared" si="315"/>
        <v/>
      </c>
      <c r="EY43" s="1064" t="str">
        <f t="shared" si="316"/>
        <v/>
      </c>
      <c r="EZ43" s="1064" t="str">
        <f t="shared" si="317"/>
        <v/>
      </c>
      <c r="FA43" s="1064" t="str">
        <f t="shared" si="318"/>
        <v/>
      </c>
      <c r="FB43" s="1064" t="str">
        <f t="shared" si="133"/>
        <v/>
      </c>
      <c r="FC43" s="1064" t="str">
        <f t="shared" si="134"/>
        <v/>
      </c>
      <c r="FD43" s="1064" t="str">
        <f t="shared" si="135"/>
        <v/>
      </c>
      <c r="FE43" s="1064" t="str">
        <f t="shared" si="136"/>
        <v/>
      </c>
      <c r="FF43" s="1064" t="str">
        <f t="shared" si="137"/>
        <v/>
      </c>
      <c r="FG43" s="1064" t="str">
        <f t="shared" si="319"/>
        <v/>
      </c>
      <c r="FH43" s="1064" t="str">
        <f t="shared" si="320"/>
        <v/>
      </c>
      <c r="FI43" s="1064" t="str">
        <f t="shared" si="321"/>
        <v/>
      </c>
      <c r="FJ43" s="1064" t="str">
        <f t="shared" si="322"/>
        <v/>
      </c>
      <c r="FK43" s="1064" t="str">
        <f t="shared" si="323"/>
        <v/>
      </c>
      <c r="FL43" s="1064" t="str">
        <f t="shared" si="138"/>
        <v/>
      </c>
      <c r="FM43" s="1064" t="str">
        <f t="shared" si="139"/>
        <v/>
      </c>
      <c r="FN43" s="1064" t="str">
        <f t="shared" si="140"/>
        <v/>
      </c>
      <c r="FO43" s="1064" t="str">
        <f t="shared" si="141"/>
        <v/>
      </c>
      <c r="FP43" s="1064" t="str">
        <f t="shared" si="142"/>
        <v/>
      </c>
      <c r="FQ43" s="1064" t="str">
        <f t="shared" si="143"/>
        <v/>
      </c>
      <c r="FR43" s="1064" t="str">
        <f t="shared" si="144"/>
        <v/>
      </c>
      <c r="FS43" s="1064" t="str">
        <f t="shared" si="145"/>
        <v/>
      </c>
      <c r="FT43" s="1064" t="str">
        <f t="shared" si="146"/>
        <v/>
      </c>
      <c r="FU43" s="1064" t="str">
        <f t="shared" si="147"/>
        <v/>
      </c>
      <c r="FV43" s="1064" t="str">
        <f t="shared" si="148"/>
        <v/>
      </c>
      <c r="FW43" s="1064" t="str">
        <f t="shared" si="149"/>
        <v/>
      </c>
      <c r="FX43" s="1064" t="str">
        <f t="shared" si="150"/>
        <v/>
      </c>
      <c r="FY43" s="1064" t="str">
        <f t="shared" si="151"/>
        <v/>
      </c>
      <c r="FZ43" s="1064" t="str">
        <f t="shared" si="152"/>
        <v/>
      </c>
      <c r="GA43" s="1064" t="str">
        <f t="shared" si="153"/>
        <v/>
      </c>
      <c r="GB43" s="1064" t="str">
        <f t="shared" si="154"/>
        <v/>
      </c>
      <c r="GC43" s="1064" t="str">
        <f t="shared" si="155"/>
        <v/>
      </c>
      <c r="GD43" s="1064" t="str">
        <f t="shared" si="156"/>
        <v/>
      </c>
      <c r="GE43" s="1064" t="str">
        <f t="shared" si="157"/>
        <v/>
      </c>
      <c r="GF43" s="1064" t="str">
        <f t="shared" si="158"/>
        <v/>
      </c>
      <c r="GG43" s="1064" t="str">
        <f t="shared" si="159"/>
        <v/>
      </c>
      <c r="GH43" s="1064" t="str">
        <f t="shared" si="160"/>
        <v/>
      </c>
      <c r="GI43" s="1064" t="str">
        <f t="shared" si="161"/>
        <v/>
      </c>
      <c r="GJ43" s="1064" t="str">
        <f t="shared" si="162"/>
        <v/>
      </c>
      <c r="GK43" s="1064" t="str">
        <f t="shared" si="163"/>
        <v/>
      </c>
      <c r="GL43" s="1064" t="str">
        <f t="shared" si="164"/>
        <v/>
      </c>
      <c r="GM43" s="1064" t="str">
        <f t="shared" si="165"/>
        <v/>
      </c>
      <c r="GN43" s="1064" t="str">
        <f t="shared" si="166"/>
        <v/>
      </c>
      <c r="GO43" s="1064" t="str">
        <f t="shared" si="167"/>
        <v/>
      </c>
      <c r="GP43" s="1064" t="str">
        <f t="shared" si="168"/>
        <v/>
      </c>
      <c r="GQ43" s="1064" t="str">
        <f t="shared" si="169"/>
        <v/>
      </c>
      <c r="GR43" s="1064" t="str">
        <f t="shared" si="170"/>
        <v/>
      </c>
      <c r="GS43" s="1064" t="str">
        <f t="shared" si="171"/>
        <v/>
      </c>
      <c r="GT43" s="1064" t="str">
        <f t="shared" si="172"/>
        <v/>
      </c>
      <c r="GU43" s="1064" t="str">
        <f t="shared" si="173"/>
        <v/>
      </c>
      <c r="GV43" s="1064" t="str">
        <f t="shared" si="174"/>
        <v/>
      </c>
      <c r="GW43" s="1064" t="str">
        <f t="shared" si="175"/>
        <v/>
      </c>
      <c r="GX43" s="1064" t="str">
        <f t="shared" si="176"/>
        <v/>
      </c>
      <c r="GY43" s="1064" t="str">
        <f t="shared" si="177"/>
        <v/>
      </c>
      <c r="GZ43" s="1064" t="str">
        <f t="shared" si="178"/>
        <v/>
      </c>
      <c r="HA43" s="1064" t="str">
        <f t="shared" si="179"/>
        <v/>
      </c>
      <c r="HB43" s="1064" t="str">
        <f t="shared" si="180"/>
        <v/>
      </c>
      <c r="HC43" s="1064" t="str">
        <f t="shared" si="181"/>
        <v/>
      </c>
      <c r="HD43" s="1064" t="str">
        <f t="shared" si="182"/>
        <v/>
      </c>
      <c r="HE43" s="1064" t="str">
        <f t="shared" si="183"/>
        <v/>
      </c>
      <c r="HF43" s="1064" t="str">
        <f t="shared" si="184"/>
        <v/>
      </c>
      <c r="HG43" s="1064" t="str">
        <f t="shared" si="185"/>
        <v/>
      </c>
      <c r="HH43" s="1064" t="str">
        <f t="shared" si="186"/>
        <v/>
      </c>
      <c r="HI43" s="1064" t="str">
        <f t="shared" si="187"/>
        <v/>
      </c>
      <c r="HJ43" s="1064" t="str">
        <f t="shared" si="188"/>
        <v/>
      </c>
      <c r="HK43" s="1064" t="str">
        <f t="shared" si="189"/>
        <v/>
      </c>
      <c r="HL43" s="1064" t="str">
        <f t="shared" si="190"/>
        <v/>
      </c>
      <c r="HM43" s="1064" t="str">
        <f t="shared" si="191"/>
        <v/>
      </c>
      <c r="HN43" s="1064" t="str">
        <f t="shared" si="192"/>
        <v/>
      </c>
      <c r="HO43" s="1064" t="str">
        <f t="shared" si="193"/>
        <v/>
      </c>
      <c r="HP43" s="1064" t="str">
        <f t="shared" si="194"/>
        <v/>
      </c>
      <c r="HQ43" s="1064" t="str">
        <f t="shared" si="195"/>
        <v/>
      </c>
      <c r="HR43" s="1064" t="str">
        <f t="shared" si="196"/>
        <v/>
      </c>
      <c r="HS43" s="1064" t="str">
        <f t="shared" si="197"/>
        <v/>
      </c>
      <c r="HT43" s="1064" t="str">
        <f t="shared" si="198"/>
        <v/>
      </c>
      <c r="HU43" s="1064" t="str">
        <f t="shared" si="199"/>
        <v/>
      </c>
      <c r="HV43" s="1064" t="str">
        <f t="shared" si="200"/>
        <v/>
      </c>
      <c r="HW43" s="1064" t="str">
        <f t="shared" si="201"/>
        <v/>
      </c>
      <c r="HX43" s="1064" t="str">
        <f t="shared" si="202"/>
        <v/>
      </c>
      <c r="HY43" s="1097" t="str">
        <f t="shared" si="203"/>
        <v/>
      </c>
      <c r="HZ43" s="1097" t="str">
        <f t="shared" si="204"/>
        <v/>
      </c>
      <c r="IA43" s="1097" t="str">
        <f t="shared" si="205"/>
        <v/>
      </c>
      <c r="IB43" s="1097" t="str">
        <f t="shared" si="206"/>
        <v/>
      </c>
      <c r="IC43" s="1097" t="str">
        <f t="shared" si="207"/>
        <v/>
      </c>
      <c r="ID43" s="1097" t="str">
        <f t="shared" si="208"/>
        <v/>
      </c>
      <c r="IE43" s="1097" t="str">
        <f t="shared" si="209"/>
        <v/>
      </c>
      <c r="IF43" s="1097" t="str">
        <f t="shared" si="210"/>
        <v/>
      </c>
      <c r="IG43" s="1097" t="str">
        <f t="shared" si="211"/>
        <v/>
      </c>
      <c r="IH43" s="1097" t="str">
        <f t="shared" si="212"/>
        <v/>
      </c>
      <c r="II43" s="1097" t="str">
        <f t="shared" si="213"/>
        <v/>
      </c>
      <c r="IJ43" s="1097" t="str">
        <f t="shared" si="214"/>
        <v/>
      </c>
      <c r="IK43" s="1097" t="str">
        <f t="shared" si="215"/>
        <v/>
      </c>
      <c r="IL43" s="1097" t="str">
        <f t="shared" si="216"/>
        <v/>
      </c>
      <c r="IM43" s="1097" t="str">
        <f t="shared" si="217"/>
        <v/>
      </c>
      <c r="IN43" s="1097" t="str">
        <f t="shared" si="218"/>
        <v/>
      </c>
      <c r="IO43" s="1097" t="str">
        <f t="shared" si="219"/>
        <v/>
      </c>
      <c r="IP43" s="1097" t="str">
        <f t="shared" si="220"/>
        <v/>
      </c>
      <c r="IQ43" s="1097" t="str">
        <f t="shared" si="221"/>
        <v/>
      </c>
      <c r="IR43" s="1097" t="str">
        <f t="shared" si="222"/>
        <v/>
      </c>
      <c r="IS43" s="1097" t="str">
        <f t="shared" si="223"/>
        <v/>
      </c>
      <c r="IT43" s="1097" t="str">
        <f t="shared" si="224"/>
        <v/>
      </c>
      <c r="IU43" s="1097" t="str">
        <f t="shared" si="225"/>
        <v/>
      </c>
      <c r="IV43" s="1097" t="str">
        <f t="shared" si="226"/>
        <v/>
      </c>
      <c r="IW43" s="1097" t="str">
        <f t="shared" si="227"/>
        <v/>
      </c>
      <c r="IX43" s="1097" t="str">
        <f t="shared" si="228"/>
        <v/>
      </c>
      <c r="IY43" s="1097" t="str">
        <f t="shared" si="229"/>
        <v/>
      </c>
      <c r="IZ43" s="1097" t="str">
        <f t="shared" si="230"/>
        <v/>
      </c>
      <c r="JA43" s="1097" t="str">
        <f t="shared" si="231"/>
        <v/>
      </c>
      <c r="JB43" s="1097" t="str">
        <f t="shared" si="232"/>
        <v/>
      </c>
      <c r="JC43" s="1097" t="str">
        <f t="shared" si="233"/>
        <v/>
      </c>
      <c r="JD43" s="1097" t="str">
        <f t="shared" si="234"/>
        <v/>
      </c>
      <c r="JE43" s="1097" t="str">
        <f t="shared" si="235"/>
        <v/>
      </c>
      <c r="JF43" s="1097" t="str">
        <f t="shared" si="236"/>
        <v/>
      </c>
      <c r="JG43" s="1097" t="str">
        <f t="shared" si="237"/>
        <v/>
      </c>
      <c r="JH43" s="1097" t="str">
        <f t="shared" si="238"/>
        <v/>
      </c>
      <c r="JI43" s="1097" t="str">
        <f t="shared" si="239"/>
        <v/>
      </c>
      <c r="JJ43" s="1097" t="str">
        <f t="shared" si="240"/>
        <v/>
      </c>
      <c r="JK43" s="1097" t="str">
        <f t="shared" si="241"/>
        <v/>
      </c>
      <c r="JL43" s="1097" t="str">
        <f t="shared" si="242"/>
        <v/>
      </c>
      <c r="JM43" s="1097" t="str">
        <f t="shared" si="243"/>
        <v/>
      </c>
      <c r="JN43" s="1097" t="str">
        <f t="shared" si="244"/>
        <v/>
      </c>
      <c r="JO43" s="1097" t="str">
        <f t="shared" si="245"/>
        <v/>
      </c>
      <c r="JP43" s="1097" t="str">
        <f t="shared" si="246"/>
        <v/>
      </c>
      <c r="JQ43" s="1097" t="str">
        <f t="shared" si="247"/>
        <v/>
      </c>
      <c r="JR43" s="1097" t="str">
        <f t="shared" si="248"/>
        <v/>
      </c>
      <c r="JS43" s="1097" t="str">
        <f t="shared" si="249"/>
        <v/>
      </c>
      <c r="JT43" s="1097" t="str">
        <f t="shared" si="250"/>
        <v/>
      </c>
      <c r="JU43" s="1097" t="str">
        <f t="shared" si="251"/>
        <v/>
      </c>
      <c r="JV43" s="1097" t="str">
        <f t="shared" si="252"/>
        <v/>
      </c>
      <c r="JW43" s="1097" t="str">
        <f t="shared" si="253"/>
        <v/>
      </c>
      <c r="JX43" s="1097" t="str">
        <f t="shared" si="254"/>
        <v/>
      </c>
      <c r="JY43" s="1097" t="str">
        <f t="shared" si="255"/>
        <v/>
      </c>
      <c r="JZ43" s="1097" t="str">
        <f t="shared" si="256"/>
        <v/>
      </c>
      <c r="KA43" s="1097" t="str">
        <f t="shared" si="257"/>
        <v/>
      </c>
      <c r="KB43" s="1097" t="str">
        <f t="shared" si="258"/>
        <v/>
      </c>
      <c r="KC43" s="1097" t="str">
        <f t="shared" si="259"/>
        <v/>
      </c>
      <c r="KD43" s="1097" t="str">
        <f t="shared" si="260"/>
        <v/>
      </c>
      <c r="KE43" s="1097" t="str">
        <f t="shared" si="261"/>
        <v/>
      </c>
      <c r="KF43" s="1097" t="str">
        <f t="shared" si="262"/>
        <v/>
      </c>
      <c r="KG43" s="1097" t="str">
        <f t="shared" si="263"/>
        <v/>
      </c>
      <c r="KH43" s="1097" t="str">
        <f t="shared" si="264"/>
        <v/>
      </c>
      <c r="KI43" s="1097" t="str">
        <f t="shared" si="265"/>
        <v/>
      </c>
      <c r="KJ43" s="1097" t="str">
        <f t="shared" si="266"/>
        <v/>
      </c>
      <c r="KK43" s="1097" t="str">
        <f t="shared" si="267"/>
        <v/>
      </c>
      <c r="KL43" s="1097" t="str">
        <f t="shared" si="268"/>
        <v/>
      </c>
      <c r="KM43" s="1097" t="str">
        <f t="shared" si="269"/>
        <v/>
      </c>
      <c r="KN43" s="1097" t="str">
        <f t="shared" si="270"/>
        <v/>
      </c>
      <c r="KO43" s="1097" t="str">
        <f t="shared" si="271"/>
        <v/>
      </c>
      <c r="KP43" s="1097" t="str">
        <f t="shared" si="272"/>
        <v/>
      </c>
      <c r="KQ43" s="1097" t="str">
        <f t="shared" si="273"/>
        <v/>
      </c>
      <c r="KR43" s="1097" t="str">
        <f t="shared" si="274"/>
        <v/>
      </c>
      <c r="KS43" s="1097" t="str">
        <f t="shared" si="275"/>
        <v/>
      </c>
      <c r="KT43" s="1097" t="str">
        <f t="shared" si="276"/>
        <v/>
      </c>
      <c r="KU43" s="1097" t="str">
        <f t="shared" si="277"/>
        <v/>
      </c>
      <c r="KV43" s="1097" t="str">
        <f t="shared" si="278"/>
        <v/>
      </c>
      <c r="KW43" s="1097" t="str">
        <f t="shared" si="279"/>
        <v/>
      </c>
      <c r="KX43" s="1097" t="str">
        <f t="shared" si="280"/>
        <v/>
      </c>
      <c r="KY43" s="1097" t="str">
        <f t="shared" si="281"/>
        <v/>
      </c>
      <c r="KZ43" s="1097" t="str">
        <f t="shared" si="282"/>
        <v/>
      </c>
      <c r="LA43" s="1097" t="str">
        <f t="shared" si="283"/>
        <v/>
      </c>
      <c r="LB43" s="1097" t="str">
        <f t="shared" si="284"/>
        <v/>
      </c>
      <c r="LC43" s="1097" t="str">
        <f t="shared" si="285"/>
        <v/>
      </c>
      <c r="LD43" s="1097" t="str">
        <f t="shared" si="286"/>
        <v/>
      </c>
      <c r="LE43" s="1097" t="str">
        <f t="shared" si="287"/>
        <v/>
      </c>
      <c r="LF43" s="1098" t="str">
        <f t="shared" si="288"/>
        <v/>
      </c>
      <c r="LG43" s="1098" t="str">
        <f t="shared" si="289"/>
        <v/>
      </c>
      <c r="LH43" s="1098" t="str">
        <f t="shared" si="290"/>
        <v/>
      </c>
      <c r="LI43" s="1098" t="str">
        <f t="shared" si="291"/>
        <v/>
      </c>
      <c r="LJ43" s="1098" t="str">
        <f t="shared" si="292"/>
        <v/>
      </c>
      <c r="LK43" s="1064" t="str">
        <f t="shared" si="293"/>
        <v/>
      </c>
      <c r="LL43" s="1064" t="str">
        <f t="shared" si="294"/>
        <v/>
      </c>
      <c r="LM43" s="1064" t="str">
        <f t="shared" si="295"/>
        <v/>
      </c>
      <c r="LN43" s="1064" t="str">
        <f t="shared" si="296"/>
        <v/>
      </c>
      <c r="LO43" s="1064" t="str">
        <f t="shared" si="297"/>
        <v/>
      </c>
      <c r="LP43" s="1064" t="str">
        <f t="shared" si="298"/>
        <v/>
      </c>
      <c r="LQ43" s="1064" t="str">
        <f t="shared" si="299"/>
        <v/>
      </c>
      <c r="LR43" s="1064" t="str">
        <f t="shared" si="300"/>
        <v/>
      </c>
      <c r="LS43" s="1064" t="str">
        <f t="shared" si="301"/>
        <v/>
      </c>
      <c r="LT43" s="1064" t="str">
        <f t="shared" si="302"/>
        <v/>
      </c>
      <c r="LU43" s="1064" t="str">
        <f t="shared" si="303"/>
        <v/>
      </c>
      <c r="LV43" s="1064" t="str">
        <f t="shared" si="304"/>
        <v/>
      </c>
      <c r="LW43" s="1064" t="str">
        <f t="shared" si="305"/>
        <v/>
      </c>
      <c r="LX43" s="1064" t="str">
        <f t="shared" si="306"/>
        <v/>
      </c>
      <c r="LY43" s="1064" t="str">
        <f t="shared" si="307"/>
        <v/>
      </c>
      <c r="LZ43" s="1064" t="str">
        <f t="shared" si="308"/>
        <v/>
      </c>
      <c r="MA43" s="1064" t="str">
        <f t="shared" si="309"/>
        <v/>
      </c>
      <c r="MB43" s="1064" t="str">
        <f t="shared" si="310"/>
        <v/>
      </c>
      <c r="MC43" s="1064" t="str">
        <f t="shared" si="311"/>
        <v/>
      </c>
      <c r="MD43" s="1064" t="str">
        <f t="shared" si="312"/>
        <v/>
      </c>
      <c r="ME43" s="1081">
        <f t="shared" si="324"/>
        <v>0</v>
      </c>
      <c r="MF43" s="1081">
        <f t="shared" si="325"/>
        <v>0</v>
      </c>
      <c r="MG43" s="1081">
        <f t="shared" si="326"/>
        <v>0</v>
      </c>
      <c r="MH43" s="1081">
        <f t="shared" si="327"/>
        <v>0</v>
      </c>
      <c r="MI43" s="1081">
        <f t="shared" si="328"/>
        <v>0</v>
      </c>
      <c r="MJ43" s="1081">
        <f t="shared" si="329"/>
        <v>0</v>
      </c>
      <c r="MK43" s="1081">
        <f t="shared" si="330"/>
        <v>0</v>
      </c>
      <c r="ML43" s="1081">
        <f t="shared" si="331"/>
        <v>0</v>
      </c>
      <c r="MM43" s="1081">
        <f t="shared" si="332"/>
        <v>0</v>
      </c>
      <c r="MN43" s="1081">
        <f t="shared" si="333"/>
        <v>0</v>
      </c>
      <c r="MO43" s="1081">
        <f t="shared" si="334"/>
        <v>0</v>
      </c>
      <c r="MP43" s="1081">
        <f t="shared" si="335"/>
        <v>0</v>
      </c>
      <c r="MQ43" s="1081">
        <f t="shared" si="336"/>
        <v>0</v>
      </c>
      <c r="MR43" s="1081">
        <f t="shared" si="337"/>
        <v>0</v>
      </c>
      <c r="MS43" s="1081">
        <f t="shared" si="338"/>
        <v>0</v>
      </c>
    </row>
    <row r="44" spans="1:393" ht="12" customHeight="1">
      <c r="A44" s="1088" t="str">
        <f t="shared" si="0"/>
        <v/>
      </c>
      <c r="B44" s="44"/>
      <c r="C44" s="41"/>
      <c r="D44" s="42"/>
      <c r="E44" s="43"/>
      <c r="F44" s="43"/>
      <c r="G44" s="43"/>
      <c r="H44" s="43"/>
      <c r="I44" s="1100">
        <f>IF(C44="",0,HLOOKUP(C44,'Part V-Utility Allowances'!$I$11:$M$22,12))</f>
        <v>0</v>
      </c>
      <c r="J44" s="810"/>
      <c r="K44" s="512">
        <f t="shared" si="1"/>
        <v>0</v>
      </c>
      <c r="L44" s="512">
        <f t="shared" si="2"/>
        <v>0</v>
      </c>
      <c r="M44" s="1101"/>
      <c r="N44" s="1101"/>
      <c r="O44" s="1101"/>
      <c r="P44" s="1102"/>
      <c r="Q44" s="1103" t="str">
        <f t="shared" si="3"/>
        <v/>
      </c>
      <c r="R44" s="1104" t="str">
        <f>IF(H44="","",IF(C44="Efficiency",Q44/($O$6*VLOOKUP(0,'DCA Underwriting Assumptions'!$J$146:$K$151,2,FALSE)),Q44/($O$6*VLOOKUP(C44,'DCA Underwriting Assumptions'!$J$146:$K$151,2,FALSE))))</f>
        <v/>
      </c>
      <c r="S44" s="1105"/>
      <c r="T44" s="1106"/>
      <c r="U44" s="2314"/>
      <c r="V44" s="2316"/>
      <c r="W44" s="1064" t="str">
        <f t="shared" si="4"/>
        <v/>
      </c>
      <c r="X44" s="1064" t="str">
        <f t="shared" si="5"/>
        <v/>
      </c>
      <c r="Y44" s="1064" t="str">
        <f t="shared" si="6"/>
        <v/>
      </c>
      <c r="Z44" s="1064" t="str">
        <f t="shared" si="7"/>
        <v/>
      </c>
      <c r="AA44" s="1064" t="str">
        <f t="shared" si="8"/>
        <v/>
      </c>
      <c r="AB44" s="1064" t="str">
        <f t="shared" si="9"/>
        <v/>
      </c>
      <c r="AC44" s="1064" t="str">
        <f t="shared" si="10"/>
        <v/>
      </c>
      <c r="AD44" s="1064" t="str">
        <f t="shared" si="11"/>
        <v/>
      </c>
      <c r="AE44" s="1064" t="str">
        <f t="shared" si="12"/>
        <v/>
      </c>
      <c r="AF44" s="1064" t="str">
        <f t="shared" si="13"/>
        <v/>
      </c>
      <c r="AG44" s="1064" t="str">
        <f t="shared" si="14"/>
        <v/>
      </c>
      <c r="AH44" s="1064" t="str">
        <f t="shared" si="15"/>
        <v/>
      </c>
      <c r="AI44" s="1064" t="str">
        <f t="shared" si="16"/>
        <v/>
      </c>
      <c r="AJ44" s="1064" t="str">
        <f t="shared" si="17"/>
        <v/>
      </c>
      <c r="AK44" s="1064" t="str">
        <f t="shared" si="18"/>
        <v/>
      </c>
      <c r="AL44" s="1064" t="str">
        <f t="shared" si="19"/>
        <v/>
      </c>
      <c r="AM44" s="1064" t="str">
        <f t="shared" si="20"/>
        <v/>
      </c>
      <c r="AN44" s="1064" t="str">
        <f t="shared" si="21"/>
        <v/>
      </c>
      <c r="AO44" s="1064" t="str">
        <f t="shared" si="22"/>
        <v/>
      </c>
      <c r="AP44" s="1064" t="str">
        <f t="shared" si="23"/>
        <v/>
      </c>
      <c r="AQ44" s="1064" t="str">
        <f t="shared" si="24"/>
        <v/>
      </c>
      <c r="AR44" s="1064" t="str">
        <f t="shared" si="25"/>
        <v/>
      </c>
      <c r="AS44" s="1064" t="str">
        <f t="shared" si="26"/>
        <v/>
      </c>
      <c r="AT44" s="1064" t="str">
        <f t="shared" si="27"/>
        <v/>
      </c>
      <c r="AU44" s="1064" t="str">
        <f t="shared" si="28"/>
        <v/>
      </c>
      <c r="AV44" s="1064" t="str">
        <f t="shared" si="29"/>
        <v/>
      </c>
      <c r="AW44" s="1064" t="str">
        <f t="shared" si="30"/>
        <v/>
      </c>
      <c r="AX44" s="1064" t="str">
        <f t="shared" si="31"/>
        <v/>
      </c>
      <c r="AY44" s="1064" t="str">
        <f t="shared" si="32"/>
        <v/>
      </c>
      <c r="AZ44" s="1064" t="str">
        <f t="shared" si="33"/>
        <v/>
      </c>
      <c r="BA44" s="1064" t="str">
        <f t="shared" si="34"/>
        <v/>
      </c>
      <c r="BB44" s="1064" t="str">
        <f t="shared" si="35"/>
        <v/>
      </c>
      <c r="BC44" s="1064" t="str">
        <f t="shared" si="36"/>
        <v/>
      </c>
      <c r="BD44" s="1064" t="str">
        <f t="shared" si="37"/>
        <v/>
      </c>
      <c r="BE44" s="1064" t="str">
        <f t="shared" si="38"/>
        <v/>
      </c>
      <c r="BF44" s="1064" t="str">
        <f t="shared" si="39"/>
        <v/>
      </c>
      <c r="BG44" s="1064" t="str">
        <f t="shared" si="40"/>
        <v/>
      </c>
      <c r="BH44" s="1064" t="str">
        <f t="shared" si="41"/>
        <v/>
      </c>
      <c r="BI44" s="1064" t="str">
        <f t="shared" si="42"/>
        <v/>
      </c>
      <c r="BJ44" s="1064" t="str">
        <f t="shared" si="43"/>
        <v/>
      </c>
      <c r="BK44" s="1064" t="str">
        <f t="shared" si="44"/>
        <v/>
      </c>
      <c r="BL44" s="1064" t="str">
        <f t="shared" si="45"/>
        <v/>
      </c>
      <c r="BM44" s="1064" t="str">
        <f t="shared" si="46"/>
        <v/>
      </c>
      <c r="BN44" s="1064" t="str">
        <f t="shared" si="47"/>
        <v/>
      </c>
      <c r="BO44" s="1064" t="str">
        <f t="shared" si="48"/>
        <v/>
      </c>
      <c r="BP44" s="1064" t="str">
        <f t="shared" si="49"/>
        <v/>
      </c>
      <c r="BQ44" s="1064" t="str">
        <f t="shared" si="50"/>
        <v/>
      </c>
      <c r="BR44" s="1064" t="str">
        <f t="shared" si="51"/>
        <v/>
      </c>
      <c r="BS44" s="1064" t="str">
        <f t="shared" si="52"/>
        <v/>
      </c>
      <c r="BT44" s="1064" t="str">
        <f t="shared" si="53"/>
        <v/>
      </c>
      <c r="BU44" s="1064" t="str">
        <f t="shared" si="54"/>
        <v/>
      </c>
      <c r="BV44" s="1064" t="str">
        <f t="shared" si="55"/>
        <v/>
      </c>
      <c r="BW44" s="1064" t="str">
        <f t="shared" si="56"/>
        <v/>
      </c>
      <c r="BX44" s="1064" t="str">
        <f t="shared" si="57"/>
        <v/>
      </c>
      <c r="BY44" s="1064" t="str">
        <f t="shared" si="58"/>
        <v/>
      </c>
      <c r="BZ44" s="1064" t="str">
        <f t="shared" si="59"/>
        <v/>
      </c>
      <c r="CA44" s="1064" t="str">
        <f t="shared" si="60"/>
        <v/>
      </c>
      <c r="CB44" s="1064" t="str">
        <f t="shared" si="61"/>
        <v/>
      </c>
      <c r="CC44" s="1064" t="str">
        <f t="shared" si="62"/>
        <v/>
      </c>
      <c r="CD44" s="1064" t="str">
        <f t="shared" si="63"/>
        <v/>
      </c>
      <c r="CE44" s="1064" t="str">
        <f t="shared" si="64"/>
        <v/>
      </c>
      <c r="CF44" s="1064" t="str">
        <f t="shared" si="65"/>
        <v/>
      </c>
      <c r="CG44" s="1064" t="str">
        <f t="shared" si="66"/>
        <v/>
      </c>
      <c r="CH44" s="1064" t="str">
        <f t="shared" si="67"/>
        <v/>
      </c>
      <c r="CI44" s="1064" t="str">
        <f t="shared" si="68"/>
        <v/>
      </c>
      <c r="CJ44" s="1064" t="str">
        <f t="shared" si="69"/>
        <v/>
      </c>
      <c r="CK44" s="1064" t="str">
        <f t="shared" si="70"/>
        <v/>
      </c>
      <c r="CL44" s="1064" t="str">
        <f t="shared" si="71"/>
        <v/>
      </c>
      <c r="CM44" s="1064" t="str">
        <f t="shared" si="72"/>
        <v/>
      </c>
      <c r="CN44" s="1064" t="str">
        <f t="shared" si="73"/>
        <v/>
      </c>
      <c r="CO44" s="1064" t="str">
        <f t="shared" si="74"/>
        <v/>
      </c>
      <c r="CP44" s="1064" t="str">
        <f t="shared" si="75"/>
        <v/>
      </c>
      <c r="CQ44" s="1064" t="str">
        <f t="shared" si="76"/>
        <v/>
      </c>
      <c r="CR44" s="1064" t="str">
        <f t="shared" si="77"/>
        <v/>
      </c>
      <c r="CS44" s="1064" t="str">
        <f t="shared" si="78"/>
        <v/>
      </c>
      <c r="CT44" s="1064" t="str">
        <f t="shared" si="79"/>
        <v/>
      </c>
      <c r="CU44" s="1064" t="str">
        <f t="shared" si="80"/>
        <v/>
      </c>
      <c r="CV44" s="1064" t="str">
        <f t="shared" si="81"/>
        <v/>
      </c>
      <c r="CW44" s="1064" t="str">
        <f t="shared" si="82"/>
        <v/>
      </c>
      <c r="CX44" s="1064" t="str">
        <f t="shared" si="83"/>
        <v/>
      </c>
      <c r="CY44" s="1064" t="str">
        <f t="shared" si="84"/>
        <v/>
      </c>
      <c r="CZ44" s="1064" t="str">
        <f t="shared" si="85"/>
        <v/>
      </c>
      <c r="DA44" s="1064" t="str">
        <f t="shared" si="86"/>
        <v/>
      </c>
      <c r="DB44" s="1064" t="str">
        <f t="shared" si="87"/>
        <v/>
      </c>
      <c r="DC44" s="1064" t="str">
        <f t="shared" si="88"/>
        <v/>
      </c>
      <c r="DD44" s="1064" t="str">
        <f t="shared" si="89"/>
        <v/>
      </c>
      <c r="DE44" s="1064" t="str">
        <f t="shared" si="90"/>
        <v/>
      </c>
      <c r="DF44" s="1064" t="str">
        <f t="shared" si="91"/>
        <v/>
      </c>
      <c r="DG44" s="1064" t="str">
        <f t="shared" si="92"/>
        <v/>
      </c>
      <c r="DH44" s="1064" t="str">
        <f t="shared" si="93"/>
        <v/>
      </c>
      <c r="DI44" s="1064" t="str">
        <f t="shared" si="94"/>
        <v/>
      </c>
      <c r="DJ44" s="1064" t="str">
        <f t="shared" si="95"/>
        <v/>
      </c>
      <c r="DK44" s="1064" t="str">
        <f t="shared" si="96"/>
        <v/>
      </c>
      <c r="DL44" s="1064" t="str">
        <f t="shared" si="97"/>
        <v/>
      </c>
      <c r="DM44" s="1064" t="str">
        <f t="shared" si="98"/>
        <v/>
      </c>
      <c r="DN44" s="1064" t="str">
        <f t="shared" si="99"/>
        <v/>
      </c>
      <c r="DO44" s="1064" t="str">
        <f t="shared" si="100"/>
        <v/>
      </c>
      <c r="DP44" s="1064" t="str">
        <f t="shared" si="101"/>
        <v/>
      </c>
      <c r="DQ44" s="1064" t="str">
        <f t="shared" si="102"/>
        <v/>
      </c>
      <c r="DR44" s="1064" t="str">
        <f t="shared" si="103"/>
        <v/>
      </c>
      <c r="DS44" s="1064" t="str">
        <f t="shared" si="104"/>
        <v/>
      </c>
      <c r="DT44" s="1064" t="str">
        <f t="shared" si="105"/>
        <v/>
      </c>
      <c r="DU44" s="1064" t="str">
        <f t="shared" si="106"/>
        <v/>
      </c>
      <c r="DV44" s="1064" t="str">
        <f t="shared" si="107"/>
        <v/>
      </c>
      <c r="DW44" s="1064" t="str">
        <f t="shared" si="108"/>
        <v/>
      </c>
      <c r="DX44" s="1064" t="str">
        <f t="shared" si="109"/>
        <v/>
      </c>
      <c r="DY44" s="1064" t="str">
        <f t="shared" si="110"/>
        <v/>
      </c>
      <c r="DZ44" s="1064" t="str">
        <f t="shared" si="111"/>
        <v/>
      </c>
      <c r="EA44" s="1064" t="str">
        <f t="shared" si="112"/>
        <v/>
      </c>
      <c r="EB44" s="1064" t="str">
        <f t="shared" si="113"/>
        <v/>
      </c>
      <c r="EC44" s="1064" t="str">
        <f t="shared" si="114"/>
        <v/>
      </c>
      <c r="ED44" s="1064" t="str">
        <f t="shared" si="115"/>
        <v/>
      </c>
      <c r="EE44" s="1064" t="str">
        <f t="shared" si="116"/>
        <v/>
      </c>
      <c r="EF44" s="1064" t="str">
        <f t="shared" si="117"/>
        <v/>
      </c>
      <c r="EG44" s="1064" t="str">
        <f t="shared" si="313"/>
        <v/>
      </c>
      <c r="EH44" s="1064" t="str">
        <f t="shared" si="118"/>
        <v/>
      </c>
      <c r="EI44" s="1064" t="str">
        <f t="shared" si="119"/>
        <v/>
      </c>
      <c r="EJ44" s="1064" t="str">
        <f t="shared" si="120"/>
        <v/>
      </c>
      <c r="EK44" s="1064" t="str">
        <f t="shared" si="121"/>
        <v/>
      </c>
      <c r="EL44" s="1064" t="str">
        <f t="shared" si="122"/>
        <v/>
      </c>
      <c r="EM44" s="1064" t="str">
        <f t="shared" si="123"/>
        <v/>
      </c>
      <c r="EN44" s="1064" t="str">
        <f t="shared" si="124"/>
        <v/>
      </c>
      <c r="EO44" s="1064" t="str">
        <f t="shared" si="125"/>
        <v/>
      </c>
      <c r="EP44" s="1064" t="str">
        <f t="shared" si="126"/>
        <v/>
      </c>
      <c r="EQ44" s="1064" t="str">
        <f t="shared" si="127"/>
        <v/>
      </c>
      <c r="ER44" s="1064" t="str">
        <f t="shared" si="128"/>
        <v/>
      </c>
      <c r="ES44" s="1064" t="str">
        <f t="shared" si="129"/>
        <v/>
      </c>
      <c r="ET44" s="1064" t="str">
        <f t="shared" si="130"/>
        <v/>
      </c>
      <c r="EU44" s="1064" t="str">
        <f t="shared" si="131"/>
        <v/>
      </c>
      <c r="EV44" s="1064" t="str">
        <f t="shared" si="132"/>
        <v/>
      </c>
      <c r="EW44" s="1064" t="str">
        <f t="shared" si="314"/>
        <v/>
      </c>
      <c r="EX44" s="1064" t="str">
        <f t="shared" si="315"/>
        <v/>
      </c>
      <c r="EY44" s="1064" t="str">
        <f t="shared" si="316"/>
        <v/>
      </c>
      <c r="EZ44" s="1064" t="str">
        <f t="shared" si="317"/>
        <v/>
      </c>
      <c r="FA44" s="1064" t="str">
        <f t="shared" si="318"/>
        <v/>
      </c>
      <c r="FB44" s="1064" t="str">
        <f t="shared" si="133"/>
        <v/>
      </c>
      <c r="FC44" s="1064" t="str">
        <f t="shared" si="134"/>
        <v/>
      </c>
      <c r="FD44" s="1064" t="str">
        <f t="shared" si="135"/>
        <v/>
      </c>
      <c r="FE44" s="1064" t="str">
        <f t="shared" si="136"/>
        <v/>
      </c>
      <c r="FF44" s="1064" t="str">
        <f t="shared" si="137"/>
        <v/>
      </c>
      <c r="FG44" s="1064" t="str">
        <f t="shared" si="319"/>
        <v/>
      </c>
      <c r="FH44" s="1064" t="str">
        <f t="shared" si="320"/>
        <v/>
      </c>
      <c r="FI44" s="1064" t="str">
        <f t="shared" si="321"/>
        <v/>
      </c>
      <c r="FJ44" s="1064" t="str">
        <f t="shared" si="322"/>
        <v/>
      </c>
      <c r="FK44" s="1064" t="str">
        <f t="shared" si="323"/>
        <v/>
      </c>
      <c r="FL44" s="1064" t="str">
        <f t="shared" si="138"/>
        <v/>
      </c>
      <c r="FM44" s="1064" t="str">
        <f t="shared" si="139"/>
        <v/>
      </c>
      <c r="FN44" s="1064" t="str">
        <f t="shared" si="140"/>
        <v/>
      </c>
      <c r="FO44" s="1064" t="str">
        <f t="shared" si="141"/>
        <v/>
      </c>
      <c r="FP44" s="1064" t="str">
        <f t="shared" si="142"/>
        <v/>
      </c>
      <c r="FQ44" s="1064" t="str">
        <f t="shared" si="143"/>
        <v/>
      </c>
      <c r="FR44" s="1064" t="str">
        <f t="shared" si="144"/>
        <v/>
      </c>
      <c r="FS44" s="1064" t="str">
        <f t="shared" si="145"/>
        <v/>
      </c>
      <c r="FT44" s="1064" t="str">
        <f t="shared" si="146"/>
        <v/>
      </c>
      <c r="FU44" s="1064" t="str">
        <f t="shared" si="147"/>
        <v/>
      </c>
      <c r="FV44" s="1064" t="str">
        <f t="shared" si="148"/>
        <v/>
      </c>
      <c r="FW44" s="1064" t="str">
        <f t="shared" si="149"/>
        <v/>
      </c>
      <c r="FX44" s="1064" t="str">
        <f t="shared" si="150"/>
        <v/>
      </c>
      <c r="FY44" s="1064" t="str">
        <f t="shared" si="151"/>
        <v/>
      </c>
      <c r="FZ44" s="1064" t="str">
        <f t="shared" si="152"/>
        <v/>
      </c>
      <c r="GA44" s="1064" t="str">
        <f t="shared" si="153"/>
        <v/>
      </c>
      <c r="GB44" s="1064" t="str">
        <f t="shared" si="154"/>
        <v/>
      </c>
      <c r="GC44" s="1064" t="str">
        <f t="shared" si="155"/>
        <v/>
      </c>
      <c r="GD44" s="1064" t="str">
        <f t="shared" si="156"/>
        <v/>
      </c>
      <c r="GE44" s="1064" t="str">
        <f t="shared" si="157"/>
        <v/>
      </c>
      <c r="GF44" s="1064" t="str">
        <f t="shared" si="158"/>
        <v/>
      </c>
      <c r="GG44" s="1064" t="str">
        <f t="shared" si="159"/>
        <v/>
      </c>
      <c r="GH44" s="1064" t="str">
        <f t="shared" si="160"/>
        <v/>
      </c>
      <c r="GI44" s="1064" t="str">
        <f t="shared" si="161"/>
        <v/>
      </c>
      <c r="GJ44" s="1064" t="str">
        <f t="shared" si="162"/>
        <v/>
      </c>
      <c r="GK44" s="1064" t="str">
        <f t="shared" si="163"/>
        <v/>
      </c>
      <c r="GL44" s="1064" t="str">
        <f t="shared" si="164"/>
        <v/>
      </c>
      <c r="GM44" s="1064" t="str">
        <f t="shared" si="165"/>
        <v/>
      </c>
      <c r="GN44" s="1064" t="str">
        <f t="shared" si="166"/>
        <v/>
      </c>
      <c r="GO44" s="1064" t="str">
        <f t="shared" si="167"/>
        <v/>
      </c>
      <c r="GP44" s="1064" t="str">
        <f t="shared" si="168"/>
        <v/>
      </c>
      <c r="GQ44" s="1064" t="str">
        <f t="shared" si="169"/>
        <v/>
      </c>
      <c r="GR44" s="1064" t="str">
        <f t="shared" si="170"/>
        <v/>
      </c>
      <c r="GS44" s="1064" t="str">
        <f t="shared" si="171"/>
        <v/>
      </c>
      <c r="GT44" s="1064" t="str">
        <f t="shared" si="172"/>
        <v/>
      </c>
      <c r="GU44" s="1064" t="str">
        <f t="shared" si="173"/>
        <v/>
      </c>
      <c r="GV44" s="1064" t="str">
        <f t="shared" si="174"/>
        <v/>
      </c>
      <c r="GW44" s="1064" t="str">
        <f t="shared" si="175"/>
        <v/>
      </c>
      <c r="GX44" s="1064" t="str">
        <f t="shared" si="176"/>
        <v/>
      </c>
      <c r="GY44" s="1064" t="str">
        <f t="shared" si="177"/>
        <v/>
      </c>
      <c r="GZ44" s="1064" t="str">
        <f t="shared" si="178"/>
        <v/>
      </c>
      <c r="HA44" s="1064" t="str">
        <f t="shared" si="179"/>
        <v/>
      </c>
      <c r="HB44" s="1064" t="str">
        <f t="shared" si="180"/>
        <v/>
      </c>
      <c r="HC44" s="1064" t="str">
        <f t="shared" si="181"/>
        <v/>
      </c>
      <c r="HD44" s="1064" t="str">
        <f t="shared" si="182"/>
        <v/>
      </c>
      <c r="HE44" s="1064" t="str">
        <f t="shared" si="183"/>
        <v/>
      </c>
      <c r="HF44" s="1064" t="str">
        <f t="shared" si="184"/>
        <v/>
      </c>
      <c r="HG44" s="1064" t="str">
        <f t="shared" si="185"/>
        <v/>
      </c>
      <c r="HH44" s="1064" t="str">
        <f t="shared" si="186"/>
        <v/>
      </c>
      <c r="HI44" s="1064" t="str">
        <f t="shared" si="187"/>
        <v/>
      </c>
      <c r="HJ44" s="1064" t="str">
        <f t="shared" si="188"/>
        <v/>
      </c>
      <c r="HK44" s="1064" t="str">
        <f t="shared" si="189"/>
        <v/>
      </c>
      <c r="HL44" s="1064" t="str">
        <f t="shared" si="190"/>
        <v/>
      </c>
      <c r="HM44" s="1064" t="str">
        <f t="shared" si="191"/>
        <v/>
      </c>
      <c r="HN44" s="1064" t="str">
        <f t="shared" si="192"/>
        <v/>
      </c>
      <c r="HO44" s="1064" t="str">
        <f t="shared" si="193"/>
        <v/>
      </c>
      <c r="HP44" s="1064" t="str">
        <f t="shared" si="194"/>
        <v/>
      </c>
      <c r="HQ44" s="1064" t="str">
        <f t="shared" si="195"/>
        <v/>
      </c>
      <c r="HR44" s="1064" t="str">
        <f t="shared" si="196"/>
        <v/>
      </c>
      <c r="HS44" s="1064" t="str">
        <f t="shared" si="197"/>
        <v/>
      </c>
      <c r="HT44" s="1064" t="str">
        <f t="shared" si="198"/>
        <v/>
      </c>
      <c r="HU44" s="1064" t="str">
        <f t="shared" si="199"/>
        <v/>
      </c>
      <c r="HV44" s="1064" t="str">
        <f t="shared" si="200"/>
        <v/>
      </c>
      <c r="HW44" s="1064" t="str">
        <f t="shared" si="201"/>
        <v/>
      </c>
      <c r="HX44" s="1064" t="str">
        <f t="shared" si="202"/>
        <v/>
      </c>
      <c r="HY44" s="1097" t="str">
        <f t="shared" si="203"/>
        <v/>
      </c>
      <c r="HZ44" s="1097" t="str">
        <f t="shared" si="204"/>
        <v/>
      </c>
      <c r="IA44" s="1097" t="str">
        <f t="shared" si="205"/>
        <v/>
      </c>
      <c r="IB44" s="1097" t="str">
        <f t="shared" si="206"/>
        <v/>
      </c>
      <c r="IC44" s="1097" t="str">
        <f t="shared" si="207"/>
        <v/>
      </c>
      <c r="ID44" s="1097" t="str">
        <f t="shared" si="208"/>
        <v/>
      </c>
      <c r="IE44" s="1097" t="str">
        <f t="shared" si="209"/>
        <v/>
      </c>
      <c r="IF44" s="1097" t="str">
        <f t="shared" si="210"/>
        <v/>
      </c>
      <c r="IG44" s="1097" t="str">
        <f t="shared" si="211"/>
        <v/>
      </c>
      <c r="IH44" s="1097" t="str">
        <f t="shared" si="212"/>
        <v/>
      </c>
      <c r="II44" s="1097" t="str">
        <f t="shared" si="213"/>
        <v/>
      </c>
      <c r="IJ44" s="1097" t="str">
        <f t="shared" si="214"/>
        <v/>
      </c>
      <c r="IK44" s="1097" t="str">
        <f t="shared" si="215"/>
        <v/>
      </c>
      <c r="IL44" s="1097" t="str">
        <f t="shared" si="216"/>
        <v/>
      </c>
      <c r="IM44" s="1097" t="str">
        <f t="shared" si="217"/>
        <v/>
      </c>
      <c r="IN44" s="1097" t="str">
        <f t="shared" si="218"/>
        <v/>
      </c>
      <c r="IO44" s="1097" t="str">
        <f t="shared" si="219"/>
        <v/>
      </c>
      <c r="IP44" s="1097" t="str">
        <f t="shared" si="220"/>
        <v/>
      </c>
      <c r="IQ44" s="1097" t="str">
        <f t="shared" si="221"/>
        <v/>
      </c>
      <c r="IR44" s="1097" t="str">
        <f t="shared" si="222"/>
        <v/>
      </c>
      <c r="IS44" s="1097" t="str">
        <f t="shared" si="223"/>
        <v/>
      </c>
      <c r="IT44" s="1097" t="str">
        <f t="shared" si="224"/>
        <v/>
      </c>
      <c r="IU44" s="1097" t="str">
        <f t="shared" si="225"/>
        <v/>
      </c>
      <c r="IV44" s="1097" t="str">
        <f t="shared" si="226"/>
        <v/>
      </c>
      <c r="IW44" s="1097" t="str">
        <f t="shared" si="227"/>
        <v/>
      </c>
      <c r="IX44" s="1097" t="str">
        <f t="shared" si="228"/>
        <v/>
      </c>
      <c r="IY44" s="1097" t="str">
        <f t="shared" si="229"/>
        <v/>
      </c>
      <c r="IZ44" s="1097" t="str">
        <f t="shared" si="230"/>
        <v/>
      </c>
      <c r="JA44" s="1097" t="str">
        <f t="shared" si="231"/>
        <v/>
      </c>
      <c r="JB44" s="1097" t="str">
        <f t="shared" si="232"/>
        <v/>
      </c>
      <c r="JC44" s="1097" t="str">
        <f t="shared" si="233"/>
        <v/>
      </c>
      <c r="JD44" s="1097" t="str">
        <f t="shared" si="234"/>
        <v/>
      </c>
      <c r="JE44" s="1097" t="str">
        <f t="shared" si="235"/>
        <v/>
      </c>
      <c r="JF44" s="1097" t="str">
        <f t="shared" si="236"/>
        <v/>
      </c>
      <c r="JG44" s="1097" t="str">
        <f t="shared" si="237"/>
        <v/>
      </c>
      <c r="JH44" s="1097" t="str">
        <f t="shared" si="238"/>
        <v/>
      </c>
      <c r="JI44" s="1097" t="str">
        <f t="shared" si="239"/>
        <v/>
      </c>
      <c r="JJ44" s="1097" t="str">
        <f t="shared" si="240"/>
        <v/>
      </c>
      <c r="JK44" s="1097" t="str">
        <f t="shared" si="241"/>
        <v/>
      </c>
      <c r="JL44" s="1097" t="str">
        <f t="shared" si="242"/>
        <v/>
      </c>
      <c r="JM44" s="1097" t="str">
        <f t="shared" si="243"/>
        <v/>
      </c>
      <c r="JN44" s="1097" t="str">
        <f t="shared" si="244"/>
        <v/>
      </c>
      <c r="JO44" s="1097" t="str">
        <f t="shared" si="245"/>
        <v/>
      </c>
      <c r="JP44" s="1097" t="str">
        <f t="shared" si="246"/>
        <v/>
      </c>
      <c r="JQ44" s="1097" t="str">
        <f t="shared" si="247"/>
        <v/>
      </c>
      <c r="JR44" s="1097" t="str">
        <f t="shared" si="248"/>
        <v/>
      </c>
      <c r="JS44" s="1097" t="str">
        <f t="shared" si="249"/>
        <v/>
      </c>
      <c r="JT44" s="1097" t="str">
        <f t="shared" si="250"/>
        <v/>
      </c>
      <c r="JU44" s="1097" t="str">
        <f t="shared" si="251"/>
        <v/>
      </c>
      <c r="JV44" s="1097" t="str">
        <f t="shared" si="252"/>
        <v/>
      </c>
      <c r="JW44" s="1097" t="str">
        <f t="shared" si="253"/>
        <v/>
      </c>
      <c r="JX44" s="1097" t="str">
        <f t="shared" si="254"/>
        <v/>
      </c>
      <c r="JY44" s="1097" t="str">
        <f t="shared" si="255"/>
        <v/>
      </c>
      <c r="JZ44" s="1097" t="str">
        <f t="shared" si="256"/>
        <v/>
      </c>
      <c r="KA44" s="1097" t="str">
        <f t="shared" si="257"/>
        <v/>
      </c>
      <c r="KB44" s="1097" t="str">
        <f t="shared" si="258"/>
        <v/>
      </c>
      <c r="KC44" s="1097" t="str">
        <f t="shared" si="259"/>
        <v/>
      </c>
      <c r="KD44" s="1097" t="str">
        <f t="shared" si="260"/>
        <v/>
      </c>
      <c r="KE44" s="1097" t="str">
        <f t="shared" si="261"/>
        <v/>
      </c>
      <c r="KF44" s="1097" t="str">
        <f t="shared" si="262"/>
        <v/>
      </c>
      <c r="KG44" s="1097" t="str">
        <f t="shared" si="263"/>
        <v/>
      </c>
      <c r="KH44" s="1097" t="str">
        <f t="shared" si="264"/>
        <v/>
      </c>
      <c r="KI44" s="1097" t="str">
        <f t="shared" si="265"/>
        <v/>
      </c>
      <c r="KJ44" s="1097" t="str">
        <f t="shared" si="266"/>
        <v/>
      </c>
      <c r="KK44" s="1097" t="str">
        <f t="shared" si="267"/>
        <v/>
      </c>
      <c r="KL44" s="1097" t="str">
        <f t="shared" si="268"/>
        <v/>
      </c>
      <c r="KM44" s="1097" t="str">
        <f t="shared" si="269"/>
        <v/>
      </c>
      <c r="KN44" s="1097" t="str">
        <f t="shared" si="270"/>
        <v/>
      </c>
      <c r="KO44" s="1097" t="str">
        <f t="shared" si="271"/>
        <v/>
      </c>
      <c r="KP44" s="1097" t="str">
        <f t="shared" si="272"/>
        <v/>
      </c>
      <c r="KQ44" s="1097" t="str">
        <f t="shared" si="273"/>
        <v/>
      </c>
      <c r="KR44" s="1097" t="str">
        <f t="shared" si="274"/>
        <v/>
      </c>
      <c r="KS44" s="1097" t="str">
        <f t="shared" si="275"/>
        <v/>
      </c>
      <c r="KT44" s="1097" t="str">
        <f t="shared" si="276"/>
        <v/>
      </c>
      <c r="KU44" s="1097" t="str">
        <f t="shared" si="277"/>
        <v/>
      </c>
      <c r="KV44" s="1097" t="str">
        <f t="shared" si="278"/>
        <v/>
      </c>
      <c r="KW44" s="1097" t="str">
        <f t="shared" si="279"/>
        <v/>
      </c>
      <c r="KX44" s="1097" t="str">
        <f t="shared" si="280"/>
        <v/>
      </c>
      <c r="KY44" s="1097" t="str">
        <f t="shared" si="281"/>
        <v/>
      </c>
      <c r="KZ44" s="1097" t="str">
        <f t="shared" si="282"/>
        <v/>
      </c>
      <c r="LA44" s="1097" t="str">
        <f t="shared" si="283"/>
        <v/>
      </c>
      <c r="LB44" s="1097" t="str">
        <f t="shared" si="284"/>
        <v/>
      </c>
      <c r="LC44" s="1097" t="str">
        <f t="shared" si="285"/>
        <v/>
      </c>
      <c r="LD44" s="1097" t="str">
        <f t="shared" si="286"/>
        <v/>
      </c>
      <c r="LE44" s="1097" t="str">
        <f t="shared" si="287"/>
        <v/>
      </c>
      <c r="LF44" s="1098" t="str">
        <f t="shared" si="288"/>
        <v/>
      </c>
      <c r="LG44" s="1098" t="str">
        <f t="shared" si="289"/>
        <v/>
      </c>
      <c r="LH44" s="1098" t="str">
        <f t="shared" si="290"/>
        <v/>
      </c>
      <c r="LI44" s="1098" t="str">
        <f t="shared" si="291"/>
        <v/>
      </c>
      <c r="LJ44" s="1098" t="str">
        <f t="shared" si="292"/>
        <v/>
      </c>
      <c r="LK44" s="1064" t="str">
        <f t="shared" si="293"/>
        <v/>
      </c>
      <c r="LL44" s="1064" t="str">
        <f t="shared" si="294"/>
        <v/>
      </c>
      <c r="LM44" s="1064" t="str">
        <f t="shared" si="295"/>
        <v/>
      </c>
      <c r="LN44" s="1064" t="str">
        <f t="shared" si="296"/>
        <v/>
      </c>
      <c r="LO44" s="1064" t="str">
        <f t="shared" si="297"/>
        <v/>
      </c>
      <c r="LP44" s="1064" t="str">
        <f t="shared" si="298"/>
        <v/>
      </c>
      <c r="LQ44" s="1064" t="str">
        <f t="shared" si="299"/>
        <v/>
      </c>
      <c r="LR44" s="1064" t="str">
        <f t="shared" si="300"/>
        <v/>
      </c>
      <c r="LS44" s="1064" t="str">
        <f t="shared" si="301"/>
        <v/>
      </c>
      <c r="LT44" s="1064" t="str">
        <f t="shared" si="302"/>
        <v/>
      </c>
      <c r="LU44" s="1064" t="str">
        <f t="shared" si="303"/>
        <v/>
      </c>
      <c r="LV44" s="1064" t="str">
        <f t="shared" si="304"/>
        <v/>
      </c>
      <c r="LW44" s="1064" t="str">
        <f t="shared" si="305"/>
        <v/>
      </c>
      <c r="LX44" s="1064" t="str">
        <f t="shared" si="306"/>
        <v/>
      </c>
      <c r="LY44" s="1064" t="str">
        <f t="shared" si="307"/>
        <v/>
      </c>
      <c r="LZ44" s="1064" t="str">
        <f t="shared" si="308"/>
        <v/>
      </c>
      <c r="MA44" s="1064" t="str">
        <f t="shared" si="309"/>
        <v/>
      </c>
      <c r="MB44" s="1064" t="str">
        <f t="shared" si="310"/>
        <v/>
      </c>
      <c r="MC44" s="1064" t="str">
        <f t="shared" si="311"/>
        <v/>
      </c>
      <c r="MD44" s="1064" t="str">
        <f t="shared" si="312"/>
        <v/>
      </c>
      <c r="ME44" s="1081">
        <f t="shared" si="324"/>
        <v>0</v>
      </c>
      <c r="MF44" s="1081">
        <f t="shared" si="325"/>
        <v>0</v>
      </c>
      <c r="MG44" s="1081">
        <f t="shared" si="326"/>
        <v>0</v>
      </c>
      <c r="MH44" s="1081">
        <f t="shared" si="327"/>
        <v>0</v>
      </c>
      <c r="MI44" s="1081">
        <f t="shared" si="328"/>
        <v>0</v>
      </c>
      <c r="MJ44" s="1081">
        <f t="shared" si="329"/>
        <v>0</v>
      </c>
      <c r="MK44" s="1081">
        <f t="shared" si="330"/>
        <v>0</v>
      </c>
      <c r="ML44" s="1081">
        <f t="shared" si="331"/>
        <v>0</v>
      </c>
      <c r="MM44" s="1081">
        <f t="shared" si="332"/>
        <v>0</v>
      </c>
      <c r="MN44" s="1081">
        <f t="shared" si="333"/>
        <v>0</v>
      </c>
      <c r="MO44" s="1081">
        <f t="shared" si="334"/>
        <v>0</v>
      </c>
      <c r="MP44" s="1081">
        <f t="shared" si="335"/>
        <v>0</v>
      </c>
      <c r="MQ44" s="1081">
        <f t="shared" si="336"/>
        <v>0</v>
      </c>
      <c r="MR44" s="1081">
        <f t="shared" si="337"/>
        <v>0</v>
      </c>
      <c r="MS44" s="1081">
        <f t="shared" si="338"/>
        <v>0</v>
      </c>
    </row>
    <row r="45" spans="1:393" ht="12" customHeight="1">
      <c r="A45" s="1088" t="str">
        <f t="shared" si="0"/>
        <v/>
      </c>
      <c r="B45" s="44"/>
      <c r="C45" s="41"/>
      <c r="D45" s="42"/>
      <c r="E45" s="43"/>
      <c r="F45" s="43"/>
      <c r="G45" s="43"/>
      <c r="H45" s="43"/>
      <c r="I45" s="1100">
        <f>IF(C45="",0,HLOOKUP(C45,'Part V-Utility Allowances'!$I$11:$M$22,12))</f>
        <v>0</v>
      </c>
      <c r="J45" s="810"/>
      <c r="K45" s="512">
        <f t="shared" si="1"/>
        <v>0</v>
      </c>
      <c r="L45" s="512">
        <f t="shared" si="2"/>
        <v>0</v>
      </c>
      <c r="M45" s="1101"/>
      <c r="N45" s="1101"/>
      <c r="O45" s="1101"/>
      <c r="P45" s="1102"/>
      <c r="Q45" s="1103" t="str">
        <f t="shared" si="3"/>
        <v/>
      </c>
      <c r="R45" s="1104" t="str">
        <f>IF(H45="","",IF(C45="Efficiency",Q45/($O$6*VLOOKUP(0,'DCA Underwriting Assumptions'!$J$146:$K$151,2,FALSE)),Q45/($O$6*VLOOKUP(C45,'DCA Underwriting Assumptions'!$J$146:$K$151,2,FALSE))))</f>
        <v/>
      </c>
      <c r="S45" s="1105"/>
      <c r="T45" s="1106"/>
      <c r="U45" s="2314"/>
      <c r="V45" s="2316"/>
      <c r="W45" s="1064" t="str">
        <f t="shared" si="4"/>
        <v/>
      </c>
      <c r="X45" s="1064" t="str">
        <f t="shared" si="5"/>
        <v/>
      </c>
      <c r="Y45" s="1064" t="str">
        <f t="shared" si="6"/>
        <v/>
      </c>
      <c r="Z45" s="1064" t="str">
        <f t="shared" si="7"/>
        <v/>
      </c>
      <c r="AA45" s="1064" t="str">
        <f t="shared" si="8"/>
        <v/>
      </c>
      <c r="AB45" s="1064" t="str">
        <f t="shared" si="9"/>
        <v/>
      </c>
      <c r="AC45" s="1064" t="str">
        <f t="shared" si="10"/>
        <v/>
      </c>
      <c r="AD45" s="1064" t="str">
        <f t="shared" si="11"/>
        <v/>
      </c>
      <c r="AE45" s="1064" t="str">
        <f t="shared" si="12"/>
        <v/>
      </c>
      <c r="AF45" s="1064" t="str">
        <f t="shared" si="13"/>
        <v/>
      </c>
      <c r="AG45" s="1064" t="str">
        <f t="shared" si="14"/>
        <v/>
      </c>
      <c r="AH45" s="1064" t="str">
        <f t="shared" si="15"/>
        <v/>
      </c>
      <c r="AI45" s="1064" t="str">
        <f t="shared" si="16"/>
        <v/>
      </c>
      <c r="AJ45" s="1064" t="str">
        <f t="shared" si="17"/>
        <v/>
      </c>
      <c r="AK45" s="1064" t="str">
        <f t="shared" si="18"/>
        <v/>
      </c>
      <c r="AL45" s="1064" t="str">
        <f t="shared" si="19"/>
        <v/>
      </c>
      <c r="AM45" s="1064" t="str">
        <f t="shared" si="20"/>
        <v/>
      </c>
      <c r="AN45" s="1064" t="str">
        <f t="shared" si="21"/>
        <v/>
      </c>
      <c r="AO45" s="1064" t="str">
        <f t="shared" si="22"/>
        <v/>
      </c>
      <c r="AP45" s="1064" t="str">
        <f t="shared" si="23"/>
        <v/>
      </c>
      <c r="AQ45" s="1064" t="str">
        <f t="shared" si="24"/>
        <v/>
      </c>
      <c r="AR45" s="1064" t="str">
        <f t="shared" si="25"/>
        <v/>
      </c>
      <c r="AS45" s="1064" t="str">
        <f t="shared" si="26"/>
        <v/>
      </c>
      <c r="AT45" s="1064" t="str">
        <f t="shared" si="27"/>
        <v/>
      </c>
      <c r="AU45" s="1064" t="str">
        <f t="shared" si="28"/>
        <v/>
      </c>
      <c r="AV45" s="1064" t="str">
        <f t="shared" si="29"/>
        <v/>
      </c>
      <c r="AW45" s="1064" t="str">
        <f t="shared" si="30"/>
        <v/>
      </c>
      <c r="AX45" s="1064" t="str">
        <f t="shared" si="31"/>
        <v/>
      </c>
      <c r="AY45" s="1064" t="str">
        <f t="shared" si="32"/>
        <v/>
      </c>
      <c r="AZ45" s="1064" t="str">
        <f t="shared" si="33"/>
        <v/>
      </c>
      <c r="BA45" s="1064" t="str">
        <f t="shared" si="34"/>
        <v/>
      </c>
      <c r="BB45" s="1064" t="str">
        <f t="shared" si="35"/>
        <v/>
      </c>
      <c r="BC45" s="1064" t="str">
        <f t="shared" si="36"/>
        <v/>
      </c>
      <c r="BD45" s="1064" t="str">
        <f t="shared" si="37"/>
        <v/>
      </c>
      <c r="BE45" s="1064" t="str">
        <f t="shared" si="38"/>
        <v/>
      </c>
      <c r="BF45" s="1064" t="str">
        <f t="shared" si="39"/>
        <v/>
      </c>
      <c r="BG45" s="1064" t="str">
        <f t="shared" si="40"/>
        <v/>
      </c>
      <c r="BH45" s="1064" t="str">
        <f t="shared" si="41"/>
        <v/>
      </c>
      <c r="BI45" s="1064" t="str">
        <f t="shared" si="42"/>
        <v/>
      </c>
      <c r="BJ45" s="1064" t="str">
        <f t="shared" si="43"/>
        <v/>
      </c>
      <c r="BK45" s="1064" t="str">
        <f t="shared" si="44"/>
        <v/>
      </c>
      <c r="BL45" s="1064" t="str">
        <f t="shared" si="45"/>
        <v/>
      </c>
      <c r="BM45" s="1064" t="str">
        <f t="shared" si="46"/>
        <v/>
      </c>
      <c r="BN45" s="1064" t="str">
        <f t="shared" si="47"/>
        <v/>
      </c>
      <c r="BO45" s="1064" t="str">
        <f t="shared" si="48"/>
        <v/>
      </c>
      <c r="BP45" s="1064" t="str">
        <f t="shared" si="49"/>
        <v/>
      </c>
      <c r="BQ45" s="1064" t="str">
        <f t="shared" si="50"/>
        <v/>
      </c>
      <c r="BR45" s="1064" t="str">
        <f t="shared" si="51"/>
        <v/>
      </c>
      <c r="BS45" s="1064" t="str">
        <f t="shared" si="52"/>
        <v/>
      </c>
      <c r="BT45" s="1064" t="str">
        <f t="shared" si="53"/>
        <v/>
      </c>
      <c r="BU45" s="1064" t="str">
        <f t="shared" si="54"/>
        <v/>
      </c>
      <c r="BV45" s="1064" t="str">
        <f t="shared" si="55"/>
        <v/>
      </c>
      <c r="BW45" s="1064" t="str">
        <f t="shared" si="56"/>
        <v/>
      </c>
      <c r="BX45" s="1064" t="str">
        <f t="shared" si="57"/>
        <v/>
      </c>
      <c r="BY45" s="1064" t="str">
        <f t="shared" si="58"/>
        <v/>
      </c>
      <c r="BZ45" s="1064" t="str">
        <f t="shared" si="59"/>
        <v/>
      </c>
      <c r="CA45" s="1064" t="str">
        <f t="shared" si="60"/>
        <v/>
      </c>
      <c r="CB45" s="1064" t="str">
        <f t="shared" si="61"/>
        <v/>
      </c>
      <c r="CC45" s="1064" t="str">
        <f t="shared" si="62"/>
        <v/>
      </c>
      <c r="CD45" s="1064" t="str">
        <f t="shared" si="63"/>
        <v/>
      </c>
      <c r="CE45" s="1064" t="str">
        <f t="shared" si="64"/>
        <v/>
      </c>
      <c r="CF45" s="1064" t="str">
        <f t="shared" si="65"/>
        <v/>
      </c>
      <c r="CG45" s="1064" t="str">
        <f t="shared" si="66"/>
        <v/>
      </c>
      <c r="CH45" s="1064" t="str">
        <f t="shared" si="67"/>
        <v/>
      </c>
      <c r="CI45" s="1064" t="str">
        <f t="shared" si="68"/>
        <v/>
      </c>
      <c r="CJ45" s="1064" t="str">
        <f t="shared" si="69"/>
        <v/>
      </c>
      <c r="CK45" s="1064" t="str">
        <f t="shared" si="70"/>
        <v/>
      </c>
      <c r="CL45" s="1064" t="str">
        <f t="shared" si="71"/>
        <v/>
      </c>
      <c r="CM45" s="1064" t="str">
        <f t="shared" si="72"/>
        <v/>
      </c>
      <c r="CN45" s="1064" t="str">
        <f t="shared" si="73"/>
        <v/>
      </c>
      <c r="CO45" s="1064" t="str">
        <f t="shared" si="74"/>
        <v/>
      </c>
      <c r="CP45" s="1064" t="str">
        <f t="shared" si="75"/>
        <v/>
      </c>
      <c r="CQ45" s="1064" t="str">
        <f t="shared" si="76"/>
        <v/>
      </c>
      <c r="CR45" s="1064" t="str">
        <f t="shared" si="77"/>
        <v/>
      </c>
      <c r="CS45" s="1064" t="str">
        <f t="shared" si="78"/>
        <v/>
      </c>
      <c r="CT45" s="1064" t="str">
        <f t="shared" si="79"/>
        <v/>
      </c>
      <c r="CU45" s="1064" t="str">
        <f t="shared" si="80"/>
        <v/>
      </c>
      <c r="CV45" s="1064" t="str">
        <f t="shared" si="81"/>
        <v/>
      </c>
      <c r="CW45" s="1064" t="str">
        <f t="shared" si="82"/>
        <v/>
      </c>
      <c r="CX45" s="1064" t="str">
        <f t="shared" si="83"/>
        <v/>
      </c>
      <c r="CY45" s="1064" t="str">
        <f t="shared" si="84"/>
        <v/>
      </c>
      <c r="CZ45" s="1064" t="str">
        <f t="shared" si="85"/>
        <v/>
      </c>
      <c r="DA45" s="1064" t="str">
        <f t="shared" si="86"/>
        <v/>
      </c>
      <c r="DB45" s="1064" t="str">
        <f t="shared" si="87"/>
        <v/>
      </c>
      <c r="DC45" s="1064" t="str">
        <f t="shared" si="88"/>
        <v/>
      </c>
      <c r="DD45" s="1064" t="str">
        <f t="shared" si="89"/>
        <v/>
      </c>
      <c r="DE45" s="1064" t="str">
        <f t="shared" si="90"/>
        <v/>
      </c>
      <c r="DF45" s="1064" t="str">
        <f t="shared" si="91"/>
        <v/>
      </c>
      <c r="DG45" s="1064" t="str">
        <f t="shared" si="92"/>
        <v/>
      </c>
      <c r="DH45" s="1064" t="str">
        <f t="shared" si="93"/>
        <v/>
      </c>
      <c r="DI45" s="1064" t="str">
        <f t="shared" si="94"/>
        <v/>
      </c>
      <c r="DJ45" s="1064" t="str">
        <f t="shared" si="95"/>
        <v/>
      </c>
      <c r="DK45" s="1064" t="str">
        <f t="shared" si="96"/>
        <v/>
      </c>
      <c r="DL45" s="1064" t="str">
        <f t="shared" si="97"/>
        <v/>
      </c>
      <c r="DM45" s="1064" t="str">
        <f t="shared" si="98"/>
        <v/>
      </c>
      <c r="DN45" s="1064" t="str">
        <f t="shared" si="99"/>
        <v/>
      </c>
      <c r="DO45" s="1064" t="str">
        <f t="shared" si="100"/>
        <v/>
      </c>
      <c r="DP45" s="1064" t="str">
        <f t="shared" si="101"/>
        <v/>
      </c>
      <c r="DQ45" s="1064" t="str">
        <f t="shared" si="102"/>
        <v/>
      </c>
      <c r="DR45" s="1064" t="str">
        <f t="shared" si="103"/>
        <v/>
      </c>
      <c r="DS45" s="1064" t="str">
        <f t="shared" si="104"/>
        <v/>
      </c>
      <c r="DT45" s="1064" t="str">
        <f t="shared" si="105"/>
        <v/>
      </c>
      <c r="DU45" s="1064" t="str">
        <f t="shared" si="106"/>
        <v/>
      </c>
      <c r="DV45" s="1064" t="str">
        <f t="shared" si="107"/>
        <v/>
      </c>
      <c r="DW45" s="1064" t="str">
        <f t="shared" si="108"/>
        <v/>
      </c>
      <c r="DX45" s="1064" t="str">
        <f t="shared" si="109"/>
        <v/>
      </c>
      <c r="DY45" s="1064" t="str">
        <f t="shared" si="110"/>
        <v/>
      </c>
      <c r="DZ45" s="1064" t="str">
        <f t="shared" si="111"/>
        <v/>
      </c>
      <c r="EA45" s="1064" t="str">
        <f t="shared" si="112"/>
        <v/>
      </c>
      <c r="EB45" s="1064" t="str">
        <f t="shared" si="113"/>
        <v/>
      </c>
      <c r="EC45" s="1064" t="str">
        <f t="shared" si="114"/>
        <v/>
      </c>
      <c r="ED45" s="1064" t="str">
        <f t="shared" si="115"/>
        <v/>
      </c>
      <c r="EE45" s="1064" t="str">
        <f t="shared" si="116"/>
        <v/>
      </c>
      <c r="EF45" s="1064" t="str">
        <f t="shared" si="117"/>
        <v/>
      </c>
      <c r="EG45" s="1064" t="str">
        <f t="shared" si="313"/>
        <v/>
      </c>
      <c r="EH45" s="1064" t="str">
        <f t="shared" si="118"/>
        <v/>
      </c>
      <c r="EI45" s="1064" t="str">
        <f t="shared" si="119"/>
        <v/>
      </c>
      <c r="EJ45" s="1064" t="str">
        <f t="shared" si="120"/>
        <v/>
      </c>
      <c r="EK45" s="1064" t="str">
        <f t="shared" si="121"/>
        <v/>
      </c>
      <c r="EL45" s="1064" t="str">
        <f t="shared" si="122"/>
        <v/>
      </c>
      <c r="EM45" s="1064" t="str">
        <f t="shared" si="123"/>
        <v/>
      </c>
      <c r="EN45" s="1064" t="str">
        <f t="shared" si="124"/>
        <v/>
      </c>
      <c r="EO45" s="1064" t="str">
        <f t="shared" si="125"/>
        <v/>
      </c>
      <c r="EP45" s="1064" t="str">
        <f t="shared" si="126"/>
        <v/>
      </c>
      <c r="EQ45" s="1064" t="str">
        <f t="shared" si="127"/>
        <v/>
      </c>
      <c r="ER45" s="1064" t="str">
        <f t="shared" si="128"/>
        <v/>
      </c>
      <c r="ES45" s="1064" t="str">
        <f t="shared" si="129"/>
        <v/>
      </c>
      <c r="ET45" s="1064" t="str">
        <f t="shared" si="130"/>
        <v/>
      </c>
      <c r="EU45" s="1064" t="str">
        <f t="shared" si="131"/>
        <v/>
      </c>
      <c r="EV45" s="1064" t="str">
        <f t="shared" si="132"/>
        <v/>
      </c>
      <c r="EW45" s="1064" t="str">
        <f t="shared" si="314"/>
        <v/>
      </c>
      <c r="EX45" s="1064" t="str">
        <f t="shared" si="315"/>
        <v/>
      </c>
      <c r="EY45" s="1064" t="str">
        <f t="shared" si="316"/>
        <v/>
      </c>
      <c r="EZ45" s="1064" t="str">
        <f t="shared" si="317"/>
        <v/>
      </c>
      <c r="FA45" s="1064" t="str">
        <f t="shared" si="318"/>
        <v/>
      </c>
      <c r="FB45" s="1064" t="str">
        <f t="shared" si="133"/>
        <v/>
      </c>
      <c r="FC45" s="1064" t="str">
        <f t="shared" si="134"/>
        <v/>
      </c>
      <c r="FD45" s="1064" t="str">
        <f t="shared" si="135"/>
        <v/>
      </c>
      <c r="FE45" s="1064" t="str">
        <f t="shared" si="136"/>
        <v/>
      </c>
      <c r="FF45" s="1064" t="str">
        <f t="shared" si="137"/>
        <v/>
      </c>
      <c r="FG45" s="1064" t="str">
        <f t="shared" si="319"/>
        <v/>
      </c>
      <c r="FH45" s="1064" t="str">
        <f t="shared" si="320"/>
        <v/>
      </c>
      <c r="FI45" s="1064" t="str">
        <f t="shared" si="321"/>
        <v/>
      </c>
      <c r="FJ45" s="1064" t="str">
        <f t="shared" si="322"/>
        <v/>
      </c>
      <c r="FK45" s="1064" t="str">
        <f t="shared" si="323"/>
        <v/>
      </c>
      <c r="FL45" s="1064" t="str">
        <f t="shared" si="138"/>
        <v/>
      </c>
      <c r="FM45" s="1064" t="str">
        <f t="shared" si="139"/>
        <v/>
      </c>
      <c r="FN45" s="1064" t="str">
        <f t="shared" si="140"/>
        <v/>
      </c>
      <c r="FO45" s="1064" t="str">
        <f t="shared" si="141"/>
        <v/>
      </c>
      <c r="FP45" s="1064" t="str">
        <f t="shared" si="142"/>
        <v/>
      </c>
      <c r="FQ45" s="1064" t="str">
        <f t="shared" si="143"/>
        <v/>
      </c>
      <c r="FR45" s="1064" t="str">
        <f t="shared" si="144"/>
        <v/>
      </c>
      <c r="FS45" s="1064" t="str">
        <f t="shared" si="145"/>
        <v/>
      </c>
      <c r="FT45" s="1064" t="str">
        <f t="shared" si="146"/>
        <v/>
      </c>
      <c r="FU45" s="1064" t="str">
        <f t="shared" si="147"/>
        <v/>
      </c>
      <c r="FV45" s="1064" t="str">
        <f t="shared" si="148"/>
        <v/>
      </c>
      <c r="FW45" s="1064" t="str">
        <f t="shared" si="149"/>
        <v/>
      </c>
      <c r="FX45" s="1064" t="str">
        <f t="shared" si="150"/>
        <v/>
      </c>
      <c r="FY45" s="1064" t="str">
        <f t="shared" si="151"/>
        <v/>
      </c>
      <c r="FZ45" s="1064" t="str">
        <f t="shared" si="152"/>
        <v/>
      </c>
      <c r="GA45" s="1064" t="str">
        <f t="shared" si="153"/>
        <v/>
      </c>
      <c r="GB45" s="1064" t="str">
        <f t="shared" si="154"/>
        <v/>
      </c>
      <c r="GC45" s="1064" t="str">
        <f t="shared" si="155"/>
        <v/>
      </c>
      <c r="GD45" s="1064" t="str">
        <f t="shared" si="156"/>
        <v/>
      </c>
      <c r="GE45" s="1064" t="str">
        <f t="shared" si="157"/>
        <v/>
      </c>
      <c r="GF45" s="1064" t="str">
        <f t="shared" si="158"/>
        <v/>
      </c>
      <c r="GG45" s="1064" t="str">
        <f t="shared" si="159"/>
        <v/>
      </c>
      <c r="GH45" s="1064" t="str">
        <f t="shared" si="160"/>
        <v/>
      </c>
      <c r="GI45" s="1064" t="str">
        <f t="shared" si="161"/>
        <v/>
      </c>
      <c r="GJ45" s="1064" t="str">
        <f t="shared" si="162"/>
        <v/>
      </c>
      <c r="GK45" s="1064" t="str">
        <f t="shared" si="163"/>
        <v/>
      </c>
      <c r="GL45" s="1064" t="str">
        <f t="shared" si="164"/>
        <v/>
      </c>
      <c r="GM45" s="1064" t="str">
        <f t="shared" si="165"/>
        <v/>
      </c>
      <c r="GN45" s="1064" t="str">
        <f t="shared" si="166"/>
        <v/>
      </c>
      <c r="GO45" s="1064" t="str">
        <f t="shared" si="167"/>
        <v/>
      </c>
      <c r="GP45" s="1064" t="str">
        <f t="shared" si="168"/>
        <v/>
      </c>
      <c r="GQ45" s="1064" t="str">
        <f t="shared" si="169"/>
        <v/>
      </c>
      <c r="GR45" s="1064" t="str">
        <f t="shared" si="170"/>
        <v/>
      </c>
      <c r="GS45" s="1064" t="str">
        <f t="shared" si="171"/>
        <v/>
      </c>
      <c r="GT45" s="1064" t="str">
        <f t="shared" si="172"/>
        <v/>
      </c>
      <c r="GU45" s="1064" t="str">
        <f t="shared" si="173"/>
        <v/>
      </c>
      <c r="GV45" s="1064" t="str">
        <f t="shared" si="174"/>
        <v/>
      </c>
      <c r="GW45" s="1064" t="str">
        <f t="shared" si="175"/>
        <v/>
      </c>
      <c r="GX45" s="1064" t="str">
        <f t="shared" si="176"/>
        <v/>
      </c>
      <c r="GY45" s="1064" t="str">
        <f t="shared" si="177"/>
        <v/>
      </c>
      <c r="GZ45" s="1064" t="str">
        <f t="shared" si="178"/>
        <v/>
      </c>
      <c r="HA45" s="1064" t="str">
        <f t="shared" si="179"/>
        <v/>
      </c>
      <c r="HB45" s="1064" t="str">
        <f t="shared" si="180"/>
        <v/>
      </c>
      <c r="HC45" s="1064" t="str">
        <f t="shared" si="181"/>
        <v/>
      </c>
      <c r="HD45" s="1064" t="str">
        <f t="shared" si="182"/>
        <v/>
      </c>
      <c r="HE45" s="1064" t="str">
        <f t="shared" si="183"/>
        <v/>
      </c>
      <c r="HF45" s="1064" t="str">
        <f t="shared" si="184"/>
        <v/>
      </c>
      <c r="HG45" s="1064" t="str">
        <f t="shared" si="185"/>
        <v/>
      </c>
      <c r="HH45" s="1064" t="str">
        <f t="shared" si="186"/>
        <v/>
      </c>
      <c r="HI45" s="1064" t="str">
        <f t="shared" si="187"/>
        <v/>
      </c>
      <c r="HJ45" s="1064" t="str">
        <f t="shared" si="188"/>
        <v/>
      </c>
      <c r="HK45" s="1064" t="str">
        <f t="shared" si="189"/>
        <v/>
      </c>
      <c r="HL45" s="1064" t="str">
        <f t="shared" si="190"/>
        <v/>
      </c>
      <c r="HM45" s="1064" t="str">
        <f t="shared" si="191"/>
        <v/>
      </c>
      <c r="HN45" s="1064" t="str">
        <f t="shared" si="192"/>
        <v/>
      </c>
      <c r="HO45" s="1064" t="str">
        <f t="shared" si="193"/>
        <v/>
      </c>
      <c r="HP45" s="1064" t="str">
        <f t="shared" si="194"/>
        <v/>
      </c>
      <c r="HQ45" s="1064" t="str">
        <f t="shared" si="195"/>
        <v/>
      </c>
      <c r="HR45" s="1064" t="str">
        <f t="shared" si="196"/>
        <v/>
      </c>
      <c r="HS45" s="1064" t="str">
        <f t="shared" si="197"/>
        <v/>
      </c>
      <c r="HT45" s="1064" t="str">
        <f t="shared" si="198"/>
        <v/>
      </c>
      <c r="HU45" s="1064" t="str">
        <f t="shared" si="199"/>
        <v/>
      </c>
      <c r="HV45" s="1064" t="str">
        <f t="shared" si="200"/>
        <v/>
      </c>
      <c r="HW45" s="1064" t="str">
        <f t="shared" si="201"/>
        <v/>
      </c>
      <c r="HX45" s="1064" t="str">
        <f t="shared" si="202"/>
        <v/>
      </c>
      <c r="HY45" s="1097" t="str">
        <f t="shared" si="203"/>
        <v/>
      </c>
      <c r="HZ45" s="1097" t="str">
        <f t="shared" si="204"/>
        <v/>
      </c>
      <c r="IA45" s="1097" t="str">
        <f t="shared" si="205"/>
        <v/>
      </c>
      <c r="IB45" s="1097" t="str">
        <f t="shared" si="206"/>
        <v/>
      </c>
      <c r="IC45" s="1097" t="str">
        <f t="shared" si="207"/>
        <v/>
      </c>
      <c r="ID45" s="1097" t="str">
        <f t="shared" si="208"/>
        <v/>
      </c>
      <c r="IE45" s="1097" t="str">
        <f t="shared" si="209"/>
        <v/>
      </c>
      <c r="IF45" s="1097" t="str">
        <f t="shared" si="210"/>
        <v/>
      </c>
      <c r="IG45" s="1097" t="str">
        <f t="shared" si="211"/>
        <v/>
      </c>
      <c r="IH45" s="1097" t="str">
        <f t="shared" si="212"/>
        <v/>
      </c>
      <c r="II45" s="1097" t="str">
        <f t="shared" si="213"/>
        <v/>
      </c>
      <c r="IJ45" s="1097" t="str">
        <f t="shared" si="214"/>
        <v/>
      </c>
      <c r="IK45" s="1097" t="str">
        <f t="shared" si="215"/>
        <v/>
      </c>
      <c r="IL45" s="1097" t="str">
        <f t="shared" si="216"/>
        <v/>
      </c>
      <c r="IM45" s="1097" t="str">
        <f t="shared" si="217"/>
        <v/>
      </c>
      <c r="IN45" s="1097" t="str">
        <f t="shared" si="218"/>
        <v/>
      </c>
      <c r="IO45" s="1097" t="str">
        <f t="shared" si="219"/>
        <v/>
      </c>
      <c r="IP45" s="1097" t="str">
        <f t="shared" si="220"/>
        <v/>
      </c>
      <c r="IQ45" s="1097" t="str">
        <f t="shared" si="221"/>
        <v/>
      </c>
      <c r="IR45" s="1097" t="str">
        <f t="shared" si="222"/>
        <v/>
      </c>
      <c r="IS45" s="1097" t="str">
        <f t="shared" si="223"/>
        <v/>
      </c>
      <c r="IT45" s="1097" t="str">
        <f t="shared" si="224"/>
        <v/>
      </c>
      <c r="IU45" s="1097" t="str">
        <f t="shared" si="225"/>
        <v/>
      </c>
      <c r="IV45" s="1097" t="str">
        <f t="shared" si="226"/>
        <v/>
      </c>
      <c r="IW45" s="1097" t="str">
        <f t="shared" si="227"/>
        <v/>
      </c>
      <c r="IX45" s="1097" t="str">
        <f t="shared" si="228"/>
        <v/>
      </c>
      <c r="IY45" s="1097" t="str">
        <f t="shared" si="229"/>
        <v/>
      </c>
      <c r="IZ45" s="1097" t="str">
        <f t="shared" si="230"/>
        <v/>
      </c>
      <c r="JA45" s="1097" t="str">
        <f t="shared" si="231"/>
        <v/>
      </c>
      <c r="JB45" s="1097" t="str">
        <f t="shared" si="232"/>
        <v/>
      </c>
      <c r="JC45" s="1097" t="str">
        <f t="shared" si="233"/>
        <v/>
      </c>
      <c r="JD45" s="1097" t="str">
        <f t="shared" si="234"/>
        <v/>
      </c>
      <c r="JE45" s="1097" t="str">
        <f t="shared" si="235"/>
        <v/>
      </c>
      <c r="JF45" s="1097" t="str">
        <f t="shared" si="236"/>
        <v/>
      </c>
      <c r="JG45" s="1097" t="str">
        <f t="shared" si="237"/>
        <v/>
      </c>
      <c r="JH45" s="1097" t="str">
        <f t="shared" si="238"/>
        <v/>
      </c>
      <c r="JI45" s="1097" t="str">
        <f t="shared" si="239"/>
        <v/>
      </c>
      <c r="JJ45" s="1097" t="str">
        <f t="shared" si="240"/>
        <v/>
      </c>
      <c r="JK45" s="1097" t="str">
        <f t="shared" si="241"/>
        <v/>
      </c>
      <c r="JL45" s="1097" t="str">
        <f t="shared" si="242"/>
        <v/>
      </c>
      <c r="JM45" s="1097" t="str">
        <f t="shared" si="243"/>
        <v/>
      </c>
      <c r="JN45" s="1097" t="str">
        <f t="shared" si="244"/>
        <v/>
      </c>
      <c r="JO45" s="1097" t="str">
        <f t="shared" si="245"/>
        <v/>
      </c>
      <c r="JP45" s="1097" t="str">
        <f t="shared" si="246"/>
        <v/>
      </c>
      <c r="JQ45" s="1097" t="str">
        <f t="shared" si="247"/>
        <v/>
      </c>
      <c r="JR45" s="1097" t="str">
        <f t="shared" si="248"/>
        <v/>
      </c>
      <c r="JS45" s="1097" t="str">
        <f t="shared" si="249"/>
        <v/>
      </c>
      <c r="JT45" s="1097" t="str">
        <f t="shared" si="250"/>
        <v/>
      </c>
      <c r="JU45" s="1097" t="str">
        <f t="shared" si="251"/>
        <v/>
      </c>
      <c r="JV45" s="1097" t="str">
        <f t="shared" si="252"/>
        <v/>
      </c>
      <c r="JW45" s="1097" t="str">
        <f t="shared" si="253"/>
        <v/>
      </c>
      <c r="JX45" s="1097" t="str">
        <f t="shared" si="254"/>
        <v/>
      </c>
      <c r="JY45" s="1097" t="str">
        <f t="shared" si="255"/>
        <v/>
      </c>
      <c r="JZ45" s="1097" t="str">
        <f t="shared" si="256"/>
        <v/>
      </c>
      <c r="KA45" s="1097" t="str">
        <f t="shared" si="257"/>
        <v/>
      </c>
      <c r="KB45" s="1097" t="str">
        <f t="shared" si="258"/>
        <v/>
      </c>
      <c r="KC45" s="1097" t="str">
        <f t="shared" si="259"/>
        <v/>
      </c>
      <c r="KD45" s="1097" t="str">
        <f t="shared" si="260"/>
        <v/>
      </c>
      <c r="KE45" s="1097" t="str">
        <f t="shared" si="261"/>
        <v/>
      </c>
      <c r="KF45" s="1097" t="str">
        <f t="shared" si="262"/>
        <v/>
      </c>
      <c r="KG45" s="1097" t="str">
        <f t="shared" si="263"/>
        <v/>
      </c>
      <c r="KH45" s="1097" t="str">
        <f t="shared" si="264"/>
        <v/>
      </c>
      <c r="KI45" s="1097" t="str">
        <f t="shared" si="265"/>
        <v/>
      </c>
      <c r="KJ45" s="1097" t="str">
        <f t="shared" si="266"/>
        <v/>
      </c>
      <c r="KK45" s="1097" t="str">
        <f t="shared" si="267"/>
        <v/>
      </c>
      <c r="KL45" s="1097" t="str">
        <f t="shared" si="268"/>
        <v/>
      </c>
      <c r="KM45" s="1097" t="str">
        <f t="shared" si="269"/>
        <v/>
      </c>
      <c r="KN45" s="1097" t="str">
        <f t="shared" si="270"/>
        <v/>
      </c>
      <c r="KO45" s="1097" t="str">
        <f t="shared" si="271"/>
        <v/>
      </c>
      <c r="KP45" s="1097" t="str">
        <f t="shared" si="272"/>
        <v/>
      </c>
      <c r="KQ45" s="1097" t="str">
        <f t="shared" si="273"/>
        <v/>
      </c>
      <c r="KR45" s="1097" t="str">
        <f t="shared" si="274"/>
        <v/>
      </c>
      <c r="KS45" s="1097" t="str">
        <f t="shared" si="275"/>
        <v/>
      </c>
      <c r="KT45" s="1097" t="str">
        <f t="shared" si="276"/>
        <v/>
      </c>
      <c r="KU45" s="1097" t="str">
        <f t="shared" si="277"/>
        <v/>
      </c>
      <c r="KV45" s="1097" t="str">
        <f t="shared" si="278"/>
        <v/>
      </c>
      <c r="KW45" s="1097" t="str">
        <f t="shared" si="279"/>
        <v/>
      </c>
      <c r="KX45" s="1097" t="str">
        <f t="shared" si="280"/>
        <v/>
      </c>
      <c r="KY45" s="1097" t="str">
        <f t="shared" si="281"/>
        <v/>
      </c>
      <c r="KZ45" s="1097" t="str">
        <f t="shared" si="282"/>
        <v/>
      </c>
      <c r="LA45" s="1097" t="str">
        <f t="shared" si="283"/>
        <v/>
      </c>
      <c r="LB45" s="1097" t="str">
        <f t="shared" si="284"/>
        <v/>
      </c>
      <c r="LC45" s="1097" t="str">
        <f t="shared" si="285"/>
        <v/>
      </c>
      <c r="LD45" s="1097" t="str">
        <f t="shared" si="286"/>
        <v/>
      </c>
      <c r="LE45" s="1097" t="str">
        <f t="shared" si="287"/>
        <v/>
      </c>
      <c r="LF45" s="1098" t="str">
        <f t="shared" si="288"/>
        <v/>
      </c>
      <c r="LG45" s="1098" t="str">
        <f t="shared" si="289"/>
        <v/>
      </c>
      <c r="LH45" s="1098" t="str">
        <f t="shared" si="290"/>
        <v/>
      </c>
      <c r="LI45" s="1098" t="str">
        <f t="shared" si="291"/>
        <v/>
      </c>
      <c r="LJ45" s="1098" t="str">
        <f t="shared" si="292"/>
        <v/>
      </c>
      <c r="LK45" s="1064" t="str">
        <f t="shared" si="293"/>
        <v/>
      </c>
      <c r="LL45" s="1064" t="str">
        <f t="shared" si="294"/>
        <v/>
      </c>
      <c r="LM45" s="1064" t="str">
        <f t="shared" si="295"/>
        <v/>
      </c>
      <c r="LN45" s="1064" t="str">
        <f t="shared" si="296"/>
        <v/>
      </c>
      <c r="LO45" s="1064" t="str">
        <f t="shared" si="297"/>
        <v/>
      </c>
      <c r="LP45" s="1064" t="str">
        <f t="shared" si="298"/>
        <v/>
      </c>
      <c r="LQ45" s="1064" t="str">
        <f t="shared" si="299"/>
        <v/>
      </c>
      <c r="LR45" s="1064" t="str">
        <f t="shared" si="300"/>
        <v/>
      </c>
      <c r="LS45" s="1064" t="str">
        <f t="shared" si="301"/>
        <v/>
      </c>
      <c r="LT45" s="1064" t="str">
        <f t="shared" si="302"/>
        <v/>
      </c>
      <c r="LU45" s="1064" t="str">
        <f t="shared" si="303"/>
        <v/>
      </c>
      <c r="LV45" s="1064" t="str">
        <f t="shared" si="304"/>
        <v/>
      </c>
      <c r="LW45" s="1064" t="str">
        <f t="shared" si="305"/>
        <v/>
      </c>
      <c r="LX45" s="1064" t="str">
        <f t="shared" si="306"/>
        <v/>
      </c>
      <c r="LY45" s="1064" t="str">
        <f t="shared" si="307"/>
        <v/>
      </c>
      <c r="LZ45" s="1064" t="str">
        <f t="shared" si="308"/>
        <v/>
      </c>
      <c r="MA45" s="1064" t="str">
        <f t="shared" si="309"/>
        <v/>
      </c>
      <c r="MB45" s="1064" t="str">
        <f t="shared" si="310"/>
        <v/>
      </c>
      <c r="MC45" s="1064" t="str">
        <f t="shared" si="311"/>
        <v/>
      </c>
      <c r="MD45" s="1064" t="str">
        <f t="shared" si="312"/>
        <v/>
      </c>
      <c r="ME45" s="1081">
        <f t="shared" si="324"/>
        <v>0</v>
      </c>
      <c r="MF45" s="1081">
        <f t="shared" si="325"/>
        <v>0</v>
      </c>
      <c r="MG45" s="1081">
        <f t="shared" si="326"/>
        <v>0</v>
      </c>
      <c r="MH45" s="1081">
        <f t="shared" si="327"/>
        <v>0</v>
      </c>
      <c r="MI45" s="1081">
        <f t="shared" si="328"/>
        <v>0</v>
      </c>
      <c r="MJ45" s="1081">
        <f t="shared" si="329"/>
        <v>0</v>
      </c>
      <c r="MK45" s="1081">
        <f t="shared" si="330"/>
        <v>0</v>
      </c>
      <c r="ML45" s="1081">
        <f t="shared" si="331"/>
        <v>0</v>
      </c>
      <c r="MM45" s="1081">
        <f t="shared" si="332"/>
        <v>0</v>
      </c>
      <c r="MN45" s="1081">
        <f t="shared" si="333"/>
        <v>0</v>
      </c>
      <c r="MO45" s="1081">
        <f t="shared" si="334"/>
        <v>0</v>
      </c>
      <c r="MP45" s="1081">
        <f t="shared" si="335"/>
        <v>0</v>
      </c>
      <c r="MQ45" s="1081">
        <f t="shared" si="336"/>
        <v>0</v>
      </c>
      <c r="MR45" s="1081">
        <f t="shared" si="337"/>
        <v>0</v>
      </c>
      <c r="MS45" s="1081">
        <f t="shared" si="338"/>
        <v>0</v>
      </c>
    </row>
    <row r="46" spans="1:393" ht="12" customHeight="1">
      <c r="A46" s="1088" t="str">
        <f t="shared" si="0"/>
        <v/>
      </c>
      <c r="B46" s="44"/>
      <c r="C46" s="41"/>
      <c r="D46" s="42"/>
      <c r="E46" s="43"/>
      <c r="F46" s="43"/>
      <c r="G46" s="43"/>
      <c r="H46" s="43"/>
      <c r="I46" s="1100">
        <f>IF(C46="",0,HLOOKUP(C46,'Part V-Utility Allowances'!$I$11:$M$22,12))</f>
        <v>0</v>
      </c>
      <c r="J46" s="810"/>
      <c r="K46" s="512">
        <f t="shared" si="1"/>
        <v>0</v>
      </c>
      <c r="L46" s="512">
        <f t="shared" si="2"/>
        <v>0</v>
      </c>
      <c r="M46" s="1101"/>
      <c r="N46" s="1101"/>
      <c r="O46" s="1101"/>
      <c r="P46" s="1102"/>
      <c r="Q46" s="1103" t="str">
        <f t="shared" si="3"/>
        <v/>
      </c>
      <c r="R46" s="1104" t="str">
        <f>IF(H46="","",IF(C46="Efficiency",Q46/($O$6*VLOOKUP(0,'DCA Underwriting Assumptions'!$J$146:$K$151,2,FALSE)),Q46/($O$6*VLOOKUP(C46,'DCA Underwriting Assumptions'!$J$146:$K$151,2,FALSE))))</f>
        <v/>
      </c>
      <c r="S46" s="1105"/>
      <c r="T46" s="1106"/>
      <c r="U46" s="2314"/>
      <c r="V46" s="2316"/>
      <c r="W46" s="1064" t="str">
        <f t="shared" si="4"/>
        <v/>
      </c>
      <c r="X46" s="1064" t="str">
        <f t="shared" si="5"/>
        <v/>
      </c>
      <c r="Y46" s="1064" t="str">
        <f t="shared" si="6"/>
        <v/>
      </c>
      <c r="Z46" s="1064" t="str">
        <f t="shared" si="7"/>
        <v/>
      </c>
      <c r="AA46" s="1064" t="str">
        <f t="shared" si="8"/>
        <v/>
      </c>
      <c r="AB46" s="1064" t="str">
        <f t="shared" si="9"/>
        <v/>
      </c>
      <c r="AC46" s="1064" t="str">
        <f t="shared" si="10"/>
        <v/>
      </c>
      <c r="AD46" s="1064" t="str">
        <f t="shared" si="11"/>
        <v/>
      </c>
      <c r="AE46" s="1064" t="str">
        <f t="shared" si="12"/>
        <v/>
      </c>
      <c r="AF46" s="1064" t="str">
        <f t="shared" si="13"/>
        <v/>
      </c>
      <c r="AG46" s="1064" t="str">
        <f t="shared" si="14"/>
        <v/>
      </c>
      <c r="AH46" s="1064" t="str">
        <f t="shared" si="15"/>
        <v/>
      </c>
      <c r="AI46" s="1064" t="str">
        <f t="shared" si="16"/>
        <v/>
      </c>
      <c r="AJ46" s="1064" t="str">
        <f t="shared" si="17"/>
        <v/>
      </c>
      <c r="AK46" s="1064" t="str">
        <f t="shared" si="18"/>
        <v/>
      </c>
      <c r="AL46" s="1064" t="str">
        <f t="shared" si="19"/>
        <v/>
      </c>
      <c r="AM46" s="1064" t="str">
        <f t="shared" si="20"/>
        <v/>
      </c>
      <c r="AN46" s="1064" t="str">
        <f t="shared" si="21"/>
        <v/>
      </c>
      <c r="AO46" s="1064" t="str">
        <f t="shared" si="22"/>
        <v/>
      </c>
      <c r="AP46" s="1064" t="str">
        <f t="shared" si="23"/>
        <v/>
      </c>
      <c r="AQ46" s="1064" t="str">
        <f t="shared" si="24"/>
        <v/>
      </c>
      <c r="AR46" s="1064" t="str">
        <f t="shared" si="25"/>
        <v/>
      </c>
      <c r="AS46" s="1064" t="str">
        <f t="shared" si="26"/>
        <v/>
      </c>
      <c r="AT46" s="1064" t="str">
        <f t="shared" si="27"/>
        <v/>
      </c>
      <c r="AU46" s="1064" t="str">
        <f t="shared" si="28"/>
        <v/>
      </c>
      <c r="AV46" s="1064" t="str">
        <f t="shared" si="29"/>
        <v/>
      </c>
      <c r="AW46" s="1064" t="str">
        <f t="shared" si="30"/>
        <v/>
      </c>
      <c r="AX46" s="1064" t="str">
        <f t="shared" si="31"/>
        <v/>
      </c>
      <c r="AY46" s="1064" t="str">
        <f t="shared" si="32"/>
        <v/>
      </c>
      <c r="AZ46" s="1064" t="str">
        <f t="shared" si="33"/>
        <v/>
      </c>
      <c r="BA46" s="1064" t="str">
        <f t="shared" si="34"/>
        <v/>
      </c>
      <c r="BB46" s="1064" t="str">
        <f t="shared" si="35"/>
        <v/>
      </c>
      <c r="BC46" s="1064" t="str">
        <f t="shared" si="36"/>
        <v/>
      </c>
      <c r="BD46" s="1064" t="str">
        <f t="shared" si="37"/>
        <v/>
      </c>
      <c r="BE46" s="1064" t="str">
        <f t="shared" si="38"/>
        <v/>
      </c>
      <c r="BF46" s="1064" t="str">
        <f t="shared" si="39"/>
        <v/>
      </c>
      <c r="BG46" s="1064" t="str">
        <f t="shared" si="40"/>
        <v/>
      </c>
      <c r="BH46" s="1064" t="str">
        <f t="shared" si="41"/>
        <v/>
      </c>
      <c r="BI46" s="1064" t="str">
        <f t="shared" si="42"/>
        <v/>
      </c>
      <c r="BJ46" s="1064" t="str">
        <f t="shared" si="43"/>
        <v/>
      </c>
      <c r="BK46" s="1064" t="str">
        <f t="shared" si="44"/>
        <v/>
      </c>
      <c r="BL46" s="1064" t="str">
        <f t="shared" si="45"/>
        <v/>
      </c>
      <c r="BM46" s="1064" t="str">
        <f t="shared" si="46"/>
        <v/>
      </c>
      <c r="BN46" s="1064" t="str">
        <f t="shared" si="47"/>
        <v/>
      </c>
      <c r="BO46" s="1064" t="str">
        <f t="shared" si="48"/>
        <v/>
      </c>
      <c r="BP46" s="1064" t="str">
        <f t="shared" si="49"/>
        <v/>
      </c>
      <c r="BQ46" s="1064" t="str">
        <f t="shared" si="50"/>
        <v/>
      </c>
      <c r="BR46" s="1064" t="str">
        <f t="shared" si="51"/>
        <v/>
      </c>
      <c r="BS46" s="1064" t="str">
        <f t="shared" si="52"/>
        <v/>
      </c>
      <c r="BT46" s="1064" t="str">
        <f t="shared" si="53"/>
        <v/>
      </c>
      <c r="BU46" s="1064" t="str">
        <f t="shared" si="54"/>
        <v/>
      </c>
      <c r="BV46" s="1064" t="str">
        <f t="shared" si="55"/>
        <v/>
      </c>
      <c r="BW46" s="1064" t="str">
        <f t="shared" si="56"/>
        <v/>
      </c>
      <c r="BX46" s="1064" t="str">
        <f t="shared" si="57"/>
        <v/>
      </c>
      <c r="BY46" s="1064" t="str">
        <f t="shared" si="58"/>
        <v/>
      </c>
      <c r="BZ46" s="1064" t="str">
        <f t="shared" si="59"/>
        <v/>
      </c>
      <c r="CA46" s="1064" t="str">
        <f t="shared" si="60"/>
        <v/>
      </c>
      <c r="CB46" s="1064" t="str">
        <f t="shared" si="61"/>
        <v/>
      </c>
      <c r="CC46" s="1064" t="str">
        <f t="shared" si="62"/>
        <v/>
      </c>
      <c r="CD46" s="1064" t="str">
        <f t="shared" si="63"/>
        <v/>
      </c>
      <c r="CE46" s="1064" t="str">
        <f t="shared" si="64"/>
        <v/>
      </c>
      <c r="CF46" s="1064" t="str">
        <f t="shared" si="65"/>
        <v/>
      </c>
      <c r="CG46" s="1064" t="str">
        <f t="shared" si="66"/>
        <v/>
      </c>
      <c r="CH46" s="1064" t="str">
        <f t="shared" si="67"/>
        <v/>
      </c>
      <c r="CI46" s="1064" t="str">
        <f t="shared" si="68"/>
        <v/>
      </c>
      <c r="CJ46" s="1064" t="str">
        <f t="shared" si="69"/>
        <v/>
      </c>
      <c r="CK46" s="1064" t="str">
        <f t="shared" si="70"/>
        <v/>
      </c>
      <c r="CL46" s="1064" t="str">
        <f t="shared" si="71"/>
        <v/>
      </c>
      <c r="CM46" s="1064" t="str">
        <f t="shared" si="72"/>
        <v/>
      </c>
      <c r="CN46" s="1064" t="str">
        <f t="shared" si="73"/>
        <v/>
      </c>
      <c r="CO46" s="1064" t="str">
        <f t="shared" si="74"/>
        <v/>
      </c>
      <c r="CP46" s="1064" t="str">
        <f t="shared" si="75"/>
        <v/>
      </c>
      <c r="CQ46" s="1064" t="str">
        <f t="shared" si="76"/>
        <v/>
      </c>
      <c r="CR46" s="1064" t="str">
        <f t="shared" si="77"/>
        <v/>
      </c>
      <c r="CS46" s="1064" t="str">
        <f t="shared" si="78"/>
        <v/>
      </c>
      <c r="CT46" s="1064" t="str">
        <f t="shared" si="79"/>
        <v/>
      </c>
      <c r="CU46" s="1064" t="str">
        <f t="shared" si="80"/>
        <v/>
      </c>
      <c r="CV46" s="1064" t="str">
        <f t="shared" si="81"/>
        <v/>
      </c>
      <c r="CW46" s="1064" t="str">
        <f t="shared" si="82"/>
        <v/>
      </c>
      <c r="CX46" s="1064" t="str">
        <f t="shared" si="83"/>
        <v/>
      </c>
      <c r="CY46" s="1064" t="str">
        <f t="shared" si="84"/>
        <v/>
      </c>
      <c r="CZ46" s="1064" t="str">
        <f t="shared" si="85"/>
        <v/>
      </c>
      <c r="DA46" s="1064" t="str">
        <f t="shared" si="86"/>
        <v/>
      </c>
      <c r="DB46" s="1064" t="str">
        <f t="shared" si="87"/>
        <v/>
      </c>
      <c r="DC46" s="1064" t="str">
        <f t="shared" si="88"/>
        <v/>
      </c>
      <c r="DD46" s="1064" t="str">
        <f t="shared" si="89"/>
        <v/>
      </c>
      <c r="DE46" s="1064" t="str">
        <f t="shared" si="90"/>
        <v/>
      </c>
      <c r="DF46" s="1064" t="str">
        <f t="shared" si="91"/>
        <v/>
      </c>
      <c r="DG46" s="1064" t="str">
        <f t="shared" si="92"/>
        <v/>
      </c>
      <c r="DH46" s="1064" t="str">
        <f t="shared" si="93"/>
        <v/>
      </c>
      <c r="DI46" s="1064" t="str">
        <f t="shared" si="94"/>
        <v/>
      </c>
      <c r="DJ46" s="1064" t="str">
        <f t="shared" si="95"/>
        <v/>
      </c>
      <c r="DK46" s="1064" t="str">
        <f t="shared" si="96"/>
        <v/>
      </c>
      <c r="DL46" s="1064" t="str">
        <f t="shared" si="97"/>
        <v/>
      </c>
      <c r="DM46" s="1064" t="str">
        <f t="shared" si="98"/>
        <v/>
      </c>
      <c r="DN46" s="1064" t="str">
        <f t="shared" si="99"/>
        <v/>
      </c>
      <c r="DO46" s="1064" t="str">
        <f t="shared" si="100"/>
        <v/>
      </c>
      <c r="DP46" s="1064" t="str">
        <f t="shared" si="101"/>
        <v/>
      </c>
      <c r="DQ46" s="1064" t="str">
        <f t="shared" si="102"/>
        <v/>
      </c>
      <c r="DR46" s="1064" t="str">
        <f t="shared" si="103"/>
        <v/>
      </c>
      <c r="DS46" s="1064" t="str">
        <f t="shared" si="104"/>
        <v/>
      </c>
      <c r="DT46" s="1064" t="str">
        <f t="shared" si="105"/>
        <v/>
      </c>
      <c r="DU46" s="1064" t="str">
        <f t="shared" si="106"/>
        <v/>
      </c>
      <c r="DV46" s="1064" t="str">
        <f t="shared" si="107"/>
        <v/>
      </c>
      <c r="DW46" s="1064" t="str">
        <f t="shared" si="108"/>
        <v/>
      </c>
      <c r="DX46" s="1064" t="str">
        <f t="shared" si="109"/>
        <v/>
      </c>
      <c r="DY46" s="1064" t="str">
        <f t="shared" si="110"/>
        <v/>
      </c>
      <c r="DZ46" s="1064" t="str">
        <f t="shared" si="111"/>
        <v/>
      </c>
      <c r="EA46" s="1064" t="str">
        <f t="shared" si="112"/>
        <v/>
      </c>
      <c r="EB46" s="1064" t="str">
        <f t="shared" si="113"/>
        <v/>
      </c>
      <c r="EC46" s="1064" t="str">
        <f t="shared" si="114"/>
        <v/>
      </c>
      <c r="ED46" s="1064" t="str">
        <f t="shared" si="115"/>
        <v/>
      </c>
      <c r="EE46" s="1064" t="str">
        <f t="shared" si="116"/>
        <v/>
      </c>
      <c r="EF46" s="1064" t="str">
        <f t="shared" si="117"/>
        <v/>
      </c>
      <c r="EG46" s="1064" t="str">
        <f t="shared" si="313"/>
        <v/>
      </c>
      <c r="EH46" s="1064" t="str">
        <f t="shared" si="118"/>
        <v/>
      </c>
      <c r="EI46" s="1064" t="str">
        <f t="shared" si="119"/>
        <v/>
      </c>
      <c r="EJ46" s="1064" t="str">
        <f t="shared" si="120"/>
        <v/>
      </c>
      <c r="EK46" s="1064" t="str">
        <f t="shared" si="121"/>
        <v/>
      </c>
      <c r="EL46" s="1064" t="str">
        <f t="shared" si="122"/>
        <v/>
      </c>
      <c r="EM46" s="1064" t="str">
        <f t="shared" si="123"/>
        <v/>
      </c>
      <c r="EN46" s="1064" t="str">
        <f t="shared" si="124"/>
        <v/>
      </c>
      <c r="EO46" s="1064" t="str">
        <f t="shared" si="125"/>
        <v/>
      </c>
      <c r="EP46" s="1064" t="str">
        <f t="shared" si="126"/>
        <v/>
      </c>
      <c r="EQ46" s="1064" t="str">
        <f t="shared" si="127"/>
        <v/>
      </c>
      <c r="ER46" s="1064" t="str">
        <f t="shared" si="128"/>
        <v/>
      </c>
      <c r="ES46" s="1064" t="str">
        <f t="shared" si="129"/>
        <v/>
      </c>
      <c r="ET46" s="1064" t="str">
        <f t="shared" si="130"/>
        <v/>
      </c>
      <c r="EU46" s="1064" t="str">
        <f t="shared" si="131"/>
        <v/>
      </c>
      <c r="EV46" s="1064" t="str">
        <f t="shared" si="132"/>
        <v/>
      </c>
      <c r="EW46" s="1064" t="str">
        <f t="shared" si="314"/>
        <v/>
      </c>
      <c r="EX46" s="1064" t="str">
        <f t="shared" si="315"/>
        <v/>
      </c>
      <c r="EY46" s="1064" t="str">
        <f t="shared" si="316"/>
        <v/>
      </c>
      <c r="EZ46" s="1064" t="str">
        <f t="shared" si="317"/>
        <v/>
      </c>
      <c r="FA46" s="1064" t="str">
        <f t="shared" si="318"/>
        <v/>
      </c>
      <c r="FB46" s="1064" t="str">
        <f t="shared" si="133"/>
        <v/>
      </c>
      <c r="FC46" s="1064" t="str">
        <f t="shared" si="134"/>
        <v/>
      </c>
      <c r="FD46" s="1064" t="str">
        <f t="shared" si="135"/>
        <v/>
      </c>
      <c r="FE46" s="1064" t="str">
        <f t="shared" si="136"/>
        <v/>
      </c>
      <c r="FF46" s="1064" t="str">
        <f t="shared" si="137"/>
        <v/>
      </c>
      <c r="FG46" s="1064" t="str">
        <f t="shared" si="319"/>
        <v/>
      </c>
      <c r="FH46" s="1064" t="str">
        <f t="shared" si="320"/>
        <v/>
      </c>
      <c r="FI46" s="1064" t="str">
        <f t="shared" si="321"/>
        <v/>
      </c>
      <c r="FJ46" s="1064" t="str">
        <f t="shared" si="322"/>
        <v/>
      </c>
      <c r="FK46" s="1064" t="str">
        <f t="shared" si="323"/>
        <v/>
      </c>
      <c r="FL46" s="1064" t="str">
        <f t="shared" si="138"/>
        <v/>
      </c>
      <c r="FM46" s="1064" t="str">
        <f t="shared" si="139"/>
        <v/>
      </c>
      <c r="FN46" s="1064" t="str">
        <f t="shared" si="140"/>
        <v/>
      </c>
      <c r="FO46" s="1064" t="str">
        <f t="shared" si="141"/>
        <v/>
      </c>
      <c r="FP46" s="1064" t="str">
        <f t="shared" si="142"/>
        <v/>
      </c>
      <c r="FQ46" s="1064" t="str">
        <f t="shared" si="143"/>
        <v/>
      </c>
      <c r="FR46" s="1064" t="str">
        <f t="shared" si="144"/>
        <v/>
      </c>
      <c r="FS46" s="1064" t="str">
        <f t="shared" si="145"/>
        <v/>
      </c>
      <c r="FT46" s="1064" t="str">
        <f t="shared" si="146"/>
        <v/>
      </c>
      <c r="FU46" s="1064" t="str">
        <f t="shared" si="147"/>
        <v/>
      </c>
      <c r="FV46" s="1064" t="str">
        <f t="shared" si="148"/>
        <v/>
      </c>
      <c r="FW46" s="1064" t="str">
        <f t="shared" si="149"/>
        <v/>
      </c>
      <c r="FX46" s="1064" t="str">
        <f t="shared" si="150"/>
        <v/>
      </c>
      <c r="FY46" s="1064" t="str">
        <f t="shared" si="151"/>
        <v/>
      </c>
      <c r="FZ46" s="1064" t="str">
        <f t="shared" si="152"/>
        <v/>
      </c>
      <c r="GA46" s="1064" t="str">
        <f t="shared" si="153"/>
        <v/>
      </c>
      <c r="GB46" s="1064" t="str">
        <f t="shared" si="154"/>
        <v/>
      </c>
      <c r="GC46" s="1064" t="str">
        <f t="shared" si="155"/>
        <v/>
      </c>
      <c r="GD46" s="1064" t="str">
        <f t="shared" si="156"/>
        <v/>
      </c>
      <c r="GE46" s="1064" t="str">
        <f t="shared" si="157"/>
        <v/>
      </c>
      <c r="GF46" s="1064" t="str">
        <f t="shared" si="158"/>
        <v/>
      </c>
      <c r="GG46" s="1064" t="str">
        <f t="shared" si="159"/>
        <v/>
      </c>
      <c r="GH46" s="1064" t="str">
        <f t="shared" si="160"/>
        <v/>
      </c>
      <c r="GI46" s="1064" t="str">
        <f t="shared" si="161"/>
        <v/>
      </c>
      <c r="GJ46" s="1064" t="str">
        <f t="shared" si="162"/>
        <v/>
      </c>
      <c r="GK46" s="1064" t="str">
        <f t="shared" si="163"/>
        <v/>
      </c>
      <c r="GL46" s="1064" t="str">
        <f t="shared" si="164"/>
        <v/>
      </c>
      <c r="GM46" s="1064" t="str">
        <f t="shared" si="165"/>
        <v/>
      </c>
      <c r="GN46" s="1064" t="str">
        <f t="shared" si="166"/>
        <v/>
      </c>
      <c r="GO46" s="1064" t="str">
        <f t="shared" si="167"/>
        <v/>
      </c>
      <c r="GP46" s="1064" t="str">
        <f t="shared" si="168"/>
        <v/>
      </c>
      <c r="GQ46" s="1064" t="str">
        <f t="shared" si="169"/>
        <v/>
      </c>
      <c r="GR46" s="1064" t="str">
        <f t="shared" si="170"/>
        <v/>
      </c>
      <c r="GS46" s="1064" t="str">
        <f t="shared" si="171"/>
        <v/>
      </c>
      <c r="GT46" s="1064" t="str">
        <f t="shared" si="172"/>
        <v/>
      </c>
      <c r="GU46" s="1064" t="str">
        <f t="shared" si="173"/>
        <v/>
      </c>
      <c r="GV46" s="1064" t="str">
        <f t="shared" si="174"/>
        <v/>
      </c>
      <c r="GW46" s="1064" t="str">
        <f t="shared" si="175"/>
        <v/>
      </c>
      <c r="GX46" s="1064" t="str">
        <f t="shared" si="176"/>
        <v/>
      </c>
      <c r="GY46" s="1064" t="str">
        <f t="shared" si="177"/>
        <v/>
      </c>
      <c r="GZ46" s="1064" t="str">
        <f t="shared" si="178"/>
        <v/>
      </c>
      <c r="HA46" s="1064" t="str">
        <f t="shared" si="179"/>
        <v/>
      </c>
      <c r="HB46" s="1064" t="str">
        <f t="shared" si="180"/>
        <v/>
      </c>
      <c r="HC46" s="1064" t="str">
        <f t="shared" si="181"/>
        <v/>
      </c>
      <c r="HD46" s="1064" t="str">
        <f t="shared" si="182"/>
        <v/>
      </c>
      <c r="HE46" s="1064" t="str">
        <f t="shared" si="183"/>
        <v/>
      </c>
      <c r="HF46" s="1064" t="str">
        <f t="shared" si="184"/>
        <v/>
      </c>
      <c r="HG46" s="1064" t="str">
        <f t="shared" si="185"/>
        <v/>
      </c>
      <c r="HH46" s="1064" t="str">
        <f t="shared" si="186"/>
        <v/>
      </c>
      <c r="HI46" s="1064" t="str">
        <f t="shared" si="187"/>
        <v/>
      </c>
      <c r="HJ46" s="1064" t="str">
        <f t="shared" si="188"/>
        <v/>
      </c>
      <c r="HK46" s="1064" t="str">
        <f t="shared" si="189"/>
        <v/>
      </c>
      <c r="HL46" s="1064" t="str">
        <f t="shared" si="190"/>
        <v/>
      </c>
      <c r="HM46" s="1064" t="str">
        <f t="shared" si="191"/>
        <v/>
      </c>
      <c r="HN46" s="1064" t="str">
        <f t="shared" si="192"/>
        <v/>
      </c>
      <c r="HO46" s="1064" t="str">
        <f t="shared" si="193"/>
        <v/>
      </c>
      <c r="HP46" s="1064" t="str">
        <f t="shared" si="194"/>
        <v/>
      </c>
      <c r="HQ46" s="1064" t="str">
        <f t="shared" si="195"/>
        <v/>
      </c>
      <c r="HR46" s="1064" t="str">
        <f t="shared" si="196"/>
        <v/>
      </c>
      <c r="HS46" s="1064" t="str">
        <f t="shared" si="197"/>
        <v/>
      </c>
      <c r="HT46" s="1064" t="str">
        <f t="shared" si="198"/>
        <v/>
      </c>
      <c r="HU46" s="1064" t="str">
        <f t="shared" si="199"/>
        <v/>
      </c>
      <c r="HV46" s="1064" t="str">
        <f t="shared" si="200"/>
        <v/>
      </c>
      <c r="HW46" s="1064" t="str">
        <f t="shared" si="201"/>
        <v/>
      </c>
      <c r="HX46" s="1064" t="str">
        <f t="shared" si="202"/>
        <v/>
      </c>
      <c r="HY46" s="1097" t="str">
        <f t="shared" si="203"/>
        <v/>
      </c>
      <c r="HZ46" s="1097" t="str">
        <f t="shared" si="204"/>
        <v/>
      </c>
      <c r="IA46" s="1097" t="str">
        <f t="shared" si="205"/>
        <v/>
      </c>
      <c r="IB46" s="1097" t="str">
        <f t="shared" si="206"/>
        <v/>
      </c>
      <c r="IC46" s="1097" t="str">
        <f t="shared" si="207"/>
        <v/>
      </c>
      <c r="ID46" s="1097" t="str">
        <f t="shared" si="208"/>
        <v/>
      </c>
      <c r="IE46" s="1097" t="str">
        <f t="shared" si="209"/>
        <v/>
      </c>
      <c r="IF46" s="1097" t="str">
        <f t="shared" si="210"/>
        <v/>
      </c>
      <c r="IG46" s="1097" t="str">
        <f t="shared" si="211"/>
        <v/>
      </c>
      <c r="IH46" s="1097" t="str">
        <f t="shared" si="212"/>
        <v/>
      </c>
      <c r="II46" s="1097" t="str">
        <f t="shared" si="213"/>
        <v/>
      </c>
      <c r="IJ46" s="1097" t="str">
        <f t="shared" si="214"/>
        <v/>
      </c>
      <c r="IK46" s="1097" t="str">
        <f t="shared" si="215"/>
        <v/>
      </c>
      <c r="IL46" s="1097" t="str">
        <f t="shared" si="216"/>
        <v/>
      </c>
      <c r="IM46" s="1097" t="str">
        <f t="shared" si="217"/>
        <v/>
      </c>
      <c r="IN46" s="1097" t="str">
        <f t="shared" si="218"/>
        <v/>
      </c>
      <c r="IO46" s="1097" t="str">
        <f t="shared" si="219"/>
        <v/>
      </c>
      <c r="IP46" s="1097" t="str">
        <f t="shared" si="220"/>
        <v/>
      </c>
      <c r="IQ46" s="1097" t="str">
        <f t="shared" si="221"/>
        <v/>
      </c>
      <c r="IR46" s="1097" t="str">
        <f t="shared" si="222"/>
        <v/>
      </c>
      <c r="IS46" s="1097" t="str">
        <f t="shared" si="223"/>
        <v/>
      </c>
      <c r="IT46" s="1097" t="str">
        <f t="shared" si="224"/>
        <v/>
      </c>
      <c r="IU46" s="1097" t="str">
        <f t="shared" si="225"/>
        <v/>
      </c>
      <c r="IV46" s="1097" t="str">
        <f t="shared" si="226"/>
        <v/>
      </c>
      <c r="IW46" s="1097" t="str">
        <f t="shared" si="227"/>
        <v/>
      </c>
      <c r="IX46" s="1097" t="str">
        <f t="shared" si="228"/>
        <v/>
      </c>
      <c r="IY46" s="1097" t="str">
        <f t="shared" si="229"/>
        <v/>
      </c>
      <c r="IZ46" s="1097" t="str">
        <f t="shared" si="230"/>
        <v/>
      </c>
      <c r="JA46" s="1097" t="str">
        <f t="shared" si="231"/>
        <v/>
      </c>
      <c r="JB46" s="1097" t="str">
        <f t="shared" si="232"/>
        <v/>
      </c>
      <c r="JC46" s="1097" t="str">
        <f t="shared" si="233"/>
        <v/>
      </c>
      <c r="JD46" s="1097" t="str">
        <f t="shared" si="234"/>
        <v/>
      </c>
      <c r="JE46" s="1097" t="str">
        <f t="shared" si="235"/>
        <v/>
      </c>
      <c r="JF46" s="1097" t="str">
        <f t="shared" si="236"/>
        <v/>
      </c>
      <c r="JG46" s="1097" t="str">
        <f t="shared" si="237"/>
        <v/>
      </c>
      <c r="JH46" s="1097" t="str">
        <f t="shared" si="238"/>
        <v/>
      </c>
      <c r="JI46" s="1097" t="str">
        <f t="shared" si="239"/>
        <v/>
      </c>
      <c r="JJ46" s="1097" t="str">
        <f t="shared" si="240"/>
        <v/>
      </c>
      <c r="JK46" s="1097" t="str">
        <f t="shared" si="241"/>
        <v/>
      </c>
      <c r="JL46" s="1097" t="str">
        <f t="shared" si="242"/>
        <v/>
      </c>
      <c r="JM46" s="1097" t="str">
        <f t="shared" si="243"/>
        <v/>
      </c>
      <c r="JN46" s="1097" t="str">
        <f t="shared" si="244"/>
        <v/>
      </c>
      <c r="JO46" s="1097" t="str">
        <f t="shared" si="245"/>
        <v/>
      </c>
      <c r="JP46" s="1097" t="str">
        <f t="shared" si="246"/>
        <v/>
      </c>
      <c r="JQ46" s="1097" t="str">
        <f t="shared" si="247"/>
        <v/>
      </c>
      <c r="JR46" s="1097" t="str">
        <f t="shared" si="248"/>
        <v/>
      </c>
      <c r="JS46" s="1097" t="str">
        <f t="shared" si="249"/>
        <v/>
      </c>
      <c r="JT46" s="1097" t="str">
        <f t="shared" si="250"/>
        <v/>
      </c>
      <c r="JU46" s="1097" t="str">
        <f t="shared" si="251"/>
        <v/>
      </c>
      <c r="JV46" s="1097" t="str">
        <f t="shared" si="252"/>
        <v/>
      </c>
      <c r="JW46" s="1097" t="str">
        <f t="shared" si="253"/>
        <v/>
      </c>
      <c r="JX46" s="1097" t="str">
        <f t="shared" si="254"/>
        <v/>
      </c>
      <c r="JY46" s="1097" t="str">
        <f t="shared" si="255"/>
        <v/>
      </c>
      <c r="JZ46" s="1097" t="str">
        <f t="shared" si="256"/>
        <v/>
      </c>
      <c r="KA46" s="1097" t="str">
        <f t="shared" si="257"/>
        <v/>
      </c>
      <c r="KB46" s="1097" t="str">
        <f t="shared" si="258"/>
        <v/>
      </c>
      <c r="KC46" s="1097" t="str">
        <f t="shared" si="259"/>
        <v/>
      </c>
      <c r="KD46" s="1097" t="str">
        <f t="shared" si="260"/>
        <v/>
      </c>
      <c r="KE46" s="1097" t="str">
        <f t="shared" si="261"/>
        <v/>
      </c>
      <c r="KF46" s="1097" t="str">
        <f t="shared" si="262"/>
        <v/>
      </c>
      <c r="KG46" s="1097" t="str">
        <f t="shared" si="263"/>
        <v/>
      </c>
      <c r="KH46" s="1097" t="str">
        <f t="shared" si="264"/>
        <v/>
      </c>
      <c r="KI46" s="1097" t="str">
        <f t="shared" si="265"/>
        <v/>
      </c>
      <c r="KJ46" s="1097" t="str">
        <f t="shared" si="266"/>
        <v/>
      </c>
      <c r="KK46" s="1097" t="str">
        <f t="shared" si="267"/>
        <v/>
      </c>
      <c r="KL46" s="1097" t="str">
        <f t="shared" si="268"/>
        <v/>
      </c>
      <c r="KM46" s="1097" t="str">
        <f t="shared" si="269"/>
        <v/>
      </c>
      <c r="KN46" s="1097" t="str">
        <f t="shared" si="270"/>
        <v/>
      </c>
      <c r="KO46" s="1097" t="str">
        <f t="shared" si="271"/>
        <v/>
      </c>
      <c r="KP46" s="1097" t="str">
        <f t="shared" si="272"/>
        <v/>
      </c>
      <c r="KQ46" s="1097" t="str">
        <f t="shared" si="273"/>
        <v/>
      </c>
      <c r="KR46" s="1097" t="str">
        <f t="shared" si="274"/>
        <v/>
      </c>
      <c r="KS46" s="1097" t="str">
        <f t="shared" si="275"/>
        <v/>
      </c>
      <c r="KT46" s="1097" t="str">
        <f t="shared" si="276"/>
        <v/>
      </c>
      <c r="KU46" s="1097" t="str">
        <f t="shared" si="277"/>
        <v/>
      </c>
      <c r="KV46" s="1097" t="str">
        <f t="shared" si="278"/>
        <v/>
      </c>
      <c r="KW46" s="1097" t="str">
        <f t="shared" si="279"/>
        <v/>
      </c>
      <c r="KX46" s="1097" t="str">
        <f t="shared" si="280"/>
        <v/>
      </c>
      <c r="KY46" s="1097" t="str">
        <f t="shared" si="281"/>
        <v/>
      </c>
      <c r="KZ46" s="1097" t="str">
        <f t="shared" si="282"/>
        <v/>
      </c>
      <c r="LA46" s="1097" t="str">
        <f t="shared" si="283"/>
        <v/>
      </c>
      <c r="LB46" s="1097" t="str">
        <f t="shared" si="284"/>
        <v/>
      </c>
      <c r="LC46" s="1097" t="str">
        <f t="shared" si="285"/>
        <v/>
      </c>
      <c r="LD46" s="1097" t="str">
        <f t="shared" si="286"/>
        <v/>
      </c>
      <c r="LE46" s="1097" t="str">
        <f t="shared" si="287"/>
        <v/>
      </c>
      <c r="LF46" s="1098" t="str">
        <f t="shared" si="288"/>
        <v/>
      </c>
      <c r="LG46" s="1098" t="str">
        <f t="shared" si="289"/>
        <v/>
      </c>
      <c r="LH46" s="1098" t="str">
        <f t="shared" si="290"/>
        <v/>
      </c>
      <c r="LI46" s="1098" t="str">
        <f t="shared" si="291"/>
        <v/>
      </c>
      <c r="LJ46" s="1098" t="str">
        <f t="shared" si="292"/>
        <v/>
      </c>
      <c r="LK46" s="1064" t="str">
        <f t="shared" si="293"/>
        <v/>
      </c>
      <c r="LL46" s="1064" t="str">
        <f t="shared" si="294"/>
        <v/>
      </c>
      <c r="LM46" s="1064" t="str">
        <f t="shared" si="295"/>
        <v/>
      </c>
      <c r="LN46" s="1064" t="str">
        <f t="shared" si="296"/>
        <v/>
      </c>
      <c r="LO46" s="1064" t="str">
        <f t="shared" si="297"/>
        <v/>
      </c>
      <c r="LP46" s="1064" t="str">
        <f t="shared" si="298"/>
        <v/>
      </c>
      <c r="LQ46" s="1064" t="str">
        <f t="shared" si="299"/>
        <v/>
      </c>
      <c r="LR46" s="1064" t="str">
        <f t="shared" si="300"/>
        <v/>
      </c>
      <c r="LS46" s="1064" t="str">
        <f t="shared" si="301"/>
        <v/>
      </c>
      <c r="LT46" s="1064" t="str">
        <f t="shared" si="302"/>
        <v/>
      </c>
      <c r="LU46" s="1064" t="str">
        <f t="shared" si="303"/>
        <v/>
      </c>
      <c r="LV46" s="1064" t="str">
        <f t="shared" si="304"/>
        <v/>
      </c>
      <c r="LW46" s="1064" t="str">
        <f t="shared" si="305"/>
        <v/>
      </c>
      <c r="LX46" s="1064" t="str">
        <f t="shared" si="306"/>
        <v/>
      </c>
      <c r="LY46" s="1064" t="str">
        <f t="shared" si="307"/>
        <v/>
      </c>
      <c r="LZ46" s="1064" t="str">
        <f t="shared" si="308"/>
        <v/>
      </c>
      <c r="MA46" s="1064" t="str">
        <f t="shared" si="309"/>
        <v/>
      </c>
      <c r="MB46" s="1064" t="str">
        <f t="shared" si="310"/>
        <v/>
      </c>
      <c r="MC46" s="1064" t="str">
        <f t="shared" si="311"/>
        <v/>
      </c>
      <c r="MD46" s="1064" t="str">
        <f t="shared" si="312"/>
        <v/>
      </c>
      <c r="ME46" s="1081">
        <f t="shared" si="324"/>
        <v>0</v>
      </c>
      <c r="MF46" s="1081">
        <f t="shared" si="325"/>
        <v>0</v>
      </c>
      <c r="MG46" s="1081">
        <f t="shared" si="326"/>
        <v>0</v>
      </c>
      <c r="MH46" s="1081">
        <f t="shared" si="327"/>
        <v>0</v>
      </c>
      <c r="MI46" s="1081">
        <f t="shared" si="328"/>
        <v>0</v>
      </c>
      <c r="MJ46" s="1081">
        <f t="shared" si="329"/>
        <v>0</v>
      </c>
      <c r="MK46" s="1081">
        <f t="shared" si="330"/>
        <v>0</v>
      </c>
      <c r="ML46" s="1081">
        <f t="shared" si="331"/>
        <v>0</v>
      </c>
      <c r="MM46" s="1081">
        <f t="shared" si="332"/>
        <v>0</v>
      </c>
      <c r="MN46" s="1081">
        <f t="shared" si="333"/>
        <v>0</v>
      </c>
      <c r="MO46" s="1081">
        <f t="shared" si="334"/>
        <v>0</v>
      </c>
      <c r="MP46" s="1081">
        <f t="shared" si="335"/>
        <v>0</v>
      </c>
      <c r="MQ46" s="1081">
        <f t="shared" si="336"/>
        <v>0</v>
      </c>
      <c r="MR46" s="1081">
        <f t="shared" si="337"/>
        <v>0</v>
      </c>
      <c r="MS46" s="1081">
        <f t="shared" si="338"/>
        <v>0</v>
      </c>
    </row>
    <row r="47" spans="1:393" ht="12" customHeight="1">
      <c r="A47" s="1088" t="str">
        <f t="shared" si="0"/>
        <v/>
      </c>
      <c r="B47" s="48"/>
      <c r="C47" s="45"/>
      <c r="D47" s="46"/>
      <c r="E47" s="47"/>
      <c r="F47" s="47"/>
      <c r="G47" s="47"/>
      <c r="H47" s="47"/>
      <c r="I47" s="1125">
        <f>IF(C47="",0,HLOOKUP(C47,'Part V-Utility Allowances'!$I$11:$M$22,12))</f>
        <v>0</v>
      </c>
      <c r="J47" s="811"/>
      <c r="K47" s="513">
        <f t="shared" si="1"/>
        <v>0</v>
      </c>
      <c r="L47" s="513">
        <f t="shared" si="2"/>
        <v>0</v>
      </c>
      <c r="M47" s="1126"/>
      <c r="N47" s="1126"/>
      <c r="O47" s="1126"/>
      <c r="P47" s="1127"/>
      <c r="Q47" s="1128" t="str">
        <f t="shared" si="3"/>
        <v/>
      </c>
      <c r="R47" s="1129" t="str">
        <f>IF(H47="","",IF(C47="Efficiency",Q47/($O$6*VLOOKUP(0,'DCA Underwriting Assumptions'!$J$146:$K$151,2,FALSE)),Q47/($O$6*VLOOKUP(C47,'DCA Underwriting Assumptions'!$J$146:$K$151,2,FALSE))))</f>
        <v/>
      </c>
      <c r="S47" s="1130"/>
      <c r="T47" s="1131"/>
      <c r="U47" s="2311"/>
      <c r="V47" s="2313"/>
      <c r="W47" s="1064" t="str">
        <f t="shared" si="4"/>
        <v/>
      </c>
      <c r="X47" s="1064" t="str">
        <f t="shared" si="5"/>
        <v/>
      </c>
      <c r="Y47" s="1064" t="str">
        <f t="shared" si="6"/>
        <v/>
      </c>
      <c r="Z47" s="1064" t="str">
        <f t="shared" si="7"/>
        <v/>
      </c>
      <c r="AA47" s="1064" t="str">
        <f t="shared" si="8"/>
        <v/>
      </c>
      <c r="AB47" s="1064" t="str">
        <f t="shared" si="9"/>
        <v/>
      </c>
      <c r="AC47" s="1064" t="str">
        <f t="shared" si="10"/>
        <v/>
      </c>
      <c r="AD47" s="1064" t="str">
        <f t="shared" si="11"/>
        <v/>
      </c>
      <c r="AE47" s="1064" t="str">
        <f t="shared" si="12"/>
        <v/>
      </c>
      <c r="AF47" s="1064" t="str">
        <f t="shared" si="13"/>
        <v/>
      </c>
      <c r="AG47" s="1064" t="str">
        <f t="shared" si="14"/>
        <v/>
      </c>
      <c r="AH47" s="1064" t="str">
        <f t="shared" si="15"/>
        <v/>
      </c>
      <c r="AI47" s="1064" t="str">
        <f t="shared" si="16"/>
        <v/>
      </c>
      <c r="AJ47" s="1064" t="str">
        <f t="shared" si="17"/>
        <v/>
      </c>
      <c r="AK47" s="1064" t="str">
        <f t="shared" si="18"/>
        <v/>
      </c>
      <c r="AL47" s="1064" t="str">
        <f t="shared" si="19"/>
        <v/>
      </c>
      <c r="AM47" s="1064" t="str">
        <f t="shared" si="20"/>
        <v/>
      </c>
      <c r="AN47" s="1064" t="str">
        <f t="shared" si="21"/>
        <v/>
      </c>
      <c r="AO47" s="1064" t="str">
        <f t="shared" si="22"/>
        <v/>
      </c>
      <c r="AP47" s="1064" t="str">
        <f t="shared" si="23"/>
        <v/>
      </c>
      <c r="AQ47" s="1064" t="str">
        <f t="shared" si="24"/>
        <v/>
      </c>
      <c r="AR47" s="1064" t="str">
        <f t="shared" si="25"/>
        <v/>
      </c>
      <c r="AS47" s="1064" t="str">
        <f t="shared" si="26"/>
        <v/>
      </c>
      <c r="AT47" s="1064" t="str">
        <f t="shared" si="27"/>
        <v/>
      </c>
      <c r="AU47" s="1064" t="str">
        <f t="shared" si="28"/>
        <v/>
      </c>
      <c r="AV47" s="1064" t="str">
        <f t="shared" si="29"/>
        <v/>
      </c>
      <c r="AW47" s="1064" t="str">
        <f t="shared" si="30"/>
        <v/>
      </c>
      <c r="AX47" s="1064" t="str">
        <f t="shared" si="31"/>
        <v/>
      </c>
      <c r="AY47" s="1064" t="str">
        <f t="shared" si="32"/>
        <v/>
      </c>
      <c r="AZ47" s="1064" t="str">
        <f t="shared" si="33"/>
        <v/>
      </c>
      <c r="BA47" s="1064" t="str">
        <f t="shared" si="34"/>
        <v/>
      </c>
      <c r="BB47" s="1064" t="str">
        <f t="shared" si="35"/>
        <v/>
      </c>
      <c r="BC47" s="1064" t="str">
        <f t="shared" si="36"/>
        <v/>
      </c>
      <c r="BD47" s="1064" t="str">
        <f t="shared" si="37"/>
        <v/>
      </c>
      <c r="BE47" s="1064" t="str">
        <f t="shared" si="38"/>
        <v/>
      </c>
      <c r="BF47" s="1064" t="str">
        <f t="shared" si="39"/>
        <v/>
      </c>
      <c r="BG47" s="1064" t="str">
        <f t="shared" si="40"/>
        <v/>
      </c>
      <c r="BH47" s="1064" t="str">
        <f t="shared" si="41"/>
        <v/>
      </c>
      <c r="BI47" s="1064" t="str">
        <f t="shared" si="42"/>
        <v/>
      </c>
      <c r="BJ47" s="1064" t="str">
        <f t="shared" si="43"/>
        <v/>
      </c>
      <c r="BK47" s="1064" t="str">
        <f t="shared" si="44"/>
        <v/>
      </c>
      <c r="BL47" s="1064" t="str">
        <f t="shared" si="45"/>
        <v/>
      </c>
      <c r="BM47" s="1064" t="str">
        <f t="shared" si="46"/>
        <v/>
      </c>
      <c r="BN47" s="1064" t="str">
        <f t="shared" si="47"/>
        <v/>
      </c>
      <c r="BO47" s="1064" t="str">
        <f t="shared" si="48"/>
        <v/>
      </c>
      <c r="BP47" s="1064" t="str">
        <f t="shared" si="49"/>
        <v/>
      </c>
      <c r="BQ47" s="1064" t="str">
        <f t="shared" si="50"/>
        <v/>
      </c>
      <c r="BR47" s="1064" t="str">
        <f t="shared" si="51"/>
        <v/>
      </c>
      <c r="BS47" s="1064" t="str">
        <f t="shared" si="52"/>
        <v/>
      </c>
      <c r="BT47" s="1064" t="str">
        <f t="shared" si="53"/>
        <v/>
      </c>
      <c r="BU47" s="1064" t="str">
        <f t="shared" si="54"/>
        <v/>
      </c>
      <c r="BV47" s="1064" t="str">
        <f t="shared" si="55"/>
        <v/>
      </c>
      <c r="BW47" s="1064" t="str">
        <f t="shared" si="56"/>
        <v/>
      </c>
      <c r="BX47" s="1064" t="str">
        <f t="shared" si="57"/>
        <v/>
      </c>
      <c r="BY47" s="1064" t="str">
        <f t="shared" si="58"/>
        <v/>
      </c>
      <c r="BZ47" s="1064" t="str">
        <f t="shared" si="59"/>
        <v/>
      </c>
      <c r="CA47" s="1064" t="str">
        <f t="shared" si="60"/>
        <v/>
      </c>
      <c r="CB47" s="1064" t="str">
        <f t="shared" si="61"/>
        <v/>
      </c>
      <c r="CC47" s="1064" t="str">
        <f t="shared" si="62"/>
        <v/>
      </c>
      <c r="CD47" s="1064" t="str">
        <f t="shared" si="63"/>
        <v/>
      </c>
      <c r="CE47" s="1064" t="str">
        <f t="shared" si="64"/>
        <v/>
      </c>
      <c r="CF47" s="1064" t="str">
        <f t="shared" si="65"/>
        <v/>
      </c>
      <c r="CG47" s="1064" t="str">
        <f t="shared" si="66"/>
        <v/>
      </c>
      <c r="CH47" s="1064" t="str">
        <f t="shared" si="67"/>
        <v/>
      </c>
      <c r="CI47" s="1064" t="str">
        <f t="shared" si="68"/>
        <v/>
      </c>
      <c r="CJ47" s="1064" t="str">
        <f t="shared" si="69"/>
        <v/>
      </c>
      <c r="CK47" s="1064" t="str">
        <f t="shared" si="70"/>
        <v/>
      </c>
      <c r="CL47" s="1064" t="str">
        <f t="shared" si="71"/>
        <v/>
      </c>
      <c r="CM47" s="1064" t="str">
        <f t="shared" si="72"/>
        <v/>
      </c>
      <c r="CN47" s="1064" t="str">
        <f t="shared" si="73"/>
        <v/>
      </c>
      <c r="CO47" s="1064" t="str">
        <f t="shared" si="74"/>
        <v/>
      </c>
      <c r="CP47" s="1064" t="str">
        <f t="shared" si="75"/>
        <v/>
      </c>
      <c r="CQ47" s="1064" t="str">
        <f t="shared" si="76"/>
        <v/>
      </c>
      <c r="CR47" s="1064" t="str">
        <f t="shared" si="77"/>
        <v/>
      </c>
      <c r="CS47" s="1064" t="str">
        <f t="shared" si="78"/>
        <v/>
      </c>
      <c r="CT47" s="1064" t="str">
        <f t="shared" si="79"/>
        <v/>
      </c>
      <c r="CU47" s="1064" t="str">
        <f t="shared" si="80"/>
        <v/>
      </c>
      <c r="CV47" s="1064" t="str">
        <f t="shared" si="81"/>
        <v/>
      </c>
      <c r="CW47" s="1064" t="str">
        <f t="shared" si="82"/>
        <v/>
      </c>
      <c r="CX47" s="1064" t="str">
        <f t="shared" si="83"/>
        <v/>
      </c>
      <c r="CY47" s="1064" t="str">
        <f t="shared" si="84"/>
        <v/>
      </c>
      <c r="CZ47" s="1064" t="str">
        <f t="shared" si="85"/>
        <v/>
      </c>
      <c r="DA47" s="1064" t="str">
        <f t="shared" si="86"/>
        <v/>
      </c>
      <c r="DB47" s="1064" t="str">
        <f t="shared" si="87"/>
        <v/>
      </c>
      <c r="DC47" s="1064" t="str">
        <f t="shared" si="88"/>
        <v/>
      </c>
      <c r="DD47" s="1064" t="str">
        <f t="shared" si="89"/>
        <v/>
      </c>
      <c r="DE47" s="1064" t="str">
        <f t="shared" si="90"/>
        <v/>
      </c>
      <c r="DF47" s="1064" t="str">
        <f t="shared" si="91"/>
        <v/>
      </c>
      <c r="DG47" s="1064" t="str">
        <f t="shared" si="92"/>
        <v/>
      </c>
      <c r="DH47" s="1064" t="str">
        <f t="shared" si="93"/>
        <v/>
      </c>
      <c r="DI47" s="1064" t="str">
        <f t="shared" si="94"/>
        <v/>
      </c>
      <c r="DJ47" s="1064" t="str">
        <f t="shared" si="95"/>
        <v/>
      </c>
      <c r="DK47" s="1064" t="str">
        <f t="shared" si="96"/>
        <v/>
      </c>
      <c r="DL47" s="1064" t="str">
        <f t="shared" si="97"/>
        <v/>
      </c>
      <c r="DM47" s="1064" t="str">
        <f t="shared" si="98"/>
        <v/>
      </c>
      <c r="DN47" s="1064" t="str">
        <f t="shared" si="99"/>
        <v/>
      </c>
      <c r="DO47" s="1064" t="str">
        <f t="shared" si="100"/>
        <v/>
      </c>
      <c r="DP47" s="1064" t="str">
        <f t="shared" si="101"/>
        <v/>
      </c>
      <c r="DQ47" s="1064" t="str">
        <f t="shared" si="102"/>
        <v/>
      </c>
      <c r="DR47" s="1064" t="str">
        <f t="shared" si="103"/>
        <v/>
      </c>
      <c r="DS47" s="1064" t="str">
        <f t="shared" si="104"/>
        <v/>
      </c>
      <c r="DT47" s="1064" t="str">
        <f t="shared" si="105"/>
        <v/>
      </c>
      <c r="DU47" s="1064" t="str">
        <f t="shared" si="106"/>
        <v/>
      </c>
      <c r="DV47" s="1064" t="str">
        <f t="shared" si="107"/>
        <v/>
      </c>
      <c r="DW47" s="1064" t="str">
        <f t="shared" si="108"/>
        <v/>
      </c>
      <c r="DX47" s="1064" t="str">
        <f t="shared" si="109"/>
        <v/>
      </c>
      <c r="DY47" s="1064" t="str">
        <f t="shared" si="110"/>
        <v/>
      </c>
      <c r="DZ47" s="1064" t="str">
        <f t="shared" si="111"/>
        <v/>
      </c>
      <c r="EA47" s="1064" t="str">
        <f t="shared" si="112"/>
        <v/>
      </c>
      <c r="EB47" s="1064" t="str">
        <f t="shared" si="113"/>
        <v/>
      </c>
      <c r="EC47" s="1064" t="str">
        <f t="shared" si="114"/>
        <v/>
      </c>
      <c r="ED47" s="1064" t="str">
        <f t="shared" si="115"/>
        <v/>
      </c>
      <c r="EE47" s="1064" t="str">
        <f t="shared" si="116"/>
        <v/>
      </c>
      <c r="EF47" s="1064" t="str">
        <f t="shared" si="117"/>
        <v/>
      </c>
      <c r="EG47" s="1064" t="str">
        <f t="shared" si="313"/>
        <v/>
      </c>
      <c r="EH47" s="1064" t="str">
        <f t="shared" si="118"/>
        <v/>
      </c>
      <c r="EI47" s="1064" t="str">
        <f t="shared" si="119"/>
        <v/>
      </c>
      <c r="EJ47" s="1064" t="str">
        <f t="shared" si="120"/>
        <v/>
      </c>
      <c r="EK47" s="1064" t="str">
        <f t="shared" si="121"/>
        <v/>
      </c>
      <c r="EL47" s="1064" t="str">
        <f t="shared" si="122"/>
        <v/>
      </c>
      <c r="EM47" s="1064" t="str">
        <f t="shared" si="123"/>
        <v/>
      </c>
      <c r="EN47" s="1064" t="str">
        <f t="shared" si="124"/>
        <v/>
      </c>
      <c r="EO47" s="1064" t="str">
        <f t="shared" si="125"/>
        <v/>
      </c>
      <c r="EP47" s="1064" t="str">
        <f t="shared" si="126"/>
        <v/>
      </c>
      <c r="EQ47" s="1064" t="str">
        <f t="shared" si="127"/>
        <v/>
      </c>
      <c r="ER47" s="1064" t="str">
        <f t="shared" si="128"/>
        <v/>
      </c>
      <c r="ES47" s="1064" t="str">
        <f t="shared" si="129"/>
        <v/>
      </c>
      <c r="ET47" s="1064" t="str">
        <f t="shared" si="130"/>
        <v/>
      </c>
      <c r="EU47" s="1064" t="str">
        <f t="shared" si="131"/>
        <v/>
      </c>
      <c r="EV47" s="1064" t="str">
        <f t="shared" si="132"/>
        <v/>
      </c>
      <c r="EW47" s="1064" t="str">
        <f t="shared" si="314"/>
        <v/>
      </c>
      <c r="EX47" s="1064" t="str">
        <f t="shared" si="315"/>
        <v/>
      </c>
      <c r="EY47" s="1064" t="str">
        <f t="shared" si="316"/>
        <v/>
      </c>
      <c r="EZ47" s="1064" t="str">
        <f t="shared" si="317"/>
        <v/>
      </c>
      <c r="FA47" s="1064" t="str">
        <f t="shared" si="318"/>
        <v/>
      </c>
      <c r="FB47" s="1064" t="str">
        <f t="shared" si="133"/>
        <v/>
      </c>
      <c r="FC47" s="1064" t="str">
        <f t="shared" si="134"/>
        <v/>
      </c>
      <c r="FD47" s="1064" t="str">
        <f t="shared" si="135"/>
        <v/>
      </c>
      <c r="FE47" s="1064" t="str">
        <f t="shared" si="136"/>
        <v/>
      </c>
      <c r="FF47" s="1064" t="str">
        <f t="shared" si="137"/>
        <v/>
      </c>
      <c r="FG47" s="1064" t="str">
        <f t="shared" si="319"/>
        <v/>
      </c>
      <c r="FH47" s="1064" t="str">
        <f t="shared" si="320"/>
        <v/>
      </c>
      <c r="FI47" s="1064" t="str">
        <f t="shared" si="321"/>
        <v/>
      </c>
      <c r="FJ47" s="1064" t="str">
        <f t="shared" si="322"/>
        <v/>
      </c>
      <c r="FK47" s="1064" t="str">
        <f t="shared" si="323"/>
        <v/>
      </c>
      <c r="FL47" s="1064" t="str">
        <f t="shared" si="138"/>
        <v/>
      </c>
      <c r="FM47" s="1064" t="str">
        <f t="shared" si="139"/>
        <v/>
      </c>
      <c r="FN47" s="1064" t="str">
        <f t="shared" si="140"/>
        <v/>
      </c>
      <c r="FO47" s="1064" t="str">
        <f t="shared" si="141"/>
        <v/>
      </c>
      <c r="FP47" s="1064" t="str">
        <f t="shared" si="142"/>
        <v/>
      </c>
      <c r="FQ47" s="1064" t="str">
        <f t="shared" si="143"/>
        <v/>
      </c>
      <c r="FR47" s="1064" t="str">
        <f t="shared" si="144"/>
        <v/>
      </c>
      <c r="FS47" s="1064" t="str">
        <f t="shared" si="145"/>
        <v/>
      </c>
      <c r="FT47" s="1064" t="str">
        <f t="shared" si="146"/>
        <v/>
      </c>
      <c r="FU47" s="1064" t="str">
        <f t="shared" si="147"/>
        <v/>
      </c>
      <c r="FV47" s="1064" t="str">
        <f t="shared" si="148"/>
        <v/>
      </c>
      <c r="FW47" s="1064" t="str">
        <f t="shared" si="149"/>
        <v/>
      </c>
      <c r="FX47" s="1064" t="str">
        <f t="shared" si="150"/>
        <v/>
      </c>
      <c r="FY47" s="1064" t="str">
        <f t="shared" si="151"/>
        <v/>
      </c>
      <c r="FZ47" s="1064" t="str">
        <f t="shared" si="152"/>
        <v/>
      </c>
      <c r="GA47" s="1064" t="str">
        <f t="shared" si="153"/>
        <v/>
      </c>
      <c r="GB47" s="1064" t="str">
        <f t="shared" si="154"/>
        <v/>
      </c>
      <c r="GC47" s="1064" t="str">
        <f t="shared" si="155"/>
        <v/>
      </c>
      <c r="GD47" s="1064" t="str">
        <f t="shared" si="156"/>
        <v/>
      </c>
      <c r="GE47" s="1064" t="str">
        <f t="shared" si="157"/>
        <v/>
      </c>
      <c r="GF47" s="1064" t="str">
        <f t="shared" si="158"/>
        <v/>
      </c>
      <c r="GG47" s="1064" t="str">
        <f t="shared" si="159"/>
        <v/>
      </c>
      <c r="GH47" s="1064" t="str">
        <f t="shared" si="160"/>
        <v/>
      </c>
      <c r="GI47" s="1064" t="str">
        <f t="shared" si="161"/>
        <v/>
      </c>
      <c r="GJ47" s="1064" t="str">
        <f t="shared" si="162"/>
        <v/>
      </c>
      <c r="GK47" s="1064" t="str">
        <f t="shared" si="163"/>
        <v/>
      </c>
      <c r="GL47" s="1064" t="str">
        <f t="shared" si="164"/>
        <v/>
      </c>
      <c r="GM47" s="1064" t="str">
        <f t="shared" si="165"/>
        <v/>
      </c>
      <c r="GN47" s="1064" t="str">
        <f t="shared" si="166"/>
        <v/>
      </c>
      <c r="GO47" s="1064" t="str">
        <f t="shared" si="167"/>
        <v/>
      </c>
      <c r="GP47" s="1064" t="str">
        <f t="shared" si="168"/>
        <v/>
      </c>
      <c r="GQ47" s="1064" t="str">
        <f t="shared" si="169"/>
        <v/>
      </c>
      <c r="GR47" s="1064" t="str">
        <f t="shared" si="170"/>
        <v/>
      </c>
      <c r="GS47" s="1064" t="str">
        <f t="shared" si="171"/>
        <v/>
      </c>
      <c r="GT47" s="1064" t="str">
        <f t="shared" si="172"/>
        <v/>
      </c>
      <c r="GU47" s="1064" t="str">
        <f t="shared" si="173"/>
        <v/>
      </c>
      <c r="GV47" s="1064" t="str">
        <f t="shared" si="174"/>
        <v/>
      </c>
      <c r="GW47" s="1064" t="str">
        <f t="shared" si="175"/>
        <v/>
      </c>
      <c r="GX47" s="1064" t="str">
        <f t="shared" si="176"/>
        <v/>
      </c>
      <c r="GY47" s="1064" t="str">
        <f t="shared" si="177"/>
        <v/>
      </c>
      <c r="GZ47" s="1064" t="str">
        <f t="shared" si="178"/>
        <v/>
      </c>
      <c r="HA47" s="1064" t="str">
        <f t="shared" si="179"/>
        <v/>
      </c>
      <c r="HB47" s="1064" t="str">
        <f t="shared" si="180"/>
        <v/>
      </c>
      <c r="HC47" s="1064" t="str">
        <f t="shared" si="181"/>
        <v/>
      </c>
      <c r="HD47" s="1064" t="str">
        <f t="shared" si="182"/>
        <v/>
      </c>
      <c r="HE47" s="1064" t="str">
        <f t="shared" si="183"/>
        <v/>
      </c>
      <c r="HF47" s="1064" t="str">
        <f t="shared" si="184"/>
        <v/>
      </c>
      <c r="HG47" s="1064" t="str">
        <f t="shared" si="185"/>
        <v/>
      </c>
      <c r="HH47" s="1064" t="str">
        <f t="shared" si="186"/>
        <v/>
      </c>
      <c r="HI47" s="1064" t="str">
        <f t="shared" si="187"/>
        <v/>
      </c>
      <c r="HJ47" s="1064" t="str">
        <f t="shared" si="188"/>
        <v/>
      </c>
      <c r="HK47" s="1064" t="str">
        <f t="shared" si="189"/>
        <v/>
      </c>
      <c r="HL47" s="1064" t="str">
        <f t="shared" si="190"/>
        <v/>
      </c>
      <c r="HM47" s="1064" t="str">
        <f t="shared" si="191"/>
        <v/>
      </c>
      <c r="HN47" s="1064" t="str">
        <f t="shared" si="192"/>
        <v/>
      </c>
      <c r="HO47" s="1064" t="str">
        <f t="shared" si="193"/>
        <v/>
      </c>
      <c r="HP47" s="1064" t="str">
        <f t="shared" si="194"/>
        <v/>
      </c>
      <c r="HQ47" s="1064" t="str">
        <f t="shared" si="195"/>
        <v/>
      </c>
      <c r="HR47" s="1064" t="str">
        <f t="shared" si="196"/>
        <v/>
      </c>
      <c r="HS47" s="1064" t="str">
        <f t="shared" si="197"/>
        <v/>
      </c>
      <c r="HT47" s="1064" t="str">
        <f t="shared" si="198"/>
        <v/>
      </c>
      <c r="HU47" s="1064" t="str">
        <f t="shared" si="199"/>
        <v/>
      </c>
      <c r="HV47" s="1064" t="str">
        <f t="shared" si="200"/>
        <v/>
      </c>
      <c r="HW47" s="1064" t="str">
        <f t="shared" si="201"/>
        <v/>
      </c>
      <c r="HX47" s="1064" t="str">
        <f t="shared" si="202"/>
        <v/>
      </c>
      <c r="HY47" s="1097" t="str">
        <f t="shared" si="203"/>
        <v/>
      </c>
      <c r="HZ47" s="1097" t="str">
        <f t="shared" si="204"/>
        <v/>
      </c>
      <c r="IA47" s="1097" t="str">
        <f t="shared" si="205"/>
        <v/>
      </c>
      <c r="IB47" s="1097" t="str">
        <f t="shared" si="206"/>
        <v/>
      </c>
      <c r="IC47" s="1097" t="str">
        <f t="shared" si="207"/>
        <v/>
      </c>
      <c r="ID47" s="1097" t="str">
        <f t="shared" si="208"/>
        <v/>
      </c>
      <c r="IE47" s="1097" t="str">
        <f t="shared" si="209"/>
        <v/>
      </c>
      <c r="IF47" s="1097" t="str">
        <f t="shared" si="210"/>
        <v/>
      </c>
      <c r="IG47" s="1097" t="str">
        <f t="shared" si="211"/>
        <v/>
      </c>
      <c r="IH47" s="1097" t="str">
        <f t="shared" si="212"/>
        <v/>
      </c>
      <c r="II47" s="1097" t="str">
        <f t="shared" si="213"/>
        <v/>
      </c>
      <c r="IJ47" s="1097" t="str">
        <f t="shared" si="214"/>
        <v/>
      </c>
      <c r="IK47" s="1097" t="str">
        <f t="shared" si="215"/>
        <v/>
      </c>
      <c r="IL47" s="1097" t="str">
        <f t="shared" si="216"/>
        <v/>
      </c>
      <c r="IM47" s="1097" t="str">
        <f t="shared" si="217"/>
        <v/>
      </c>
      <c r="IN47" s="1097" t="str">
        <f t="shared" si="218"/>
        <v/>
      </c>
      <c r="IO47" s="1097" t="str">
        <f t="shared" si="219"/>
        <v/>
      </c>
      <c r="IP47" s="1097" t="str">
        <f t="shared" si="220"/>
        <v/>
      </c>
      <c r="IQ47" s="1097" t="str">
        <f t="shared" si="221"/>
        <v/>
      </c>
      <c r="IR47" s="1097" t="str">
        <f t="shared" si="222"/>
        <v/>
      </c>
      <c r="IS47" s="1097" t="str">
        <f t="shared" si="223"/>
        <v/>
      </c>
      <c r="IT47" s="1097" t="str">
        <f t="shared" si="224"/>
        <v/>
      </c>
      <c r="IU47" s="1097" t="str">
        <f t="shared" si="225"/>
        <v/>
      </c>
      <c r="IV47" s="1097" t="str">
        <f t="shared" si="226"/>
        <v/>
      </c>
      <c r="IW47" s="1097" t="str">
        <f t="shared" si="227"/>
        <v/>
      </c>
      <c r="IX47" s="1097" t="str">
        <f t="shared" si="228"/>
        <v/>
      </c>
      <c r="IY47" s="1097" t="str">
        <f t="shared" si="229"/>
        <v/>
      </c>
      <c r="IZ47" s="1097" t="str">
        <f t="shared" si="230"/>
        <v/>
      </c>
      <c r="JA47" s="1097" t="str">
        <f t="shared" si="231"/>
        <v/>
      </c>
      <c r="JB47" s="1097" t="str">
        <f t="shared" si="232"/>
        <v/>
      </c>
      <c r="JC47" s="1097" t="str">
        <f t="shared" si="233"/>
        <v/>
      </c>
      <c r="JD47" s="1097" t="str">
        <f t="shared" si="234"/>
        <v/>
      </c>
      <c r="JE47" s="1097" t="str">
        <f t="shared" si="235"/>
        <v/>
      </c>
      <c r="JF47" s="1097" t="str">
        <f t="shared" si="236"/>
        <v/>
      </c>
      <c r="JG47" s="1097" t="str">
        <f t="shared" si="237"/>
        <v/>
      </c>
      <c r="JH47" s="1097" t="str">
        <f t="shared" si="238"/>
        <v/>
      </c>
      <c r="JI47" s="1097" t="str">
        <f t="shared" si="239"/>
        <v/>
      </c>
      <c r="JJ47" s="1097" t="str">
        <f t="shared" si="240"/>
        <v/>
      </c>
      <c r="JK47" s="1097" t="str">
        <f t="shared" si="241"/>
        <v/>
      </c>
      <c r="JL47" s="1097" t="str">
        <f t="shared" si="242"/>
        <v/>
      </c>
      <c r="JM47" s="1097" t="str">
        <f t="shared" si="243"/>
        <v/>
      </c>
      <c r="JN47" s="1097" t="str">
        <f t="shared" si="244"/>
        <v/>
      </c>
      <c r="JO47" s="1097" t="str">
        <f t="shared" si="245"/>
        <v/>
      </c>
      <c r="JP47" s="1097" t="str">
        <f t="shared" si="246"/>
        <v/>
      </c>
      <c r="JQ47" s="1097" t="str">
        <f t="shared" si="247"/>
        <v/>
      </c>
      <c r="JR47" s="1097" t="str">
        <f t="shared" si="248"/>
        <v/>
      </c>
      <c r="JS47" s="1097" t="str">
        <f t="shared" si="249"/>
        <v/>
      </c>
      <c r="JT47" s="1097" t="str">
        <f t="shared" si="250"/>
        <v/>
      </c>
      <c r="JU47" s="1097" t="str">
        <f t="shared" si="251"/>
        <v/>
      </c>
      <c r="JV47" s="1097" t="str">
        <f t="shared" si="252"/>
        <v/>
      </c>
      <c r="JW47" s="1097" t="str">
        <f t="shared" si="253"/>
        <v/>
      </c>
      <c r="JX47" s="1097" t="str">
        <f t="shared" si="254"/>
        <v/>
      </c>
      <c r="JY47" s="1097" t="str">
        <f t="shared" si="255"/>
        <v/>
      </c>
      <c r="JZ47" s="1097" t="str">
        <f t="shared" si="256"/>
        <v/>
      </c>
      <c r="KA47" s="1097" t="str">
        <f t="shared" si="257"/>
        <v/>
      </c>
      <c r="KB47" s="1097" t="str">
        <f t="shared" si="258"/>
        <v/>
      </c>
      <c r="KC47" s="1097" t="str">
        <f t="shared" si="259"/>
        <v/>
      </c>
      <c r="KD47" s="1097" t="str">
        <f t="shared" si="260"/>
        <v/>
      </c>
      <c r="KE47" s="1097" t="str">
        <f t="shared" si="261"/>
        <v/>
      </c>
      <c r="KF47" s="1097" t="str">
        <f t="shared" si="262"/>
        <v/>
      </c>
      <c r="KG47" s="1097" t="str">
        <f t="shared" si="263"/>
        <v/>
      </c>
      <c r="KH47" s="1097" t="str">
        <f t="shared" si="264"/>
        <v/>
      </c>
      <c r="KI47" s="1097" t="str">
        <f t="shared" si="265"/>
        <v/>
      </c>
      <c r="KJ47" s="1097" t="str">
        <f t="shared" si="266"/>
        <v/>
      </c>
      <c r="KK47" s="1097" t="str">
        <f t="shared" si="267"/>
        <v/>
      </c>
      <c r="KL47" s="1097" t="str">
        <f t="shared" si="268"/>
        <v/>
      </c>
      <c r="KM47" s="1097" t="str">
        <f t="shared" si="269"/>
        <v/>
      </c>
      <c r="KN47" s="1097" t="str">
        <f t="shared" si="270"/>
        <v/>
      </c>
      <c r="KO47" s="1097" t="str">
        <f t="shared" si="271"/>
        <v/>
      </c>
      <c r="KP47" s="1097" t="str">
        <f t="shared" si="272"/>
        <v/>
      </c>
      <c r="KQ47" s="1097" t="str">
        <f t="shared" si="273"/>
        <v/>
      </c>
      <c r="KR47" s="1097" t="str">
        <f t="shared" si="274"/>
        <v/>
      </c>
      <c r="KS47" s="1097" t="str">
        <f t="shared" si="275"/>
        <v/>
      </c>
      <c r="KT47" s="1097" t="str">
        <f t="shared" si="276"/>
        <v/>
      </c>
      <c r="KU47" s="1097" t="str">
        <f t="shared" si="277"/>
        <v/>
      </c>
      <c r="KV47" s="1097" t="str">
        <f t="shared" si="278"/>
        <v/>
      </c>
      <c r="KW47" s="1097" t="str">
        <f t="shared" si="279"/>
        <v/>
      </c>
      <c r="KX47" s="1097" t="str">
        <f t="shared" si="280"/>
        <v/>
      </c>
      <c r="KY47" s="1097" t="str">
        <f t="shared" si="281"/>
        <v/>
      </c>
      <c r="KZ47" s="1097" t="str">
        <f t="shared" si="282"/>
        <v/>
      </c>
      <c r="LA47" s="1097" t="str">
        <f t="shared" si="283"/>
        <v/>
      </c>
      <c r="LB47" s="1097" t="str">
        <f t="shared" si="284"/>
        <v/>
      </c>
      <c r="LC47" s="1097" t="str">
        <f t="shared" si="285"/>
        <v/>
      </c>
      <c r="LD47" s="1097" t="str">
        <f t="shared" si="286"/>
        <v/>
      </c>
      <c r="LE47" s="1097" t="str">
        <f t="shared" si="287"/>
        <v/>
      </c>
      <c r="LF47" s="1098" t="str">
        <f t="shared" si="288"/>
        <v/>
      </c>
      <c r="LG47" s="1098" t="str">
        <f t="shared" si="289"/>
        <v/>
      </c>
      <c r="LH47" s="1098" t="str">
        <f t="shared" si="290"/>
        <v/>
      </c>
      <c r="LI47" s="1098" t="str">
        <f t="shared" si="291"/>
        <v/>
      </c>
      <c r="LJ47" s="1098" t="str">
        <f t="shared" si="292"/>
        <v/>
      </c>
      <c r="LK47" s="1064" t="str">
        <f t="shared" si="293"/>
        <v/>
      </c>
      <c r="LL47" s="1064" t="str">
        <f t="shared" si="294"/>
        <v/>
      </c>
      <c r="LM47" s="1064" t="str">
        <f t="shared" si="295"/>
        <v/>
      </c>
      <c r="LN47" s="1064" t="str">
        <f t="shared" si="296"/>
        <v/>
      </c>
      <c r="LO47" s="1064" t="str">
        <f t="shared" si="297"/>
        <v/>
      </c>
      <c r="LP47" s="1064" t="str">
        <f t="shared" si="298"/>
        <v/>
      </c>
      <c r="LQ47" s="1064" t="str">
        <f t="shared" si="299"/>
        <v/>
      </c>
      <c r="LR47" s="1064" t="str">
        <f t="shared" si="300"/>
        <v/>
      </c>
      <c r="LS47" s="1064" t="str">
        <f t="shared" si="301"/>
        <v/>
      </c>
      <c r="LT47" s="1064" t="str">
        <f t="shared" si="302"/>
        <v/>
      </c>
      <c r="LU47" s="1064" t="str">
        <f t="shared" si="303"/>
        <v/>
      </c>
      <c r="LV47" s="1064" t="str">
        <f t="shared" si="304"/>
        <v/>
      </c>
      <c r="LW47" s="1064" t="str">
        <f t="shared" si="305"/>
        <v/>
      </c>
      <c r="LX47" s="1064" t="str">
        <f t="shared" si="306"/>
        <v/>
      </c>
      <c r="LY47" s="1064" t="str">
        <f t="shared" si="307"/>
        <v/>
      </c>
      <c r="LZ47" s="1064" t="str">
        <f t="shared" si="308"/>
        <v/>
      </c>
      <c r="MA47" s="1064" t="str">
        <f t="shared" si="309"/>
        <v/>
      </c>
      <c r="MB47" s="1064" t="str">
        <f t="shared" si="310"/>
        <v/>
      </c>
      <c r="MC47" s="1064" t="str">
        <f t="shared" si="311"/>
        <v/>
      </c>
      <c r="MD47" s="1064" t="str">
        <f t="shared" si="312"/>
        <v/>
      </c>
      <c r="ME47" s="1081">
        <f t="shared" si="324"/>
        <v>0</v>
      </c>
      <c r="MF47" s="1081">
        <f t="shared" si="325"/>
        <v>0</v>
      </c>
      <c r="MG47" s="1081">
        <f t="shared" si="326"/>
        <v>0</v>
      </c>
      <c r="MH47" s="1081">
        <f t="shared" si="327"/>
        <v>0</v>
      </c>
      <c r="MI47" s="1081">
        <f t="shared" si="328"/>
        <v>0</v>
      </c>
      <c r="MJ47" s="1081">
        <f t="shared" si="329"/>
        <v>0</v>
      </c>
      <c r="MK47" s="1081">
        <f t="shared" si="330"/>
        <v>0</v>
      </c>
      <c r="ML47" s="1081">
        <f t="shared" si="331"/>
        <v>0</v>
      </c>
      <c r="MM47" s="1081">
        <f t="shared" si="332"/>
        <v>0</v>
      </c>
      <c r="MN47" s="1081">
        <f t="shared" si="333"/>
        <v>0</v>
      </c>
      <c r="MO47" s="1081">
        <f t="shared" si="334"/>
        <v>0</v>
      </c>
      <c r="MP47" s="1081">
        <f t="shared" si="335"/>
        <v>0</v>
      </c>
      <c r="MQ47" s="1081">
        <f t="shared" si="336"/>
        <v>0</v>
      </c>
      <c r="MR47" s="1081">
        <f t="shared" si="337"/>
        <v>0</v>
      </c>
      <c r="MS47" s="1081">
        <f t="shared" si="338"/>
        <v>0</v>
      </c>
    </row>
    <row r="48" spans="1:393" s="886" customFormat="1" ht="12" customHeight="1">
      <c r="A48" s="1132">
        <f>COUNT(A10,A11,A12,A13,A14,A15,A16,A17,A18,A19,A20,A21,A22,A23,A24,A25,A26,A27,A28,A29,A30,A31,A32,A33,A34,A35,A36,A37,A38,A39)</f>
        <v>0</v>
      </c>
      <c r="B48" s="2380" t="s">
        <v>3378</v>
      </c>
      <c r="C48" s="2381"/>
      <c r="D48" s="1133" t="s">
        <v>942</v>
      </c>
      <c r="E48" s="1134">
        <f>SUM(E10:E47)</f>
        <v>0</v>
      </c>
      <c r="F48" s="1135">
        <f>(E10*F10+E11*F11+E12*F12+E13*F13+E14*F14+E15*F15+E16*F16+E17*F17+E18*F18+E19*F19+E20*F20+E21*F21+E22*F22+E23*F23+E24*F24+E25*F25+E26*F26+E27*F27+E28*F28+E29*F29+E30*F30+E31*F31+E32*F32+E33*F33+E34*F34+E35*F35+E36*F36+E37*F37+E38*F38+E39*F39+E40*F40+E41*F41+E42*F42+E43*F43+E44*F44+E45*F45+E46*F46+E47*F47)</f>
        <v>0</v>
      </c>
      <c r="G48" s="2382" t="s">
        <v>3379</v>
      </c>
      <c r="H48" s="1136" t="s">
        <v>3380</v>
      </c>
      <c r="I48" s="1137" t="str">
        <f>IF(O67=0,"",IF(SUM(O58:O62)/O67&gt;=0.4,"Pass","Fail"))</f>
        <v/>
      </c>
      <c r="J48" s="504"/>
      <c r="K48" s="1138" t="s">
        <v>1202</v>
      </c>
      <c r="L48" s="1139">
        <f>SUM(L10:L47)</f>
        <v>0</v>
      </c>
      <c r="M48" s="1018"/>
      <c r="N48" s="1140"/>
      <c r="O48" s="1018"/>
      <c r="P48" s="1141"/>
      <c r="Q48" s="1141"/>
      <c r="R48" s="1141"/>
      <c r="S48" s="1141"/>
      <c r="T48" s="1141"/>
      <c r="U48" s="1142"/>
      <c r="V48" s="1143"/>
      <c r="W48" s="1144">
        <f t="shared" ref="W48:EZ48" si="339">SUM(W10:W47)</f>
        <v>0</v>
      </c>
      <c r="X48" s="1144">
        <f t="shared" si="339"/>
        <v>0</v>
      </c>
      <c r="Y48" s="1144">
        <f t="shared" si="339"/>
        <v>0</v>
      </c>
      <c r="Z48" s="1144">
        <f t="shared" si="339"/>
        <v>0</v>
      </c>
      <c r="AA48" s="1144">
        <f t="shared" si="339"/>
        <v>0</v>
      </c>
      <c r="AB48" s="1144">
        <f t="shared" si="339"/>
        <v>0</v>
      </c>
      <c r="AC48" s="1144">
        <f t="shared" si="339"/>
        <v>0</v>
      </c>
      <c r="AD48" s="1144">
        <f t="shared" si="339"/>
        <v>0</v>
      </c>
      <c r="AE48" s="1144">
        <f t="shared" si="339"/>
        <v>0</v>
      </c>
      <c r="AF48" s="1144">
        <f t="shared" si="339"/>
        <v>0</v>
      </c>
      <c r="AG48" s="1144">
        <f t="shared" si="339"/>
        <v>0</v>
      </c>
      <c r="AH48" s="1144">
        <f t="shared" si="339"/>
        <v>0</v>
      </c>
      <c r="AI48" s="1144">
        <f t="shared" si="339"/>
        <v>0</v>
      </c>
      <c r="AJ48" s="1144">
        <f t="shared" si="339"/>
        <v>0</v>
      </c>
      <c r="AK48" s="1144">
        <f t="shared" si="339"/>
        <v>0</v>
      </c>
      <c r="AL48" s="1144">
        <f>SUM(AL10:AL47)</f>
        <v>0</v>
      </c>
      <c r="AM48" s="1144">
        <f>SUM(AM10:AM47)</f>
        <v>0</v>
      </c>
      <c r="AN48" s="1144">
        <f>SUM(AN10:AN47)</f>
        <v>0</v>
      </c>
      <c r="AO48" s="1144">
        <f>SUM(AO10:AO47)</f>
        <v>0</v>
      </c>
      <c r="AP48" s="1144">
        <f>SUM(AP10:AP47)</f>
        <v>0</v>
      </c>
      <c r="AQ48" s="1144">
        <f t="shared" si="339"/>
        <v>0</v>
      </c>
      <c r="AR48" s="1144">
        <f t="shared" si="339"/>
        <v>0</v>
      </c>
      <c r="AS48" s="1144">
        <f t="shared" si="339"/>
        <v>0</v>
      </c>
      <c r="AT48" s="1144">
        <f t="shared" si="339"/>
        <v>0</v>
      </c>
      <c r="AU48" s="1144">
        <f t="shared" si="339"/>
        <v>0</v>
      </c>
      <c r="AV48" s="1144">
        <f t="shared" si="339"/>
        <v>0</v>
      </c>
      <c r="AW48" s="1144">
        <f t="shared" si="339"/>
        <v>0</v>
      </c>
      <c r="AX48" s="1144">
        <f t="shared" si="339"/>
        <v>0</v>
      </c>
      <c r="AY48" s="1144">
        <f t="shared" si="339"/>
        <v>0</v>
      </c>
      <c r="AZ48" s="1144">
        <f t="shared" si="339"/>
        <v>0</v>
      </c>
      <c r="BA48" s="1144">
        <f>SUM(BA10:BA47)</f>
        <v>0</v>
      </c>
      <c r="BB48" s="1144">
        <f>SUM(BB10:BB47)</f>
        <v>0</v>
      </c>
      <c r="BC48" s="1144">
        <f>SUM(BC10:BC47)</f>
        <v>0</v>
      </c>
      <c r="BD48" s="1144">
        <f>SUM(BD10:BD47)</f>
        <v>0</v>
      </c>
      <c r="BE48" s="1144">
        <f>SUM(BE10:BE47)</f>
        <v>0</v>
      </c>
      <c r="BF48" s="1144">
        <f t="shared" si="339"/>
        <v>0</v>
      </c>
      <c r="BG48" s="1144">
        <f t="shared" si="339"/>
        <v>0</v>
      </c>
      <c r="BH48" s="1144">
        <f t="shared" si="339"/>
        <v>0</v>
      </c>
      <c r="BI48" s="1144">
        <f t="shared" si="339"/>
        <v>0</v>
      </c>
      <c r="BJ48" s="1144">
        <f t="shared" si="339"/>
        <v>0</v>
      </c>
      <c r="BK48" s="1144">
        <f>SUM(BK10:BK47)</f>
        <v>0</v>
      </c>
      <c r="BL48" s="1144">
        <f>SUM(BL10:BL47)</f>
        <v>0</v>
      </c>
      <c r="BM48" s="1144">
        <f>SUM(BM10:BM47)</f>
        <v>0</v>
      </c>
      <c r="BN48" s="1144">
        <f>SUM(BN10:BN47)</f>
        <v>0</v>
      </c>
      <c r="BO48" s="1144">
        <f>SUM(BO10:BO47)</f>
        <v>0</v>
      </c>
      <c r="BP48" s="1144">
        <f t="shared" si="339"/>
        <v>0</v>
      </c>
      <c r="BQ48" s="1144">
        <f t="shared" si="339"/>
        <v>0</v>
      </c>
      <c r="BR48" s="1144">
        <f t="shared" si="339"/>
        <v>0</v>
      </c>
      <c r="BS48" s="1144">
        <f t="shared" si="339"/>
        <v>0</v>
      </c>
      <c r="BT48" s="1144">
        <f t="shared" si="339"/>
        <v>0</v>
      </c>
      <c r="BU48" s="1144">
        <f>SUM(BU10:BU47)</f>
        <v>0</v>
      </c>
      <c r="BV48" s="1144">
        <f>SUM(BV10:BV47)</f>
        <v>0</v>
      </c>
      <c r="BW48" s="1144">
        <f>SUM(BW10:BW47)</f>
        <v>0</v>
      </c>
      <c r="BX48" s="1144">
        <f>SUM(BX10:BX47)</f>
        <v>0</v>
      </c>
      <c r="BY48" s="1144">
        <f>SUM(BY10:BY47)</f>
        <v>0</v>
      </c>
      <c r="BZ48" s="1144">
        <f t="shared" si="339"/>
        <v>0</v>
      </c>
      <c r="CA48" s="1144">
        <f t="shared" si="339"/>
        <v>0</v>
      </c>
      <c r="CB48" s="1144">
        <f t="shared" si="339"/>
        <v>0</v>
      </c>
      <c r="CC48" s="1144">
        <f t="shared" si="339"/>
        <v>0</v>
      </c>
      <c r="CD48" s="1144">
        <f t="shared" si="339"/>
        <v>0</v>
      </c>
      <c r="CE48" s="1144">
        <f t="shared" si="339"/>
        <v>0</v>
      </c>
      <c r="CF48" s="1144">
        <f t="shared" si="339"/>
        <v>0</v>
      </c>
      <c r="CG48" s="1144">
        <f t="shared" si="339"/>
        <v>0</v>
      </c>
      <c r="CH48" s="1144">
        <f t="shared" si="339"/>
        <v>0</v>
      </c>
      <c r="CI48" s="1144">
        <f t="shared" si="339"/>
        <v>0</v>
      </c>
      <c r="CJ48" s="1144">
        <f>SUM(CJ10:CJ47)</f>
        <v>0</v>
      </c>
      <c r="CK48" s="1144">
        <f>SUM(CK10:CK47)</f>
        <v>0</v>
      </c>
      <c r="CL48" s="1144">
        <f>SUM(CL10:CL47)</f>
        <v>0</v>
      </c>
      <c r="CM48" s="1144">
        <f>SUM(CM10:CM47)</f>
        <v>0</v>
      </c>
      <c r="CN48" s="1144">
        <f>SUM(CN10:CN47)</f>
        <v>0</v>
      </c>
      <c r="CO48" s="1144">
        <f t="shared" ref="CO48:CX48" si="340">SUM(CO10:CO47)</f>
        <v>0</v>
      </c>
      <c r="CP48" s="1144">
        <f t="shared" si="340"/>
        <v>0</v>
      </c>
      <c r="CQ48" s="1144">
        <f t="shared" si="340"/>
        <v>0</v>
      </c>
      <c r="CR48" s="1144">
        <f t="shared" si="340"/>
        <v>0</v>
      </c>
      <c r="CS48" s="1144">
        <f t="shared" si="340"/>
        <v>0</v>
      </c>
      <c r="CT48" s="1144">
        <f t="shared" si="340"/>
        <v>0</v>
      </c>
      <c r="CU48" s="1144">
        <f t="shared" si="340"/>
        <v>0</v>
      </c>
      <c r="CV48" s="1144">
        <f t="shared" si="340"/>
        <v>0</v>
      </c>
      <c r="CW48" s="1144">
        <f t="shared" si="340"/>
        <v>0</v>
      </c>
      <c r="CX48" s="1144">
        <f t="shared" si="340"/>
        <v>0</v>
      </c>
      <c r="CY48" s="1144">
        <f t="shared" si="339"/>
        <v>0</v>
      </c>
      <c r="CZ48" s="1144">
        <f t="shared" si="339"/>
        <v>0</v>
      </c>
      <c r="DA48" s="1144">
        <f t="shared" si="339"/>
        <v>0</v>
      </c>
      <c r="DB48" s="1144">
        <f t="shared" si="339"/>
        <v>0</v>
      </c>
      <c r="DC48" s="1144">
        <f t="shared" si="339"/>
        <v>0</v>
      </c>
      <c r="DD48" s="1144">
        <f t="shared" si="339"/>
        <v>0</v>
      </c>
      <c r="DE48" s="1144">
        <f t="shared" si="339"/>
        <v>0</v>
      </c>
      <c r="DF48" s="1144">
        <f t="shared" si="339"/>
        <v>0</v>
      </c>
      <c r="DG48" s="1144">
        <f t="shared" si="339"/>
        <v>0</v>
      </c>
      <c r="DH48" s="1144">
        <f t="shared" si="339"/>
        <v>0</v>
      </c>
      <c r="DI48" s="1144">
        <f t="shared" si="339"/>
        <v>0</v>
      </c>
      <c r="DJ48" s="1144">
        <f t="shared" si="339"/>
        <v>0</v>
      </c>
      <c r="DK48" s="1144">
        <f t="shared" si="339"/>
        <v>0</v>
      </c>
      <c r="DL48" s="1144">
        <f t="shared" si="339"/>
        <v>0</v>
      </c>
      <c r="DM48" s="1144">
        <f t="shared" si="339"/>
        <v>0</v>
      </c>
      <c r="DN48" s="1144">
        <f t="shared" si="339"/>
        <v>0</v>
      </c>
      <c r="DO48" s="1144">
        <f t="shared" si="339"/>
        <v>0</v>
      </c>
      <c r="DP48" s="1144">
        <f t="shared" si="339"/>
        <v>0</v>
      </c>
      <c r="DQ48" s="1144">
        <f t="shared" si="339"/>
        <v>0</v>
      </c>
      <c r="DR48" s="1144">
        <f t="shared" si="339"/>
        <v>0</v>
      </c>
      <c r="DS48" s="1144">
        <f t="shared" si="339"/>
        <v>0</v>
      </c>
      <c r="DT48" s="1144">
        <f t="shared" si="339"/>
        <v>0</v>
      </c>
      <c r="DU48" s="1144">
        <f t="shared" si="339"/>
        <v>0</v>
      </c>
      <c r="DV48" s="1144">
        <f t="shared" si="339"/>
        <v>0</v>
      </c>
      <c r="DW48" s="1144">
        <f t="shared" si="339"/>
        <v>0</v>
      </c>
      <c r="DX48" s="1144">
        <f t="shared" si="339"/>
        <v>0</v>
      </c>
      <c r="DY48" s="1144">
        <f t="shared" si="339"/>
        <v>0</v>
      </c>
      <c r="DZ48" s="1144">
        <f t="shared" si="339"/>
        <v>0</v>
      </c>
      <c r="EA48" s="1144">
        <f t="shared" si="339"/>
        <v>0</v>
      </c>
      <c r="EB48" s="1144">
        <f t="shared" si="339"/>
        <v>0</v>
      </c>
      <c r="EC48" s="1144">
        <f t="shared" si="339"/>
        <v>0</v>
      </c>
      <c r="ED48" s="1144">
        <f t="shared" si="339"/>
        <v>0</v>
      </c>
      <c r="EE48" s="1144">
        <f t="shared" si="339"/>
        <v>0</v>
      </c>
      <c r="EF48" s="1144">
        <f t="shared" si="339"/>
        <v>0</v>
      </c>
      <c r="EG48" s="1144">
        <f t="shared" si="339"/>
        <v>0</v>
      </c>
      <c r="EH48" s="1144">
        <f t="shared" si="339"/>
        <v>0</v>
      </c>
      <c r="EI48" s="1144">
        <f t="shared" si="339"/>
        <v>0</v>
      </c>
      <c r="EJ48" s="1144">
        <f t="shared" si="339"/>
        <v>0</v>
      </c>
      <c r="EK48" s="1144">
        <f t="shared" si="339"/>
        <v>0</v>
      </c>
      <c r="EL48" s="1144">
        <f t="shared" si="339"/>
        <v>0</v>
      </c>
      <c r="EM48" s="1144">
        <f t="shared" si="339"/>
        <v>0</v>
      </c>
      <c r="EN48" s="1144">
        <f t="shared" si="339"/>
        <v>0</v>
      </c>
      <c r="EO48" s="1144">
        <f t="shared" si="339"/>
        <v>0</v>
      </c>
      <c r="EP48" s="1144">
        <f t="shared" si="339"/>
        <v>0</v>
      </c>
      <c r="EQ48" s="1144">
        <f t="shared" si="339"/>
        <v>0</v>
      </c>
      <c r="ER48" s="1144">
        <f t="shared" si="339"/>
        <v>0</v>
      </c>
      <c r="ES48" s="1144">
        <f t="shared" si="339"/>
        <v>0</v>
      </c>
      <c r="ET48" s="1144">
        <f t="shared" si="339"/>
        <v>0</v>
      </c>
      <c r="EU48" s="1144">
        <f t="shared" si="339"/>
        <v>0</v>
      </c>
      <c r="EV48" s="1144">
        <f t="shared" si="339"/>
        <v>0</v>
      </c>
      <c r="EW48" s="1144">
        <f t="shared" si="339"/>
        <v>0</v>
      </c>
      <c r="EX48" s="1144">
        <f t="shared" si="339"/>
        <v>0</v>
      </c>
      <c r="EY48" s="1144">
        <f t="shared" si="339"/>
        <v>0</v>
      </c>
      <c r="EZ48" s="1144">
        <f t="shared" si="339"/>
        <v>0</v>
      </c>
      <c r="FA48" s="1144">
        <f t="shared" ref="FA48:HV48" si="341">SUM(FA10:FA47)</f>
        <v>0</v>
      </c>
      <c r="FB48" s="1144">
        <f>SUM(FB10:FB47)</f>
        <v>0</v>
      </c>
      <c r="FC48" s="1144">
        <f>SUM(FC10:FC47)</f>
        <v>0</v>
      </c>
      <c r="FD48" s="1144">
        <f>SUM(FD10:FD47)</f>
        <v>0</v>
      </c>
      <c r="FE48" s="1144">
        <f>SUM(FE10:FE47)</f>
        <v>0</v>
      </c>
      <c r="FF48" s="1144">
        <f>SUM(FF10:FF47)</f>
        <v>0</v>
      </c>
      <c r="FG48" s="1144">
        <f t="shared" si="341"/>
        <v>0</v>
      </c>
      <c r="FH48" s="1144">
        <f t="shared" si="341"/>
        <v>0</v>
      </c>
      <c r="FI48" s="1144">
        <f t="shared" si="341"/>
        <v>0</v>
      </c>
      <c r="FJ48" s="1144">
        <f t="shared" si="341"/>
        <v>0</v>
      </c>
      <c r="FK48" s="1144">
        <f t="shared" si="341"/>
        <v>0</v>
      </c>
      <c r="FL48" s="1144">
        <f>SUM(FL10:FL47)</f>
        <v>0</v>
      </c>
      <c r="FM48" s="1144">
        <f>SUM(FM10:FM47)</f>
        <v>0</v>
      </c>
      <c r="FN48" s="1144">
        <f>SUM(FN10:FN47)</f>
        <v>0</v>
      </c>
      <c r="FO48" s="1144">
        <f>SUM(FO10:FO47)</f>
        <v>0</v>
      </c>
      <c r="FP48" s="1144">
        <f>SUM(FP10:FP47)</f>
        <v>0</v>
      </c>
      <c r="FQ48" s="1144">
        <f t="shared" si="341"/>
        <v>0</v>
      </c>
      <c r="FR48" s="1144">
        <f t="shared" si="341"/>
        <v>0</v>
      </c>
      <c r="FS48" s="1144">
        <f t="shared" si="341"/>
        <v>0</v>
      </c>
      <c r="FT48" s="1144">
        <f t="shared" si="341"/>
        <v>0</v>
      </c>
      <c r="FU48" s="1144">
        <f t="shared" si="341"/>
        <v>0</v>
      </c>
      <c r="FV48" s="1144">
        <f t="shared" si="341"/>
        <v>0</v>
      </c>
      <c r="FW48" s="1144">
        <f t="shared" si="341"/>
        <v>0</v>
      </c>
      <c r="FX48" s="1144">
        <f t="shared" si="341"/>
        <v>0</v>
      </c>
      <c r="FY48" s="1144">
        <f t="shared" si="341"/>
        <v>0</v>
      </c>
      <c r="FZ48" s="1144">
        <f t="shared" si="341"/>
        <v>0</v>
      </c>
      <c r="GA48" s="1144">
        <f t="shared" si="341"/>
        <v>0</v>
      </c>
      <c r="GB48" s="1144">
        <f t="shared" si="341"/>
        <v>0</v>
      </c>
      <c r="GC48" s="1144">
        <f t="shared" si="341"/>
        <v>0</v>
      </c>
      <c r="GD48" s="1144">
        <f t="shared" si="341"/>
        <v>0</v>
      </c>
      <c r="GE48" s="1144">
        <f t="shared" si="341"/>
        <v>0</v>
      </c>
      <c r="GF48" s="1144">
        <f t="shared" si="341"/>
        <v>0</v>
      </c>
      <c r="GG48" s="1144">
        <f t="shared" si="341"/>
        <v>0</v>
      </c>
      <c r="GH48" s="1144">
        <f t="shared" si="341"/>
        <v>0</v>
      </c>
      <c r="GI48" s="1144">
        <f t="shared" si="341"/>
        <v>0</v>
      </c>
      <c r="GJ48" s="1144">
        <f t="shared" si="341"/>
        <v>0</v>
      </c>
      <c r="GK48" s="1144">
        <f t="shared" si="341"/>
        <v>0</v>
      </c>
      <c r="GL48" s="1144">
        <f t="shared" si="341"/>
        <v>0</v>
      </c>
      <c r="GM48" s="1144">
        <f t="shared" si="341"/>
        <v>0</v>
      </c>
      <c r="GN48" s="1144">
        <f t="shared" si="341"/>
        <v>0</v>
      </c>
      <c r="GO48" s="1144">
        <f t="shared" si="341"/>
        <v>0</v>
      </c>
      <c r="GP48" s="1144">
        <f t="shared" si="341"/>
        <v>0</v>
      </c>
      <c r="GQ48" s="1144">
        <f t="shared" si="341"/>
        <v>0</v>
      </c>
      <c r="GR48" s="1144">
        <f t="shared" si="341"/>
        <v>0</v>
      </c>
      <c r="GS48" s="1144">
        <f t="shared" si="341"/>
        <v>0</v>
      </c>
      <c r="GT48" s="1144">
        <f t="shared" si="341"/>
        <v>0</v>
      </c>
      <c r="GU48" s="1144">
        <f t="shared" si="341"/>
        <v>0</v>
      </c>
      <c r="GV48" s="1144">
        <f t="shared" si="341"/>
        <v>0</v>
      </c>
      <c r="GW48" s="1144">
        <f t="shared" si="341"/>
        <v>0</v>
      </c>
      <c r="GX48" s="1144">
        <f t="shared" si="341"/>
        <v>0</v>
      </c>
      <c r="GY48" s="1144">
        <f t="shared" si="341"/>
        <v>0</v>
      </c>
      <c r="GZ48" s="1144">
        <f t="shared" si="341"/>
        <v>0</v>
      </c>
      <c r="HA48" s="1144">
        <f t="shared" si="341"/>
        <v>0</v>
      </c>
      <c r="HB48" s="1144">
        <f t="shared" si="341"/>
        <v>0</v>
      </c>
      <c r="HC48" s="1144">
        <f t="shared" si="341"/>
        <v>0</v>
      </c>
      <c r="HD48" s="1144">
        <f t="shared" si="341"/>
        <v>0</v>
      </c>
      <c r="HE48" s="1144">
        <f t="shared" si="341"/>
        <v>0</v>
      </c>
      <c r="HF48" s="1144">
        <f t="shared" si="341"/>
        <v>0</v>
      </c>
      <c r="HG48" s="1144">
        <f t="shared" si="341"/>
        <v>0</v>
      </c>
      <c r="HH48" s="1144">
        <f t="shared" si="341"/>
        <v>0</v>
      </c>
      <c r="HI48" s="1144">
        <f t="shared" si="341"/>
        <v>0</v>
      </c>
      <c r="HJ48" s="1144">
        <f t="shared" si="341"/>
        <v>0</v>
      </c>
      <c r="HK48" s="1144">
        <f t="shared" si="341"/>
        <v>0</v>
      </c>
      <c r="HL48" s="1144">
        <f t="shared" si="341"/>
        <v>0</v>
      </c>
      <c r="HM48" s="1144">
        <f t="shared" si="341"/>
        <v>0</v>
      </c>
      <c r="HN48" s="1144">
        <f t="shared" si="341"/>
        <v>0</v>
      </c>
      <c r="HO48" s="1144">
        <f t="shared" si="341"/>
        <v>0</v>
      </c>
      <c r="HP48" s="1144">
        <f t="shared" si="341"/>
        <v>0</v>
      </c>
      <c r="HQ48" s="1144">
        <f t="shared" si="341"/>
        <v>0</v>
      </c>
      <c r="HR48" s="1144">
        <f t="shared" si="341"/>
        <v>0</v>
      </c>
      <c r="HS48" s="1144">
        <f t="shared" si="341"/>
        <v>0</v>
      </c>
      <c r="HT48" s="1144">
        <f t="shared" si="341"/>
        <v>0</v>
      </c>
      <c r="HU48" s="1144">
        <f t="shared" si="341"/>
        <v>0</v>
      </c>
      <c r="HV48" s="1144">
        <f t="shared" si="341"/>
        <v>0</v>
      </c>
      <c r="HW48" s="1144">
        <f t="shared" ref="HW48:KH48" si="342">SUM(HW10:HW47)</f>
        <v>0</v>
      </c>
      <c r="HX48" s="1144">
        <f t="shared" si="342"/>
        <v>0</v>
      </c>
      <c r="HY48" s="1144">
        <f t="shared" si="342"/>
        <v>0</v>
      </c>
      <c r="HZ48" s="1144">
        <f t="shared" si="342"/>
        <v>0</v>
      </c>
      <c r="IA48" s="1144">
        <f t="shared" si="342"/>
        <v>0</v>
      </c>
      <c r="IB48" s="1144">
        <f t="shared" si="342"/>
        <v>0</v>
      </c>
      <c r="IC48" s="1144">
        <f t="shared" si="342"/>
        <v>0</v>
      </c>
      <c r="ID48" s="1144">
        <f t="shared" si="342"/>
        <v>0</v>
      </c>
      <c r="IE48" s="1144">
        <f t="shared" si="342"/>
        <v>0</v>
      </c>
      <c r="IF48" s="1144">
        <f t="shared" si="342"/>
        <v>0</v>
      </c>
      <c r="IG48" s="1144">
        <f t="shared" si="342"/>
        <v>0</v>
      </c>
      <c r="IH48" s="1144">
        <f t="shared" si="342"/>
        <v>0</v>
      </c>
      <c r="II48" s="1144">
        <f t="shared" si="342"/>
        <v>0</v>
      </c>
      <c r="IJ48" s="1144">
        <f t="shared" si="342"/>
        <v>0</v>
      </c>
      <c r="IK48" s="1144">
        <f t="shared" si="342"/>
        <v>0</v>
      </c>
      <c r="IL48" s="1144">
        <f t="shared" si="342"/>
        <v>0</v>
      </c>
      <c r="IM48" s="1144">
        <f t="shared" si="342"/>
        <v>0</v>
      </c>
      <c r="IN48" s="1144">
        <f t="shared" si="342"/>
        <v>0</v>
      </c>
      <c r="IO48" s="1144">
        <f t="shared" si="342"/>
        <v>0</v>
      </c>
      <c r="IP48" s="1144">
        <f t="shared" si="342"/>
        <v>0</v>
      </c>
      <c r="IQ48" s="1144">
        <f t="shared" si="342"/>
        <v>0</v>
      </c>
      <c r="IR48" s="1144">
        <f t="shared" si="342"/>
        <v>0</v>
      </c>
      <c r="IS48" s="1144">
        <f t="shared" si="342"/>
        <v>0</v>
      </c>
      <c r="IT48" s="1144">
        <f t="shared" si="342"/>
        <v>0</v>
      </c>
      <c r="IU48" s="1144">
        <f t="shared" si="342"/>
        <v>0</v>
      </c>
      <c r="IV48" s="1144">
        <f t="shared" si="342"/>
        <v>0</v>
      </c>
      <c r="IW48" s="1144">
        <f t="shared" si="342"/>
        <v>0</v>
      </c>
      <c r="IX48" s="1144">
        <f t="shared" si="342"/>
        <v>0</v>
      </c>
      <c r="IY48" s="1144">
        <f t="shared" si="342"/>
        <v>0</v>
      </c>
      <c r="IZ48" s="1144">
        <f t="shared" si="342"/>
        <v>0</v>
      </c>
      <c r="JA48" s="1144">
        <f t="shared" si="342"/>
        <v>0</v>
      </c>
      <c r="JB48" s="1144">
        <f t="shared" si="342"/>
        <v>0</v>
      </c>
      <c r="JC48" s="1144">
        <f t="shared" si="342"/>
        <v>0</v>
      </c>
      <c r="JD48" s="1144">
        <f t="shared" si="342"/>
        <v>0</v>
      </c>
      <c r="JE48" s="1144">
        <f t="shared" si="342"/>
        <v>0</v>
      </c>
      <c r="JF48" s="1144">
        <f t="shared" si="342"/>
        <v>0</v>
      </c>
      <c r="JG48" s="1144">
        <f t="shared" si="342"/>
        <v>0</v>
      </c>
      <c r="JH48" s="1144">
        <f t="shared" si="342"/>
        <v>0</v>
      </c>
      <c r="JI48" s="1144">
        <f t="shared" si="342"/>
        <v>0</v>
      </c>
      <c r="JJ48" s="1144">
        <f t="shared" si="342"/>
        <v>0</v>
      </c>
      <c r="JK48" s="1144">
        <f t="shared" si="342"/>
        <v>0</v>
      </c>
      <c r="JL48" s="1144">
        <f t="shared" si="342"/>
        <v>0</v>
      </c>
      <c r="JM48" s="1144">
        <f t="shared" si="342"/>
        <v>0</v>
      </c>
      <c r="JN48" s="1144">
        <f t="shared" si="342"/>
        <v>0</v>
      </c>
      <c r="JO48" s="1144">
        <f t="shared" si="342"/>
        <v>0</v>
      </c>
      <c r="JP48" s="1144">
        <f t="shared" si="342"/>
        <v>0</v>
      </c>
      <c r="JQ48" s="1144">
        <f t="shared" si="342"/>
        <v>0</v>
      </c>
      <c r="JR48" s="1144">
        <f t="shared" si="342"/>
        <v>0</v>
      </c>
      <c r="JS48" s="1144">
        <f t="shared" si="342"/>
        <v>0</v>
      </c>
      <c r="JT48" s="1144">
        <f t="shared" si="342"/>
        <v>0</v>
      </c>
      <c r="JU48" s="1144">
        <f t="shared" si="342"/>
        <v>0</v>
      </c>
      <c r="JV48" s="1144">
        <f t="shared" si="342"/>
        <v>0</v>
      </c>
      <c r="JW48" s="1144">
        <f t="shared" si="342"/>
        <v>0</v>
      </c>
      <c r="JX48" s="1144">
        <f t="shared" si="342"/>
        <v>0</v>
      </c>
      <c r="JY48" s="1144">
        <f t="shared" si="342"/>
        <v>0</v>
      </c>
      <c r="JZ48" s="1144">
        <f t="shared" si="342"/>
        <v>0</v>
      </c>
      <c r="KA48" s="1144">
        <f t="shared" si="342"/>
        <v>0</v>
      </c>
      <c r="KB48" s="1144">
        <f t="shared" si="342"/>
        <v>0</v>
      </c>
      <c r="KC48" s="1144">
        <f t="shared" si="342"/>
        <v>0</v>
      </c>
      <c r="KD48" s="1144">
        <f t="shared" si="342"/>
        <v>0</v>
      </c>
      <c r="KE48" s="1144">
        <f t="shared" si="342"/>
        <v>0</v>
      </c>
      <c r="KF48" s="1144">
        <f t="shared" si="342"/>
        <v>0</v>
      </c>
      <c r="KG48" s="1144">
        <f t="shared" si="342"/>
        <v>0</v>
      </c>
      <c r="KH48" s="1144">
        <f t="shared" si="342"/>
        <v>0</v>
      </c>
      <c r="KI48" s="1144">
        <f t="shared" ref="KI48:MT48" si="343">SUM(KI10:KI47)</f>
        <v>0</v>
      </c>
      <c r="KJ48" s="1144">
        <f t="shared" si="343"/>
        <v>0</v>
      </c>
      <c r="KK48" s="1144">
        <f t="shared" si="343"/>
        <v>0</v>
      </c>
      <c r="KL48" s="1144">
        <f t="shared" si="343"/>
        <v>0</v>
      </c>
      <c r="KM48" s="1144">
        <f t="shared" si="343"/>
        <v>0</v>
      </c>
      <c r="KN48" s="1144">
        <f t="shared" si="343"/>
        <v>0</v>
      </c>
      <c r="KO48" s="1144">
        <f t="shared" si="343"/>
        <v>0</v>
      </c>
      <c r="KP48" s="1144">
        <f t="shared" si="343"/>
        <v>0</v>
      </c>
      <c r="KQ48" s="1144">
        <f t="shared" si="343"/>
        <v>0</v>
      </c>
      <c r="KR48" s="1144">
        <f t="shared" si="343"/>
        <v>0</v>
      </c>
      <c r="KS48" s="1144">
        <f t="shared" si="343"/>
        <v>0</v>
      </c>
      <c r="KT48" s="1144">
        <f t="shared" si="343"/>
        <v>0</v>
      </c>
      <c r="KU48" s="1144">
        <f t="shared" si="343"/>
        <v>0</v>
      </c>
      <c r="KV48" s="1144">
        <f t="shared" si="343"/>
        <v>0</v>
      </c>
      <c r="KW48" s="1144">
        <f t="shared" si="343"/>
        <v>0</v>
      </c>
      <c r="KX48" s="1144">
        <f t="shared" si="343"/>
        <v>0</v>
      </c>
      <c r="KY48" s="1144">
        <f t="shared" si="343"/>
        <v>0</v>
      </c>
      <c r="KZ48" s="1144">
        <f t="shared" si="343"/>
        <v>0</v>
      </c>
      <c r="LA48" s="1144">
        <f t="shared" si="343"/>
        <v>0</v>
      </c>
      <c r="LB48" s="1144">
        <f t="shared" si="343"/>
        <v>0</v>
      </c>
      <c r="LC48" s="1144">
        <f t="shared" si="343"/>
        <v>0</v>
      </c>
      <c r="LD48" s="1144">
        <f t="shared" si="343"/>
        <v>0</v>
      </c>
      <c r="LE48" s="1144">
        <f t="shared" si="343"/>
        <v>0</v>
      </c>
      <c r="LF48" s="1144">
        <f t="shared" si="343"/>
        <v>0</v>
      </c>
      <c r="LG48" s="1144">
        <f t="shared" si="343"/>
        <v>0</v>
      </c>
      <c r="LH48" s="1144">
        <f t="shared" si="343"/>
        <v>0</v>
      </c>
      <c r="LI48" s="1144">
        <f t="shared" si="343"/>
        <v>0</v>
      </c>
      <c r="LJ48" s="1144">
        <f t="shared" si="343"/>
        <v>0</v>
      </c>
      <c r="LK48" s="1144">
        <f t="shared" si="343"/>
        <v>0</v>
      </c>
      <c r="LL48" s="1144">
        <f t="shared" si="343"/>
        <v>0</v>
      </c>
      <c r="LM48" s="1144">
        <f t="shared" si="343"/>
        <v>0</v>
      </c>
      <c r="LN48" s="1144">
        <f t="shared" si="343"/>
        <v>0</v>
      </c>
      <c r="LO48" s="1144">
        <f t="shared" si="343"/>
        <v>0</v>
      </c>
      <c r="LP48" s="1144">
        <f t="shared" si="343"/>
        <v>0</v>
      </c>
      <c r="LQ48" s="1144">
        <f t="shared" si="343"/>
        <v>0</v>
      </c>
      <c r="LR48" s="1144">
        <f t="shared" si="343"/>
        <v>0</v>
      </c>
      <c r="LS48" s="1144">
        <f t="shared" si="343"/>
        <v>0</v>
      </c>
      <c r="LT48" s="1144">
        <f t="shared" si="343"/>
        <v>0</v>
      </c>
      <c r="LU48" s="1144">
        <f t="shared" si="343"/>
        <v>0</v>
      </c>
      <c r="LV48" s="1144">
        <f t="shared" si="343"/>
        <v>0</v>
      </c>
      <c r="LW48" s="1144">
        <f t="shared" si="343"/>
        <v>0</v>
      </c>
      <c r="LX48" s="1144">
        <f t="shared" si="343"/>
        <v>0</v>
      </c>
      <c r="LY48" s="1144">
        <f t="shared" si="343"/>
        <v>0</v>
      </c>
      <c r="LZ48" s="1144">
        <f t="shared" si="343"/>
        <v>0</v>
      </c>
      <c r="MA48" s="1144">
        <f t="shared" si="343"/>
        <v>0</v>
      </c>
      <c r="MB48" s="1144">
        <f t="shared" si="343"/>
        <v>0</v>
      </c>
      <c r="MC48" s="1144">
        <f t="shared" si="343"/>
        <v>0</v>
      </c>
      <c r="MD48" s="1144">
        <f t="shared" si="343"/>
        <v>0</v>
      </c>
      <c r="ME48" s="1144">
        <f t="shared" si="343"/>
        <v>0</v>
      </c>
      <c r="MF48" s="1144">
        <f t="shared" si="343"/>
        <v>0</v>
      </c>
      <c r="MG48" s="1144">
        <f t="shared" si="343"/>
        <v>0</v>
      </c>
      <c r="MH48" s="1144">
        <f t="shared" si="343"/>
        <v>0</v>
      </c>
      <c r="MI48" s="1144">
        <f t="shared" si="343"/>
        <v>0</v>
      </c>
      <c r="MJ48" s="1144">
        <f t="shared" si="343"/>
        <v>0</v>
      </c>
      <c r="MK48" s="1144">
        <f t="shared" si="343"/>
        <v>0</v>
      </c>
      <c r="ML48" s="1144">
        <f t="shared" si="343"/>
        <v>0</v>
      </c>
      <c r="MM48" s="1144">
        <f t="shared" si="343"/>
        <v>0</v>
      </c>
      <c r="MN48" s="1144">
        <f t="shared" si="343"/>
        <v>0</v>
      </c>
      <c r="MO48" s="1144">
        <f t="shared" si="343"/>
        <v>0</v>
      </c>
      <c r="MP48" s="1144">
        <f t="shared" si="343"/>
        <v>0</v>
      </c>
      <c r="MQ48" s="1144">
        <f t="shared" si="343"/>
        <v>0</v>
      </c>
      <c r="MR48" s="1144">
        <f t="shared" si="343"/>
        <v>0</v>
      </c>
      <c r="MS48" s="1144">
        <f t="shared" si="343"/>
        <v>0</v>
      </c>
      <c r="MT48" s="1144">
        <f t="shared" si="343"/>
        <v>0</v>
      </c>
      <c r="MU48" s="1064"/>
      <c r="MV48" s="1064"/>
      <c r="MW48" s="1064"/>
      <c r="MX48" s="1064"/>
      <c r="MY48" s="1064"/>
      <c r="MZ48" s="1064"/>
      <c r="NA48" s="1064"/>
      <c r="NB48" s="1064"/>
      <c r="NC48" s="1064"/>
      <c r="ND48" s="1064"/>
      <c r="NE48" s="1064"/>
      <c r="NF48" s="1064"/>
      <c r="NG48" s="1064"/>
      <c r="NH48" s="1064"/>
      <c r="NI48" s="1064"/>
      <c r="NJ48" s="1064"/>
      <c r="NK48" s="1064"/>
      <c r="NL48" s="1064"/>
      <c r="NM48" s="1064"/>
      <c r="NN48" s="1064"/>
      <c r="NO48" s="1064"/>
      <c r="NP48" s="1064"/>
      <c r="NQ48" s="1064"/>
      <c r="NR48" s="1064"/>
      <c r="NS48" s="1064"/>
      <c r="NT48" s="1064"/>
      <c r="NU48" s="1064"/>
      <c r="NV48" s="1064"/>
      <c r="NW48" s="1064"/>
      <c r="NX48" s="1064"/>
      <c r="NY48" s="1064"/>
      <c r="NZ48" s="1064"/>
      <c r="OA48" s="1064"/>
      <c r="OB48" s="1064"/>
      <c r="OC48" s="1064"/>
    </row>
    <row r="49" spans="1:393" s="886" customFormat="1" ht="12" customHeight="1">
      <c r="B49" s="2384" t="str">
        <f>IF(SUM(E17:E47)=0,"",(B17*E17+B18*E18+B19*E19+B20*E20+B21*E21+B22*E22+B23*E23+B24*E24+B25*E25+B26*E26+B27*E27+B28*E28+B29*E29+B30*E30+B31*E31+B32*E32+B33*E33+B34*E34+B35*E35+B36*E36+B37*E37+B38*E38+B39*E39+B40*E40+B41*E41+B42*E42+B43*E43+B44*E44+B45*E45+B46*E46+B47*E47)/SUM(E17:E47))</f>
        <v/>
      </c>
      <c r="C49" s="2385"/>
      <c r="D49" s="1074" t="s">
        <v>3381</v>
      </c>
      <c r="E49" s="1145">
        <f>SUM(E17:E47)</f>
        <v>0</v>
      </c>
      <c r="F49" s="1146">
        <f>(E17*F17+E18*F18+E19*F19+E20*F20+E21*F21+E22*F22+E23*F23+E24*F24+E25*F25+E26*F26+E27*F27+E28*F28+E29*F29+E30*F30+E31*F31+E32*F32+E33*F33+E34*F34+E35*F35+E36*F36+E37*F37+E38*F38+E39*F39+E40*F40+E41*F41+E42*F42+E43*F43+E44*F44+E45*F45+E46*F46+E47*F47)</f>
        <v>0</v>
      </c>
      <c r="G49" s="2383"/>
      <c r="H49" s="1147" t="s">
        <v>3382</v>
      </c>
      <c r="I49" s="1148" t="str">
        <f>IF(O67=0,"",IF(SUM(O59:O62)/O67&gt;=0.2,"Pass","Fail"))</f>
        <v/>
      </c>
      <c r="J49" s="504"/>
      <c r="K49" s="1133" t="s">
        <v>753</v>
      </c>
      <c r="L49" s="1139">
        <f>L48*12</f>
        <v>0</v>
      </c>
      <c r="M49" s="1018"/>
      <c r="N49" s="1140"/>
      <c r="O49" s="1018"/>
      <c r="P49" s="1018"/>
      <c r="Q49" s="1018"/>
      <c r="R49" s="1018"/>
      <c r="S49" s="1018"/>
      <c r="T49" s="1018"/>
      <c r="U49" s="1018"/>
      <c r="V49" s="1149"/>
      <c r="W49" s="1144"/>
      <c r="X49" s="1144"/>
      <c r="Y49" s="1144"/>
      <c r="Z49" s="1144"/>
      <c r="AA49" s="1144"/>
      <c r="AB49" s="1144"/>
      <c r="AC49" s="1144"/>
      <c r="AD49" s="1144"/>
      <c r="AE49" s="1144"/>
      <c r="AF49" s="1144"/>
      <c r="AG49" s="1144"/>
      <c r="AH49" s="1144"/>
      <c r="AI49" s="1144"/>
      <c r="AJ49" s="1144"/>
      <c r="AK49" s="1144"/>
      <c r="AL49" s="1144"/>
      <c r="AM49" s="1144"/>
      <c r="AN49" s="1144"/>
      <c r="AO49" s="1144"/>
      <c r="AP49" s="1144"/>
      <c r="AQ49" s="1144"/>
      <c r="AR49" s="1144"/>
      <c r="AS49" s="1144"/>
      <c r="AT49" s="1144"/>
      <c r="AU49" s="1144"/>
      <c r="AV49" s="1144"/>
      <c r="AW49" s="1144"/>
      <c r="AX49" s="1144"/>
      <c r="AY49" s="1144"/>
      <c r="AZ49" s="1144"/>
      <c r="BA49" s="1144"/>
      <c r="BB49" s="1144"/>
      <c r="BC49" s="1144"/>
      <c r="BD49" s="1144"/>
      <c r="BE49" s="1144"/>
      <c r="BF49" s="1144"/>
      <c r="BG49" s="1144"/>
      <c r="BH49" s="1144"/>
      <c r="BI49" s="1144"/>
      <c r="BJ49" s="1144"/>
      <c r="BK49" s="1144"/>
      <c r="BL49" s="1144"/>
      <c r="BM49" s="1144"/>
      <c r="BN49" s="1144"/>
      <c r="BO49" s="1144"/>
      <c r="BP49" s="1144"/>
      <c r="BQ49" s="1144"/>
      <c r="BR49" s="1144"/>
      <c r="BS49" s="1144"/>
      <c r="BT49" s="1144"/>
      <c r="BU49" s="1144"/>
      <c r="BV49" s="1144"/>
      <c r="BW49" s="1144"/>
      <c r="BX49" s="1144"/>
      <c r="BY49" s="1144"/>
      <c r="BZ49" s="1144"/>
      <c r="CA49" s="1144"/>
      <c r="CB49" s="1144"/>
      <c r="CC49" s="1144"/>
      <c r="CD49" s="1144"/>
      <c r="CE49" s="1144"/>
      <c r="CF49" s="1144"/>
      <c r="CG49" s="1144"/>
      <c r="CH49" s="1144"/>
      <c r="CI49" s="1144"/>
      <c r="CJ49" s="1144"/>
      <c r="CK49" s="1144"/>
      <c r="CL49" s="1144"/>
      <c r="CM49" s="1144"/>
      <c r="CN49" s="1144"/>
      <c r="CO49" s="1144"/>
      <c r="CP49" s="1144"/>
      <c r="CQ49" s="1144"/>
      <c r="CR49" s="1144"/>
      <c r="CS49" s="1144"/>
      <c r="CT49" s="1144"/>
      <c r="CU49" s="1144"/>
      <c r="CV49" s="1144"/>
      <c r="CW49" s="1144"/>
      <c r="CX49" s="1144"/>
      <c r="CY49" s="1144"/>
      <c r="CZ49" s="1144"/>
      <c r="DA49" s="1144"/>
      <c r="DB49" s="1144"/>
      <c r="DC49" s="1144"/>
      <c r="DD49" s="1144"/>
      <c r="DE49" s="1144"/>
      <c r="DF49" s="1144"/>
      <c r="DG49" s="1144"/>
      <c r="DH49" s="1144"/>
      <c r="DI49" s="1144"/>
      <c r="DJ49" s="1144"/>
      <c r="DK49" s="1144"/>
      <c r="DL49" s="1144"/>
      <c r="DM49" s="1144"/>
      <c r="DN49" s="1144"/>
      <c r="DO49" s="1144"/>
      <c r="DP49" s="1144"/>
      <c r="DQ49" s="1144"/>
      <c r="DR49" s="1144"/>
      <c r="DS49" s="1144"/>
      <c r="DT49" s="1144"/>
      <c r="DU49" s="1144"/>
      <c r="DV49" s="1144"/>
      <c r="DW49" s="1144"/>
      <c r="DX49" s="1144"/>
      <c r="DY49" s="1144"/>
      <c r="DZ49" s="1144"/>
      <c r="EA49" s="1144"/>
      <c r="EB49" s="1144"/>
      <c r="EC49" s="1144"/>
      <c r="ED49" s="1144"/>
      <c r="EE49" s="1144"/>
      <c r="EF49" s="1144"/>
      <c r="EG49" s="1144"/>
      <c r="EH49" s="1144"/>
      <c r="EI49" s="1144"/>
      <c r="EJ49" s="1144"/>
      <c r="EK49" s="1144"/>
      <c r="EL49" s="1144"/>
      <c r="EM49" s="1144"/>
      <c r="EN49" s="1144"/>
      <c r="EO49" s="1144"/>
      <c r="EP49" s="1144"/>
      <c r="EQ49" s="1144"/>
      <c r="ER49" s="1144"/>
      <c r="ES49" s="1144"/>
      <c r="ET49" s="1144"/>
      <c r="EU49" s="1144"/>
      <c r="EV49" s="1144"/>
      <c r="EW49" s="1144"/>
      <c r="EX49" s="1144"/>
      <c r="EY49" s="1144"/>
      <c r="EZ49" s="1144"/>
      <c r="FA49" s="1144"/>
      <c r="FB49" s="1144"/>
      <c r="FC49" s="1144"/>
      <c r="FD49" s="1144"/>
      <c r="FE49" s="1144"/>
      <c r="FF49" s="1144"/>
      <c r="FG49" s="1144"/>
      <c r="FH49" s="1144"/>
      <c r="FI49" s="1144"/>
      <c r="FJ49" s="1144"/>
      <c r="FK49" s="1144"/>
      <c r="FL49" s="1144"/>
      <c r="FM49" s="1144"/>
      <c r="FN49" s="1144"/>
      <c r="FO49" s="1144"/>
      <c r="FP49" s="1144"/>
      <c r="FQ49" s="1144"/>
      <c r="FR49" s="1144"/>
      <c r="FS49" s="1144"/>
      <c r="FT49" s="1144"/>
      <c r="FU49" s="1144"/>
      <c r="FV49" s="1144"/>
      <c r="FW49" s="1144"/>
      <c r="FX49" s="1144"/>
      <c r="FY49" s="1144"/>
      <c r="FZ49" s="1144"/>
      <c r="GA49" s="1144"/>
      <c r="GB49" s="1144"/>
      <c r="GC49" s="1144"/>
      <c r="GD49" s="1144"/>
      <c r="GE49" s="1144"/>
      <c r="GF49" s="1144"/>
      <c r="GG49" s="1144"/>
      <c r="GH49" s="1144"/>
      <c r="GI49" s="1144"/>
      <c r="GJ49" s="1144"/>
      <c r="GK49" s="1144"/>
      <c r="GL49" s="1144"/>
      <c r="GM49" s="1144"/>
      <c r="GN49" s="1144"/>
      <c r="GO49" s="1144"/>
      <c r="GP49" s="1144"/>
      <c r="GQ49" s="1144"/>
      <c r="GR49" s="1144"/>
      <c r="GS49" s="1144"/>
      <c r="GT49" s="1144"/>
      <c r="GU49" s="1144"/>
      <c r="GV49" s="1144"/>
      <c r="GW49" s="1144"/>
      <c r="GX49" s="1144"/>
      <c r="GY49" s="1144"/>
      <c r="GZ49" s="1144"/>
      <c r="HA49" s="1144"/>
      <c r="HB49" s="1144"/>
      <c r="HC49" s="1144"/>
      <c r="HD49" s="1144"/>
      <c r="HE49" s="1144"/>
      <c r="HF49" s="1144"/>
      <c r="HG49" s="1144"/>
      <c r="HH49" s="1144"/>
      <c r="HI49" s="1144"/>
      <c r="HJ49" s="1144"/>
      <c r="HK49" s="1144"/>
      <c r="HL49" s="1144"/>
      <c r="HM49" s="1144"/>
      <c r="HN49" s="1144"/>
      <c r="HO49" s="1144"/>
      <c r="HP49" s="1144"/>
      <c r="HQ49" s="1144"/>
      <c r="HR49" s="1144"/>
      <c r="HS49" s="1144"/>
      <c r="HT49" s="1144"/>
      <c r="HU49" s="1144"/>
      <c r="HV49" s="1144"/>
      <c r="HW49" s="1144"/>
      <c r="HX49" s="1144"/>
      <c r="HY49" s="1144"/>
      <c r="HZ49" s="1144"/>
      <c r="IA49" s="1144"/>
      <c r="IB49" s="1144"/>
      <c r="IC49" s="1144"/>
      <c r="ID49" s="1144"/>
      <c r="IE49" s="1144"/>
      <c r="IF49" s="1144"/>
      <c r="IG49" s="1144"/>
      <c r="IH49" s="1144"/>
      <c r="II49" s="1144"/>
      <c r="IJ49" s="1144"/>
      <c r="IK49" s="1144"/>
      <c r="IL49" s="1144"/>
      <c r="IM49" s="1144"/>
      <c r="IN49" s="1144"/>
      <c r="IO49" s="1144"/>
      <c r="IP49" s="1144"/>
      <c r="IQ49" s="1144"/>
      <c r="IR49" s="1144"/>
      <c r="IS49" s="1144"/>
      <c r="IT49" s="1144"/>
      <c r="IU49" s="1144"/>
      <c r="IV49" s="1144"/>
      <c r="IW49" s="1144"/>
      <c r="IX49" s="1144"/>
      <c r="IY49" s="1144"/>
      <c r="IZ49" s="1144"/>
      <c r="JA49" s="1144"/>
      <c r="JB49" s="1144"/>
      <c r="JC49" s="1144"/>
      <c r="JD49" s="1144"/>
      <c r="JE49" s="1144"/>
      <c r="JF49" s="1144"/>
      <c r="JG49" s="1144"/>
      <c r="JH49" s="1144"/>
      <c r="JI49" s="1144"/>
      <c r="JJ49" s="1144"/>
      <c r="JK49" s="1144"/>
      <c r="JL49" s="1144"/>
      <c r="JM49" s="1144"/>
      <c r="JN49" s="1144"/>
      <c r="JO49" s="1144"/>
      <c r="JP49" s="1144"/>
      <c r="JQ49" s="1144"/>
      <c r="JR49" s="1144"/>
      <c r="JS49" s="1144"/>
      <c r="JT49" s="1144"/>
      <c r="JU49" s="1144"/>
      <c r="JV49" s="1144"/>
      <c r="JW49" s="1144"/>
      <c r="JX49" s="1144"/>
      <c r="JY49" s="1144"/>
      <c r="JZ49" s="1144"/>
      <c r="KA49" s="1144"/>
      <c r="KB49" s="1144"/>
      <c r="KC49" s="1144"/>
      <c r="KD49" s="1144"/>
      <c r="KE49" s="1144"/>
      <c r="KF49" s="1144"/>
      <c r="KG49" s="1144"/>
      <c r="KH49" s="1144"/>
      <c r="KI49" s="1144"/>
      <c r="KJ49" s="1144"/>
      <c r="KK49" s="1144"/>
      <c r="KL49" s="1144"/>
      <c r="KM49" s="1144"/>
      <c r="KN49" s="1144"/>
      <c r="KO49" s="1144"/>
      <c r="KP49" s="1144"/>
      <c r="KQ49" s="1144"/>
      <c r="KR49" s="1144"/>
      <c r="KS49" s="1144"/>
      <c r="KT49" s="1144"/>
      <c r="KU49" s="1144"/>
      <c r="KV49" s="1144"/>
      <c r="KW49" s="1144"/>
      <c r="KX49" s="1144"/>
      <c r="KY49" s="1144"/>
      <c r="KZ49" s="1144"/>
      <c r="LA49" s="1144"/>
      <c r="LB49" s="1144"/>
      <c r="LC49" s="1144"/>
      <c r="LD49" s="1144"/>
      <c r="LE49" s="1144"/>
      <c r="LF49" s="1144"/>
      <c r="LG49" s="1144"/>
      <c r="LH49" s="1144"/>
      <c r="LI49" s="1144"/>
      <c r="LJ49" s="1144"/>
      <c r="LK49" s="1144"/>
      <c r="LL49" s="1144"/>
      <c r="LM49" s="1144"/>
      <c r="LN49" s="1144"/>
      <c r="LO49" s="1144"/>
      <c r="LP49" s="1144"/>
      <c r="LQ49" s="1144"/>
      <c r="LR49" s="1144"/>
      <c r="LS49" s="1144"/>
      <c r="LT49" s="1144"/>
      <c r="LU49" s="1144"/>
      <c r="LV49" s="1144"/>
      <c r="LW49" s="1144"/>
      <c r="LX49" s="1144"/>
      <c r="LY49" s="1144"/>
      <c r="LZ49" s="1144"/>
      <c r="MA49" s="1144"/>
      <c r="MB49" s="1144"/>
      <c r="MC49" s="1144"/>
      <c r="MD49" s="1144"/>
      <c r="ME49" s="1064"/>
      <c r="MF49" s="1064"/>
      <c r="MG49" s="1064"/>
      <c r="MH49" s="1064"/>
      <c r="MI49" s="1064"/>
      <c r="MJ49" s="1064"/>
      <c r="MK49" s="1064"/>
      <c r="ML49" s="1064"/>
      <c r="MM49" s="1064"/>
      <c r="MN49" s="1064"/>
      <c r="MO49" s="1064"/>
      <c r="MP49" s="1064"/>
      <c r="MQ49" s="1064"/>
      <c r="MR49" s="1064"/>
      <c r="MS49" s="1064"/>
      <c r="MT49" s="1064"/>
      <c r="MU49" s="1064"/>
      <c r="MV49" s="1064"/>
      <c r="MW49" s="1064"/>
      <c r="MX49" s="1064"/>
      <c r="MY49" s="1064"/>
      <c r="MZ49" s="1064"/>
      <c r="NA49" s="1064"/>
      <c r="NB49" s="1064"/>
      <c r="NC49" s="1064"/>
      <c r="ND49" s="1064"/>
      <c r="NE49" s="1064"/>
      <c r="NF49" s="1064"/>
      <c r="NG49" s="1064"/>
      <c r="NH49" s="1064"/>
      <c r="NI49" s="1064"/>
      <c r="NJ49" s="1064"/>
      <c r="NK49" s="1064"/>
      <c r="NL49" s="1064"/>
      <c r="NM49" s="1064"/>
      <c r="NN49" s="1064"/>
      <c r="NO49" s="1064"/>
      <c r="NP49" s="1064"/>
      <c r="NQ49" s="1064"/>
      <c r="NR49" s="1064"/>
      <c r="NS49" s="1064"/>
      <c r="NT49" s="1064"/>
      <c r="NU49" s="1064"/>
      <c r="NV49" s="1064"/>
      <c r="NW49" s="1064"/>
      <c r="NX49" s="1064"/>
      <c r="NY49" s="1064"/>
      <c r="NZ49" s="1064"/>
      <c r="OA49" s="1064"/>
      <c r="OB49" s="1064"/>
      <c r="OC49" s="1064"/>
    </row>
    <row r="50" spans="1:393" ht="3" customHeight="1">
      <c r="A50" s="1150"/>
      <c r="B50" s="1141"/>
      <c r="D50" s="1151"/>
      <c r="E50" s="37"/>
      <c r="F50" s="37"/>
      <c r="G50" s="504"/>
      <c r="H50" s="504"/>
      <c r="I50" s="504"/>
      <c r="J50" s="504"/>
      <c r="K50" s="1151"/>
      <c r="L50" s="37"/>
      <c r="M50" s="1018"/>
      <c r="N50" s="851"/>
      <c r="O50" s="1057"/>
      <c r="P50" s="1057"/>
      <c r="Q50" s="1057"/>
      <c r="R50" s="1057"/>
      <c r="S50" s="1057"/>
      <c r="T50" s="1057"/>
      <c r="U50" s="1057"/>
      <c r="V50" s="1152"/>
      <c r="W50" s="1144"/>
      <c r="X50" s="1144"/>
      <c r="Y50" s="1144"/>
      <c r="Z50" s="1144"/>
      <c r="AA50" s="1144"/>
      <c r="AB50" s="1144"/>
      <c r="AC50" s="1144"/>
      <c r="AD50" s="1144"/>
      <c r="AE50" s="1144"/>
      <c r="AF50" s="1144"/>
      <c r="AG50" s="1144"/>
      <c r="AH50" s="1144"/>
      <c r="AI50" s="1144"/>
      <c r="AJ50" s="1144"/>
      <c r="AK50" s="1144"/>
      <c r="AL50" s="1144"/>
      <c r="AM50" s="1144"/>
      <c r="AN50" s="1144"/>
      <c r="AO50" s="1144"/>
      <c r="AP50" s="1144"/>
      <c r="AQ50" s="1144"/>
      <c r="AR50" s="1144"/>
      <c r="AS50" s="1144"/>
      <c r="AT50" s="1144"/>
      <c r="AU50" s="1144"/>
      <c r="AV50" s="1144"/>
      <c r="AW50" s="1144"/>
      <c r="AX50" s="1144"/>
      <c r="AY50" s="1144"/>
      <c r="AZ50" s="1144"/>
      <c r="BA50" s="1144"/>
      <c r="BB50" s="1144"/>
      <c r="BC50" s="1144"/>
      <c r="BD50" s="1144"/>
      <c r="BE50" s="1144"/>
      <c r="BF50" s="1144"/>
      <c r="BG50" s="1144"/>
      <c r="BH50" s="1144"/>
      <c r="BI50" s="1144"/>
      <c r="BJ50" s="1144"/>
      <c r="BK50" s="1144"/>
      <c r="BL50" s="1144"/>
      <c r="BM50" s="1144"/>
      <c r="BN50" s="1144"/>
      <c r="BO50" s="1144"/>
      <c r="BP50" s="1144"/>
      <c r="BQ50" s="1144"/>
      <c r="BR50" s="1144"/>
      <c r="BS50" s="1144"/>
      <c r="BT50" s="1144"/>
      <c r="BU50" s="1144"/>
      <c r="BV50" s="1144"/>
      <c r="BW50" s="1144"/>
      <c r="BX50" s="1144"/>
      <c r="BY50" s="1144"/>
      <c r="BZ50" s="1144"/>
      <c r="CA50" s="1144"/>
      <c r="CB50" s="1144"/>
      <c r="CC50" s="1144"/>
      <c r="CD50" s="1144"/>
      <c r="CE50" s="1144"/>
      <c r="CF50" s="1144"/>
      <c r="CG50" s="1144"/>
      <c r="CH50" s="1144"/>
      <c r="CI50" s="1144"/>
      <c r="CJ50" s="1144"/>
      <c r="CK50" s="1144"/>
      <c r="CL50" s="1144"/>
      <c r="CM50" s="1144"/>
      <c r="CN50" s="1144"/>
      <c r="CO50" s="1144"/>
      <c r="CP50" s="1144"/>
      <c r="CQ50" s="1144"/>
      <c r="CR50" s="1144"/>
      <c r="CS50" s="1144"/>
      <c r="CT50" s="1144"/>
      <c r="CU50" s="1144"/>
      <c r="CV50" s="1144"/>
      <c r="CW50" s="1144"/>
      <c r="CX50" s="1144"/>
      <c r="CY50" s="1144"/>
      <c r="CZ50" s="1144"/>
      <c r="DA50" s="1144"/>
      <c r="DB50" s="1144"/>
      <c r="DC50" s="1144"/>
      <c r="DD50" s="1144"/>
      <c r="DE50" s="1144"/>
      <c r="DF50" s="1144"/>
      <c r="DG50" s="1144"/>
      <c r="DH50" s="1144"/>
      <c r="DI50" s="1144"/>
      <c r="DJ50" s="1144"/>
      <c r="DK50" s="1144"/>
      <c r="DL50" s="1144"/>
      <c r="DM50" s="1144"/>
      <c r="DN50" s="1144"/>
      <c r="DO50" s="1144"/>
      <c r="DP50" s="1144"/>
      <c r="DQ50" s="1144"/>
      <c r="DR50" s="1144"/>
      <c r="DS50" s="1144"/>
      <c r="DT50" s="1144"/>
      <c r="DU50" s="1144"/>
      <c r="DV50" s="1144"/>
      <c r="DW50" s="1144"/>
      <c r="DX50" s="1144"/>
      <c r="DY50" s="1144"/>
      <c r="DZ50" s="1144"/>
      <c r="EA50" s="1144"/>
      <c r="EB50" s="1144"/>
      <c r="EC50" s="1144"/>
      <c r="ED50" s="1144"/>
      <c r="EE50" s="1144"/>
      <c r="EF50" s="1144"/>
      <c r="EG50" s="1144"/>
      <c r="EH50" s="1144"/>
      <c r="EI50" s="1144"/>
      <c r="EJ50" s="1144"/>
      <c r="EK50" s="1144"/>
      <c r="EL50" s="1144"/>
      <c r="EM50" s="1144"/>
      <c r="EN50" s="1144"/>
      <c r="EO50" s="1144"/>
      <c r="EP50" s="1144"/>
      <c r="EQ50" s="1144"/>
      <c r="ER50" s="1144"/>
      <c r="ES50" s="1144"/>
      <c r="ET50" s="1144"/>
      <c r="EU50" s="1144"/>
      <c r="EV50" s="1144"/>
      <c r="EW50" s="1144"/>
      <c r="EX50" s="1144"/>
      <c r="EY50" s="1144"/>
      <c r="EZ50" s="1144"/>
      <c r="FA50" s="1144"/>
      <c r="FB50" s="1144"/>
      <c r="FC50" s="1144"/>
      <c r="FD50" s="1144"/>
      <c r="FE50" s="1144"/>
      <c r="FF50" s="1144"/>
      <c r="FG50" s="1144"/>
      <c r="FH50" s="1144"/>
      <c r="FI50" s="1144"/>
      <c r="FJ50" s="1144"/>
      <c r="FK50" s="1144"/>
      <c r="FL50" s="1144"/>
      <c r="FM50" s="1144"/>
      <c r="FN50" s="1144"/>
      <c r="FO50" s="1144"/>
      <c r="FP50" s="1144"/>
      <c r="FQ50" s="1144"/>
      <c r="FR50" s="1144"/>
      <c r="FS50" s="1144"/>
      <c r="FT50" s="1144"/>
      <c r="FU50" s="1144"/>
      <c r="FV50" s="1144"/>
      <c r="FW50" s="1144"/>
      <c r="FX50" s="1144"/>
      <c r="FY50" s="1144"/>
      <c r="FZ50" s="1144"/>
      <c r="GA50" s="1144"/>
      <c r="GB50" s="1144"/>
      <c r="GC50" s="1144"/>
      <c r="GD50" s="1144"/>
      <c r="GE50" s="1144"/>
      <c r="GF50" s="1144"/>
      <c r="GG50" s="1144"/>
      <c r="GH50" s="1144"/>
      <c r="GI50" s="1144"/>
      <c r="GJ50" s="1144"/>
      <c r="GK50" s="1144"/>
      <c r="GL50" s="1144"/>
      <c r="GM50" s="1144"/>
      <c r="GN50" s="1144"/>
      <c r="GO50" s="1144"/>
      <c r="GP50" s="1144"/>
      <c r="GQ50" s="1144"/>
      <c r="GR50" s="1144"/>
      <c r="GS50" s="1144"/>
      <c r="GT50" s="1144"/>
      <c r="GU50" s="1144"/>
      <c r="GV50" s="1144"/>
      <c r="GW50" s="1144"/>
      <c r="GX50" s="1144"/>
      <c r="GY50" s="1144"/>
      <c r="GZ50" s="1144"/>
      <c r="HA50" s="1144"/>
      <c r="HB50" s="1144"/>
      <c r="HC50" s="1144"/>
      <c r="HD50" s="1144"/>
      <c r="HE50" s="1144"/>
      <c r="HF50" s="1144"/>
      <c r="HG50" s="1144"/>
      <c r="HH50" s="1144"/>
      <c r="HI50" s="1144"/>
      <c r="HJ50" s="1144"/>
      <c r="HK50" s="1144"/>
      <c r="HL50" s="1144"/>
      <c r="HM50" s="1144"/>
      <c r="HN50" s="1144"/>
      <c r="HO50" s="1144"/>
      <c r="HP50" s="1144"/>
      <c r="HQ50" s="1144"/>
      <c r="HR50" s="1144"/>
      <c r="HS50" s="1144"/>
      <c r="HT50" s="1144"/>
      <c r="HU50" s="1144"/>
      <c r="HV50" s="1144"/>
      <c r="HW50" s="1144"/>
      <c r="HX50" s="1144"/>
      <c r="HY50" s="1144"/>
      <c r="HZ50" s="1144"/>
      <c r="IA50" s="1144"/>
      <c r="IB50" s="1144"/>
      <c r="IC50" s="1144"/>
      <c r="ID50" s="1144"/>
      <c r="IE50" s="1144"/>
      <c r="IF50" s="1144"/>
      <c r="IG50" s="1144"/>
      <c r="IH50" s="1144"/>
      <c r="II50" s="1144"/>
      <c r="IJ50" s="1144"/>
      <c r="IK50" s="1144"/>
      <c r="IL50" s="1144"/>
      <c r="IM50" s="1144"/>
      <c r="IN50" s="1144"/>
      <c r="IO50" s="1144"/>
      <c r="IP50" s="1144"/>
      <c r="IQ50" s="1144"/>
      <c r="IR50" s="1144"/>
      <c r="IS50" s="1144"/>
      <c r="IT50" s="1144"/>
      <c r="IU50" s="1144"/>
      <c r="IV50" s="1144"/>
      <c r="IW50" s="1144"/>
      <c r="IX50" s="1144"/>
      <c r="IY50" s="1144"/>
      <c r="IZ50" s="1144"/>
      <c r="JA50" s="1144"/>
      <c r="JB50" s="1144"/>
      <c r="JC50" s="1144"/>
      <c r="JD50" s="1144"/>
      <c r="JE50" s="1144"/>
      <c r="JF50" s="1144"/>
      <c r="JG50" s="1144"/>
      <c r="JH50" s="1144"/>
      <c r="JI50" s="1144"/>
      <c r="JJ50" s="1144"/>
      <c r="JK50" s="1144"/>
      <c r="JL50" s="1144"/>
      <c r="JM50" s="1144"/>
      <c r="JN50" s="1144"/>
      <c r="JO50" s="1144"/>
      <c r="JP50" s="1144"/>
      <c r="JQ50" s="1144"/>
      <c r="JR50" s="1144"/>
      <c r="JS50" s="1144"/>
      <c r="JT50" s="1144"/>
      <c r="JU50" s="1144"/>
      <c r="JV50" s="1144"/>
      <c r="JW50" s="1144"/>
      <c r="JX50" s="1144"/>
      <c r="JY50" s="1144"/>
      <c r="JZ50" s="1144"/>
      <c r="KA50" s="1144"/>
      <c r="KB50" s="1144"/>
      <c r="KC50" s="1144"/>
      <c r="KD50" s="1144"/>
      <c r="KE50" s="1144"/>
      <c r="KF50" s="1144"/>
      <c r="KG50" s="1144"/>
      <c r="KH50" s="1144"/>
      <c r="KI50" s="1144"/>
      <c r="KJ50" s="1144"/>
      <c r="KK50" s="1144"/>
      <c r="KL50" s="1144"/>
      <c r="KM50" s="1144"/>
      <c r="KN50" s="1144"/>
      <c r="KO50" s="1144"/>
      <c r="KP50" s="1144"/>
      <c r="KQ50" s="1144"/>
      <c r="KR50" s="1144"/>
      <c r="KS50" s="1144"/>
      <c r="KT50" s="1144"/>
      <c r="KU50" s="1144"/>
      <c r="KV50" s="1144"/>
      <c r="KW50" s="1144"/>
      <c r="KX50" s="1144"/>
      <c r="KY50" s="1144"/>
      <c r="KZ50" s="1144"/>
      <c r="LA50" s="1144"/>
      <c r="LB50" s="1144"/>
      <c r="LC50" s="1144"/>
      <c r="LD50" s="1144"/>
      <c r="LE50" s="1144"/>
      <c r="LF50" s="1144"/>
      <c r="LG50" s="1144"/>
      <c r="LH50" s="1144"/>
      <c r="LI50" s="1144"/>
      <c r="LJ50" s="1144"/>
      <c r="LK50" s="1144"/>
      <c r="LL50" s="1144"/>
      <c r="LM50" s="1144"/>
      <c r="LN50" s="1144"/>
      <c r="LO50" s="1144"/>
      <c r="LP50" s="1144"/>
      <c r="LQ50" s="1144"/>
      <c r="LR50" s="1144"/>
      <c r="LS50" s="1144"/>
      <c r="LT50" s="1144"/>
      <c r="LU50" s="1144"/>
      <c r="LV50" s="1144"/>
      <c r="LW50" s="1144"/>
      <c r="LX50" s="1144"/>
      <c r="LY50" s="1144"/>
      <c r="LZ50" s="1144"/>
      <c r="MA50" s="1144"/>
      <c r="MB50" s="1144"/>
      <c r="MC50" s="1144"/>
      <c r="MD50" s="1144"/>
    </row>
    <row r="51" spans="1:393" ht="12" customHeight="1">
      <c r="A51" s="2386" t="s">
        <v>2329</v>
      </c>
      <c r="B51" s="2387"/>
      <c r="C51" s="2387"/>
      <c r="D51" s="2387"/>
      <c r="E51" s="2387"/>
      <c r="F51" s="2387"/>
      <c r="G51" s="2387"/>
      <c r="H51" s="2387"/>
      <c r="I51" s="2387"/>
      <c r="J51" s="2387"/>
      <c r="K51" s="2387"/>
      <c r="L51" s="2387"/>
      <c r="M51" s="2387"/>
      <c r="N51" s="2387"/>
      <c r="O51" s="2387"/>
      <c r="P51" s="2387"/>
      <c r="Q51" s="1153"/>
      <c r="R51" s="1057"/>
      <c r="S51" s="1057"/>
      <c r="T51" s="1057"/>
      <c r="U51" s="1057"/>
      <c r="V51" s="1152"/>
      <c r="W51" s="1144"/>
      <c r="X51" s="1144"/>
      <c r="Y51" s="1144"/>
      <c r="Z51" s="1144"/>
      <c r="AA51" s="1144"/>
      <c r="AB51" s="1144"/>
      <c r="AC51" s="1144"/>
      <c r="AD51" s="1144"/>
      <c r="AE51" s="1144"/>
      <c r="AF51" s="1144"/>
      <c r="AG51" s="1144"/>
      <c r="AH51" s="1144"/>
      <c r="AI51" s="1144"/>
      <c r="AJ51" s="1144"/>
      <c r="AK51" s="1144"/>
      <c r="AL51" s="1144"/>
      <c r="AM51" s="1144"/>
      <c r="AN51" s="1144"/>
      <c r="AO51" s="1144"/>
      <c r="AP51" s="1144"/>
      <c r="AQ51" s="1144"/>
      <c r="AR51" s="1144"/>
      <c r="AS51" s="1144"/>
      <c r="AT51" s="1144"/>
      <c r="AU51" s="1144"/>
      <c r="AV51" s="1144"/>
      <c r="AW51" s="1144"/>
      <c r="AX51" s="1144"/>
      <c r="AY51" s="1144"/>
      <c r="AZ51" s="1144"/>
      <c r="BA51" s="1144"/>
      <c r="BB51" s="1144"/>
      <c r="BC51" s="1144"/>
      <c r="BD51" s="1144"/>
      <c r="BE51" s="1144"/>
      <c r="BF51" s="1144"/>
      <c r="BG51" s="1144"/>
      <c r="BH51" s="1144"/>
      <c r="BI51" s="1144"/>
      <c r="BJ51" s="1144"/>
      <c r="BK51" s="1144"/>
      <c r="BL51" s="1144"/>
      <c r="BM51" s="1144"/>
      <c r="BN51" s="1144"/>
      <c r="BO51" s="1144"/>
      <c r="BP51" s="1144"/>
      <c r="BQ51" s="1144"/>
      <c r="BR51" s="1144"/>
      <c r="BS51" s="1144"/>
      <c r="BT51" s="1144"/>
      <c r="BU51" s="1144"/>
      <c r="BV51" s="1144"/>
      <c r="BW51" s="1144"/>
      <c r="BX51" s="1144"/>
      <c r="BY51" s="1144"/>
      <c r="BZ51" s="1144"/>
      <c r="CA51" s="1144"/>
      <c r="CB51" s="1144"/>
      <c r="CC51" s="1144"/>
      <c r="CD51" s="1144"/>
      <c r="CE51" s="1144"/>
      <c r="CF51" s="1144"/>
      <c r="CG51" s="1144"/>
      <c r="CH51" s="1144"/>
      <c r="CI51" s="1144"/>
      <c r="CJ51" s="1144"/>
      <c r="CK51" s="1144"/>
      <c r="CL51" s="1144"/>
      <c r="CM51" s="1144"/>
      <c r="CN51" s="1144"/>
      <c r="CO51" s="1144"/>
      <c r="CP51" s="1144"/>
      <c r="CQ51" s="1144"/>
      <c r="CR51" s="1144"/>
      <c r="CS51" s="1144"/>
      <c r="CT51" s="1144"/>
      <c r="CU51" s="1144"/>
      <c r="CV51" s="1144"/>
      <c r="CW51" s="1144"/>
      <c r="CX51" s="1144"/>
      <c r="CY51" s="1144"/>
      <c r="CZ51" s="1144"/>
      <c r="DA51" s="1144"/>
      <c r="DB51" s="1144"/>
      <c r="DC51" s="1144"/>
      <c r="DD51" s="1144"/>
      <c r="DE51" s="1144"/>
      <c r="DF51" s="1144"/>
      <c r="DG51" s="1144"/>
      <c r="DH51" s="1144"/>
      <c r="DI51" s="1144"/>
      <c r="DJ51" s="1144"/>
      <c r="DK51" s="1144"/>
      <c r="DL51" s="1144"/>
      <c r="DM51" s="1144"/>
      <c r="DN51" s="1144"/>
      <c r="DO51" s="1144"/>
      <c r="DP51" s="1144"/>
      <c r="DQ51" s="1144"/>
      <c r="DR51" s="1144"/>
      <c r="DS51" s="1144"/>
      <c r="DT51" s="1144"/>
      <c r="DU51" s="1144"/>
      <c r="DV51" s="1144"/>
      <c r="DW51" s="1144"/>
      <c r="DX51" s="1144"/>
      <c r="DY51" s="1144"/>
      <c r="DZ51" s="1144"/>
      <c r="EA51" s="1144"/>
      <c r="EB51" s="1144"/>
      <c r="EC51" s="1144"/>
      <c r="ED51" s="1144"/>
      <c r="EE51" s="1144"/>
      <c r="EF51" s="1144"/>
      <c r="EG51" s="1144"/>
      <c r="EH51" s="1144"/>
      <c r="EI51" s="1144"/>
      <c r="EJ51" s="1144"/>
      <c r="EK51" s="1144"/>
      <c r="EL51" s="1144"/>
      <c r="EM51" s="1144"/>
      <c r="EN51" s="1144"/>
      <c r="EO51" s="1144"/>
      <c r="EP51" s="1144"/>
      <c r="EQ51" s="1144"/>
      <c r="ER51" s="1144"/>
      <c r="ES51" s="1144"/>
      <c r="ET51" s="1144"/>
      <c r="EU51" s="1144"/>
      <c r="EV51" s="1144"/>
      <c r="EW51" s="1144"/>
      <c r="EX51" s="1144"/>
      <c r="EY51" s="1144"/>
      <c r="EZ51" s="1144"/>
      <c r="FA51" s="1144"/>
      <c r="FB51" s="1144"/>
      <c r="FC51" s="1144"/>
      <c r="FD51" s="1144"/>
      <c r="FE51" s="1144"/>
      <c r="FF51" s="1144"/>
      <c r="FG51" s="1144"/>
      <c r="FH51" s="1144"/>
      <c r="FI51" s="1144"/>
      <c r="FJ51" s="1144"/>
      <c r="FK51" s="1144"/>
      <c r="FL51" s="1144"/>
      <c r="FM51" s="1144"/>
      <c r="FN51" s="1144"/>
      <c r="FO51" s="1144"/>
      <c r="FP51" s="1144"/>
      <c r="FQ51" s="1144"/>
      <c r="FR51" s="1144"/>
      <c r="FS51" s="1144"/>
      <c r="FT51" s="1144"/>
      <c r="FU51" s="1144"/>
      <c r="FV51" s="1144"/>
      <c r="FW51" s="1144"/>
      <c r="FX51" s="1144"/>
      <c r="FY51" s="1144"/>
      <c r="FZ51" s="1144"/>
      <c r="GA51" s="1144"/>
      <c r="GB51" s="1144"/>
      <c r="GC51" s="1144"/>
      <c r="GD51" s="1144"/>
      <c r="GE51" s="1144"/>
      <c r="GF51" s="1144"/>
      <c r="GG51" s="1144"/>
      <c r="GH51" s="1144"/>
      <c r="GI51" s="1144"/>
      <c r="GJ51" s="1144"/>
      <c r="GK51" s="1144"/>
      <c r="GL51" s="1144"/>
      <c r="GM51" s="1144"/>
      <c r="GN51" s="1144"/>
      <c r="GO51" s="1144"/>
      <c r="GP51" s="1144"/>
      <c r="GQ51" s="1144"/>
      <c r="GR51" s="1144"/>
      <c r="GS51" s="1144"/>
      <c r="GT51" s="1144"/>
      <c r="GU51" s="1144"/>
      <c r="GV51" s="1144"/>
      <c r="GW51" s="1144"/>
      <c r="GX51" s="1144"/>
      <c r="GY51" s="1144"/>
      <c r="GZ51" s="1144"/>
      <c r="HA51" s="1144"/>
      <c r="HB51" s="1144"/>
      <c r="HC51" s="1144"/>
      <c r="HD51" s="1144"/>
      <c r="HE51" s="1144"/>
      <c r="HF51" s="1144"/>
      <c r="HG51" s="1144"/>
      <c r="HH51" s="1144"/>
      <c r="HI51" s="1144"/>
      <c r="HJ51" s="1144"/>
      <c r="HK51" s="1144"/>
      <c r="HL51" s="1144"/>
      <c r="HM51" s="1144"/>
      <c r="HN51" s="1144"/>
      <c r="HO51" s="1144"/>
      <c r="HP51" s="1144"/>
      <c r="HQ51" s="1144"/>
      <c r="HR51" s="1144"/>
      <c r="HS51" s="1144"/>
      <c r="HT51" s="1144"/>
      <c r="HU51" s="1144"/>
      <c r="HV51" s="1144"/>
      <c r="HW51" s="1144"/>
      <c r="HX51" s="1144"/>
      <c r="HY51" s="1144"/>
      <c r="HZ51" s="1144"/>
      <c r="IA51" s="1144"/>
      <c r="IB51" s="1144"/>
      <c r="IC51" s="1144"/>
      <c r="ID51" s="1144"/>
      <c r="IE51" s="1144"/>
      <c r="IF51" s="1144"/>
      <c r="IG51" s="1144"/>
      <c r="IH51" s="1144"/>
      <c r="II51" s="1144"/>
      <c r="IJ51" s="1144"/>
      <c r="IK51" s="1144"/>
      <c r="IL51" s="1144"/>
      <c r="IM51" s="1144"/>
      <c r="IN51" s="1144"/>
      <c r="IO51" s="1144"/>
      <c r="IP51" s="1144"/>
      <c r="IQ51" s="1144"/>
      <c r="IR51" s="1144"/>
      <c r="IS51" s="1144"/>
      <c r="IT51" s="1144"/>
      <c r="IU51" s="1144"/>
      <c r="IV51" s="1144"/>
      <c r="IW51" s="1144"/>
      <c r="IX51" s="1144"/>
      <c r="IY51" s="1144"/>
      <c r="IZ51" s="1144"/>
      <c r="JA51" s="1144"/>
      <c r="JB51" s="1144"/>
      <c r="JC51" s="1144"/>
      <c r="JD51" s="1144"/>
      <c r="JE51" s="1144"/>
      <c r="JF51" s="1144"/>
      <c r="JG51" s="1144"/>
      <c r="JH51" s="1144"/>
      <c r="JI51" s="1144"/>
      <c r="JJ51" s="1144"/>
      <c r="JK51" s="1144"/>
      <c r="JL51" s="1144"/>
      <c r="JM51" s="1144"/>
      <c r="JN51" s="1144"/>
      <c r="JO51" s="1144"/>
      <c r="JP51" s="1144"/>
      <c r="JQ51" s="1144"/>
      <c r="JR51" s="1144"/>
      <c r="JS51" s="1144"/>
      <c r="JT51" s="1144"/>
      <c r="JU51" s="1144"/>
      <c r="JV51" s="1144"/>
      <c r="JW51" s="1144"/>
      <c r="JX51" s="1144"/>
      <c r="JY51" s="1144"/>
      <c r="JZ51" s="1144"/>
      <c r="KA51" s="1144"/>
      <c r="KB51" s="1144"/>
      <c r="KC51" s="1144"/>
      <c r="KD51" s="1144"/>
      <c r="KE51" s="1144"/>
      <c r="KF51" s="1144"/>
      <c r="KG51" s="1144"/>
      <c r="KH51" s="1144"/>
      <c r="KI51" s="1144"/>
      <c r="KJ51" s="1144"/>
      <c r="KK51" s="1144"/>
      <c r="KL51" s="1144"/>
      <c r="KM51" s="1144"/>
      <c r="KN51" s="1144"/>
      <c r="KO51" s="1144"/>
      <c r="KP51" s="1144"/>
      <c r="KQ51" s="1144"/>
      <c r="KR51" s="1144"/>
      <c r="KS51" s="1144"/>
      <c r="KT51" s="1144"/>
      <c r="KU51" s="1144"/>
      <c r="KV51" s="1144"/>
      <c r="KW51" s="1144"/>
      <c r="KX51" s="1144"/>
      <c r="KY51" s="1144"/>
      <c r="KZ51" s="1144"/>
      <c r="LA51" s="1144"/>
      <c r="LB51" s="1144"/>
      <c r="LC51" s="1144"/>
      <c r="LD51" s="1144"/>
      <c r="LE51" s="1144"/>
      <c r="LF51" s="1144"/>
      <c r="LG51" s="1144"/>
      <c r="LH51" s="1144"/>
      <c r="LI51" s="1144"/>
      <c r="LJ51" s="1144"/>
      <c r="LK51" s="1144"/>
      <c r="LL51" s="1144"/>
      <c r="LM51" s="1144"/>
      <c r="LN51" s="1144"/>
      <c r="LO51" s="1144"/>
      <c r="LP51" s="1144"/>
      <c r="LQ51" s="1144"/>
      <c r="LR51" s="1144"/>
      <c r="LS51" s="1144"/>
      <c r="LT51" s="1144"/>
      <c r="LU51" s="1144"/>
      <c r="LV51" s="1144"/>
      <c r="LW51" s="1144"/>
      <c r="LX51" s="1144"/>
      <c r="LY51" s="1144"/>
      <c r="LZ51" s="1144"/>
      <c r="MA51" s="1144"/>
      <c r="MB51" s="1144"/>
      <c r="MC51" s="1144"/>
      <c r="MD51" s="1144"/>
    </row>
    <row r="52" spans="1:393" ht="12" customHeight="1" thickBot="1">
      <c r="A52" s="2387"/>
      <c r="B52" s="2387"/>
      <c r="C52" s="2387"/>
      <c r="D52" s="2387"/>
      <c r="E52" s="2387"/>
      <c r="F52" s="2387"/>
      <c r="G52" s="2387"/>
      <c r="H52" s="2387"/>
      <c r="I52" s="2387"/>
      <c r="J52" s="2387"/>
      <c r="K52" s="2387"/>
      <c r="L52" s="2387"/>
      <c r="M52" s="2387"/>
      <c r="N52" s="2387"/>
      <c r="O52" s="2387"/>
      <c r="P52" s="2387"/>
      <c r="Q52" s="1153"/>
      <c r="R52" s="1057"/>
      <c r="S52" s="1057"/>
      <c r="T52" s="1057"/>
      <c r="U52" s="1057"/>
      <c r="V52" s="1152"/>
      <c r="W52" s="1144"/>
      <c r="X52" s="1144"/>
      <c r="Y52" s="1144"/>
      <c r="Z52" s="1144"/>
      <c r="AA52" s="1144"/>
      <c r="AB52" s="1144"/>
      <c r="AC52" s="1144"/>
      <c r="AD52" s="1144"/>
      <c r="AE52" s="1144"/>
      <c r="AF52" s="1144"/>
      <c r="AG52" s="1144"/>
      <c r="AH52" s="1144"/>
      <c r="AI52" s="1144"/>
      <c r="AJ52" s="1144"/>
      <c r="AK52" s="1144"/>
      <c r="AL52" s="1144"/>
      <c r="AM52" s="1144"/>
      <c r="AN52" s="1144"/>
      <c r="AO52" s="1144"/>
      <c r="AP52" s="1144"/>
      <c r="AQ52" s="1144"/>
      <c r="AR52" s="1144"/>
      <c r="AS52" s="1144"/>
      <c r="AT52" s="1144"/>
      <c r="AU52" s="1144"/>
      <c r="AV52" s="1144"/>
      <c r="AW52" s="1144"/>
      <c r="AX52" s="1144"/>
      <c r="AY52" s="1144"/>
      <c r="AZ52" s="1144"/>
      <c r="BA52" s="1144"/>
      <c r="BB52" s="1144"/>
      <c r="BC52" s="1144"/>
      <c r="BD52" s="1144"/>
      <c r="BE52" s="1144"/>
      <c r="BF52" s="1144"/>
      <c r="BG52" s="1144"/>
      <c r="BH52" s="1144"/>
      <c r="BI52" s="1144"/>
      <c r="BJ52" s="1144"/>
      <c r="BK52" s="1144"/>
      <c r="BL52" s="1144"/>
      <c r="BM52" s="1144"/>
      <c r="BN52" s="1144"/>
      <c r="BO52" s="1144"/>
      <c r="BP52" s="1144"/>
      <c r="BQ52" s="1144"/>
      <c r="BR52" s="1144"/>
      <c r="BS52" s="1144"/>
      <c r="BT52" s="1144"/>
      <c r="BU52" s="1144"/>
      <c r="BV52" s="1144"/>
      <c r="BW52" s="1144"/>
      <c r="BX52" s="1144"/>
      <c r="BY52" s="1144"/>
      <c r="BZ52" s="1144"/>
      <c r="CA52" s="1144"/>
      <c r="CB52" s="1144"/>
      <c r="CC52" s="1144"/>
      <c r="CD52" s="1144"/>
      <c r="CE52" s="1144"/>
      <c r="CF52" s="1144"/>
      <c r="CG52" s="1144"/>
      <c r="CH52" s="1144"/>
      <c r="CI52" s="1144"/>
      <c r="CJ52" s="1144"/>
      <c r="CK52" s="1144"/>
      <c r="CL52" s="1144"/>
      <c r="CM52" s="1144"/>
      <c r="CN52" s="1144"/>
      <c r="CO52" s="1144"/>
      <c r="CP52" s="1144"/>
      <c r="CQ52" s="1144"/>
      <c r="CR52" s="1144"/>
      <c r="CS52" s="1144"/>
      <c r="CT52" s="1144"/>
      <c r="CU52" s="1144"/>
      <c r="CV52" s="1144"/>
      <c r="CW52" s="1144"/>
      <c r="CX52" s="1144"/>
      <c r="CY52" s="1144"/>
      <c r="CZ52" s="1144"/>
      <c r="DA52" s="1144"/>
      <c r="DB52" s="1144"/>
      <c r="DC52" s="1144"/>
      <c r="DD52" s="1144"/>
      <c r="DE52" s="1144"/>
      <c r="DF52" s="1144"/>
      <c r="DG52" s="1144"/>
      <c r="DH52" s="1144"/>
      <c r="DI52" s="1144"/>
      <c r="DJ52" s="1144"/>
      <c r="DK52" s="1144"/>
      <c r="DL52" s="1144"/>
      <c r="DM52" s="1144"/>
      <c r="DN52" s="1144"/>
      <c r="DO52" s="1144"/>
      <c r="DP52" s="1144"/>
      <c r="DQ52" s="1144"/>
      <c r="DR52" s="1144"/>
      <c r="DS52" s="1144"/>
      <c r="DT52" s="1144"/>
      <c r="DU52" s="1144"/>
      <c r="DV52" s="1144"/>
      <c r="DW52" s="1144"/>
      <c r="DX52" s="1144"/>
      <c r="DY52" s="1144"/>
      <c r="DZ52" s="1144"/>
      <c r="EA52" s="1144"/>
      <c r="EB52" s="1144"/>
      <c r="EC52" s="1144"/>
      <c r="ED52" s="1144"/>
      <c r="EE52" s="1144"/>
      <c r="EF52" s="1144"/>
      <c r="EG52" s="1144"/>
      <c r="EH52" s="1144"/>
      <c r="EI52" s="1144"/>
      <c r="EJ52" s="1144"/>
      <c r="EK52" s="1144"/>
      <c r="EL52" s="1144"/>
      <c r="EM52" s="1144"/>
      <c r="EN52" s="1144"/>
      <c r="EO52" s="1144"/>
      <c r="EP52" s="1144"/>
      <c r="EQ52" s="1144"/>
      <c r="ER52" s="1144"/>
      <c r="ES52" s="1144"/>
      <c r="ET52" s="1144"/>
      <c r="EU52" s="1144"/>
      <c r="EV52" s="1144"/>
      <c r="EW52" s="1144"/>
      <c r="EX52" s="1144"/>
      <c r="EY52" s="1144"/>
      <c r="EZ52" s="1144"/>
      <c r="FA52" s="1144"/>
      <c r="FB52" s="1144"/>
      <c r="FC52" s="1144"/>
      <c r="FD52" s="1144"/>
      <c r="FE52" s="1144"/>
      <c r="FF52" s="1144"/>
      <c r="FG52" s="1144"/>
      <c r="FH52" s="1144"/>
      <c r="FI52" s="1144"/>
      <c r="FJ52" s="1144"/>
      <c r="FK52" s="1144"/>
      <c r="FL52" s="1144"/>
      <c r="FM52" s="1144"/>
      <c r="FN52" s="1144"/>
      <c r="FO52" s="1144"/>
      <c r="FP52" s="1144"/>
      <c r="FQ52" s="1144"/>
      <c r="FR52" s="1144"/>
      <c r="FS52" s="1144"/>
      <c r="FT52" s="1144"/>
      <c r="FU52" s="1144"/>
      <c r="FV52" s="1144"/>
      <c r="FW52" s="1144"/>
      <c r="FX52" s="1144"/>
      <c r="FY52" s="1144"/>
      <c r="FZ52" s="1144"/>
      <c r="GA52" s="1144"/>
      <c r="GB52" s="1144"/>
      <c r="GC52" s="1144"/>
      <c r="GD52" s="1144"/>
      <c r="GE52" s="1144"/>
      <c r="GF52" s="1144"/>
      <c r="GG52" s="1144"/>
      <c r="GH52" s="1144"/>
      <c r="GI52" s="1144"/>
      <c r="GJ52" s="1144"/>
      <c r="GK52" s="1144"/>
      <c r="GL52" s="1144"/>
      <c r="GM52" s="1144"/>
      <c r="GN52" s="1144"/>
      <c r="GO52" s="1144"/>
      <c r="GP52" s="1144"/>
      <c r="GQ52" s="1144"/>
      <c r="GR52" s="1144"/>
      <c r="GS52" s="1144"/>
      <c r="GT52" s="1144"/>
      <c r="GU52" s="1144"/>
      <c r="GV52" s="1144"/>
      <c r="GW52" s="1144"/>
      <c r="GX52" s="1144"/>
      <c r="GY52" s="1144"/>
      <c r="GZ52" s="1144"/>
      <c r="HA52" s="1144"/>
      <c r="HB52" s="1144"/>
      <c r="HC52" s="1144"/>
      <c r="HD52" s="1144"/>
      <c r="HE52" s="1144"/>
      <c r="HF52" s="1144"/>
      <c r="HG52" s="1144"/>
      <c r="HH52" s="1144"/>
      <c r="HI52" s="1144"/>
      <c r="HJ52" s="1144"/>
      <c r="HK52" s="1144"/>
      <c r="HL52" s="1144"/>
      <c r="HM52" s="1144"/>
      <c r="HN52" s="1144"/>
      <c r="HO52" s="1144"/>
      <c r="HP52" s="1144"/>
      <c r="HQ52" s="1144"/>
      <c r="HR52" s="1144"/>
      <c r="HS52" s="1144"/>
      <c r="HT52" s="1144"/>
      <c r="HU52" s="1144"/>
      <c r="HV52" s="1144"/>
      <c r="HW52" s="1144"/>
      <c r="HX52" s="1144"/>
      <c r="HY52" s="1144"/>
      <c r="HZ52" s="1144"/>
      <c r="IA52" s="1144"/>
      <c r="IB52" s="1144"/>
      <c r="IC52" s="1144"/>
      <c r="ID52" s="1144"/>
      <c r="IE52" s="1144"/>
      <c r="IF52" s="1144"/>
      <c r="IG52" s="1144"/>
      <c r="IH52" s="1144"/>
      <c r="II52" s="1144"/>
      <c r="IJ52" s="1144"/>
      <c r="IK52" s="1144"/>
      <c r="IL52" s="1144"/>
      <c r="IM52" s="1144"/>
      <c r="IN52" s="1144"/>
      <c r="IO52" s="1144"/>
      <c r="IP52" s="1144"/>
      <c r="IQ52" s="1144"/>
      <c r="IR52" s="1144"/>
      <c r="IS52" s="1144"/>
      <c r="IT52" s="1144"/>
      <c r="IU52" s="1144"/>
      <c r="IV52" s="1144"/>
      <c r="IW52" s="1144"/>
      <c r="IX52" s="1144"/>
      <c r="IY52" s="1144"/>
      <c r="IZ52" s="1144"/>
      <c r="JA52" s="1144"/>
      <c r="JB52" s="1144"/>
      <c r="JC52" s="1144"/>
      <c r="JD52" s="1144"/>
      <c r="JE52" s="1144"/>
      <c r="JF52" s="1144"/>
      <c r="JG52" s="1144"/>
      <c r="JH52" s="1144"/>
      <c r="JI52" s="1144"/>
      <c r="JJ52" s="1144"/>
      <c r="JK52" s="1144"/>
      <c r="JL52" s="1144"/>
      <c r="JM52" s="1144"/>
      <c r="JN52" s="1144"/>
      <c r="JO52" s="1144"/>
      <c r="JP52" s="1144"/>
      <c r="JQ52" s="1144"/>
      <c r="JR52" s="1144"/>
      <c r="JS52" s="1144"/>
      <c r="JT52" s="1144"/>
      <c r="JU52" s="1144"/>
      <c r="JV52" s="1144"/>
      <c r="JW52" s="1144"/>
      <c r="JX52" s="1144"/>
      <c r="JY52" s="1144"/>
      <c r="JZ52" s="1144"/>
      <c r="KA52" s="1144"/>
      <c r="KB52" s="1144"/>
      <c r="KC52" s="1144"/>
      <c r="KD52" s="1144"/>
      <c r="KE52" s="1144"/>
      <c r="KF52" s="1144"/>
      <c r="KG52" s="1144"/>
      <c r="KH52" s="1144"/>
      <c r="KI52" s="1144"/>
      <c r="KJ52" s="1144"/>
      <c r="KK52" s="1144"/>
      <c r="KL52" s="1144"/>
      <c r="KM52" s="1144"/>
      <c r="KN52" s="1144"/>
      <c r="KO52" s="1144"/>
      <c r="KP52" s="1144"/>
      <c r="KQ52" s="1144"/>
      <c r="KR52" s="1144"/>
      <c r="KS52" s="1144"/>
      <c r="KT52" s="1144"/>
      <c r="KU52" s="1144"/>
      <c r="KV52" s="1144"/>
      <c r="KW52" s="1144"/>
      <c r="KX52" s="1144"/>
      <c r="KY52" s="1144"/>
      <c r="KZ52" s="1144"/>
      <c r="LA52" s="1144"/>
      <c r="LB52" s="1144"/>
      <c r="LC52" s="1144"/>
      <c r="LD52" s="1144"/>
      <c r="LE52" s="1144"/>
      <c r="LF52" s="1144"/>
      <c r="LG52" s="1144"/>
      <c r="LH52" s="1144"/>
      <c r="LI52" s="1144"/>
      <c r="LJ52" s="1144"/>
      <c r="LK52" s="1144"/>
      <c r="LL52" s="1144"/>
      <c r="LM52" s="1144"/>
      <c r="LN52" s="1144"/>
      <c r="LO52" s="1144"/>
      <c r="LP52" s="1144"/>
      <c r="LQ52" s="1144"/>
      <c r="LR52" s="1144"/>
      <c r="LS52" s="1144"/>
      <c r="LT52" s="1144"/>
      <c r="LU52" s="1144"/>
      <c r="LV52" s="1144"/>
      <c r="LW52" s="1144"/>
      <c r="LX52" s="1144"/>
      <c r="LY52" s="1144"/>
      <c r="LZ52" s="1144"/>
      <c r="MA52" s="1144"/>
      <c r="MB52" s="1144"/>
      <c r="MC52" s="1144"/>
      <c r="MD52" s="1144"/>
    </row>
    <row r="53" spans="1:393" ht="14.45" customHeight="1" thickBot="1">
      <c r="A53" s="885" t="s">
        <v>685</v>
      </c>
      <c r="B53" s="885" t="s">
        <v>498</v>
      </c>
      <c r="K53" s="2367" t="str">
        <f>'Part I-Project Information'!$H$83</f>
        <v>&lt;&lt; Select LIHTC Election &gt;&gt;</v>
      </c>
      <c r="L53" s="2368"/>
      <c r="M53" s="2368"/>
      <c r="N53" s="2369"/>
      <c r="O53" s="1061"/>
      <c r="R53" s="2370" t="str">
        <f>B53</f>
        <v>UNIT SUMMARY</v>
      </c>
      <c r="S53" s="2370"/>
      <c r="T53" s="2370"/>
      <c r="U53" s="2370"/>
      <c r="W53" s="1154"/>
      <c r="Z53" s="1154"/>
      <c r="AA53" s="1154"/>
      <c r="AB53" s="1154"/>
      <c r="AE53" s="1154"/>
      <c r="AF53" s="1154"/>
      <c r="AG53" s="1154"/>
      <c r="AJ53" s="1154"/>
      <c r="AK53" s="1154"/>
      <c r="AL53" s="1154"/>
      <c r="AO53" s="1154"/>
      <c r="AP53" s="1154"/>
      <c r="AQ53" s="1154"/>
      <c r="AR53" s="1154"/>
      <c r="AS53" s="1154"/>
      <c r="AT53" s="1154"/>
      <c r="AU53" s="1154"/>
      <c r="AV53" s="1154"/>
      <c r="AW53" s="1154"/>
      <c r="AX53" s="1058"/>
      <c r="BA53" s="1154"/>
      <c r="BB53" s="1154"/>
      <c r="BC53" s="1058"/>
      <c r="LN53" s="1155"/>
      <c r="MC53" s="1064"/>
    </row>
    <row r="54" spans="1:393" ht="6" customHeight="1">
      <c r="A54" s="885"/>
      <c r="B54" s="885"/>
      <c r="O54" s="1061"/>
      <c r="R54" s="1156"/>
      <c r="S54" s="1157"/>
      <c r="T54" s="1158"/>
      <c r="W54" s="1154"/>
      <c r="Z54" s="1154"/>
      <c r="AA54" s="1154"/>
      <c r="AB54" s="1154"/>
      <c r="AE54" s="1154"/>
      <c r="AF54" s="1154"/>
      <c r="AG54" s="1154"/>
      <c r="AJ54" s="1154"/>
      <c r="AK54" s="1154"/>
      <c r="AL54" s="1154"/>
      <c r="AO54" s="1154"/>
      <c r="AP54" s="1154"/>
      <c r="AQ54" s="1154"/>
      <c r="AR54" s="1154"/>
      <c r="AS54" s="1154"/>
      <c r="AT54" s="1154"/>
      <c r="AU54" s="1154"/>
      <c r="AV54" s="1154"/>
      <c r="AW54" s="1154"/>
      <c r="AX54" s="1058"/>
      <c r="BA54" s="1154"/>
      <c r="BB54" s="1154"/>
      <c r="BC54" s="1058"/>
      <c r="LN54" s="1155"/>
      <c r="MC54" s="1064"/>
    </row>
    <row r="55" spans="1:393" ht="14.45" customHeight="1">
      <c r="A55" s="885"/>
      <c r="B55" s="885" t="s">
        <v>1052</v>
      </c>
      <c r="H55" s="1061" t="s">
        <v>963</v>
      </c>
      <c r="I55" s="1061"/>
      <c r="J55" s="1159" t="s">
        <v>527</v>
      </c>
      <c r="K55" s="1159" t="s">
        <v>499</v>
      </c>
      <c r="L55" s="1159" t="s">
        <v>500</v>
      </c>
      <c r="M55" s="1159" t="s">
        <v>501</v>
      </c>
      <c r="N55" s="1159" t="s">
        <v>502</v>
      </c>
      <c r="O55" s="1159" t="s">
        <v>503</v>
      </c>
      <c r="R55" s="887" t="s">
        <v>1661</v>
      </c>
      <c r="S55" s="887"/>
      <c r="T55" s="1158"/>
      <c r="W55" s="1154"/>
      <c r="Z55" s="1154"/>
      <c r="AA55" s="1154"/>
      <c r="AB55" s="1154"/>
      <c r="AE55" s="1154"/>
      <c r="AF55" s="1154"/>
      <c r="AG55" s="1154"/>
      <c r="AJ55" s="1154"/>
      <c r="AK55" s="1154"/>
      <c r="AL55" s="1154"/>
      <c r="AO55" s="1154"/>
      <c r="AP55" s="1154"/>
      <c r="AQ55" s="1160"/>
      <c r="AR55" s="1160"/>
      <c r="AS55" s="1160"/>
      <c r="AT55" s="1160"/>
      <c r="AU55" s="1160"/>
      <c r="AV55" s="1160"/>
      <c r="AW55" s="1154"/>
      <c r="AX55" s="1058"/>
      <c r="BA55" s="1160"/>
      <c r="BB55" s="1154"/>
      <c r="BC55" s="1058"/>
      <c r="LN55" s="1155"/>
      <c r="MC55" s="1064"/>
    </row>
    <row r="56" spans="1:393" ht="15" customHeight="1">
      <c r="A56" s="2308" t="s">
        <v>415</v>
      </c>
      <c r="B56" s="2308"/>
      <c r="C56" s="1018" t="s">
        <v>1053</v>
      </c>
      <c r="D56" s="1018"/>
      <c r="E56" s="1018"/>
      <c r="F56" s="1018"/>
      <c r="G56" s="1061"/>
      <c r="H56" s="1161" t="s">
        <v>3383</v>
      </c>
      <c r="I56" s="1061"/>
      <c r="J56" s="1162">
        <f>W48</f>
        <v>0</v>
      </c>
      <c r="K56" s="1163">
        <f>X48</f>
        <v>0</v>
      </c>
      <c r="L56" s="1163">
        <f>Y48</f>
        <v>0</v>
      </c>
      <c r="M56" s="1163">
        <f>Z48</f>
        <v>0</v>
      </c>
      <c r="N56" s="1164">
        <f>AA48</f>
        <v>0</v>
      </c>
      <c r="O56" s="1165">
        <f t="shared" ref="O56:O67" si="344">SUM(J56:N56)</f>
        <v>0</v>
      </c>
      <c r="P56" s="2374" t="s">
        <v>3384</v>
      </c>
      <c r="Q56" s="1166"/>
      <c r="R56" s="2355"/>
      <c r="S56" s="2356"/>
      <c r="T56" s="2356"/>
      <c r="U56" s="2356"/>
      <c r="V56" s="2357"/>
      <c r="W56" s="1167"/>
      <c r="Z56" s="1167"/>
      <c r="AA56" s="1168"/>
      <c r="AB56" s="1167"/>
      <c r="AE56" s="1167"/>
      <c r="AF56" s="1168"/>
      <c r="AG56" s="1167"/>
      <c r="AJ56" s="1167"/>
      <c r="AK56" s="1168"/>
      <c r="AL56" s="1167"/>
      <c r="AO56" s="1167"/>
      <c r="AP56" s="1168"/>
      <c r="AQ56" s="305"/>
      <c r="AR56" s="305"/>
      <c r="AS56" s="305"/>
      <c r="AT56" s="305"/>
      <c r="AU56" s="305"/>
      <c r="AV56" s="305"/>
      <c r="AW56" s="1168"/>
      <c r="AX56" s="1058"/>
      <c r="BA56" s="305"/>
      <c r="BB56" s="1168"/>
      <c r="BC56" s="1058"/>
      <c r="LN56" s="1155"/>
      <c r="MC56" s="1064"/>
    </row>
    <row r="57" spans="1:393" ht="15" customHeight="1">
      <c r="A57" s="2308"/>
      <c r="B57" s="2308"/>
      <c r="C57" s="1018"/>
      <c r="D57" s="1018"/>
      <c r="E57" s="1018"/>
      <c r="F57" s="1018"/>
      <c r="G57" s="1061"/>
      <c r="H57" s="1161" t="s">
        <v>3385</v>
      </c>
      <c r="I57" s="1061"/>
      <c r="J57" s="1169">
        <f>AB48</f>
        <v>0</v>
      </c>
      <c r="K57" s="1170">
        <f>AC48</f>
        <v>0</v>
      </c>
      <c r="L57" s="1170">
        <f>AD48</f>
        <v>0</v>
      </c>
      <c r="M57" s="1170">
        <f>AE48</f>
        <v>0</v>
      </c>
      <c r="N57" s="1171">
        <f>AF48</f>
        <v>0</v>
      </c>
      <c r="O57" s="1172">
        <f t="shared" si="344"/>
        <v>0</v>
      </c>
      <c r="P57" s="2374"/>
      <c r="Q57" s="1166"/>
      <c r="R57" s="2314"/>
      <c r="S57" s="2315"/>
      <c r="T57" s="2315"/>
      <c r="U57" s="2315"/>
      <c r="V57" s="2316"/>
      <c r="W57" s="1167"/>
      <c r="Z57" s="1167"/>
      <c r="AA57" s="1168"/>
      <c r="AB57" s="1167"/>
      <c r="AE57" s="1167"/>
      <c r="AF57" s="1168"/>
      <c r="AG57" s="1167"/>
      <c r="AJ57" s="1167"/>
      <c r="AK57" s="1168"/>
      <c r="AL57" s="1167"/>
      <c r="AO57" s="1167"/>
      <c r="AP57" s="1168"/>
      <c r="AQ57" s="305"/>
      <c r="AR57" s="305"/>
      <c r="AS57" s="305"/>
      <c r="AT57" s="305"/>
      <c r="AU57" s="305"/>
      <c r="AV57" s="305"/>
      <c r="AW57" s="1168"/>
      <c r="AX57" s="1058"/>
      <c r="BA57" s="305"/>
      <c r="BB57" s="1168"/>
      <c r="BC57" s="1058"/>
      <c r="LN57" s="1155"/>
      <c r="MC57" s="1064"/>
    </row>
    <row r="58" spans="1:393" ht="15" customHeight="1">
      <c r="A58" s="2308"/>
      <c r="B58" s="2308"/>
      <c r="C58" s="1018"/>
      <c r="D58" s="1018"/>
      <c r="E58" s="1018"/>
      <c r="F58" s="1018"/>
      <c r="G58" s="1061"/>
      <c r="H58" s="1161" t="s">
        <v>1065</v>
      </c>
      <c r="I58" s="1061"/>
      <c r="J58" s="1169">
        <f>AG48</f>
        <v>0</v>
      </c>
      <c r="K58" s="1170">
        <f>AH48</f>
        <v>0</v>
      </c>
      <c r="L58" s="1170">
        <f>AI48</f>
        <v>0</v>
      </c>
      <c r="M58" s="1170">
        <f>AJ48</f>
        <v>0</v>
      </c>
      <c r="N58" s="1171">
        <f>AK48</f>
        <v>0</v>
      </c>
      <c r="O58" s="1172">
        <f t="shared" si="344"/>
        <v>0</v>
      </c>
      <c r="P58" s="2374"/>
      <c r="Q58" s="1166"/>
      <c r="R58" s="2314"/>
      <c r="S58" s="2315"/>
      <c r="T58" s="2315"/>
      <c r="U58" s="2315"/>
      <c r="V58" s="2316"/>
      <c r="W58" s="1167"/>
      <c r="Z58" s="1167"/>
      <c r="AA58" s="1168"/>
      <c r="AB58" s="1167"/>
      <c r="AE58" s="1167"/>
      <c r="AF58" s="1168"/>
      <c r="AG58" s="1167"/>
      <c r="AJ58" s="1167"/>
      <c r="AK58" s="1168"/>
      <c r="AL58" s="1167"/>
      <c r="AO58" s="1167"/>
      <c r="AP58" s="1168"/>
      <c r="AQ58" s="305"/>
      <c r="AR58" s="305"/>
      <c r="AS58" s="305"/>
      <c r="AT58" s="305"/>
      <c r="AU58" s="305"/>
      <c r="AV58" s="305"/>
      <c r="AW58" s="1168"/>
      <c r="AX58" s="1058"/>
      <c r="BA58" s="305"/>
      <c r="BB58" s="1168"/>
      <c r="BC58" s="1058"/>
      <c r="LN58" s="1155"/>
      <c r="MC58" s="1064"/>
    </row>
    <row r="59" spans="1:393" ht="15" customHeight="1">
      <c r="A59" s="2308"/>
      <c r="B59" s="2308"/>
      <c r="C59" s="1018"/>
      <c r="D59" s="1018"/>
      <c r="E59" s="1018"/>
      <c r="F59" s="1018"/>
      <c r="G59" s="1061"/>
      <c r="H59" s="1173" t="s">
        <v>109</v>
      </c>
      <c r="I59" s="1174"/>
      <c r="J59" s="1175">
        <f>AL48</f>
        <v>0</v>
      </c>
      <c r="K59" s="1176">
        <f>AM48</f>
        <v>0</v>
      </c>
      <c r="L59" s="1176">
        <f>AN48</f>
        <v>0</v>
      </c>
      <c r="M59" s="1176">
        <f>AO48</f>
        <v>0</v>
      </c>
      <c r="N59" s="1177">
        <f>AP48</f>
        <v>0</v>
      </c>
      <c r="O59" s="515">
        <f t="shared" si="344"/>
        <v>0</v>
      </c>
      <c r="P59" s="2374"/>
      <c r="Q59" s="1166"/>
      <c r="R59" s="2314"/>
      <c r="S59" s="2315"/>
      <c r="T59" s="2315"/>
      <c r="U59" s="2315"/>
      <c r="V59" s="2316"/>
      <c r="W59" s="1167"/>
      <c r="Z59" s="1167"/>
      <c r="AA59" s="1168"/>
      <c r="AB59" s="1167"/>
      <c r="AE59" s="1167"/>
      <c r="AF59" s="1168"/>
      <c r="AG59" s="1167"/>
      <c r="AJ59" s="1167"/>
      <c r="AK59" s="1168"/>
      <c r="AL59" s="1167"/>
      <c r="AO59" s="1167"/>
      <c r="AP59" s="1168"/>
      <c r="AQ59" s="305"/>
      <c r="AR59" s="305"/>
      <c r="AS59" s="305"/>
      <c r="AT59" s="305"/>
      <c r="AU59" s="305"/>
      <c r="AV59" s="305"/>
      <c r="AW59" s="1168"/>
      <c r="AX59" s="1058"/>
      <c r="BA59" s="305"/>
      <c r="BB59" s="1168"/>
      <c r="BC59" s="1058"/>
      <c r="LN59" s="1155"/>
      <c r="MC59" s="1064"/>
    </row>
    <row r="60" spans="1:393" ht="15" customHeight="1">
      <c r="A60" s="2308"/>
      <c r="B60" s="2308"/>
      <c r="C60" s="1018"/>
      <c r="D60" s="1018"/>
      <c r="E60" s="1018"/>
      <c r="F60" s="1018"/>
      <c r="G60" s="1061"/>
      <c r="H60" s="1173" t="s">
        <v>3386</v>
      </c>
      <c r="I60" s="1174"/>
      <c r="J60" s="1169">
        <f>AQ48</f>
        <v>0</v>
      </c>
      <c r="K60" s="1170">
        <f>AR48</f>
        <v>0</v>
      </c>
      <c r="L60" s="1170">
        <f>AS48</f>
        <v>0</v>
      </c>
      <c r="M60" s="1170">
        <f>AT48</f>
        <v>0</v>
      </c>
      <c r="N60" s="1171">
        <f>AU48</f>
        <v>0</v>
      </c>
      <c r="O60" s="1172">
        <f t="shared" si="344"/>
        <v>0</v>
      </c>
      <c r="P60" s="2374"/>
      <c r="Q60" s="1166"/>
      <c r="R60" s="2314"/>
      <c r="S60" s="2315"/>
      <c r="T60" s="2315"/>
      <c r="U60" s="2315"/>
      <c r="V60" s="2316"/>
      <c r="W60" s="1167"/>
      <c r="Z60" s="1167"/>
      <c r="AA60" s="1168"/>
      <c r="AB60" s="1167"/>
      <c r="AE60" s="1167"/>
      <c r="AF60" s="1168"/>
      <c r="AG60" s="1167"/>
      <c r="AJ60" s="1167"/>
      <c r="AK60" s="1168"/>
      <c r="AL60" s="1167"/>
      <c r="AO60" s="1167"/>
      <c r="AP60" s="1168"/>
      <c r="AQ60" s="305"/>
      <c r="AR60" s="305"/>
      <c r="AS60" s="305"/>
      <c r="AT60" s="305"/>
      <c r="AU60" s="305"/>
      <c r="AV60" s="305"/>
      <c r="AW60" s="1168"/>
      <c r="AX60" s="1058"/>
      <c r="BA60" s="305"/>
      <c r="BB60" s="1168"/>
      <c r="BC60" s="1058"/>
      <c r="LN60" s="1155"/>
      <c r="MC60" s="1064"/>
    </row>
    <row r="61" spans="1:393" ht="15" customHeight="1">
      <c r="A61" s="2308"/>
      <c r="B61" s="2308"/>
      <c r="C61" s="1018"/>
      <c r="D61" s="1018"/>
      <c r="E61" s="1018"/>
      <c r="F61" s="1018"/>
      <c r="G61" s="1061"/>
      <c r="H61" s="1161" t="s">
        <v>3387</v>
      </c>
      <c r="I61" s="1061"/>
      <c r="J61" s="1169">
        <f>AV48</f>
        <v>0</v>
      </c>
      <c r="K61" s="1170">
        <f>AW48</f>
        <v>0</v>
      </c>
      <c r="L61" s="1170">
        <f>AX48</f>
        <v>0</v>
      </c>
      <c r="M61" s="1170">
        <f>AY48</f>
        <v>0</v>
      </c>
      <c r="N61" s="1171">
        <f>AZ48</f>
        <v>0</v>
      </c>
      <c r="O61" s="1172">
        <f t="shared" si="344"/>
        <v>0</v>
      </c>
      <c r="P61" s="2374"/>
      <c r="Q61" s="1166"/>
      <c r="R61" s="2314"/>
      <c r="S61" s="2315"/>
      <c r="T61" s="2315"/>
      <c r="U61" s="2315"/>
      <c r="V61" s="2316"/>
      <c r="W61" s="1167"/>
      <c r="Z61" s="1167"/>
      <c r="AA61" s="1168"/>
      <c r="AB61" s="1167"/>
      <c r="AE61" s="1167"/>
      <c r="AF61" s="1168"/>
      <c r="AG61" s="1167"/>
      <c r="AJ61" s="1167"/>
      <c r="AK61" s="1168"/>
      <c r="AL61" s="1167"/>
      <c r="AO61" s="1167"/>
      <c r="AP61" s="1168"/>
      <c r="AQ61" s="305"/>
      <c r="AR61" s="305"/>
      <c r="AS61" s="305"/>
      <c r="AT61" s="305"/>
      <c r="AU61" s="305"/>
      <c r="AV61" s="305"/>
      <c r="AW61" s="1168"/>
      <c r="AX61" s="1058"/>
      <c r="BA61" s="305"/>
      <c r="BB61" s="1168"/>
      <c r="BC61" s="1058"/>
      <c r="LN61" s="1155"/>
      <c r="MC61" s="1064"/>
    </row>
    <row r="62" spans="1:393" ht="15" customHeight="1">
      <c r="A62" s="2308"/>
      <c r="B62" s="2308"/>
      <c r="C62" s="1015"/>
      <c r="D62" s="1018"/>
      <c r="E62" s="1018"/>
      <c r="F62" s="1018"/>
      <c r="G62" s="1061"/>
      <c r="H62" s="1161" t="s">
        <v>3388</v>
      </c>
      <c r="I62" s="1061"/>
      <c r="J62" s="1178">
        <f>BA48</f>
        <v>0</v>
      </c>
      <c r="K62" s="1179">
        <f>BB48</f>
        <v>0</v>
      </c>
      <c r="L62" s="1179">
        <f>BC48</f>
        <v>0</v>
      </c>
      <c r="M62" s="1179">
        <f>BD48</f>
        <v>0</v>
      </c>
      <c r="N62" s="1180">
        <f>BE48</f>
        <v>0</v>
      </c>
      <c r="O62" s="515">
        <f t="shared" si="344"/>
        <v>0</v>
      </c>
      <c r="P62" s="2374"/>
      <c r="Q62" s="1166"/>
      <c r="R62" s="2314"/>
      <c r="S62" s="2315"/>
      <c r="T62" s="2315"/>
      <c r="U62" s="2315"/>
      <c r="V62" s="2316"/>
      <c r="W62" s="1181"/>
      <c r="Z62" s="1167"/>
      <c r="AA62" s="1168"/>
      <c r="AB62" s="1181"/>
      <c r="AE62" s="1167"/>
      <c r="AF62" s="1168"/>
      <c r="AG62" s="1181"/>
      <c r="AJ62" s="1167"/>
      <c r="AK62" s="1168"/>
      <c r="AL62" s="1181"/>
      <c r="AO62" s="1167"/>
      <c r="AP62" s="1168"/>
      <c r="AQ62" s="305"/>
      <c r="AR62" s="305"/>
      <c r="AS62" s="305"/>
      <c r="AT62" s="305"/>
      <c r="AU62" s="305"/>
      <c r="AV62" s="305"/>
      <c r="AW62" s="1168"/>
      <c r="AX62" s="1058"/>
      <c r="BA62" s="305"/>
      <c r="BB62" s="1168"/>
      <c r="BC62" s="1058"/>
      <c r="LN62" s="1155"/>
      <c r="MC62" s="1064"/>
    </row>
    <row r="63" spans="1:393" ht="15" customHeight="1">
      <c r="A63" s="2308"/>
      <c r="B63" s="2308"/>
      <c r="C63" s="1182" t="s">
        <v>3389</v>
      </c>
      <c r="D63" s="1018"/>
      <c r="E63" s="1018"/>
      <c r="F63" s="1018"/>
      <c r="G63" s="1061"/>
      <c r="H63" s="1183"/>
      <c r="I63" s="1061"/>
      <c r="J63" s="1184">
        <f>SUM(J56:J62)</f>
        <v>0</v>
      </c>
      <c r="K63" s="1184">
        <f>SUM(K56:K62)</f>
        <v>0</v>
      </c>
      <c r="L63" s="1184">
        <f>SUM(L56:L62)</f>
        <v>0</v>
      </c>
      <c r="M63" s="1184">
        <f>SUM(M56:M62)</f>
        <v>0</v>
      </c>
      <c r="N63" s="1184">
        <f>SUM(N56:N62)</f>
        <v>0</v>
      </c>
      <c r="O63" s="1184">
        <f t="shared" si="344"/>
        <v>0</v>
      </c>
      <c r="P63" s="2375"/>
      <c r="R63" s="2314"/>
      <c r="S63" s="2315"/>
      <c r="T63" s="2315"/>
      <c r="U63" s="2315"/>
      <c r="V63" s="2316"/>
      <c r="W63" s="1181"/>
      <c r="Z63" s="1167"/>
      <c r="AA63" s="1168"/>
      <c r="AB63" s="1181"/>
      <c r="AE63" s="1167"/>
      <c r="AF63" s="1168"/>
      <c r="AG63" s="1181"/>
      <c r="AJ63" s="1167"/>
      <c r="AK63" s="1168"/>
      <c r="AL63" s="1181"/>
      <c r="AO63" s="1167"/>
      <c r="AP63" s="1168"/>
      <c r="AQ63" s="305"/>
      <c r="AR63" s="305"/>
      <c r="AS63" s="305"/>
      <c r="AT63" s="305"/>
      <c r="AU63" s="305"/>
      <c r="AV63" s="305"/>
      <c r="AW63" s="1168"/>
      <c r="AX63" s="1058"/>
      <c r="BA63" s="305"/>
      <c r="BB63" s="1168"/>
      <c r="BC63" s="1058"/>
      <c r="LN63" s="1155"/>
      <c r="MC63" s="1064"/>
    </row>
    <row r="64" spans="1:393" ht="15" customHeight="1">
      <c r="A64" s="2308"/>
      <c r="B64" s="2308"/>
      <c r="D64" s="1018"/>
      <c r="E64" s="1018"/>
      <c r="F64" s="1018"/>
      <c r="G64" s="1061"/>
      <c r="H64" s="1161" t="s">
        <v>282</v>
      </c>
      <c r="I64" s="1061"/>
      <c r="J64" s="1185">
        <f>BF48</f>
        <v>0</v>
      </c>
      <c r="K64" s="1185">
        <f>BG48</f>
        <v>0</v>
      </c>
      <c r="L64" s="1185">
        <f>BH48</f>
        <v>0</v>
      </c>
      <c r="M64" s="1185">
        <f>BI48</f>
        <v>0</v>
      </c>
      <c r="N64" s="1185">
        <f>BJ48</f>
        <v>0</v>
      </c>
      <c r="O64" s="1185">
        <f t="shared" si="344"/>
        <v>0</v>
      </c>
      <c r="R64" s="2314"/>
      <c r="S64" s="2315"/>
      <c r="T64" s="2315"/>
      <c r="U64" s="2315"/>
      <c r="V64" s="2316"/>
      <c r="W64" s="1058"/>
      <c r="Z64" s="1167"/>
      <c r="AA64" s="1168"/>
      <c r="AB64" s="1058"/>
      <c r="AE64" s="1167"/>
      <c r="AF64" s="1168"/>
      <c r="AG64" s="1058"/>
      <c r="AJ64" s="1167"/>
      <c r="AK64" s="1168"/>
      <c r="AL64" s="1058"/>
      <c r="AO64" s="1167"/>
      <c r="AP64" s="1168"/>
      <c r="AQ64" s="305"/>
      <c r="AR64" s="305"/>
      <c r="AS64" s="305"/>
      <c r="AT64" s="305"/>
      <c r="AU64" s="305"/>
      <c r="AV64" s="305"/>
      <c r="AW64" s="1186"/>
      <c r="AX64" s="1058"/>
      <c r="BA64" s="305"/>
      <c r="BB64" s="1186"/>
      <c r="BC64" s="1058"/>
      <c r="LN64" s="1155"/>
      <c r="MC64" s="1064"/>
    </row>
    <row r="65" spans="1:502" ht="15" customHeight="1">
      <c r="A65" s="2308"/>
      <c r="B65" s="2308"/>
      <c r="C65" s="1187" t="s">
        <v>1054</v>
      </c>
      <c r="D65" s="1187"/>
      <c r="E65" s="1187"/>
      <c r="F65" s="1187"/>
      <c r="G65" s="1188"/>
      <c r="H65" s="1189"/>
      <c r="I65" s="1188"/>
      <c r="J65" s="1190">
        <f>SUM(J63:J64)</f>
        <v>0</v>
      </c>
      <c r="K65" s="1190">
        <f>SUM(K63:K64)</f>
        <v>0</v>
      </c>
      <c r="L65" s="1190">
        <f>SUM(L63:L64)</f>
        <v>0</v>
      </c>
      <c r="M65" s="1190">
        <f>SUM(M63:M64)</f>
        <v>0</v>
      </c>
      <c r="N65" s="1190">
        <f>SUM(N63:N64)</f>
        <v>0</v>
      </c>
      <c r="O65" s="1190">
        <f t="shared" si="344"/>
        <v>0</v>
      </c>
      <c r="R65" s="2314"/>
      <c r="S65" s="2315"/>
      <c r="T65" s="2315"/>
      <c r="U65" s="2315"/>
      <c r="V65" s="2316"/>
      <c r="W65" s="1167"/>
      <c r="Z65" s="1167"/>
      <c r="AA65" s="1168"/>
      <c r="AB65" s="1167"/>
      <c r="AE65" s="1167"/>
      <c r="AF65" s="1168"/>
      <c r="AG65" s="1167"/>
      <c r="AJ65" s="1167"/>
      <c r="AK65" s="1168"/>
      <c r="AL65" s="1167"/>
      <c r="AO65" s="1167"/>
      <c r="AP65" s="1168"/>
      <c r="AQ65" s="305"/>
      <c r="AR65" s="305"/>
      <c r="AS65" s="305"/>
      <c r="AT65" s="305"/>
      <c r="AU65" s="305"/>
      <c r="AV65" s="305"/>
      <c r="AW65" s="1186"/>
      <c r="AX65" s="1058"/>
      <c r="BA65" s="305"/>
      <c r="BB65" s="1186"/>
      <c r="BC65" s="1058"/>
      <c r="LN65" s="1155"/>
      <c r="MC65" s="1064"/>
    </row>
    <row r="66" spans="1:502" ht="15" customHeight="1">
      <c r="A66" s="2308"/>
      <c r="B66" s="2308"/>
      <c r="D66" s="1018"/>
      <c r="E66" s="1018"/>
      <c r="F66" s="1018"/>
      <c r="G66" s="1061"/>
      <c r="H66" s="1161" t="s">
        <v>2224</v>
      </c>
      <c r="I66" s="1061"/>
      <c r="J66" s="1185">
        <f>EC48</f>
        <v>0</v>
      </c>
      <c r="K66" s="1185">
        <f>ED48</f>
        <v>0</v>
      </c>
      <c r="L66" s="1185">
        <f>EE48</f>
        <v>0</v>
      </c>
      <c r="M66" s="1185">
        <f>EF48</f>
        <v>0</v>
      </c>
      <c r="N66" s="1185">
        <f>EG48</f>
        <v>0</v>
      </c>
      <c r="O66" s="1185">
        <f t="shared" si="344"/>
        <v>0</v>
      </c>
      <c r="P66" s="879" t="s">
        <v>3390</v>
      </c>
      <c r="R66" s="2314"/>
      <c r="S66" s="2315"/>
      <c r="T66" s="2315"/>
      <c r="U66" s="2315"/>
      <c r="V66" s="2316"/>
      <c r="W66" s="1167"/>
      <c r="Z66" s="1167"/>
      <c r="AA66" s="1168"/>
      <c r="AB66" s="1167"/>
      <c r="AE66" s="1167"/>
      <c r="AF66" s="1168"/>
      <c r="AG66" s="1167"/>
      <c r="AJ66" s="1167"/>
      <c r="AK66" s="1168"/>
      <c r="AL66" s="1167"/>
      <c r="AO66" s="1167"/>
      <c r="AP66" s="1168"/>
      <c r="AQ66" s="305"/>
      <c r="AR66" s="305"/>
      <c r="AS66" s="305"/>
      <c r="AT66" s="305"/>
      <c r="AU66" s="305"/>
      <c r="AV66" s="305"/>
      <c r="AW66" s="1168"/>
      <c r="AX66" s="1058"/>
      <c r="BA66" s="305"/>
      <c r="BB66" s="1168"/>
      <c r="BC66" s="1058"/>
      <c r="LN66" s="1155"/>
      <c r="MC66" s="1064"/>
    </row>
    <row r="67" spans="1:502" ht="15" customHeight="1">
      <c r="A67" s="2308"/>
      <c r="B67" s="2308"/>
      <c r="C67" s="1015" t="s">
        <v>1615</v>
      </c>
      <c r="D67" s="1018"/>
      <c r="E67" s="1018"/>
      <c r="F67" s="1018"/>
      <c r="G67" s="1061"/>
      <c r="H67" s="1161"/>
      <c r="I67" s="1061"/>
      <c r="J67" s="1191">
        <f>SUM(J65:J66)</f>
        <v>0</v>
      </c>
      <c r="K67" s="1191">
        <f>SUM(K65:K66)</f>
        <v>0</v>
      </c>
      <c r="L67" s="1191">
        <f>SUM(L65:L66)</f>
        <v>0</v>
      </c>
      <c r="M67" s="1191">
        <f>SUM(M65:M66)</f>
        <v>0</v>
      </c>
      <c r="N67" s="1191">
        <f>SUM(N65:N66)</f>
        <v>0</v>
      </c>
      <c r="O67" s="1191">
        <f t="shared" si="344"/>
        <v>0</v>
      </c>
      <c r="R67" s="2311"/>
      <c r="S67" s="2312"/>
      <c r="T67" s="2312"/>
      <c r="U67" s="2312"/>
      <c r="V67" s="2313"/>
      <c r="W67" s="1167"/>
      <c r="Z67" s="1167"/>
      <c r="AA67" s="1168"/>
      <c r="AB67" s="1167"/>
      <c r="AE67" s="1167"/>
      <c r="AF67" s="1168"/>
      <c r="AG67" s="1167"/>
      <c r="AJ67" s="1167"/>
      <c r="AK67" s="1168"/>
      <c r="AL67" s="1167"/>
      <c r="AO67" s="1167"/>
      <c r="AP67" s="1168"/>
      <c r="AQ67" s="305"/>
      <c r="AR67" s="305"/>
      <c r="AS67" s="305"/>
      <c r="AT67" s="305"/>
      <c r="AU67" s="305"/>
      <c r="AV67" s="305"/>
      <c r="AW67" s="1154"/>
      <c r="AX67" s="1058"/>
      <c r="BA67" s="305"/>
      <c r="BB67" s="1154"/>
      <c r="BC67" s="1058"/>
      <c r="LN67" s="1155"/>
      <c r="MC67" s="1064"/>
    </row>
    <row r="68" spans="1:502">
      <c r="A68" s="2308"/>
      <c r="B68" s="2308"/>
      <c r="C68" s="1192"/>
      <c r="D68" s="1192"/>
      <c r="E68" s="1192"/>
      <c r="F68" s="1192"/>
      <c r="G68" s="1192"/>
      <c r="H68" s="1192"/>
      <c r="I68" s="1192"/>
      <c r="J68" s="1192"/>
      <c r="K68" s="1192"/>
      <c r="L68" s="1192"/>
      <c r="M68" s="1192"/>
      <c r="N68" s="1192"/>
      <c r="O68" s="1192"/>
      <c r="P68" s="1064"/>
      <c r="W68" s="1167"/>
      <c r="Z68" s="1167"/>
      <c r="AA68" s="1168"/>
      <c r="AB68" s="1167"/>
      <c r="AE68" s="1167"/>
      <c r="AF68" s="1168"/>
      <c r="AG68" s="1167"/>
      <c r="AJ68" s="1167"/>
      <c r="AK68" s="1168"/>
      <c r="AL68" s="1167"/>
      <c r="AO68" s="1167"/>
      <c r="AP68" s="1168"/>
      <c r="AQ68" s="1167"/>
      <c r="AR68" s="1167"/>
      <c r="AS68" s="1167"/>
      <c r="AT68" s="1167"/>
      <c r="AU68" s="1167"/>
      <c r="AV68" s="1167"/>
      <c r="AW68" s="1154"/>
      <c r="AX68" s="1058"/>
      <c r="BA68" s="1167"/>
      <c r="BB68" s="1154"/>
      <c r="BC68" s="1058"/>
      <c r="LN68" s="1155"/>
      <c r="MC68" s="1064"/>
    </row>
    <row r="69" spans="1:502" s="1486" customFormat="1" ht="12" hidden="1" customHeight="1">
      <c r="A69" s="2308"/>
      <c r="B69" s="2308"/>
      <c r="C69" s="2379" t="s">
        <v>3391</v>
      </c>
      <c r="D69" s="2379"/>
      <c r="E69" s="2379"/>
      <c r="F69" s="2379"/>
      <c r="G69" s="1483"/>
      <c r="H69" s="1484"/>
      <c r="I69" s="1483"/>
      <c r="J69" s="1485"/>
      <c r="K69" s="1485"/>
      <c r="L69" s="1485"/>
      <c r="M69" s="1485"/>
      <c r="N69" s="1485"/>
      <c r="O69" s="1485"/>
      <c r="P69" s="1482"/>
      <c r="R69" s="1487" t="str">
        <f>C69</f>
        <v xml:space="preserve">Income Limit Distribution among Bedroom Sizes </v>
      </c>
      <c r="T69" s="1488"/>
      <c r="W69" s="1489"/>
      <c r="X69" s="1482"/>
      <c r="Y69" s="1482"/>
      <c r="Z69" s="1489"/>
      <c r="AA69" s="1490"/>
      <c r="AB69" s="1489"/>
      <c r="AC69" s="1482"/>
      <c r="AD69" s="1482"/>
      <c r="AE69" s="1489"/>
      <c r="AF69" s="1490"/>
      <c r="AG69" s="1489"/>
      <c r="AH69" s="1482"/>
      <c r="AI69" s="1482"/>
      <c r="AJ69" s="1489"/>
      <c r="AK69" s="1490"/>
      <c r="AL69" s="1489"/>
      <c r="AM69" s="1482"/>
      <c r="AN69" s="1482"/>
      <c r="AO69" s="1489"/>
      <c r="AP69" s="1490"/>
      <c r="AQ69" s="1489"/>
      <c r="AR69" s="1489"/>
      <c r="AS69" s="1489"/>
      <c r="AT69" s="1489"/>
      <c r="AU69" s="1489"/>
      <c r="AV69" s="1489"/>
      <c r="AW69" s="1482"/>
      <c r="AX69" s="1489"/>
      <c r="AY69" s="1482"/>
      <c r="AZ69" s="1482"/>
      <c r="BA69" s="1489"/>
      <c r="BB69" s="1482"/>
      <c r="BC69" s="1489"/>
      <c r="BD69" s="1482"/>
      <c r="BE69" s="1482"/>
      <c r="BF69" s="1482"/>
      <c r="BG69" s="1482"/>
      <c r="BH69" s="1482"/>
      <c r="BI69" s="1482"/>
      <c r="BJ69" s="1482"/>
      <c r="BK69" s="1482"/>
      <c r="BL69" s="1482"/>
      <c r="BM69" s="1482"/>
      <c r="BN69" s="1482"/>
      <c r="BO69" s="1482"/>
      <c r="BP69" s="1482"/>
      <c r="BQ69" s="1482"/>
      <c r="BR69" s="1482"/>
      <c r="BS69" s="1482"/>
      <c r="BT69" s="1482"/>
      <c r="BU69" s="1482"/>
      <c r="BV69" s="1482"/>
      <c r="BW69" s="1482"/>
      <c r="BX69" s="1482"/>
      <c r="BY69" s="1482"/>
      <c r="BZ69" s="1482"/>
      <c r="CA69" s="1482"/>
      <c r="CB69" s="1482"/>
      <c r="CC69" s="1482"/>
      <c r="CD69" s="1482"/>
      <c r="CE69" s="1482"/>
      <c r="CF69" s="1482"/>
      <c r="CG69" s="1482"/>
      <c r="CH69" s="1482"/>
      <c r="CI69" s="1482"/>
      <c r="CJ69" s="1482"/>
      <c r="CK69" s="1482"/>
      <c r="CL69" s="1482"/>
      <c r="CM69" s="1482"/>
      <c r="CN69" s="1482"/>
      <c r="CO69" s="1482"/>
      <c r="CP69" s="1482"/>
      <c r="CQ69" s="1482"/>
      <c r="CR69" s="1482"/>
      <c r="CS69" s="1482"/>
      <c r="CT69" s="1482"/>
      <c r="CU69" s="1482"/>
      <c r="CV69" s="1482"/>
      <c r="CW69" s="1482"/>
      <c r="CX69" s="1482"/>
      <c r="CY69" s="1482"/>
      <c r="CZ69" s="1482"/>
      <c r="DA69" s="1482"/>
      <c r="DB69" s="1482"/>
      <c r="DC69" s="1482"/>
      <c r="DD69" s="1482"/>
      <c r="DE69" s="1482"/>
      <c r="DF69" s="1482"/>
      <c r="DG69" s="1482"/>
      <c r="DH69" s="1482"/>
      <c r="DI69" s="1482"/>
      <c r="DJ69" s="1482"/>
      <c r="DK69" s="1482"/>
      <c r="DL69" s="1482"/>
      <c r="DM69" s="1482"/>
      <c r="DN69" s="1482"/>
      <c r="DO69" s="1482"/>
      <c r="DP69" s="1482"/>
      <c r="DQ69" s="1482"/>
      <c r="DR69" s="1482"/>
      <c r="DS69" s="1482"/>
      <c r="DT69" s="1482"/>
      <c r="DU69" s="1482"/>
      <c r="DV69" s="1482"/>
      <c r="DW69" s="1482"/>
      <c r="DX69" s="1482"/>
      <c r="DY69" s="1482"/>
      <c r="DZ69" s="1482"/>
      <c r="EA69" s="1482"/>
      <c r="EB69" s="1482"/>
      <c r="EC69" s="1482"/>
      <c r="ED69" s="1482"/>
      <c r="EE69" s="1482"/>
      <c r="EF69" s="1482"/>
      <c r="EG69" s="1482"/>
      <c r="EH69" s="1482"/>
      <c r="EI69" s="1482"/>
      <c r="EJ69" s="1482"/>
      <c r="EK69" s="1482"/>
      <c r="EL69" s="1482"/>
      <c r="EM69" s="1482"/>
      <c r="EN69" s="1482"/>
      <c r="EO69" s="1482"/>
      <c r="EP69" s="1482"/>
      <c r="EQ69" s="1482"/>
      <c r="ER69" s="1482"/>
      <c r="ES69" s="1482"/>
      <c r="ET69" s="1482"/>
      <c r="EU69" s="1482"/>
      <c r="EV69" s="1482"/>
      <c r="EW69" s="1482"/>
      <c r="EX69" s="1482"/>
      <c r="EY69" s="1482"/>
      <c r="EZ69" s="1482"/>
      <c r="FA69" s="1482"/>
      <c r="FB69" s="1482"/>
      <c r="FC69" s="1482"/>
      <c r="FD69" s="1482"/>
      <c r="FE69" s="1482"/>
      <c r="FF69" s="1482"/>
      <c r="FG69" s="1482"/>
      <c r="FH69" s="1482"/>
      <c r="FI69" s="1482"/>
      <c r="FJ69" s="1482"/>
      <c r="FK69" s="1482"/>
      <c r="FL69" s="1482"/>
      <c r="FM69" s="1482"/>
      <c r="FN69" s="1482"/>
      <c r="FO69" s="1482"/>
      <c r="FP69" s="1482"/>
      <c r="FQ69" s="1482"/>
      <c r="FR69" s="1482"/>
      <c r="FS69" s="1482"/>
      <c r="FT69" s="1482"/>
      <c r="FU69" s="1482"/>
      <c r="FV69" s="1482"/>
      <c r="FW69" s="1482"/>
      <c r="FX69" s="1482"/>
      <c r="FY69" s="1482"/>
      <c r="FZ69" s="1482"/>
      <c r="GA69" s="1482"/>
      <c r="GB69" s="1482"/>
      <c r="GC69" s="1482"/>
      <c r="GD69" s="1482"/>
      <c r="GE69" s="1482"/>
      <c r="GF69" s="1482"/>
      <c r="GG69" s="1482"/>
      <c r="GH69" s="1482"/>
      <c r="GI69" s="1482"/>
      <c r="GJ69" s="1482"/>
      <c r="GK69" s="1482"/>
      <c r="GL69" s="1482"/>
      <c r="GM69" s="1482"/>
      <c r="GN69" s="1482"/>
      <c r="GO69" s="1482"/>
      <c r="GP69" s="1482"/>
      <c r="GQ69" s="1482"/>
      <c r="GR69" s="1482"/>
      <c r="GS69" s="1482"/>
      <c r="GT69" s="1482"/>
      <c r="GU69" s="1482"/>
      <c r="GV69" s="1482"/>
      <c r="GW69" s="1482"/>
      <c r="GX69" s="1482"/>
      <c r="GY69" s="1482"/>
      <c r="GZ69" s="1482"/>
      <c r="HA69" s="1482"/>
      <c r="HB69" s="1482"/>
      <c r="HC69" s="1482"/>
      <c r="HD69" s="1482"/>
      <c r="HE69" s="1482"/>
      <c r="HF69" s="1482"/>
      <c r="HG69" s="1482"/>
      <c r="HH69" s="1482"/>
      <c r="HI69" s="1482"/>
      <c r="HJ69" s="1482"/>
      <c r="HK69" s="1482"/>
      <c r="HL69" s="1482"/>
      <c r="HM69" s="1482"/>
      <c r="HN69" s="1482"/>
      <c r="HO69" s="1482"/>
      <c r="HP69" s="1482"/>
      <c r="HQ69" s="1482"/>
      <c r="HR69" s="1482"/>
      <c r="HS69" s="1482"/>
      <c r="HT69" s="1482"/>
      <c r="HU69" s="1482"/>
      <c r="HV69" s="1482"/>
      <c r="HW69" s="1482"/>
      <c r="HX69" s="1482"/>
      <c r="HY69" s="1482"/>
      <c r="HZ69" s="1482"/>
      <c r="IA69" s="1482"/>
      <c r="IB69" s="1482"/>
      <c r="IC69" s="1482"/>
      <c r="ID69" s="1482"/>
      <c r="IE69" s="1482"/>
      <c r="IF69" s="1482"/>
      <c r="IG69" s="1482"/>
      <c r="IH69" s="1482"/>
      <c r="II69" s="1482"/>
      <c r="IJ69" s="1482"/>
      <c r="IK69" s="1482"/>
      <c r="IL69" s="1482"/>
      <c r="IM69" s="1482"/>
      <c r="IN69" s="1482"/>
      <c r="IO69" s="1482"/>
      <c r="IP69" s="1482"/>
      <c r="IQ69" s="1482"/>
      <c r="IR69" s="1482"/>
      <c r="IS69" s="1482"/>
      <c r="IT69" s="1482"/>
      <c r="IU69" s="1482"/>
      <c r="IV69" s="1482"/>
      <c r="IW69" s="1482"/>
      <c r="IX69" s="1482"/>
      <c r="IY69" s="1482"/>
      <c r="IZ69" s="1482"/>
      <c r="JA69" s="1482"/>
      <c r="JB69" s="1482"/>
      <c r="JC69" s="1482"/>
      <c r="JD69" s="1482"/>
      <c r="JE69" s="1482"/>
      <c r="JF69" s="1482"/>
      <c r="JG69" s="1482"/>
      <c r="JH69" s="1482"/>
      <c r="JI69" s="1482"/>
      <c r="JJ69" s="1482"/>
      <c r="JK69" s="1482"/>
      <c r="JL69" s="1482"/>
      <c r="JM69" s="1482"/>
      <c r="JN69" s="1482"/>
      <c r="JO69" s="1482"/>
      <c r="JP69" s="1482"/>
      <c r="JQ69" s="1482"/>
      <c r="JR69" s="1482"/>
      <c r="JS69" s="1482"/>
      <c r="JT69" s="1482"/>
      <c r="JU69" s="1482"/>
      <c r="JV69" s="1491"/>
      <c r="JW69" s="1482"/>
      <c r="JX69" s="1482"/>
      <c r="JY69" s="1482"/>
      <c r="JZ69" s="1482"/>
      <c r="KA69" s="1491"/>
      <c r="KB69" s="1491"/>
      <c r="KC69" s="1491"/>
      <c r="KD69" s="1491"/>
      <c r="KE69" s="1491"/>
      <c r="KF69" s="1491"/>
      <c r="KG69" s="1491"/>
      <c r="KH69" s="1491"/>
      <c r="KI69" s="1491"/>
      <c r="KJ69" s="1491"/>
      <c r="KK69" s="1491"/>
      <c r="KL69" s="1491"/>
      <c r="KM69" s="1491"/>
      <c r="KN69" s="1491"/>
      <c r="KO69" s="1491"/>
      <c r="KP69" s="1491"/>
      <c r="KQ69" s="1491"/>
      <c r="KR69" s="1491"/>
      <c r="KS69" s="1491"/>
      <c r="KT69" s="1491"/>
      <c r="KU69" s="1491"/>
      <c r="KV69" s="1491"/>
      <c r="KW69" s="1491"/>
      <c r="KX69" s="1491"/>
      <c r="KY69" s="1491"/>
      <c r="KZ69" s="1491"/>
      <c r="LA69" s="1491"/>
      <c r="LB69" s="1491"/>
      <c r="LC69" s="1491"/>
      <c r="LD69" s="1491"/>
      <c r="LE69" s="1491"/>
      <c r="LF69" s="1491"/>
      <c r="LG69" s="1491"/>
      <c r="LH69" s="1491"/>
      <c r="LI69" s="1491"/>
      <c r="LJ69" s="1491"/>
      <c r="LK69" s="1491"/>
      <c r="LL69" s="1491"/>
      <c r="LM69" s="1491"/>
      <c r="LN69" s="1491"/>
      <c r="LO69" s="1491"/>
      <c r="LP69" s="1491"/>
      <c r="LQ69" s="1482"/>
      <c r="LR69" s="1482"/>
      <c r="LS69" s="1482"/>
      <c r="LT69" s="1482"/>
      <c r="LU69" s="1482"/>
      <c r="LV69" s="1482"/>
      <c r="LW69" s="1492"/>
      <c r="LX69" s="1492"/>
      <c r="LY69" s="1482"/>
      <c r="LZ69" s="1482"/>
      <c r="MA69" s="1482"/>
      <c r="MB69" s="1482"/>
      <c r="MC69" s="1482"/>
      <c r="MD69" s="1482"/>
      <c r="ME69" s="1482"/>
      <c r="MF69" s="1482"/>
      <c r="MG69" s="1482"/>
      <c r="MH69" s="1482"/>
      <c r="MI69" s="1482"/>
      <c r="MJ69" s="1482"/>
      <c r="MK69" s="1482"/>
      <c r="ML69" s="1482"/>
      <c r="MM69" s="1482"/>
      <c r="MN69" s="1492"/>
      <c r="MO69" s="1482"/>
      <c r="MP69" s="1482"/>
      <c r="MQ69" s="1482"/>
      <c r="MR69" s="1482"/>
      <c r="MS69" s="1482"/>
      <c r="MT69" s="1482"/>
      <c r="MU69" s="1482"/>
      <c r="MV69" s="1482"/>
      <c r="MW69" s="1482"/>
      <c r="MX69" s="1482"/>
      <c r="MY69" s="1482"/>
      <c r="MZ69" s="1482"/>
      <c r="NA69" s="1482"/>
      <c r="NB69" s="1482"/>
      <c r="NC69" s="1482"/>
      <c r="ND69" s="1493"/>
      <c r="NE69" s="1493"/>
      <c r="NF69" s="1493"/>
      <c r="NG69" s="1493"/>
      <c r="NH69" s="1493"/>
      <c r="NI69" s="1493"/>
      <c r="NJ69" s="1493"/>
      <c r="NK69" s="1493"/>
      <c r="NL69" s="1493"/>
      <c r="NM69" s="1493"/>
      <c r="NN69" s="1493"/>
      <c r="NO69" s="1493"/>
      <c r="NP69" s="1493"/>
      <c r="NQ69" s="1493"/>
      <c r="NR69" s="1493"/>
      <c r="NS69" s="1493"/>
      <c r="NT69" s="1493"/>
      <c r="NU69" s="1493"/>
      <c r="NV69" s="1493"/>
      <c r="NW69" s="1493"/>
      <c r="NX69" s="1493"/>
      <c r="NY69" s="1493"/>
      <c r="NZ69" s="1493"/>
      <c r="OA69" s="1493"/>
      <c r="OB69" s="1493"/>
      <c r="OC69" s="1493"/>
      <c r="OD69" s="1493"/>
      <c r="OE69" s="1493"/>
      <c r="OF69" s="1493"/>
      <c r="OG69" s="1493"/>
      <c r="OH69" s="1493"/>
      <c r="OI69" s="1493"/>
      <c r="OJ69" s="1493"/>
      <c r="OK69" s="1493"/>
      <c r="OL69" s="1493"/>
      <c r="OM69" s="1493"/>
      <c r="ON69" s="1493"/>
      <c r="OO69" s="1493"/>
      <c r="OP69" s="1493"/>
      <c r="OQ69" s="1493"/>
      <c r="OR69" s="1493"/>
      <c r="OS69" s="1493"/>
      <c r="OT69" s="1493"/>
      <c r="OU69" s="1493"/>
      <c r="OV69" s="1493"/>
      <c r="OW69" s="1493"/>
      <c r="OX69" s="1493"/>
      <c r="OY69" s="1493"/>
      <c r="OZ69" s="1493"/>
      <c r="PA69" s="1493"/>
      <c r="PB69" s="1493"/>
      <c r="PC69" s="1493"/>
      <c r="PD69" s="1493"/>
      <c r="PE69" s="1493"/>
      <c r="PF69" s="1493"/>
      <c r="PG69" s="1493"/>
      <c r="PH69" s="1493"/>
      <c r="PI69" s="1493"/>
      <c r="PJ69" s="1493"/>
      <c r="PK69" s="1493"/>
      <c r="PL69" s="1493"/>
      <c r="PM69" s="1493"/>
      <c r="PN69" s="1493"/>
      <c r="PO69" s="1493"/>
      <c r="PP69" s="1493"/>
      <c r="PQ69" s="1493"/>
      <c r="PR69" s="1493"/>
      <c r="PS69" s="1493"/>
      <c r="PT69" s="1493"/>
      <c r="PU69" s="1493"/>
      <c r="PV69" s="1493"/>
      <c r="PW69" s="1493"/>
      <c r="PX69" s="1493"/>
      <c r="PY69" s="1493"/>
      <c r="PZ69" s="1493"/>
      <c r="QA69" s="1493"/>
      <c r="QB69" s="1493"/>
      <c r="QC69" s="1493"/>
      <c r="QD69" s="1493"/>
      <c r="QE69" s="1493"/>
      <c r="QF69" s="1493"/>
      <c r="QG69" s="1493"/>
      <c r="QH69" s="1493"/>
      <c r="QI69" s="1493"/>
      <c r="QJ69" s="1493"/>
      <c r="QK69" s="1493"/>
      <c r="QL69" s="1493"/>
      <c r="QM69" s="1493"/>
      <c r="QN69" s="1493"/>
      <c r="QO69" s="1493"/>
      <c r="QP69" s="1493"/>
      <c r="QQ69" s="1493"/>
      <c r="QR69" s="1493"/>
      <c r="QS69" s="1493"/>
      <c r="QT69" s="1493"/>
      <c r="QU69" s="1493"/>
      <c r="QV69" s="1493"/>
      <c r="QW69" s="1493"/>
      <c r="QX69" s="1493"/>
      <c r="QY69" s="1493"/>
      <c r="QZ69" s="1493"/>
      <c r="RA69" s="1493"/>
      <c r="RB69" s="1493"/>
      <c r="RC69" s="1493"/>
      <c r="RD69" s="1493"/>
      <c r="RE69" s="1493"/>
      <c r="RF69" s="1493"/>
      <c r="RG69" s="1493"/>
      <c r="RH69" s="1493"/>
      <c r="RI69" s="1493"/>
      <c r="RJ69" s="1493"/>
      <c r="RK69" s="1493"/>
      <c r="RL69" s="1493"/>
      <c r="RM69" s="1493"/>
      <c r="RN69" s="1493"/>
      <c r="RO69" s="1493"/>
      <c r="RP69" s="1493"/>
      <c r="RQ69" s="1493"/>
      <c r="RR69" s="1493"/>
      <c r="RS69" s="1493"/>
      <c r="RT69" s="1493"/>
      <c r="RU69" s="1493"/>
      <c r="RV69" s="1493"/>
      <c r="RW69" s="1493"/>
      <c r="RX69" s="1493"/>
      <c r="RY69" s="1493"/>
      <c r="RZ69" s="1493"/>
      <c r="SA69" s="1493"/>
      <c r="SB69" s="1493"/>
      <c r="SC69" s="1493"/>
      <c r="SD69" s="1493"/>
      <c r="SE69" s="1493"/>
      <c r="SF69" s="1493"/>
      <c r="SG69" s="1493"/>
      <c r="SH69" s="1493"/>
    </row>
    <row r="70" spans="1:502" customFormat="1" ht="13.15" hidden="1" customHeight="1">
      <c r="A70" s="2308"/>
      <c r="B70" s="2308"/>
      <c r="C70" s="2379"/>
      <c r="D70" s="2379"/>
      <c r="E70" s="2379"/>
      <c r="F70" s="2379"/>
      <c r="G70" s="1493"/>
      <c r="H70" s="1494" t="s">
        <v>3383</v>
      </c>
      <c r="I70" s="1495"/>
      <c r="J70" s="1496" t="str">
        <f t="shared" ref="J70:O70" si="345">IF(OR(J56=0,J$67=0),"",J56/J$67)</f>
        <v/>
      </c>
      <c r="K70" s="1497" t="str">
        <f t="shared" si="345"/>
        <v/>
      </c>
      <c r="L70" s="1497" t="str">
        <f t="shared" si="345"/>
        <v/>
      </c>
      <c r="M70" s="1497" t="str">
        <f t="shared" si="345"/>
        <v/>
      </c>
      <c r="N70" s="1497" t="str">
        <f t="shared" si="345"/>
        <v/>
      </c>
      <c r="O70" s="1498" t="str">
        <f t="shared" si="345"/>
        <v/>
      </c>
      <c r="P70" s="1499" t="s">
        <v>3695</v>
      </c>
      <c r="R70" s="1514"/>
      <c r="S70" s="1515"/>
      <c r="T70" s="1515"/>
      <c r="U70" s="1515"/>
      <c r="V70" s="1516"/>
      <c r="W70" s="1482"/>
      <c r="X70" s="1482"/>
      <c r="Y70" s="1482"/>
      <c r="Z70" s="1482"/>
      <c r="AA70" s="1482"/>
      <c r="AB70" s="1482"/>
      <c r="AC70" s="1482"/>
      <c r="AD70" s="1482"/>
      <c r="AE70" s="1482"/>
      <c r="AF70" s="1482"/>
      <c r="AG70" s="1482"/>
      <c r="AH70" s="1482"/>
      <c r="AI70" s="1482"/>
      <c r="AJ70" s="1482"/>
      <c r="AK70" s="1482"/>
      <c r="AL70" s="1482"/>
      <c r="AM70" s="1482"/>
      <c r="AN70" s="1482"/>
      <c r="AO70" s="1482"/>
      <c r="AP70" s="1482"/>
      <c r="AQ70" s="1482"/>
      <c r="AR70" s="1482"/>
      <c r="AS70" s="1482"/>
      <c r="AT70" s="1482"/>
      <c r="AU70" s="1482"/>
      <c r="AV70" s="1482"/>
      <c r="AW70" s="1482"/>
      <c r="AX70" s="1482"/>
      <c r="AY70" s="1482"/>
      <c r="AZ70" s="1482"/>
      <c r="BA70" s="1482"/>
      <c r="BB70" s="1482"/>
      <c r="BC70" s="1482"/>
      <c r="BD70" s="1482"/>
      <c r="BE70" s="1482"/>
      <c r="BF70" s="1482"/>
      <c r="BG70" s="1482"/>
      <c r="BH70" s="1482"/>
      <c r="BI70" s="1482"/>
      <c r="BJ70" s="1482"/>
      <c r="BK70" s="1482"/>
      <c r="BL70" s="1482"/>
      <c r="BM70" s="1482"/>
      <c r="BN70" s="1482"/>
      <c r="BO70" s="1482"/>
      <c r="BP70" s="1482"/>
      <c r="BQ70" s="1482"/>
      <c r="BR70" s="1482"/>
      <c r="BS70" s="1482"/>
      <c r="BT70" s="1482"/>
      <c r="BU70" s="1482"/>
      <c r="BV70" s="1482"/>
      <c r="BW70" s="1482"/>
      <c r="BX70" s="1482"/>
      <c r="BY70" s="1482"/>
      <c r="BZ70" s="1482"/>
      <c r="CA70" s="1482"/>
      <c r="CB70" s="1482"/>
      <c r="CC70" s="1482"/>
      <c r="CD70" s="1482"/>
      <c r="CE70" s="1482"/>
      <c r="CF70" s="1482"/>
      <c r="CG70" s="1482"/>
      <c r="CH70" s="1482"/>
      <c r="CI70" s="1482"/>
      <c r="CJ70" s="1482"/>
      <c r="CK70" s="1482"/>
      <c r="CL70" s="1482"/>
      <c r="CM70" s="1482"/>
      <c r="CN70" s="1482"/>
      <c r="CO70" s="1482"/>
      <c r="CP70" s="1482"/>
      <c r="CQ70" s="1482"/>
      <c r="CR70" s="1482"/>
      <c r="CS70" s="1482"/>
      <c r="CT70" s="1482"/>
      <c r="CU70" s="1482"/>
      <c r="CV70" s="1482"/>
      <c r="CW70" s="1482"/>
      <c r="CX70" s="1482"/>
      <c r="CY70" s="1482"/>
      <c r="CZ70" s="1482"/>
      <c r="DA70" s="1482"/>
      <c r="DB70" s="1482"/>
      <c r="DC70" s="1482"/>
      <c r="DD70" s="1482"/>
      <c r="DE70" s="1482"/>
      <c r="DF70" s="1482"/>
      <c r="DG70" s="1482"/>
      <c r="DH70" s="1482"/>
      <c r="DI70" s="1482"/>
      <c r="DJ70" s="1482"/>
      <c r="DK70" s="1482"/>
      <c r="DL70" s="1482"/>
      <c r="DM70" s="1482"/>
      <c r="DN70" s="1482"/>
      <c r="DO70" s="1482"/>
      <c r="DP70" s="1482"/>
      <c r="DQ70" s="1482"/>
      <c r="DR70" s="1482"/>
      <c r="DS70" s="1482"/>
      <c r="DT70" s="1482"/>
      <c r="DU70" s="1482"/>
      <c r="DV70" s="1482"/>
      <c r="DW70" s="1482"/>
      <c r="DX70" s="1482"/>
      <c r="DY70" s="1482"/>
      <c r="DZ70" s="1482"/>
      <c r="EA70" s="1482"/>
      <c r="EB70" s="1482"/>
      <c r="EC70" s="1482"/>
      <c r="ED70" s="1482"/>
      <c r="EE70" s="1482"/>
      <c r="EF70" s="1482"/>
      <c r="EG70" s="1482"/>
      <c r="EH70" s="1482"/>
      <c r="EI70" s="1482"/>
      <c r="EJ70" s="1482"/>
      <c r="EK70" s="1482"/>
      <c r="EL70" s="1482"/>
      <c r="EM70" s="1482"/>
      <c r="EN70" s="1482"/>
      <c r="EO70" s="1482"/>
      <c r="EP70" s="1482"/>
      <c r="EQ70" s="1482"/>
      <c r="ER70" s="1482"/>
      <c r="ES70" s="1482"/>
      <c r="ET70" s="1482"/>
      <c r="EU70" s="1482"/>
      <c r="EV70" s="1482"/>
      <c r="EW70" s="1482"/>
      <c r="EX70" s="1482"/>
      <c r="EY70" s="1482"/>
      <c r="EZ70" s="1482"/>
      <c r="FA70" s="1482"/>
      <c r="FB70" s="1482"/>
      <c r="FC70" s="1482"/>
      <c r="FD70" s="1482"/>
      <c r="FE70" s="1482"/>
      <c r="FF70" s="1482"/>
      <c r="FG70" s="1482"/>
      <c r="FH70" s="1482"/>
      <c r="FI70" s="1482"/>
      <c r="FJ70" s="1482"/>
      <c r="FK70" s="1482"/>
      <c r="FL70" s="1482"/>
      <c r="FM70" s="1482"/>
      <c r="FN70" s="1482"/>
      <c r="FO70" s="1482"/>
      <c r="FP70" s="1482"/>
      <c r="FQ70" s="1482"/>
      <c r="FR70" s="1482"/>
      <c r="FS70" s="1482"/>
      <c r="FT70" s="1482"/>
      <c r="FU70" s="1482"/>
      <c r="FV70" s="1482"/>
      <c r="FW70" s="1482"/>
      <c r="FX70" s="1482"/>
      <c r="FY70" s="1482"/>
      <c r="FZ70" s="1482"/>
      <c r="GA70" s="1482"/>
      <c r="GB70" s="1482"/>
      <c r="GC70" s="1482"/>
      <c r="GD70" s="1482"/>
      <c r="GE70" s="1482"/>
      <c r="GF70" s="1482"/>
      <c r="GG70" s="1482"/>
      <c r="GH70" s="1482"/>
      <c r="GI70" s="1482"/>
      <c r="GJ70" s="1482"/>
      <c r="GK70" s="1482"/>
      <c r="GL70" s="1482"/>
      <c r="GM70" s="1482"/>
      <c r="GN70" s="1482"/>
      <c r="GO70" s="1482"/>
      <c r="GP70" s="1482"/>
      <c r="GQ70" s="1482"/>
      <c r="GR70" s="1482"/>
      <c r="GS70" s="1482"/>
      <c r="GT70" s="1482"/>
      <c r="GU70" s="1482"/>
      <c r="GV70" s="1482"/>
      <c r="GW70" s="1482"/>
      <c r="GX70" s="1482"/>
      <c r="GY70" s="1482"/>
      <c r="GZ70" s="1482"/>
      <c r="HA70" s="1482"/>
      <c r="HB70" s="1482"/>
      <c r="HC70" s="1482"/>
      <c r="HD70" s="1482"/>
      <c r="HE70" s="1482"/>
      <c r="HF70" s="1482"/>
      <c r="HG70" s="1482"/>
      <c r="HH70" s="1482"/>
      <c r="HI70" s="1482"/>
      <c r="HJ70" s="1482"/>
      <c r="HK70" s="1482"/>
      <c r="HL70" s="1482"/>
      <c r="HM70" s="1482"/>
      <c r="HN70" s="1482"/>
      <c r="HO70" s="1482"/>
      <c r="HP70" s="1482"/>
      <c r="HQ70" s="1482"/>
      <c r="HR70" s="1482"/>
      <c r="HS70" s="1482"/>
      <c r="HT70" s="1482"/>
      <c r="HU70" s="1482"/>
      <c r="HV70" s="1482"/>
      <c r="HW70" s="1482"/>
      <c r="HX70" s="1482"/>
      <c r="HY70" s="1482"/>
      <c r="HZ70" s="1482"/>
      <c r="IA70" s="1482"/>
      <c r="IB70" s="1482"/>
      <c r="IC70" s="1482"/>
      <c r="ID70" s="1482"/>
      <c r="IE70" s="1482"/>
      <c r="IF70" s="1482"/>
      <c r="IG70" s="1482"/>
      <c r="IH70" s="1482"/>
      <c r="II70" s="1482"/>
      <c r="IJ70" s="1482"/>
      <c r="IK70" s="1482"/>
      <c r="IL70" s="1482"/>
      <c r="IM70" s="1482"/>
      <c r="IN70" s="1482"/>
      <c r="IO70" s="1482"/>
      <c r="IP70" s="1482"/>
      <c r="IQ70" s="1482"/>
      <c r="IR70" s="1482"/>
      <c r="IS70" s="1482"/>
      <c r="IT70" s="1482"/>
      <c r="IU70" s="1482"/>
      <c r="IV70" s="1482"/>
      <c r="IW70" s="1482"/>
      <c r="IX70" s="1482"/>
      <c r="IY70" s="1482"/>
      <c r="IZ70" s="1482"/>
      <c r="JA70" s="1482"/>
      <c r="JB70" s="1482"/>
      <c r="JC70" s="1482"/>
      <c r="JD70" s="1482"/>
      <c r="JE70" s="1482"/>
      <c r="JF70" s="1482"/>
      <c r="JG70" s="1482"/>
      <c r="JH70" s="1482"/>
      <c r="JI70" s="1482"/>
      <c r="JJ70" s="1482"/>
      <c r="JK70" s="1482"/>
      <c r="JL70" s="1482"/>
      <c r="JM70" s="1482"/>
      <c r="JN70" s="1482"/>
      <c r="JO70" s="1482"/>
      <c r="JP70" s="1482"/>
      <c r="JQ70" s="1482"/>
      <c r="JR70" s="1482"/>
      <c r="JS70" s="1482"/>
      <c r="JT70" s="1482"/>
      <c r="JU70" s="1482"/>
      <c r="JV70" s="1482"/>
      <c r="JW70" s="1482"/>
      <c r="JX70" s="1482"/>
      <c r="JY70" s="1482"/>
      <c r="JZ70" s="1482"/>
      <c r="KA70" s="1482"/>
      <c r="KB70" s="1482"/>
      <c r="KC70" s="1482"/>
      <c r="KD70" s="1482"/>
      <c r="KE70" s="1482"/>
      <c r="KF70" s="1482"/>
      <c r="KG70" s="1482"/>
      <c r="KH70" s="1482"/>
      <c r="KI70" s="1482"/>
      <c r="KJ70" s="1482"/>
      <c r="KK70" s="1482"/>
      <c r="KL70" s="1482"/>
      <c r="KM70" s="1482"/>
      <c r="KN70" s="1482"/>
      <c r="KO70" s="1482"/>
      <c r="KP70" s="1482"/>
      <c r="KQ70" s="1482"/>
      <c r="KR70" s="1482"/>
      <c r="KS70" s="1482"/>
      <c r="KT70" s="1482"/>
      <c r="KU70" s="1482"/>
      <c r="KV70" s="1482"/>
      <c r="KW70" s="1482"/>
      <c r="KX70" s="1482"/>
      <c r="KY70" s="1482"/>
      <c r="KZ70" s="1482"/>
      <c r="LA70" s="1482"/>
      <c r="LB70" s="1482"/>
      <c r="LC70" s="1482"/>
      <c r="LD70" s="1482"/>
      <c r="LE70" s="1482"/>
      <c r="LF70" s="1482"/>
      <c r="LG70" s="1482"/>
      <c r="LH70" s="1482"/>
      <c r="LI70" s="1482"/>
      <c r="LJ70" s="1482"/>
      <c r="LK70" s="1482"/>
      <c r="LL70" s="1482"/>
      <c r="LM70" s="1482"/>
      <c r="LN70" s="1482"/>
      <c r="LO70" s="1482"/>
      <c r="LP70" s="1482"/>
      <c r="LQ70" s="1482"/>
      <c r="LR70" s="1482"/>
      <c r="LS70" s="1482"/>
      <c r="LT70" s="1482"/>
      <c r="LU70" s="1482"/>
      <c r="LV70" s="1482"/>
      <c r="LW70" s="1482"/>
      <c r="LX70" s="1482"/>
      <c r="LY70" s="1482"/>
      <c r="LZ70" s="1482"/>
      <c r="MA70" s="1482"/>
      <c r="MB70" s="1482"/>
      <c r="MC70" s="1482"/>
      <c r="MD70" s="1482"/>
      <c r="ME70" s="1482"/>
      <c r="MF70" s="1482"/>
      <c r="MG70" s="1482"/>
      <c r="MH70" s="1482"/>
      <c r="MI70" s="1482"/>
      <c r="MJ70" s="1482"/>
      <c r="MK70" s="1482"/>
      <c r="ML70" s="1482"/>
      <c r="MM70" s="1482"/>
      <c r="MN70" s="1482"/>
      <c r="MO70" s="1482"/>
      <c r="MP70" s="1482"/>
      <c r="MQ70" s="1482"/>
      <c r="MR70" s="1482"/>
      <c r="MS70" s="1482"/>
      <c r="MT70" s="1482"/>
      <c r="MU70" s="1482"/>
      <c r="MV70" s="1482"/>
      <c r="MW70" s="1482"/>
      <c r="MX70" s="1482"/>
      <c r="MY70" s="1482"/>
      <c r="MZ70" s="1482"/>
      <c r="NA70" s="1482"/>
      <c r="NB70" s="1482"/>
      <c r="NC70" s="1482"/>
      <c r="ND70" s="1493"/>
      <c r="NE70" s="1493"/>
      <c r="NF70" s="1493"/>
      <c r="NG70" s="1493"/>
      <c r="NH70" s="1493"/>
      <c r="NI70" s="1493"/>
      <c r="NJ70" s="1493"/>
      <c r="NK70" s="1493"/>
      <c r="NL70" s="1493"/>
      <c r="NM70" s="1493"/>
      <c r="NN70" s="1493"/>
      <c r="NO70" s="1493"/>
      <c r="NP70" s="1493"/>
      <c r="NQ70" s="1493"/>
      <c r="NR70" s="1493"/>
      <c r="NS70" s="1493"/>
      <c r="NT70" s="1493"/>
      <c r="NU70" s="1493"/>
      <c r="NV70" s="1493"/>
      <c r="NW70" s="1493"/>
      <c r="NX70" s="1493"/>
      <c r="NY70" s="1493"/>
      <c r="NZ70" s="1493"/>
      <c r="OA70" s="1493"/>
      <c r="OB70" s="1493"/>
      <c r="OC70" s="1493"/>
      <c r="OD70" s="1493"/>
      <c r="OE70" s="1493"/>
      <c r="OF70" s="1493"/>
      <c r="OG70" s="1493"/>
      <c r="OH70" s="1493"/>
      <c r="OI70" s="1493"/>
      <c r="OJ70" s="1493"/>
      <c r="OK70" s="1493"/>
      <c r="OL70" s="1493"/>
      <c r="OM70" s="1493"/>
      <c r="ON70" s="1493"/>
      <c r="OO70" s="1493"/>
      <c r="OP70" s="1493"/>
      <c r="OQ70" s="1493"/>
      <c r="OR70" s="1493"/>
      <c r="OS70" s="1493"/>
      <c r="OT70" s="1493"/>
      <c r="OU70" s="1493"/>
      <c r="OV70" s="1493"/>
      <c r="OW70" s="1493"/>
      <c r="OX70" s="1493"/>
      <c r="OY70" s="1493"/>
      <c r="OZ70" s="1493"/>
      <c r="PA70" s="1493"/>
      <c r="PB70" s="1493"/>
      <c r="PC70" s="1493"/>
      <c r="PD70" s="1493"/>
      <c r="PE70" s="1493"/>
      <c r="PF70" s="1493"/>
      <c r="PG70" s="1493"/>
      <c r="PH70" s="1493"/>
      <c r="PI70" s="1493"/>
      <c r="PJ70" s="1493"/>
      <c r="PK70" s="1493"/>
      <c r="PL70" s="1493"/>
      <c r="PM70" s="1493"/>
      <c r="PN70" s="1493"/>
      <c r="PO70" s="1493"/>
      <c r="PP70" s="1493"/>
      <c r="PQ70" s="1493"/>
      <c r="PR70" s="1493"/>
      <c r="PS70" s="1493"/>
      <c r="PT70" s="1493"/>
      <c r="PU70" s="1493"/>
      <c r="PV70" s="1493"/>
      <c r="PW70" s="1493"/>
      <c r="PX70" s="1493"/>
      <c r="PY70" s="1493"/>
      <c r="PZ70" s="1493"/>
      <c r="QA70" s="1493"/>
      <c r="QB70" s="1493"/>
      <c r="QC70" s="1493"/>
      <c r="QD70" s="1493"/>
      <c r="QE70" s="1493"/>
      <c r="QF70" s="1493"/>
      <c r="QG70" s="1493"/>
      <c r="QH70" s="1493"/>
      <c r="QI70" s="1493"/>
      <c r="QJ70" s="1493"/>
      <c r="QK70" s="1493"/>
      <c r="QL70" s="1493"/>
      <c r="QM70" s="1493"/>
      <c r="QN70" s="1493"/>
      <c r="QO70" s="1493"/>
      <c r="QP70" s="1493"/>
      <c r="QQ70" s="1493"/>
      <c r="QR70" s="1493"/>
      <c r="QS70" s="1493"/>
      <c r="QT70" s="1493"/>
      <c r="QU70" s="1493"/>
      <c r="QV70" s="1493"/>
      <c r="QW70" s="1493"/>
      <c r="QX70" s="1493"/>
      <c r="QY70" s="1493"/>
      <c r="QZ70" s="1493"/>
      <c r="RA70" s="1493"/>
      <c r="RB70" s="1493"/>
      <c r="RC70" s="1493"/>
      <c r="RD70" s="1493"/>
      <c r="RE70" s="1493"/>
      <c r="RF70" s="1493"/>
      <c r="RG70" s="1493"/>
      <c r="RH70" s="1493"/>
      <c r="RI70" s="1493"/>
      <c r="RJ70" s="1493"/>
      <c r="RK70" s="1493"/>
      <c r="RL70" s="1493"/>
      <c r="RM70" s="1493"/>
      <c r="RN70" s="1493"/>
      <c r="RO70" s="1493"/>
      <c r="RP70" s="1493"/>
      <c r="RQ70" s="1493"/>
      <c r="RR70" s="1493"/>
      <c r="RS70" s="1493"/>
      <c r="RT70" s="1493"/>
      <c r="RU70" s="1493"/>
      <c r="RV70" s="1493"/>
      <c r="RW70" s="1493"/>
      <c r="RX70" s="1493"/>
      <c r="RY70" s="1493"/>
      <c r="RZ70" s="1493"/>
    </row>
    <row r="71" spans="1:502" customFormat="1" ht="13.5" hidden="1">
      <c r="A71" s="2308"/>
      <c r="B71" s="2308"/>
      <c r="C71" s="1500"/>
      <c r="D71" s="1493"/>
      <c r="E71" s="1493"/>
      <c r="F71" s="1493"/>
      <c r="G71" s="1493"/>
      <c r="H71" s="1487" t="s">
        <v>3699</v>
      </c>
      <c r="I71" s="1495"/>
      <c r="J71" s="1501" t="str">
        <f>IF(OR(J56=0,$P70="",J$67=0),"",$P70*J$67)</f>
        <v/>
      </c>
      <c r="K71" s="1501" t="str">
        <f>IF(OR(K56=0,$P70="",K$67=0),"",$P70*K$67)</f>
        <v/>
      </c>
      <c r="L71" s="1501" t="str">
        <f>IF(OR(L56=0,$P70="",L$67=0),"",$P70*L$67)</f>
        <v/>
      </c>
      <c r="M71" s="1501" t="str">
        <f>IF(OR(M56=0,$P70="",M$67=0),"",$P70*M$67)</f>
        <v/>
      </c>
      <c r="N71" s="1501" t="str">
        <f>IF(OR(N56=0,$P70="",N$67=0),"",$P70*N$67)</f>
        <v/>
      </c>
      <c r="O71" s="1502" t="str">
        <f t="shared" ref="O71" si="346">IF(OR($P70="",O$67=0),"",$P70*O$67)</f>
        <v/>
      </c>
      <c r="R71" s="2376"/>
      <c r="S71" s="2377"/>
      <c r="T71" s="2377"/>
      <c r="U71" s="2377"/>
      <c r="V71" s="2378"/>
      <c r="W71" s="1482"/>
      <c r="X71" s="1482"/>
      <c r="Y71" s="1482"/>
      <c r="Z71" s="1482"/>
      <c r="AA71" s="1482"/>
      <c r="AB71" s="1482"/>
      <c r="AC71" s="1482"/>
      <c r="AD71" s="1482"/>
      <c r="AE71" s="1482"/>
      <c r="AF71" s="1482"/>
      <c r="AG71" s="1482"/>
      <c r="AH71" s="1482"/>
      <c r="AI71" s="1482"/>
      <c r="AJ71" s="1482"/>
      <c r="AK71" s="1482"/>
      <c r="AL71" s="1482"/>
      <c r="AM71" s="1482"/>
      <c r="AN71" s="1482"/>
      <c r="AO71" s="1482"/>
      <c r="AP71" s="1482"/>
      <c r="AQ71" s="1482"/>
      <c r="AR71" s="1482"/>
      <c r="AS71" s="1482"/>
      <c r="AT71" s="1482"/>
      <c r="AU71" s="1482"/>
      <c r="AV71" s="1482"/>
      <c r="AW71" s="1482"/>
      <c r="AX71" s="1482"/>
      <c r="AY71" s="1482"/>
      <c r="AZ71" s="1482"/>
      <c r="BA71" s="1482"/>
      <c r="BB71" s="1482"/>
      <c r="BC71" s="1482"/>
      <c r="BD71" s="1482"/>
      <c r="BE71" s="1482"/>
      <c r="BF71" s="1482"/>
      <c r="BG71" s="1482"/>
      <c r="BH71" s="1482"/>
      <c r="BI71" s="1482"/>
      <c r="BJ71" s="1482"/>
      <c r="BK71" s="1482"/>
      <c r="BL71" s="1482"/>
      <c r="BM71" s="1482"/>
      <c r="BN71" s="1482"/>
      <c r="BO71" s="1482"/>
      <c r="BP71" s="1482"/>
      <c r="BQ71" s="1482"/>
      <c r="BR71" s="1482"/>
      <c r="BS71" s="1482"/>
      <c r="BT71" s="1482"/>
      <c r="BU71" s="1482"/>
      <c r="BV71" s="1482"/>
      <c r="BW71" s="1482"/>
      <c r="BX71" s="1482"/>
      <c r="BY71" s="1482"/>
      <c r="BZ71" s="1482"/>
      <c r="CA71" s="1482"/>
      <c r="CB71" s="1482"/>
      <c r="CC71" s="1482"/>
      <c r="CD71" s="1482"/>
      <c r="CE71" s="1482"/>
      <c r="CF71" s="1482"/>
      <c r="CG71" s="1482"/>
      <c r="CH71" s="1482"/>
      <c r="CI71" s="1482"/>
      <c r="CJ71" s="1482"/>
      <c r="CK71" s="1482"/>
      <c r="CL71" s="1482"/>
      <c r="CM71" s="1482"/>
      <c r="CN71" s="1482"/>
      <c r="CO71" s="1482"/>
      <c r="CP71" s="1482"/>
      <c r="CQ71" s="1482"/>
      <c r="CR71" s="1482"/>
      <c r="CS71" s="1482"/>
      <c r="CT71" s="1482"/>
      <c r="CU71" s="1482"/>
      <c r="CV71" s="1482"/>
      <c r="CW71" s="1482"/>
      <c r="CX71" s="1482"/>
      <c r="CY71" s="1482"/>
      <c r="CZ71" s="1482"/>
      <c r="DA71" s="1482"/>
      <c r="DB71" s="1482"/>
      <c r="DC71" s="1482"/>
      <c r="DD71" s="1482"/>
      <c r="DE71" s="1482"/>
      <c r="DF71" s="1482"/>
      <c r="DG71" s="1482"/>
      <c r="DH71" s="1482"/>
      <c r="DI71" s="1482"/>
      <c r="DJ71" s="1482"/>
      <c r="DK71" s="1482"/>
      <c r="DL71" s="1482"/>
      <c r="DM71" s="1482"/>
      <c r="DN71" s="1482"/>
      <c r="DO71" s="1482"/>
      <c r="DP71" s="1482"/>
      <c r="DQ71" s="1482"/>
      <c r="DR71" s="1482"/>
      <c r="DS71" s="1482"/>
      <c r="DT71" s="1482"/>
      <c r="DU71" s="1482"/>
      <c r="DV71" s="1482"/>
      <c r="DW71" s="1482"/>
      <c r="DX71" s="1482"/>
      <c r="DY71" s="1482"/>
      <c r="DZ71" s="1482"/>
      <c r="EA71" s="1482"/>
      <c r="EB71" s="1482"/>
      <c r="EC71" s="1482"/>
      <c r="ED71" s="1482"/>
      <c r="EE71" s="1482"/>
      <c r="EF71" s="1482"/>
      <c r="EG71" s="1482"/>
      <c r="EH71" s="1482"/>
      <c r="EI71" s="1482"/>
      <c r="EJ71" s="1482"/>
      <c r="EK71" s="1482"/>
      <c r="EL71" s="1482"/>
      <c r="EM71" s="1482"/>
      <c r="EN71" s="1482"/>
      <c r="EO71" s="1482"/>
      <c r="EP71" s="1482"/>
      <c r="EQ71" s="1482"/>
      <c r="ER71" s="1482"/>
      <c r="ES71" s="1482"/>
      <c r="ET71" s="1482"/>
      <c r="EU71" s="1482"/>
      <c r="EV71" s="1482"/>
      <c r="EW71" s="1482"/>
      <c r="EX71" s="1482"/>
      <c r="EY71" s="1482"/>
      <c r="EZ71" s="1482"/>
      <c r="FA71" s="1482"/>
      <c r="FB71" s="1482"/>
      <c r="FC71" s="1482"/>
      <c r="FD71" s="1482"/>
      <c r="FE71" s="1482"/>
      <c r="FF71" s="1482"/>
      <c r="FG71" s="1482"/>
      <c r="FH71" s="1482"/>
      <c r="FI71" s="1482"/>
      <c r="FJ71" s="1482"/>
      <c r="FK71" s="1482"/>
      <c r="FL71" s="1482"/>
      <c r="FM71" s="1482"/>
      <c r="FN71" s="1482"/>
      <c r="FO71" s="1482"/>
      <c r="FP71" s="1482"/>
      <c r="FQ71" s="1482"/>
      <c r="FR71" s="1482"/>
      <c r="FS71" s="1482"/>
      <c r="FT71" s="1482"/>
      <c r="FU71" s="1482"/>
      <c r="FV71" s="1482"/>
      <c r="FW71" s="1482"/>
      <c r="FX71" s="1482"/>
      <c r="FY71" s="1482"/>
      <c r="FZ71" s="1482"/>
      <c r="GA71" s="1482"/>
      <c r="GB71" s="1482"/>
      <c r="GC71" s="1482"/>
      <c r="GD71" s="1482"/>
      <c r="GE71" s="1482"/>
      <c r="GF71" s="1482"/>
      <c r="GG71" s="1482"/>
      <c r="GH71" s="1482"/>
      <c r="GI71" s="1482"/>
      <c r="GJ71" s="1482"/>
      <c r="GK71" s="1482"/>
      <c r="GL71" s="1482"/>
      <c r="GM71" s="1482"/>
      <c r="GN71" s="1482"/>
      <c r="GO71" s="1482"/>
      <c r="GP71" s="1482"/>
      <c r="GQ71" s="1482"/>
      <c r="GR71" s="1482"/>
      <c r="GS71" s="1482"/>
      <c r="GT71" s="1482"/>
      <c r="GU71" s="1482"/>
      <c r="GV71" s="1482"/>
      <c r="GW71" s="1482"/>
      <c r="GX71" s="1482"/>
      <c r="GY71" s="1482"/>
      <c r="GZ71" s="1482"/>
      <c r="HA71" s="1482"/>
      <c r="HB71" s="1482"/>
      <c r="HC71" s="1482"/>
      <c r="HD71" s="1482"/>
      <c r="HE71" s="1482"/>
      <c r="HF71" s="1482"/>
      <c r="HG71" s="1482"/>
      <c r="HH71" s="1482"/>
      <c r="HI71" s="1482"/>
      <c r="HJ71" s="1482"/>
      <c r="HK71" s="1482"/>
      <c r="HL71" s="1482"/>
      <c r="HM71" s="1482"/>
      <c r="HN71" s="1482"/>
      <c r="HO71" s="1482"/>
      <c r="HP71" s="1482"/>
      <c r="HQ71" s="1482"/>
      <c r="HR71" s="1482"/>
      <c r="HS71" s="1482"/>
      <c r="HT71" s="1482"/>
      <c r="HU71" s="1482"/>
      <c r="HV71" s="1482"/>
      <c r="HW71" s="1482"/>
      <c r="HX71" s="1482"/>
      <c r="HY71" s="1482"/>
      <c r="HZ71" s="1482"/>
      <c r="IA71" s="1482"/>
      <c r="IB71" s="1482"/>
      <c r="IC71" s="1482"/>
      <c r="ID71" s="1482"/>
      <c r="IE71" s="1482"/>
      <c r="IF71" s="1482"/>
      <c r="IG71" s="1482"/>
      <c r="IH71" s="1482"/>
      <c r="II71" s="1482"/>
      <c r="IJ71" s="1482"/>
      <c r="IK71" s="1482"/>
      <c r="IL71" s="1482"/>
      <c r="IM71" s="1482"/>
      <c r="IN71" s="1482"/>
      <c r="IO71" s="1482"/>
      <c r="IP71" s="1482"/>
      <c r="IQ71" s="1482"/>
      <c r="IR71" s="1482"/>
      <c r="IS71" s="1482"/>
      <c r="IT71" s="1482"/>
      <c r="IU71" s="1482"/>
      <c r="IV71" s="1482"/>
      <c r="IW71" s="1482"/>
      <c r="IX71" s="1482"/>
      <c r="IY71" s="1482"/>
      <c r="IZ71" s="1482"/>
      <c r="JA71" s="1482"/>
      <c r="JB71" s="1482"/>
      <c r="JC71" s="1482"/>
      <c r="JD71" s="1482"/>
      <c r="JE71" s="1482"/>
      <c r="JF71" s="1482"/>
      <c r="JG71" s="1482"/>
      <c r="JH71" s="1482"/>
      <c r="JI71" s="1482"/>
      <c r="JJ71" s="1482"/>
      <c r="JK71" s="1482"/>
      <c r="JL71" s="1482"/>
      <c r="JM71" s="1482"/>
      <c r="JN71" s="1482"/>
      <c r="JO71" s="1482"/>
      <c r="JP71" s="1482"/>
      <c r="JQ71" s="1482"/>
      <c r="JR71" s="1482"/>
      <c r="JS71" s="1482"/>
      <c r="JT71" s="1482"/>
      <c r="JU71" s="1482"/>
      <c r="JV71" s="1482"/>
      <c r="JW71" s="1482"/>
      <c r="JX71" s="1482"/>
      <c r="JY71" s="1482"/>
      <c r="JZ71" s="1482"/>
      <c r="KA71" s="1482"/>
      <c r="KB71" s="1482"/>
      <c r="KC71" s="1482"/>
      <c r="KD71" s="1482"/>
      <c r="KE71" s="1482"/>
      <c r="KF71" s="1482"/>
      <c r="KG71" s="1482"/>
      <c r="KH71" s="1482"/>
      <c r="KI71" s="1482"/>
      <c r="KJ71" s="1482"/>
      <c r="KK71" s="1482"/>
      <c r="KL71" s="1482"/>
      <c r="KM71" s="1482"/>
      <c r="KN71" s="1482"/>
      <c r="KO71" s="1482"/>
      <c r="KP71" s="1482"/>
      <c r="KQ71" s="1482"/>
      <c r="KR71" s="1482"/>
      <c r="KS71" s="1482"/>
      <c r="KT71" s="1482"/>
      <c r="KU71" s="1482"/>
      <c r="KV71" s="1482"/>
      <c r="KW71" s="1482"/>
      <c r="KX71" s="1482"/>
      <c r="KY71" s="1482"/>
      <c r="KZ71" s="1482"/>
      <c r="LA71" s="1482"/>
      <c r="LB71" s="1482"/>
      <c r="LC71" s="1482"/>
      <c r="LD71" s="1482"/>
      <c r="LE71" s="1482"/>
      <c r="LF71" s="1482"/>
      <c r="LG71" s="1482"/>
      <c r="LH71" s="1482"/>
      <c r="LI71" s="1482"/>
      <c r="LJ71" s="1482"/>
      <c r="LK71" s="1482"/>
      <c r="LL71" s="1482"/>
      <c r="LM71" s="1482"/>
      <c r="LN71" s="1482"/>
      <c r="LO71" s="1482"/>
      <c r="LP71" s="1482"/>
      <c r="LQ71" s="1482"/>
      <c r="LR71" s="1482"/>
      <c r="LS71" s="1482"/>
      <c r="LT71" s="1482"/>
      <c r="LU71" s="1482"/>
      <c r="LV71" s="1482"/>
      <c r="LW71" s="1482"/>
      <c r="LX71" s="1482"/>
      <c r="LY71" s="1482"/>
      <c r="LZ71" s="1482"/>
      <c r="MA71" s="1482"/>
      <c r="MB71" s="1482"/>
      <c r="MC71" s="1482"/>
      <c r="MD71" s="1482"/>
      <c r="ME71" s="1482"/>
      <c r="MF71" s="1482"/>
      <c r="MG71" s="1482"/>
      <c r="MH71" s="1482"/>
      <c r="MI71" s="1482"/>
      <c r="MJ71" s="1482"/>
      <c r="MK71" s="1482"/>
      <c r="ML71" s="1482"/>
      <c r="MM71" s="1482"/>
      <c r="MN71" s="1482"/>
      <c r="MO71" s="1482"/>
      <c r="MP71" s="1482"/>
      <c r="MQ71" s="1482"/>
      <c r="MR71" s="1482"/>
      <c r="MS71" s="1482"/>
      <c r="MT71" s="1482"/>
      <c r="MU71" s="1482"/>
      <c r="MV71" s="1482"/>
      <c r="MW71" s="1482"/>
      <c r="MX71" s="1482"/>
      <c r="MY71" s="1482"/>
      <c r="MZ71" s="1482"/>
      <c r="NA71" s="1482"/>
      <c r="NB71" s="1482"/>
      <c r="NC71" s="1482"/>
      <c r="ND71" s="1493"/>
      <c r="NE71" s="1493"/>
      <c r="NF71" s="1493"/>
      <c r="NG71" s="1493"/>
      <c r="NH71" s="1493"/>
      <c r="NI71" s="1493"/>
      <c r="NJ71" s="1493"/>
      <c r="NK71" s="1493"/>
      <c r="NL71" s="1493"/>
      <c r="NM71" s="1493"/>
      <c r="NN71" s="1493"/>
      <c r="NO71" s="1493"/>
      <c r="NP71" s="1493"/>
      <c r="NQ71" s="1493"/>
      <c r="NR71" s="1493"/>
      <c r="NS71" s="1493"/>
      <c r="NT71" s="1493"/>
      <c r="NU71" s="1493"/>
      <c r="NV71" s="1493"/>
      <c r="NW71" s="1493"/>
      <c r="NX71" s="1493"/>
      <c r="NY71" s="1493"/>
      <c r="NZ71" s="1493"/>
      <c r="OA71" s="1493"/>
      <c r="OB71" s="1493"/>
      <c r="OC71" s="1493"/>
      <c r="OD71" s="1493"/>
      <c r="OE71" s="1493"/>
      <c r="OF71" s="1493"/>
      <c r="OG71" s="1493"/>
      <c r="OH71" s="1493"/>
      <c r="OI71" s="1493"/>
      <c r="OJ71" s="1493"/>
      <c r="OK71" s="1493"/>
      <c r="OL71" s="1493"/>
      <c r="OM71" s="1493"/>
      <c r="ON71" s="1493"/>
      <c r="OO71" s="1493"/>
      <c r="OP71" s="1493"/>
      <c r="OQ71" s="1493"/>
      <c r="OR71" s="1493"/>
      <c r="OS71" s="1493"/>
      <c r="OT71" s="1493"/>
      <c r="OU71" s="1493"/>
      <c r="OV71" s="1493"/>
      <c r="OW71" s="1493"/>
      <c r="OX71" s="1493"/>
      <c r="OY71" s="1493"/>
      <c r="OZ71" s="1493"/>
      <c r="PA71" s="1493"/>
      <c r="PB71" s="1493"/>
      <c r="PC71" s="1493"/>
      <c r="PD71" s="1493"/>
      <c r="PE71" s="1493"/>
      <c r="PF71" s="1493"/>
      <c r="PG71" s="1493"/>
      <c r="PH71" s="1493"/>
      <c r="PI71" s="1493"/>
      <c r="PJ71" s="1493"/>
      <c r="PK71" s="1493"/>
      <c r="PL71" s="1493"/>
      <c r="PM71" s="1493"/>
      <c r="PN71" s="1493"/>
      <c r="PO71" s="1493"/>
      <c r="PP71" s="1493"/>
      <c r="PQ71" s="1493"/>
      <c r="PR71" s="1493"/>
      <c r="PS71" s="1493"/>
      <c r="PT71" s="1493"/>
      <c r="PU71" s="1493"/>
      <c r="PV71" s="1493"/>
      <c r="PW71" s="1493"/>
      <c r="PX71" s="1493"/>
      <c r="PY71" s="1493"/>
      <c r="PZ71" s="1493"/>
      <c r="QA71" s="1493"/>
      <c r="QB71" s="1493"/>
      <c r="QC71" s="1493"/>
      <c r="QD71" s="1493"/>
      <c r="QE71" s="1493"/>
      <c r="QF71" s="1493"/>
      <c r="QG71" s="1493"/>
      <c r="QH71" s="1493"/>
      <c r="QI71" s="1493"/>
      <c r="QJ71" s="1493"/>
      <c r="QK71" s="1493"/>
      <c r="QL71" s="1493"/>
      <c r="QM71" s="1493"/>
      <c r="QN71" s="1493"/>
      <c r="QO71" s="1493"/>
      <c r="QP71" s="1493"/>
      <c r="QQ71" s="1493"/>
      <c r="QR71" s="1493"/>
      <c r="QS71" s="1493"/>
      <c r="QT71" s="1493"/>
      <c r="QU71" s="1493"/>
      <c r="QV71" s="1493"/>
      <c r="QW71" s="1493"/>
      <c r="QX71" s="1493"/>
      <c r="QY71" s="1493"/>
      <c r="QZ71" s="1493"/>
      <c r="RA71" s="1493"/>
      <c r="RB71" s="1493"/>
      <c r="RC71" s="1493"/>
      <c r="RD71" s="1493"/>
      <c r="RE71" s="1493"/>
      <c r="RF71" s="1493"/>
      <c r="RG71" s="1493"/>
      <c r="RH71" s="1493"/>
      <c r="RI71" s="1493"/>
      <c r="RJ71" s="1493"/>
      <c r="RK71" s="1493"/>
      <c r="RL71" s="1493"/>
      <c r="RM71" s="1493"/>
      <c r="RN71" s="1493"/>
      <c r="RO71" s="1493"/>
      <c r="RP71" s="1493"/>
      <c r="RQ71" s="1493"/>
      <c r="RR71" s="1493"/>
      <c r="RS71" s="1493"/>
      <c r="RT71" s="1493"/>
      <c r="RU71" s="1493"/>
      <c r="RV71" s="1493"/>
      <c r="RW71" s="1493"/>
      <c r="RX71" s="1493"/>
      <c r="RY71" s="1493"/>
      <c r="RZ71" s="1493"/>
    </row>
    <row r="72" spans="1:502" customFormat="1" ht="12.75" hidden="1" customHeight="1">
      <c r="A72" s="2308"/>
      <c r="B72" s="2308"/>
      <c r="C72" s="2307" t="s">
        <v>3696</v>
      </c>
      <c r="D72" s="2307"/>
      <c r="E72" s="2307"/>
      <c r="F72" s="1493"/>
      <c r="G72" s="1493"/>
      <c r="H72" s="1513" t="s">
        <v>3698</v>
      </c>
      <c r="I72" s="1503"/>
      <c r="J72" s="1504" t="str">
        <f t="shared" ref="J72:O72" si="347">IF(OR(J71="",J56=0),"", J56-J71)</f>
        <v/>
      </c>
      <c r="K72" s="1505" t="str">
        <f t="shared" si="347"/>
        <v/>
      </c>
      <c r="L72" s="1505" t="str">
        <f t="shared" si="347"/>
        <v/>
      </c>
      <c r="M72" s="1505" t="str">
        <f t="shared" si="347"/>
        <v/>
      </c>
      <c r="N72" s="1505" t="str">
        <f t="shared" si="347"/>
        <v/>
      </c>
      <c r="O72" s="1506" t="str">
        <f t="shared" si="347"/>
        <v/>
      </c>
      <c r="R72" s="2376"/>
      <c r="S72" s="2377"/>
      <c r="T72" s="2377"/>
      <c r="U72" s="2377"/>
      <c r="V72" s="2378"/>
      <c r="W72" s="1482"/>
      <c r="X72" s="1482"/>
      <c r="Y72" s="1482"/>
      <c r="Z72" s="1482"/>
      <c r="AA72" s="1482"/>
      <c r="AB72" s="1482"/>
      <c r="AC72" s="1482"/>
      <c r="AD72" s="1482"/>
      <c r="AE72" s="1482"/>
      <c r="AF72" s="1482"/>
      <c r="AG72" s="1482"/>
      <c r="AH72" s="1482"/>
      <c r="AI72" s="1482"/>
      <c r="AJ72" s="1482"/>
      <c r="AK72" s="1482"/>
      <c r="AL72" s="1482"/>
      <c r="AM72" s="1482"/>
      <c r="AN72" s="1482"/>
      <c r="AO72" s="1482"/>
      <c r="AP72" s="1482"/>
      <c r="AQ72" s="1482"/>
      <c r="AR72" s="1482"/>
      <c r="AS72" s="1482"/>
      <c r="AT72" s="1482"/>
      <c r="AU72" s="1482"/>
      <c r="AV72" s="1482"/>
      <c r="AW72" s="1482"/>
      <c r="AX72" s="1482"/>
      <c r="AY72" s="1482"/>
      <c r="AZ72" s="1482"/>
      <c r="BA72" s="1482"/>
      <c r="BB72" s="1482"/>
      <c r="BC72" s="1482"/>
      <c r="BD72" s="1482"/>
      <c r="BE72" s="1482"/>
      <c r="BF72" s="1482"/>
      <c r="BG72" s="1482"/>
      <c r="BH72" s="1482"/>
      <c r="BI72" s="1482"/>
      <c r="BJ72" s="1482"/>
      <c r="BK72" s="1482"/>
      <c r="BL72" s="1482"/>
      <c r="BM72" s="1482"/>
      <c r="BN72" s="1482"/>
      <c r="BO72" s="1482"/>
      <c r="BP72" s="1482"/>
      <c r="BQ72" s="1482"/>
      <c r="BR72" s="1482"/>
      <c r="BS72" s="1482"/>
      <c r="BT72" s="1482"/>
      <c r="BU72" s="1482"/>
      <c r="BV72" s="1482"/>
      <c r="BW72" s="1482"/>
      <c r="BX72" s="1482"/>
      <c r="BY72" s="1482"/>
      <c r="BZ72" s="1482"/>
      <c r="CA72" s="1482"/>
      <c r="CB72" s="1482"/>
      <c r="CC72" s="1482"/>
      <c r="CD72" s="1482"/>
      <c r="CE72" s="1482"/>
      <c r="CF72" s="1482"/>
      <c r="CG72" s="1482"/>
      <c r="CH72" s="1482"/>
      <c r="CI72" s="1482"/>
      <c r="CJ72" s="1482"/>
      <c r="CK72" s="1482"/>
      <c r="CL72" s="1482"/>
      <c r="CM72" s="1482"/>
      <c r="CN72" s="1482"/>
      <c r="CO72" s="1482"/>
      <c r="CP72" s="1482"/>
      <c r="CQ72" s="1482"/>
      <c r="CR72" s="1482"/>
      <c r="CS72" s="1482"/>
      <c r="CT72" s="1482"/>
      <c r="CU72" s="1482"/>
      <c r="CV72" s="1482"/>
      <c r="CW72" s="1482"/>
      <c r="CX72" s="1482"/>
      <c r="CY72" s="1482"/>
      <c r="CZ72" s="1482"/>
      <c r="DA72" s="1482"/>
      <c r="DB72" s="1482"/>
      <c r="DC72" s="1482"/>
      <c r="DD72" s="1482"/>
      <c r="DE72" s="1482"/>
      <c r="DF72" s="1482"/>
      <c r="DG72" s="1482"/>
      <c r="DH72" s="1482"/>
      <c r="DI72" s="1482"/>
      <c r="DJ72" s="1482"/>
      <c r="DK72" s="1482"/>
      <c r="DL72" s="1482"/>
      <c r="DM72" s="1482"/>
      <c r="DN72" s="1482"/>
      <c r="DO72" s="1482"/>
      <c r="DP72" s="1482"/>
      <c r="DQ72" s="1482"/>
      <c r="DR72" s="1482"/>
      <c r="DS72" s="1482"/>
      <c r="DT72" s="1482"/>
      <c r="DU72" s="1482"/>
      <c r="DV72" s="1482"/>
      <c r="DW72" s="1482"/>
      <c r="DX72" s="1482"/>
      <c r="DY72" s="1482"/>
      <c r="DZ72" s="1482"/>
      <c r="EA72" s="1482"/>
      <c r="EB72" s="1482"/>
      <c r="EC72" s="1482"/>
      <c r="ED72" s="1482"/>
      <c r="EE72" s="1482"/>
      <c r="EF72" s="1482"/>
      <c r="EG72" s="1482"/>
      <c r="EH72" s="1482"/>
      <c r="EI72" s="1482"/>
      <c r="EJ72" s="1482"/>
      <c r="EK72" s="1482"/>
      <c r="EL72" s="1482"/>
      <c r="EM72" s="1482"/>
      <c r="EN72" s="1482"/>
      <c r="EO72" s="1482"/>
      <c r="EP72" s="1482"/>
      <c r="EQ72" s="1482"/>
      <c r="ER72" s="1482"/>
      <c r="ES72" s="1482"/>
      <c r="ET72" s="1482"/>
      <c r="EU72" s="1482"/>
      <c r="EV72" s="1482"/>
      <c r="EW72" s="1482"/>
      <c r="EX72" s="1482"/>
      <c r="EY72" s="1482"/>
      <c r="EZ72" s="1482"/>
      <c r="FA72" s="1482"/>
      <c r="FB72" s="1482"/>
      <c r="FC72" s="1482"/>
      <c r="FD72" s="1482"/>
      <c r="FE72" s="1482"/>
      <c r="FF72" s="1482"/>
      <c r="FG72" s="1482"/>
      <c r="FH72" s="1482"/>
      <c r="FI72" s="1482"/>
      <c r="FJ72" s="1482"/>
      <c r="FK72" s="1482"/>
      <c r="FL72" s="1482"/>
      <c r="FM72" s="1482"/>
      <c r="FN72" s="1482"/>
      <c r="FO72" s="1482"/>
      <c r="FP72" s="1482"/>
      <c r="FQ72" s="1482"/>
      <c r="FR72" s="1482"/>
      <c r="FS72" s="1482"/>
      <c r="FT72" s="1482"/>
      <c r="FU72" s="1482"/>
      <c r="FV72" s="1482"/>
      <c r="FW72" s="1482"/>
      <c r="FX72" s="1482"/>
      <c r="FY72" s="1482"/>
      <c r="FZ72" s="1482"/>
      <c r="GA72" s="1482"/>
      <c r="GB72" s="1482"/>
      <c r="GC72" s="1482"/>
      <c r="GD72" s="1482"/>
      <c r="GE72" s="1482"/>
      <c r="GF72" s="1482"/>
      <c r="GG72" s="1482"/>
      <c r="GH72" s="1482"/>
      <c r="GI72" s="1482"/>
      <c r="GJ72" s="1482"/>
      <c r="GK72" s="1482"/>
      <c r="GL72" s="1482"/>
      <c r="GM72" s="1482"/>
      <c r="GN72" s="1482"/>
      <c r="GO72" s="1482"/>
      <c r="GP72" s="1482"/>
      <c r="GQ72" s="1482"/>
      <c r="GR72" s="1482"/>
      <c r="GS72" s="1482"/>
      <c r="GT72" s="1482"/>
      <c r="GU72" s="1482"/>
      <c r="GV72" s="1482"/>
      <c r="GW72" s="1482"/>
      <c r="GX72" s="1482"/>
      <c r="GY72" s="1482"/>
      <c r="GZ72" s="1482"/>
      <c r="HA72" s="1482"/>
      <c r="HB72" s="1482"/>
      <c r="HC72" s="1482"/>
      <c r="HD72" s="1482"/>
      <c r="HE72" s="1482"/>
      <c r="HF72" s="1482"/>
      <c r="HG72" s="1482"/>
      <c r="HH72" s="1482"/>
      <c r="HI72" s="1482"/>
      <c r="HJ72" s="1482"/>
      <c r="HK72" s="1482"/>
      <c r="HL72" s="1482"/>
      <c r="HM72" s="1482"/>
      <c r="HN72" s="1482"/>
      <c r="HO72" s="1482"/>
      <c r="HP72" s="1482"/>
      <c r="HQ72" s="1482"/>
      <c r="HR72" s="1482"/>
      <c r="HS72" s="1482"/>
      <c r="HT72" s="1482"/>
      <c r="HU72" s="1482"/>
      <c r="HV72" s="1482"/>
      <c r="HW72" s="1482"/>
      <c r="HX72" s="1482"/>
      <c r="HY72" s="1482"/>
      <c r="HZ72" s="1482"/>
      <c r="IA72" s="1482"/>
      <c r="IB72" s="1482"/>
      <c r="IC72" s="1482"/>
      <c r="ID72" s="1482"/>
      <c r="IE72" s="1482"/>
      <c r="IF72" s="1482"/>
      <c r="IG72" s="1482"/>
      <c r="IH72" s="1482"/>
      <c r="II72" s="1482"/>
      <c r="IJ72" s="1482"/>
      <c r="IK72" s="1482"/>
      <c r="IL72" s="1482"/>
      <c r="IM72" s="1482"/>
      <c r="IN72" s="1482"/>
      <c r="IO72" s="1482"/>
      <c r="IP72" s="1482"/>
      <c r="IQ72" s="1482"/>
      <c r="IR72" s="1482"/>
      <c r="IS72" s="1482"/>
      <c r="IT72" s="1482"/>
      <c r="IU72" s="1482"/>
      <c r="IV72" s="1482"/>
      <c r="IW72" s="1482"/>
      <c r="IX72" s="1482"/>
      <c r="IY72" s="1482"/>
      <c r="IZ72" s="1482"/>
      <c r="JA72" s="1482"/>
      <c r="JB72" s="1482"/>
      <c r="JC72" s="1482"/>
      <c r="JD72" s="1482"/>
      <c r="JE72" s="1482"/>
      <c r="JF72" s="1482"/>
      <c r="JG72" s="1482"/>
      <c r="JH72" s="1482"/>
      <c r="JI72" s="1482"/>
      <c r="JJ72" s="1482"/>
      <c r="JK72" s="1482"/>
      <c r="JL72" s="1482"/>
      <c r="JM72" s="1482"/>
      <c r="JN72" s="1482"/>
      <c r="JO72" s="1482"/>
      <c r="JP72" s="1482"/>
      <c r="JQ72" s="1482"/>
      <c r="JR72" s="1482"/>
      <c r="JS72" s="1482"/>
      <c r="JT72" s="1482"/>
      <c r="JU72" s="1482"/>
      <c r="JV72" s="1482"/>
      <c r="JW72" s="1482"/>
      <c r="JX72" s="1482"/>
      <c r="JY72" s="1482"/>
      <c r="JZ72" s="1482"/>
      <c r="KA72" s="1482"/>
      <c r="KB72" s="1482"/>
      <c r="KC72" s="1482"/>
      <c r="KD72" s="1482"/>
      <c r="KE72" s="1482"/>
      <c r="KF72" s="1482"/>
      <c r="KG72" s="1482"/>
      <c r="KH72" s="1482"/>
      <c r="KI72" s="1482"/>
      <c r="KJ72" s="1482"/>
      <c r="KK72" s="1482"/>
      <c r="KL72" s="1482"/>
      <c r="KM72" s="1482"/>
      <c r="KN72" s="1482"/>
      <c r="KO72" s="1482"/>
      <c r="KP72" s="1482"/>
      <c r="KQ72" s="1482"/>
      <c r="KR72" s="1482"/>
      <c r="KS72" s="1482"/>
      <c r="KT72" s="1482"/>
      <c r="KU72" s="1482"/>
      <c r="KV72" s="1482"/>
      <c r="KW72" s="1482"/>
      <c r="KX72" s="1482"/>
      <c r="KY72" s="1482"/>
      <c r="KZ72" s="1482"/>
      <c r="LA72" s="1482"/>
      <c r="LB72" s="1482"/>
      <c r="LC72" s="1482"/>
      <c r="LD72" s="1482"/>
      <c r="LE72" s="1482"/>
      <c r="LF72" s="1482"/>
      <c r="LG72" s="1482"/>
      <c r="LH72" s="1482"/>
      <c r="LI72" s="1482"/>
      <c r="LJ72" s="1482"/>
      <c r="LK72" s="1482"/>
      <c r="LL72" s="1482"/>
      <c r="LM72" s="1482"/>
      <c r="LN72" s="1482"/>
      <c r="LO72" s="1482"/>
      <c r="LP72" s="1482"/>
      <c r="LQ72" s="1482"/>
      <c r="LR72" s="1482"/>
      <c r="LS72" s="1482"/>
      <c r="LT72" s="1482"/>
      <c r="LU72" s="1482"/>
      <c r="LV72" s="1482"/>
      <c r="LW72" s="1482"/>
      <c r="LX72" s="1482"/>
      <c r="LY72" s="1482"/>
      <c r="LZ72" s="1482"/>
      <c r="MA72" s="1482"/>
      <c r="MB72" s="1482"/>
      <c r="MC72" s="1482"/>
      <c r="MD72" s="1482"/>
      <c r="ME72" s="1482"/>
      <c r="MF72" s="1482"/>
      <c r="MG72" s="1482"/>
      <c r="MH72" s="1482"/>
      <c r="MI72" s="1482"/>
      <c r="MJ72" s="1482"/>
      <c r="MK72" s="1482"/>
      <c r="ML72" s="1482"/>
      <c r="MM72" s="1482"/>
      <c r="MN72" s="1482"/>
      <c r="MO72" s="1482"/>
      <c r="MP72" s="1482"/>
      <c r="MQ72" s="1482"/>
      <c r="MR72" s="1482"/>
      <c r="MS72" s="1482"/>
      <c r="MT72" s="1482"/>
      <c r="MU72" s="1482"/>
      <c r="MV72" s="1482"/>
      <c r="MW72" s="1482"/>
      <c r="MX72" s="1482"/>
      <c r="MY72" s="1482"/>
      <c r="MZ72" s="1482"/>
      <c r="NA72" s="1482"/>
      <c r="NB72" s="1482"/>
      <c r="NC72" s="1482"/>
      <c r="ND72" s="1493"/>
      <c r="NE72" s="1493"/>
      <c r="NF72" s="1493"/>
      <c r="NG72" s="1493"/>
      <c r="NH72" s="1493"/>
      <c r="NI72" s="1493"/>
      <c r="NJ72" s="1493"/>
      <c r="NK72" s="1493"/>
      <c r="NL72" s="1493"/>
      <c r="NM72" s="1493"/>
      <c r="NN72" s="1493"/>
      <c r="NO72" s="1493"/>
      <c r="NP72" s="1493"/>
      <c r="NQ72" s="1493"/>
      <c r="NR72" s="1493"/>
      <c r="NS72" s="1493"/>
      <c r="NT72" s="1493"/>
      <c r="NU72" s="1493"/>
      <c r="NV72" s="1493"/>
      <c r="NW72" s="1493"/>
      <c r="NX72" s="1493"/>
      <c r="NY72" s="1493"/>
      <c r="NZ72" s="1493"/>
      <c r="OA72" s="1493"/>
      <c r="OB72" s="1493"/>
      <c r="OC72" s="1493"/>
      <c r="OD72" s="1493"/>
      <c r="OE72" s="1493"/>
      <c r="OF72" s="1493"/>
      <c r="OG72" s="1493"/>
      <c r="OH72" s="1493"/>
      <c r="OI72" s="1493"/>
      <c r="OJ72" s="1493"/>
      <c r="OK72" s="1493"/>
      <c r="OL72" s="1493"/>
      <c r="OM72" s="1493"/>
      <c r="ON72" s="1493"/>
      <c r="OO72" s="1493"/>
      <c r="OP72" s="1493"/>
      <c r="OQ72" s="1493"/>
      <c r="OR72" s="1493"/>
      <c r="OS72" s="1493"/>
      <c r="OT72" s="1493"/>
      <c r="OU72" s="1493"/>
      <c r="OV72" s="1493"/>
      <c r="OW72" s="1493"/>
      <c r="OX72" s="1493"/>
      <c r="OY72" s="1493"/>
      <c r="OZ72" s="1493"/>
      <c r="PA72" s="1493"/>
      <c r="PB72" s="1493"/>
      <c r="PC72" s="1493"/>
      <c r="PD72" s="1493"/>
      <c r="PE72" s="1493"/>
      <c r="PF72" s="1493"/>
      <c r="PG72" s="1493"/>
      <c r="PH72" s="1493"/>
      <c r="PI72" s="1493"/>
      <c r="PJ72" s="1493"/>
      <c r="PK72" s="1493"/>
      <c r="PL72" s="1493"/>
      <c r="PM72" s="1493"/>
      <c r="PN72" s="1493"/>
      <c r="PO72" s="1493"/>
      <c r="PP72" s="1493"/>
      <c r="PQ72" s="1493"/>
      <c r="PR72" s="1493"/>
      <c r="PS72" s="1493"/>
      <c r="PT72" s="1493"/>
      <c r="PU72" s="1493"/>
      <c r="PV72" s="1493"/>
      <c r="PW72" s="1493"/>
      <c r="PX72" s="1493"/>
      <c r="PY72" s="1493"/>
      <c r="PZ72" s="1493"/>
      <c r="QA72" s="1493"/>
      <c r="QB72" s="1493"/>
      <c r="QC72" s="1493"/>
      <c r="QD72" s="1493"/>
      <c r="QE72" s="1493"/>
      <c r="QF72" s="1493"/>
      <c r="QG72" s="1493"/>
      <c r="QH72" s="1493"/>
      <c r="QI72" s="1493"/>
      <c r="QJ72" s="1493"/>
      <c r="QK72" s="1493"/>
      <c r="QL72" s="1493"/>
      <c r="QM72" s="1493"/>
      <c r="QN72" s="1493"/>
      <c r="QO72" s="1493"/>
      <c r="QP72" s="1493"/>
      <c r="QQ72" s="1493"/>
      <c r="QR72" s="1493"/>
      <c r="QS72" s="1493"/>
      <c r="QT72" s="1493"/>
      <c r="QU72" s="1493"/>
      <c r="QV72" s="1493"/>
      <c r="QW72" s="1493"/>
      <c r="QX72" s="1493"/>
      <c r="QY72" s="1493"/>
      <c r="QZ72" s="1493"/>
      <c r="RA72" s="1493"/>
      <c r="RB72" s="1493"/>
      <c r="RC72" s="1493"/>
      <c r="RD72" s="1493"/>
      <c r="RE72" s="1493"/>
      <c r="RF72" s="1493"/>
      <c r="RG72" s="1493"/>
      <c r="RH72" s="1493"/>
      <c r="RI72" s="1493"/>
      <c r="RJ72" s="1493"/>
      <c r="RK72" s="1493"/>
      <c r="RL72" s="1493"/>
      <c r="RM72" s="1493"/>
      <c r="RN72" s="1493"/>
      <c r="RO72" s="1493"/>
      <c r="RP72" s="1493"/>
      <c r="RQ72" s="1493"/>
      <c r="RR72" s="1493"/>
      <c r="RS72" s="1493"/>
      <c r="RT72" s="1493"/>
      <c r="RU72" s="1493"/>
      <c r="RV72" s="1493"/>
      <c r="RW72" s="1493"/>
      <c r="RX72" s="1493"/>
      <c r="RY72" s="1493"/>
      <c r="RZ72" s="1493"/>
    </row>
    <row r="73" spans="1:502" customFormat="1" hidden="1">
      <c r="A73" s="2308"/>
      <c r="B73" s="2308"/>
      <c r="C73" s="2307"/>
      <c r="D73" s="2307"/>
      <c r="E73" s="2307"/>
      <c r="F73" s="886"/>
      <c r="G73" s="1493"/>
      <c r="H73" s="1494" t="s">
        <v>3385</v>
      </c>
      <c r="I73" s="1495"/>
      <c r="J73" s="1507" t="str">
        <f t="shared" ref="J73:O73" si="348">IF(OR(J57=0,J$67=0),"",J57/J$67)</f>
        <v/>
      </c>
      <c r="K73" s="1508" t="str">
        <f t="shared" si="348"/>
        <v/>
      </c>
      <c r="L73" s="1508" t="str">
        <f t="shared" si="348"/>
        <v/>
      </c>
      <c r="M73" s="1508" t="str">
        <f t="shared" si="348"/>
        <v/>
      </c>
      <c r="N73" s="1508" t="str">
        <f t="shared" si="348"/>
        <v/>
      </c>
      <c r="O73" s="1509" t="str">
        <f t="shared" si="348"/>
        <v/>
      </c>
      <c r="R73" s="2376"/>
      <c r="S73" s="2377"/>
      <c r="T73" s="2377"/>
      <c r="U73" s="2377"/>
      <c r="V73" s="2378"/>
      <c r="W73" s="1482"/>
      <c r="X73" s="1482"/>
      <c r="Y73" s="1482"/>
      <c r="Z73" s="1482"/>
      <c r="AA73" s="1482"/>
      <c r="AB73" s="1482"/>
      <c r="AC73" s="1482"/>
      <c r="AD73" s="1482"/>
      <c r="AE73" s="1482"/>
      <c r="AF73" s="1482"/>
      <c r="AG73" s="1482"/>
      <c r="AH73" s="1482"/>
      <c r="AI73" s="1482"/>
      <c r="AJ73" s="1482"/>
      <c r="AK73" s="1482"/>
      <c r="AL73" s="1482"/>
      <c r="AM73" s="1482"/>
      <c r="AN73" s="1482"/>
      <c r="AO73" s="1482"/>
      <c r="AP73" s="1482"/>
      <c r="AQ73" s="1482"/>
      <c r="AR73" s="1482"/>
      <c r="AS73" s="1482"/>
      <c r="AT73" s="1482"/>
      <c r="AU73" s="1482"/>
      <c r="AV73" s="1482"/>
      <c r="AW73" s="1482"/>
      <c r="AX73" s="1482"/>
      <c r="AY73" s="1482"/>
      <c r="AZ73" s="1482"/>
      <c r="BA73" s="1482"/>
      <c r="BB73" s="1482"/>
      <c r="BC73" s="1482"/>
      <c r="BD73" s="1482"/>
      <c r="BE73" s="1482"/>
      <c r="BF73" s="1482"/>
      <c r="BG73" s="1482"/>
      <c r="BH73" s="1482"/>
      <c r="BI73" s="1482"/>
      <c r="BJ73" s="1482"/>
      <c r="BK73" s="1482"/>
      <c r="BL73" s="1482"/>
      <c r="BM73" s="1482"/>
      <c r="BN73" s="1482"/>
      <c r="BO73" s="1482"/>
      <c r="BP73" s="1482"/>
      <c r="BQ73" s="1482"/>
      <c r="BR73" s="1482"/>
      <c r="BS73" s="1482"/>
      <c r="BT73" s="1482"/>
      <c r="BU73" s="1482"/>
      <c r="BV73" s="1482"/>
      <c r="BW73" s="1482"/>
      <c r="BX73" s="1482"/>
      <c r="BY73" s="1482"/>
      <c r="BZ73" s="1482"/>
      <c r="CA73" s="1482"/>
      <c r="CB73" s="1482"/>
      <c r="CC73" s="1482"/>
      <c r="CD73" s="1482"/>
      <c r="CE73" s="1482"/>
      <c r="CF73" s="1482"/>
      <c r="CG73" s="1482"/>
      <c r="CH73" s="1482"/>
      <c r="CI73" s="1482"/>
      <c r="CJ73" s="1482"/>
      <c r="CK73" s="1482"/>
      <c r="CL73" s="1482"/>
      <c r="CM73" s="1482"/>
      <c r="CN73" s="1482"/>
      <c r="CO73" s="1482"/>
      <c r="CP73" s="1482"/>
      <c r="CQ73" s="1482"/>
      <c r="CR73" s="1482"/>
      <c r="CS73" s="1482"/>
      <c r="CT73" s="1482"/>
      <c r="CU73" s="1482"/>
      <c r="CV73" s="1482"/>
      <c r="CW73" s="1482"/>
      <c r="CX73" s="1482"/>
      <c r="CY73" s="1482"/>
      <c r="CZ73" s="1482"/>
      <c r="DA73" s="1482"/>
      <c r="DB73" s="1482"/>
      <c r="DC73" s="1482"/>
      <c r="DD73" s="1482"/>
      <c r="DE73" s="1482"/>
      <c r="DF73" s="1482"/>
      <c r="DG73" s="1482"/>
      <c r="DH73" s="1482"/>
      <c r="DI73" s="1482"/>
      <c r="DJ73" s="1482"/>
      <c r="DK73" s="1482"/>
      <c r="DL73" s="1482"/>
      <c r="DM73" s="1482"/>
      <c r="DN73" s="1482"/>
      <c r="DO73" s="1482"/>
      <c r="DP73" s="1482"/>
      <c r="DQ73" s="1482"/>
      <c r="DR73" s="1482"/>
      <c r="DS73" s="1482"/>
      <c r="DT73" s="1482"/>
      <c r="DU73" s="1482"/>
      <c r="DV73" s="1482"/>
      <c r="DW73" s="1482"/>
      <c r="DX73" s="1482"/>
      <c r="DY73" s="1482"/>
      <c r="DZ73" s="1482"/>
      <c r="EA73" s="1482"/>
      <c r="EB73" s="1482"/>
      <c r="EC73" s="1482"/>
      <c r="ED73" s="1482"/>
      <c r="EE73" s="1482"/>
      <c r="EF73" s="1482"/>
      <c r="EG73" s="1482"/>
      <c r="EH73" s="1482"/>
      <c r="EI73" s="1482"/>
      <c r="EJ73" s="1482"/>
      <c r="EK73" s="1482"/>
      <c r="EL73" s="1482"/>
      <c r="EM73" s="1482"/>
      <c r="EN73" s="1482"/>
      <c r="EO73" s="1482"/>
      <c r="EP73" s="1482"/>
      <c r="EQ73" s="1482"/>
      <c r="ER73" s="1482"/>
      <c r="ES73" s="1482"/>
      <c r="ET73" s="1482"/>
      <c r="EU73" s="1482"/>
      <c r="EV73" s="1482"/>
      <c r="EW73" s="1482"/>
      <c r="EX73" s="1482"/>
      <c r="EY73" s="1482"/>
      <c r="EZ73" s="1482"/>
      <c r="FA73" s="1482"/>
      <c r="FB73" s="1482"/>
      <c r="FC73" s="1482"/>
      <c r="FD73" s="1482"/>
      <c r="FE73" s="1482"/>
      <c r="FF73" s="1482"/>
      <c r="FG73" s="1482"/>
      <c r="FH73" s="1482"/>
      <c r="FI73" s="1482"/>
      <c r="FJ73" s="1482"/>
      <c r="FK73" s="1482"/>
      <c r="FL73" s="1482"/>
      <c r="FM73" s="1482"/>
      <c r="FN73" s="1482"/>
      <c r="FO73" s="1482"/>
      <c r="FP73" s="1482"/>
      <c r="FQ73" s="1482"/>
      <c r="FR73" s="1482"/>
      <c r="FS73" s="1482"/>
      <c r="FT73" s="1482"/>
      <c r="FU73" s="1482"/>
      <c r="FV73" s="1482"/>
      <c r="FW73" s="1482"/>
      <c r="FX73" s="1482"/>
      <c r="FY73" s="1482"/>
      <c r="FZ73" s="1482"/>
      <c r="GA73" s="1482"/>
      <c r="GB73" s="1482"/>
      <c r="GC73" s="1482"/>
      <c r="GD73" s="1482"/>
      <c r="GE73" s="1482"/>
      <c r="GF73" s="1482"/>
      <c r="GG73" s="1482"/>
      <c r="GH73" s="1482"/>
      <c r="GI73" s="1482"/>
      <c r="GJ73" s="1482"/>
      <c r="GK73" s="1482"/>
      <c r="GL73" s="1482"/>
      <c r="GM73" s="1482"/>
      <c r="GN73" s="1482"/>
      <c r="GO73" s="1482"/>
      <c r="GP73" s="1482"/>
      <c r="GQ73" s="1482"/>
      <c r="GR73" s="1482"/>
      <c r="GS73" s="1482"/>
      <c r="GT73" s="1482"/>
      <c r="GU73" s="1482"/>
      <c r="GV73" s="1482"/>
      <c r="GW73" s="1482"/>
      <c r="GX73" s="1482"/>
      <c r="GY73" s="1482"/>
      <c r="GZ73" s="1482"/>
      <c r="HA73" s="1482"/>
      <c r="HB73" s="1482"/>
      <c r="HC73" s="1482"/>
      <c r="HD73" s="1482"/>
      <c r="HE73" s="1482"/>
      <c r="HF73" s="1482"/>
      <c r="HG73" s="1482"/>
      <c r="HH73" s="1482"/>
      <c r="HI73" s="1482"/>
      <c r="HJ73" s="1482"/>
      <c r="HK73" s="1482"/>
      <c r="HL73" s="1482"/>
      <c r="HM73" s="1482"/>
      <c r="HN73" s="1482"/>
      <c r="HO73" s="1482"/>
      <c r="HP73" s="1482"/>
      <c r="HQ73" s="1482"/>
      <c r="HR73" s="1482"/>
      <c r="HS73" s="1482"/>
      <c r="HT73" s="1482"/>
      <c r="HU73" s="1482"/>
      <c r="HV73" s="1482"/>
      <c r="HW73" s="1482"/>
      <c r="HX73" s="1482"/>
      <c r="HY73" s="1482"/>
      <c r="HZ73" s="1482"/>
      <c r="IA73" s="1482"/>
      <c r="IB73" s="1482"/>
      <c r="IC73" s="1482"/>
      <c r="ID73" s="1482"/>
      <c r="IE73" s="1482"/>
      <c r="IF73" s="1482"/>
      <c r="IG73" s="1482"/>
      <c r="IH73" s="1482"/>
      <c r="II73" s="1482"/>
      <c r="IJ73" s="1482"/>
      <c r="IK73" s="1482"/>
      <c r="IL73" s="1482"/>
      <c r="IM73" s="1482"/>
      <c r="IN73" s="1482"/>
      <c r="IO73" s="1482"/>
      <c r="IP73" s="1482"/>
      <c r="IQ73" s="1482"/>
      <c r="IR73" s="1482"/>
      <c r="IS73" s="1482"/>
      <c r="IT73" s="1482"/>
      <c r="IU73" s="1482"/>
      <c r="IV73" s="1482"/>
      <c r="IW73" s="1482"/>
      <c r="IX73" s="1482"/>
      <c r="IY73" s="1482"/>
      <c r="IZ73" s="1482"/>
      <c r="JA73" s="1482"/>
      <c r="JB73" s="1482"/>
      <c r="JC73" s="1482"/>
      <c r="JD73" s="1482"/>
      <c r="JE73" s="1482"/>
      <c r="JF73" s="1482"/>
      <c r="JG73" s="1482"/>
      <c r="JH73" s="1482"/>
      <c r="JI73" s="1482"/>
      <c r="JJ73" s="1482"/>
      <c r="JK73" s="1482"/>
      <c r="JL73" s="1482"/>
      <c r="JM73" s="1482"/>
      <c r="JN73" s="1482"/>
      <c r="JO73" s="1482"/>
      <c r="JP73" s="1482"/>
      <c r="JQ73" s="1482"/>
      <c r="JR73" s="1482"/>
      <c r="JS73" s="1482"/>
      <c r="JT73" s="1482"/>
      <c r="JU73" s="1482"/>
      <c r="JV73" s="1482"/>
      <c r="JW73" s="1482"/>
      <c r="JX73" s="1482"/>
      <c r="JY73" s="1482"/>
      <c r="JZ73" s="1482"/>
      <c r="KA73" s="1482"/>
      <c r="KB73" s="1482"/>
      <c r="KC73" s="1482"/>
      <c r="KD73" s="1482"/>
      <c r="KE73" s="1482"/>
      <c r="KF73" s="1482"/>
      <c r="KG73" s="1482"/>
      <c r="KH73" s="1482"/>
      <c r="KI73" s="1482"/>
      <c r="KJ73" s="1482"/>
      <c r="KK73" s="1482"/>
      <c r="KL73" s="1482"/>
      <c r="KM73" s="1482"/>
      <c r="KN73" s="1482"/>
      <c r="KO73" s="1482"/>
      <c r="KP73" s="1482"/>
      <c r="KQ73" s="1482"/>
      <c r="KR73" s="1482"/>
      <c r="KS73" s="1482"/>
      <c r="KT73" s="1482"/>
      <c r="KU73" s="1482"/>
      <c r="KV73" s="1482"/>
      <c r="KW73" s="1482"/>
      <c r="KX73" s="1482"/>
      <c r="KY73" s="1482"/>
      <c r="KZ73" s="1482"/>
      <c r="LA73" s="1482"/>
      <c r="LB73" s="1482"/>
      <c r="LC73" s="1482"/>
      <c r="LD73" s="1482"/>
      <c r="LE73" s="1482"/>
      <c r="LF73" s="1482"/>
      <c r="LG73" s="1482"/>
      <c r="LH73" s="1482"/>
      <c r="LI73" s="1482"/>
      <c r="LJ73" s="1482"/>
      <c r="LK73" s="1482"/>
      <c r="LL73" s="1482"/>
      <c r="LM73" s="1482"/>
      <c r="LN73" s="1482"/>
      <c r="LO73" s="1482"/>
      <c r="LP73" s="1482"/>
      <c r="LQ73" s="1482"/>
      <c r="LR73" s="1482"/>
      <c r="LS73" s="1482"/>
      <c r="LT73" s="1482"/>
      <c r="LU73" s="1482"/>
      <c r="LV73" s="1482"/>
      <c r="LW73" s="1482"/>
      <c r="LX73" s="1482"/>
      <c r="LY73" s="1482"/>
      <c r="LZ73" s="1482"/>
      <c r="MA73" s="1482"/>
      <c r="MB73" s="1482"/>
      <c r="MC73" s="1482"/>
      <c r="MD73" s="1482"/>
      <c r="ME73" s="1482"/>
      <c r="MF73" s="1482"/>
      <c r="MG73" s="1482"/>
      <c r="MH73" s="1482"/>
      <c r="MI73" s="1482"/>
      <c r="MJ73" s="1482"/>
      <c r="MK73" s="1482"/>
      <c r="ML73" s="1482"/>
      <c r="MM73" s="1482"/>
      <c r="MN73" s="1482"/>
      <c r="MO73" s="1482"/>
      <c r="MP73" s="1482"/>
      <c r="MQ73" s="1482"/>
      <c r="MR73" s="1482"/>
      <c r="MS73" s="1482"/>
      <c r="MT73" s="1482"/>
      <c r="MU73" s="1482"/>
      <c r="MV73" s="1482"/>
      <c r="MW73" s="1482"/>
      <c r="MX73" s="1482"/>
      <c r="MY73" s="1482"/>
      <c r="MZ73" s="1482"/>
      <c r="NA73" s="1482"/>
      <c r="NB73" s="1482"/>
      <c r="NC73" s="1482"/>
      <c r="ND73" s="1493"/>
      <c r="NE73" s="1493"/>
      <c r="NF73" s="1493"/>
      <c r="NG73" s="1493"/>
      <c r="NH73" s="1493"/>
      <c r="NI73" s="1493"/>
      <c r="NJ73" s="1493"/>
      <c r="NK73" s="1493"/>
      <c r="NL73" s="1493"/>
      <c r="NM73" s="1493"/>
      <c r="NN73" s="1493"/>
      <c r="NO73" s="1493"/>
      <c r="NP73" s="1493"/>
      <c r="NQ73" s="1493"/>
      <c r="NR73" s="1493"/>
      <c r="NS73" s="1493"/>
      <c r="NT73" s="1493"/>
      <c r="NU73" s="1493"/>
      <c r="NV73" s="1493"/>
      <c r="NW73" s="1493"/>
      <c r="NX73" s="1493"/>
      <c r="NY73" s="1493"/>
      <c r="NZ73" s="1493"/>
      <c r="OA73" s="1493"/>
      <c r="OB73" s="1493"/>
      <c r="OC73" s="1493"/>
      <c r="OD73" s="1493"/>
      <c r="OE73" s="1493"/>
      <c r="OF73" s="1493"/>
      <c r="OG73" s="1493"/>
      <c r="OH73" s="1493"/>
      <c r="OI73" s="1493"/>
      <c r="OJ73" s="1493"/>
      <c r="OK73" s="1493"/>
      <c r="OL73" s="1493"/>
      <c r="OM73" s="1493"/>
      <c r="ON73" s="1493"/>
      <c r="OO73" s="1493"/>
      <c r="OP73" s="1493"/>
      <c r="OQ73" s="1493"/>
      <c r="OR73" s="1493"/>
      <c r="OS73" s="1493"/>
      <c r="OT73" s="1493"/>
      <c r="OU73" s="1493"/>
      <c r="OV73" s="1493"/>
      <c r="OW73" s="1493"/>
      <c r="OX73" s="1493"/>
      <c r="OY73" s="1493"/>
      <c r="OZ73" s="1493"/>
      <c r="PA73" s="1493"/>
      <c r="PB73" s="1493"/>
      <c r="PC73" s="1493"/>
      <c r="PD73" s="1493"/>
      <c r="PE73" s="1493"/>
      <c r="PF73" s="1493"/>
      <c r="PG73" s="1493"/>
      <c r="PH73" s="1493"/>
      <c r="PI73" s="1493"/>
      <c r="PJ73" s="1493"/>
      <c r="PK73" s="1493"/>
      <c r="PL73" s="1493"/>
      <c r="PM73" s="1493"/>
      <c r="PN73" s="1493"/>
      <c r="PO73" s="1493"/>
      <c r="PP73" s="1493"/>
      <c r="PQ73" s="1493"/>
      <c r="PR73" s="1493"/>
      <c r="PS73" s="1493"/>
      <c r="PT73" s="1493"/>
      <c r="PU73" s="1493"/>
      <c r="PV73" s="1493"/>
      <c r="PW73" s="1493"/>
      <c r="PX73" s="1493"/>
      <c r="PY73" s="1493"/>
      <c r="PZ73" s="1493"/>
      <c r="QA73" s="1493"/>
      <c r="QB73" s="1493"/>
      <c r="QC73" s="1493"/>
      <c r="QD73" s="1493"/>
      <c r="QE73" s="1493"/>
      <c r="QF73" s="1493"/>
      <c r="QG73" s="1493"/>
      <c r="QH73" s="1493"/>
      <c r="QI73" s="1493"/>
      <c r="QJ73" s="1493"/>
      <c r="QK73" s="1493"/>
      <c r="QL73" s="1493"/>
      <c r="QM73" s="1493"/>
      <c r="QN73" s="1493"/>
      <c r="QO73" s="1493"/>
      <c r="QP73" s="1493"/>
      <c r="QQ73" s="1493"/>
      <c r="QR73" s="1493"/>
      <c r="QS73" s="1493"/>
      <c r="QT73" s="1493"/>
      <c r="QU73" s="1493"/>
      <c r="QV73" s="1493"/>
      <c r="QW73" s="1493"/>
      <c r="QX73" s="1493"/>
      <c r="QY73" s="1493"/>
      <c r="QZ73" s="1493"/>
      <c r="RA73" s="1493"/>
      <c r="RB73" s="1493"/>
      <c r="RC73" s="1493"/>
      <c r="RD73" s="1493"/>
      <c r="RE73" s="1493"/>
      <c r="RF73" s="1493"/>
      <c r="RG73" s="1493"/>
      <c r="RH73" s="1493"/>
      <c r="RI73" s="1493"/>
      <c r="RJ73" s="1493"/>
      <c r="RK73" s="1493"/>
      <c r="RL73" s="1493"/>
      <c r="RM73" s="1493"/>
      <c r="RN73" s="1493"/>
      <c r="RO73" s="1493"/>
      <c r="RP73" s="1493"/>
      <c r="RQ73" s="1493"/>
      <c r="RR73" s="1493"/>
      <c r="RS73" s="1493"/>
      <c r="RT73" s="1493"/>
      <c r="RU73" s="1493"/>
      <c r="RV73" s="1493"/>
      <c r="RW73" s="1493"/>
      <c r="RX73" s="1493"/>
      <c r="RY73" s="1493"/>
      <c r="RZ73" s="1493"/>
    </row>
    <row r="74" spans="1:502" customFormat="1" ht="13.5" hidden="1">
      <c r="A74" s="2308"/>
      <c r="B74" s="2308"/>
      <c r="C74" s="2307"/>
      <c r="D74" s="2307"/>
      <c r="E74" s="2307"/>
      <c r="F74" s="886"/>
      <c r="G74" s="1493"/>
      <c r="H74" s="1487" t="s">
        <v>3699</v>
      </c>
      <c r="I74" s="1495"/>
      <c r="J74" s="1501" t="str">
        <f>IF(OR(J57=0,$P73="",J$67=0),"",$P73*J$67)</f>
        <v/>
      </c>
      <c r="K74" s="1501" t="str">
        <f>IF(OR(K57=0,$P73="",K$67=0),"",$P73*K$67)</f>
        <v/>
      </c>
      <c r="L74" s="1501" t="str">
        <f>IF(OR(L57=0,$P73="",L$67=0),"",$P73*L$67)</f>
        <v/>
      </c>
      <c r="M74" s="1501" t="str">
        <f>IF(OR(M57=0,$P73="",M$67=0),"",$P73*M$67)</f>
        <v/>
      </c>
      <c r="N74" s="1501" t="str">
        <f>IF(OR(N57=0,$P73="",N$67=0),"",$P73*N$67)</f>
        <v/>
      </c>
      <c r="O74" s="1502" t="str">
        <f t="shared" ref="O74" si="349">IF(OR($P73="",O$67=0),"",$P73*O$67)</f>
        <v/>
      </c>
      <c r="R74" s="2376"/>
      <c r="S74" s="2377"/>
      <c r="T74" s="2377"/>
      <c r="U74" s="2377"/>
      <c r="V74" s="2378"/>
      <c r="W74" s="1482"/>
      <c r="X74" s="1482"/>
      <c r="Y74" s="1482"/>
      <c r="Z74" s="1482"/>
      <c r="AA74" s="1482"/>
      <c r="AB74" s="1482"/>
      <c r="AC74" s="1482"/>
      <c r="AD74" s="1482"/>
      <c r="AE74" s="1482"/>
      <c r="AF74" s="1482"/>
      <c r="AG74" s="1482"/>
      <c r="AH74" s="1482"/>
      <c r="AI74" s="1482"/>
      <c r="AJ74" s="1482"/>
      <c r="AK74" s="1482"/>
      <c r="AL74" s="1482"/>
      <c r="AM74" s="1482"/>
      <c r="AN74" s="1482"/>
      <c r="AO74" s="1482"/>
      <c r="AP74" s="1482"/>
      <c r="AQ74" s="1482"/>
      <c r="AR74" s="1482"/>
      <c r="AS74" s="1482"/>
      <c r="AT74" s="1482"/>
      <c r="AU74" s="1482"/>
      <c r="AV74" s="1482"/>
      <c r="AW74" s="1482"/>
      <c r="AX74" s="1482"/>
      <c r="AY74" s="1482"/>
      <c r="AZ74" s="1482"/>
      <c r="BA74" s="1482"/>
      <c r="BB74" s="1482"/>
      <c r="BC74" s="1482"/>
      <c r="BD74" s="1482"/>
      <c r="BE74" s="1482"/>
      <c r="BF74" s="1482"/>
      <c r="BG74" s="1482"/>
      <c r="BH74" s="1482"/>
      <c r="BI74" s="1482"/>
      <c r="BJ74" s="1482"/>
      <c r="BK74" s="1482"/>
      <c r="BL74" s="1482"/>
      <c r="BM74" s="1482"/>
      <c r="BN74" s="1482"/>
      <c r="BO74" s="1482"/>
      <c r="BP74" s="1482"/>
      <c r="BQ74" s="1482"/>
      <c r="BR74" s="1482"/>
      <c r="BS74" s="1482"/>
      <c r="BT74" s="1482"/>
      <c r="BU74" s="1482"/>
      <c r="BV74" s="1482"/>
      <c r="BW74" s="1482"/>
      <c r="BX74" s="1482"/>
      <c r="BY74" s="1482"/>
      <c r="BZ74" s="1482"/>
      <c r="CA74" s="1482"/>
      <c r="CB74" s="1482"/>
      <c r="CC74" s="1482"/>
      <c r="CD74" s="1482"/>
      <c r="CE74" s="1482"/>
      <c r="CF74" s="1482"/>
      <c r="CG74" s="1482"/>
      <c r="CH74" s="1482"/>
      <c r="CI74" s="1482"/>
      <c r="CJ74" s="1482"/>
      <c r="CK74" s="1482"/>
      <c r="CL74" s="1482"/>
      <c r="CM74" s="1482"/>
      <c r="CN74" s="1482"/>
      <c r="CO74" s="1482"/>
      <c r="CP74" s="1482"/>
      <c r="CQ74" s="1482"/>
      <c r="CR74" s="1482"/>
      <c r="CS74" s="1482"/>
      <c r="CT74" s="1482"/>
      <c r="CU74" s="1482"/>
      <c r="CV74" s="1482"/>
      <c r="CW74" s="1482"/>
      <c r="CX74" s="1482"/>
      <c r="CY74" s="1482"/>
      <c r="CZ74" s="1482"/>
      <c r="DA74" s="1482"/>
      <c r="DB74" s="1482"/>
      <c r="DC74" s="1482"/>
      <c r="DD74" s="1482"/>
      <c r="DE74" s="1482"/>
      <c r="DF74" s="1482"/>
      <c r="DG74" s="1482"/>
      <c r="DH74" s="1482"/>
      <c r="DI74" s="1482"/>
      <c r="DJ74" s="1482"/>
      <c r="DK74" s="1482"/>
      <c r="DL74" s="1482"/>
      <c r="DM74" s="1482"/>
      <c r="DN74" s="1482"/>
      <c r="DO74" s="1482"/>
      <c r="DP74" s="1482"/>
      <c r="DQ74" s="1482"/>
      <c r="DR74" s="1482"/>
      <c r="DS74" s="1482"/>
      <c r="DT74" s="1482"/>
      <c r="DU74" s="1482"/>
      <c r="DV74" s="1482"/>
      <c r="DW74" s="1482"/>
      <c r="DX74" s="1482"/>
      <c r="DY74" s="1482"/>
      <c r="DZ74" s="1482"/>
      <c r="EA74" s="1482"/>
      <c r="EB74" s="1482"/>
      <c r="EC74" s="1482"/>
      <c r="ED74" s="1482"/>
      <c r="EE74" s="1482"/>
      <c r="EF74" s="1482"/>
      <c r="EG74" s="1482"/>
      <c r="EH74" s="1482"/>
      <c r="EI74" s="1482"/>
      <c r="EJ74" s="1482"/>
      <c r="EK74" s="1482"/>
      <c r="EL74" s="1482"/>
      <c r="EM74" s="1482"/>
      <c r="EN74" s="1482"/>
      <c r="EO74" s="1482"/>
      <c r="EP74" s="1482"/>
      <c r="EQ74" s="1482"/>
      <c r="ER74" s="1482"/>
      <c r="ES74" s="1482"/>
      <c r="ET74" s="1482"/>
      <c r="EU74" s="1482"/>
      <c r="EV74" s="1482"/>
      <c r="EW74" s="1482"/>
      <c r="EX74" s="1482"/>
      <c r="EY74" s="1482"/>
      <c r="EZ74" s="1482"/>
      <c r="FA74" s="1482"/>
      <c r="FB74" s="1482"/>
      <c r="FC74" s="1482"/>
      <c r="FD74" s="1482"/>
      <c r="FE74" s="1482"/>
      <c r="FF74" s="1482"/>
      <c r="FG74" s="1482"/>
      <c r="FH74" s="1482"/>
      <c r="FI74" s="1482"/>
      <c r="FJ74" s="1482"/>
      <c r="FK74" s="1482"/>
      <c r="FL74" s="1482"/>
      <c r="FM74" s="1482"/>
      <c r="FN74" s="1482"/>
      <c r="FO74" s="1482"/>
      <c r="FP74" s="1482"/>
      <c r="FQ74" s="1482"/>
      <c r="FR74" s="1482"/>
      <c r="FS74" s="1482"/>
      <c r="FT74" s="1482"/>
      <c r="FU74" s="1482"/>
      <c r="FV74" s="1482"/>
      <c r="FW74" s="1482"/>
      <c r="FX74" s="1482"/>
      <c r="FY74" s="1482"/>
      <c r="FZ74" s="1482"/>
      <c r="GA74" s="1482"/>
      <c r="GB74" s="1482"/>
      <c r="GC74" s="1482"/>
      <c r="GD74" s="1482"/>
      <c r="GE74" s="1482"/>
      <c r="GF74" s="1482"/>
      <c r="GG74" s="1482"/>
      <c r="GH74" s="1482"/>
      <c r="GI74" s="1482"/>
      <c r="GJ74" s="1482"/>
      <c r="GK74" s="1482"/>
      <c r="GL74" s="1482"/>
      <c r="GM74" s="1482"/>
      <c r="GN74" s="1482"/>
      <c r="GO74" s="1482"/>
      <c r="GP74" s="1482"/>
      <c r="GQ74" s="1482"/>
      <c r="GR74" s="1482"/>
      <c r="GS74" s="1482"/>
      <c r="GT74" s="1482"/>
      <c r="GU74" s="1482"/>
      <c r="GV74" s="1482"/>
      <c r="GW74" s="1482"/>
      <c r="GX74" s="1482"/>
      <c r="GY74" s="1482"/>
      <c r="GZ74" s="1482"/>
      <c r="HA74" s="1482"/>
      <c r="HB74" s="1482"/>
      <c r="HC74" s="1482"/>
      <c r="HD74" s="1482"/>
      <c r="HE74" s="1482"/>
      <c r="HF74" s="1482"/>
      <c r="HG74" s="1482"/>
      <c r="HH74" s="1482"/>
      <c r="HI74" s="1482"/>
      <c r="HJ74" s="1482"/>
      <c r="HK74" s="1482"/>
      <c r="HL74" s="1482"/>
      <c r="HM74" s="1482"/>
      <c r="HN74" s="1482"/>
      <c r="HO74" s="1482"/>
      <c r="HP74" s="1482"/>
      <c r="HQ74" s="1482"/>
      <c r="HR74" s="1482"/>
      <c r="HS74" s="1482"/>
      <c r="HT74" s="1482"/>
      <c r="HU74" s="1482"/>
      <c r="HV74" s="1482"/>
      <c r="HW74" s="1482"/>
      <c r="HX74" s="1482"/>
      <c r="HY74" s="1482"/>
      <c r="HZ74" s="1482"/>
      <c r="IA74" s="1482"/>
      <c r="IB74" s="1482"/>
      <c r="IC74" s="1482"/>
      <c r="ID74" s="1482"/>
      <c r="IE74" s="1482"/>
      <c r="IF74" s="1482"/>
      <c r="IG74" s="1482"/>
      <c r="IH74" s="1482"/>
      <c r="II74" s="1482"/>
      <c r="IJ74" s="1482"/>
      <c r="IK74" s="1482"/>
      <c r="IL74" s="1482"/>
      <c r="IM74" s="1482"/>
      <c r="IN74" s="1482"/>
      <c r="IO74" s="1482"/>
      <c r="IP74" s="1482"/>
      <c r="IQ74" s="1482"/>
      <c r="IR74" s="1482"/>
      <c r="IS74" s="1482"/>
      <c r="IT74" s="1482"/>
      <c r="IU74" s="1482"/>
      <c r="IV74" s="1482"/>
      <c r="IW74" s="1482"/>
      <c r="IX74" s="1482"/>
      <c r="IY74" s="1482"/>
      <c r="IZ74" s="1482"/>
      <c r="JA74" s="1482"/>
      <c r="JB74" s="1482"/>
      <c r="JC74" s="1482"/>
      <c r="JD74" s="1482"/>
      <c r="JE74" s="1482"/>
      <c r="JF74" s="1482"/>
      <c r="JG74" s="1482"/>
      <c r="JH74" s="1482"/>
      <c r="JI74" s="1482"/>
      <c r="JJ74" s="1482"/>
      <c r="JK74" s="1482"/>
      <c r="JL74" s="1482"/>
      <c r="JM74" s="1482"/>
      <c r="JN74" s="1482"/>
      <c r="JO74" s="1482"/>
      <c r="JP74" s="1482"/>
      <c r="JQ74" s="1482"/>
      <c r="JR74" s="1482"/>
      <c r="JS74" s="1482"/>
      <c r="JT74" s="1482"/>
      <c r="JU74" s="1482"/>
      <c r="JV74" s="1482"/>
      <c r="JW74" s="1482"/>
      <c r="JX74" s="1482"/>
      <c r="JY74" s="1482"/>
      <c r="JZ74" s="1482"/>
      <c r="KA74" s="1482"/>
      <c r="KB74" s="1482"/>
      <c r="KC74" s="1482"/>
      <c r="KD74" s="1482"/>
      <c r="KE74" s="1482"/>
      <c r="KF74" s="1482"/>
      <c r="KG74" s="1482"/>
      <c r="KH74" s="1482"/>
      <c r="KI74" s="1482"/>
      <c r="KJ74" s="1482"/>
      <c r="KK74" s="1482"/>
      <c r="KL74" s="1482"/>
      <c r="KM74" s="1482"/>
      <c r="KN74" s="1482"/>
      <c r="KO74" s="1482"/>
      <c r="KP74" s="1482"/>
      <c r="KQ74" s="1482"/>
      <c r="KR74" s="1482"/>
      <c r="KS74" s="1482"/>
      <c r="KT74" s="1482"/>
      <c r="KU74" s="1482"/>
      <c r="KV74" s="1482"/>
      <c r="KW74" s="1482"/>
      <c r="KX74" s="1482"/>
      <c r="KY74" s="1482"/>
      <c r="KZ74" s="1482"/>
      <c r="LA74" s="1482"/>
      <c r="LB74" s="1482"/>
      <c r="LC74" s="1482"/>
      <c r="LD74" s="1482"/>
      <c r="LE74" s="1482"/>
      <c r="LF74" s="1482"/>
      <c r="LG74" s="1482"/>
      <c r="LH74" s="1482"/>
      <c r="LI74" s="1482"/>
      <c r="LJ74" s="1482"/>
      <c r="LK74" s="1482"/>
      <c r="LL74" s="1482"/>
      <c r="LM74" s="1482"/>
      <c r="LN74" s="1482"/>
      <c r="LO74" s="1482"/>
      <c r="LP74" s="1482"/>
      <c r="LQ74" s="1482"/>
      <c r="LR74" s="1482"/>
      <c r="LS74" s="1482"/>
      <c r="LT74" s="1482"/>
      <c r="LU74" s="1482"/>
      <c r="LV74" s="1482"/>
      <c r="LW74" s="1482"/>
      <c r="LX74" s="1482"/>
      <c r="LY74" s="1482"/>
      <c r="LZ74" s="1482"/>
      <c r="MA74" s="1482"/>
      <c r="MB74" s="1482"/>
      <c r="MC74" s="1482"/>
      <c r="MD74" s="1482"/>
      <c r="ME74" s="1482"/>
      <c r="MF74" s="1482"/>
      <c r="MG74" s="1482"/>
      <c r="MH74" s="1482"/>
      <c r="MI74" s="1482"/>
      <c r="MJ74" s="1482"/>
      <c r="MK74" s="1482"/>
      <c r="ML74" s="1482"/>
      <c r="MM74" s="1482"/>
      <c r="MN74" s="1482"/>
      <c r="MO74" s="1482"/>
      <c r="MP74" s="1482"/>
      <c r="MQ74" s="1482"/>
      <c r="MR74" s="1482"/>
      <c r="MS74" s="1482"/>
      <c r="MT74" s="1482"/>
      <c r="MU74" s="1482"/>
      <c r="MV74" s="1482"/>
      <c r="MW74" s="1482"/>
      <c r="MX74" s="1482"/>
      <c r="MY74" s="1482"/>
      <c r="MZ74" s="1482"/>
      <c r="NA74" s="1482"/>
      <c r="NB74" s="1482"/>
      <c r="NC74" s="1482"/>
      <c r="ND74" s="1493"/>
      <c r="NE74" s="1493"/>
      <c r="NF74" s="1493"/>
      <c r="NG74" s="1493"/>
      <c r="NH74" s="1493"/>
      <c r="NI74" s="1493"/>
      <c r="NJ74" s="1493"/>
      <c r="NK74" s="1493"/>
      <c r="NL74" s="1493"/>
      <c r="NM74" s="1493"/>
      <c r="NN74" s="1493"/>
      <c r="NO74" s="1493"/>
      <c r="NP74" s="1493"/>
      <c r="NQ74" s="1493"/>
      <c r="NR74" s="1493"/>
      <c r="NS74" s="1493"/>
      <c r="NT74" s="1493"/>
      <c r="NU74" s="1493"/>
      <c r="NV74" s="1493"/>
      <c r="NW74" s="1493"/>
      <c r="NX74" s="1493"/>
      <c r="NY74" s="1493"/>
      <c r="NZ74" s="1493"/>
      <c r="OA74" s="1493"/>
      <c r="OB74" s="1493"/>
      <c r="OC74" s="1493"/>
      <c r="OD74" s="1493"/>
      <c r="OE74" s="1493"/>
      <c r="OF74" s="1493"/>
      <c r="OG74" s="1493"/>
      <c r="OH74" s="1493"/>
      <c r="OI74" s="1493"/>
      <c r="OJ74" s="1493"/>
      <c r="OK74" s="1493"/>
      <c r="OL74" s="1493"/>
      <c r="OM74" s="1493"/>
      <c r="ON74" s="1493"/>
      <c r="OO74" s="1493"/>
      <c r="OP74" s="1493"/>
      <c r="OQ74" s="1493"/>
      <c r="OR74" s="1493"/>
      <c r="OS74" s="1493"/>
      <c r="OT74" s="1493"/>
      <c r="OU74" s="1493"/>
      <c r="OV74" s="1493"/>
      <c r="OW74" s="1493"/>
      <c r="OX74" s="1493"/>
      <c r="OY74" s="1493"/>
      <c r="OZ74" s="1493"/>
      <c r="PA74" s="1493"/>
      <c r="PB74" s="1493"/>
      <c r="PC74" s="1493"/>
      <c r="PD74" s="1493"/>
      <c r="PE74" s="1493"/>
      <c r="PF74" s="1493"/>
      <c r="PG74" s="1493"/>
      <c r="PH74" s="1493"/>
      <c r="PI74" s="1493"/>
      <c r="PJ74" s="1493"/>
      <c r="PK74" s="1493"/>
      <c r="PL74" s="1493"/>
      <c r="PM74" s="1493"/>
      <c r="PN74" s="1493"/>
      <c r="PO74" s="1493"/>
      <c r="PP74" s="1493"/>
      <c r="PQ74" s="1493"/>
      <c r="PR74" s="1493"/>
      <c r="PS74" s="1493"/>
      <c r="PT74" s="1493"/>
      <c r="PU74" s="1493"/>
      <c r="PV74" s="1493"/>
      <c r="PW74" s="1493"/>
      <c r="PX74" s="1493"/>
      <c r="PY74" s="1493"/>
      <c r="PZ74" s="1493"/>
      <c r="QA74" s="1493"/>
      <c r="QB74" s="1493"/>
      <c r="QC74" s="1493"/>
      <c r="QD74" s="1493"/>
      <c r="QE74" s="1493"/>
      <c r="QF74" s="1493"/>
      <c r="QG74" s="1493"/>
      <c r="QH74" s="1493"/>
      <c r="QI74" s="1493"/>
      <c r="QJ74" s="1493"/>
      <c r="QK74" s="1493"/>
      <c r="QL74" s="1493"/>
      <c r="QM74" s="1493"/>
      <c r="QN74" s="1493"/>
      <c r="QO74" s="1493"/>
      <c r="QP74" s="1493"/>
      <c r="QQ74" s="1493"/>
      <c r="QR74" s="1493"/>
      <c r="QS74" s="1493"/>
      <c r="QT74" s="1493"/>
      <c r="QU74" s="1493"/>
      <c r="QV74" s="1493"/>
      <c r="QW74" s="1493"/>
      <c r="QX74" s="1493"/>
      <c r="QY74" s="1493"/>
      <c r="QZ74" s="1493"/>
      <c r="RA74" s="1493"/>
      <c r="RB74" s="1493"/>
      <c r="RC74" s="1493"/>
      <c r="RD74" s="1493"/>
      <c r="RE74" s="1493"/>
      <c r="RF74" s="1493"/>
      <c r="RG74" s="1493"/>
      <c r="RH74" s="1493"/>
      <c r="RI74" s="1493"/>
      <c r="RJ74" s="1493"/>
      <c r="RK74" s="1493"/>
      <c r="RL74" s="1493"/>
      <c r="RM74" s="1493"/>
      <c r="RN74" s="1493"/>
      <c r="RO74" s="1493"/>
      <c r="RP74" s="1493"/>
      <c r="RQ74" s="1493"/>
      <c r="RR74" s="1493"/>
      <c r="RS74" s="1493"/>
      <c r="RT74" s="1493"/>
      <c r="RU74" s="1493"/>
      <c r="RV74" s="1493"/>
      <c r="RW74" s="1493"/>
      <c r="RX74" s="1493"/>
      <c r="RY74" s="1493"/>
      <c r="RZ74" s="1493"/>
    </row>
    <row r="75" spans="1:502" customFormat="1" ht="13.5" hidden="1">
      <c r="A75" s="2308"/>
      <c r="B75" s="2308"/>
      <c r="C75" s="2307"/>
      <c r="D75" s="2307"/>
      <c r="E75" s="2307"/>
      <c r="F75" s="886"/>
      <c r="G75" s="1493"/>
      <c r="H75" s="1513" t="s">
        <v>3698</v>
      </c>
      <c r="I75" s="1503"/>
      <c r="J75" s="1504" t="str">
        <f t="shared" ref="J75:O75" si="350">IF(OR(J74="",J57=0),"", J57-J74)</f>
        <v/>
      </c>
      <c r="K75" s="1504" t="str">
        <f t="shared" si="350"/>
        <v/>
      </c>
      <c r="L75" s="1504" t="str">
        <f t="shared" si="350"/>
        <v/>
      </c>
      <c r="M75" s="1504" t="str">
        <f t="shared" si="350"/>
        <v/>
      </c>
      <c r="N75" s="1504" t="str">
        <f t="shared" si="350"/>
        <v/>
      </c>
      <c r="O75" s="1504" t="str">
        <f t="shared" si="350"/>
        <v/>
      </c>
      <c r="R75" s="2376"/>
      <c r="S75" s="2377"/>
      <c r="T75" s="2377"/>
      <c r="U75" s="2377"/>
      <c r="V75" s="2378"/>
      <c r="W75" s="1482"/>
      <c r="X75" s="1482"/>
      <c r="Y75" s="1482"/>
      <c r="Z75" s="1482"/>
      <c r="AA75" s="1482"/>
      <c r="AB75" s="1482"/>
      <c r="AC75" s="1482"/>
      <c r="AD75" s="1482"/>
      <c r="AE75" s="1482"/>
      <c r="AF75" s="1482"/>
      <c r="AG75" s="1482"/>
      <c r="AH75" s="1482"/>
      <c r="AI75" s="1482"/>
      <c r="AJ75" s="1482"/>
      <c r="AK75" s="1482"/>
      <c r="AL75" s="1482"/>
      <c r="AM75" s="1482"/>
      <c r="AN75" s="1482"/>
      <c r="AO75" s="1482"/>
      <c r="AP75" s="1482"/>
      <c r="AQ75" s="1482"/>
      <c r="AR75" s="1482"/>
      <c r="AS75" s="1482"/>
      <c r="AT75" s="1482"/>
      <c r="AU75" s="1482"/>
      <c r="AV75" s="1482"/>
      <c r="AW75" s="1482"/>
      <c r="AX75" s="1482"/>
      <c r="AY75" s="1482"/>
      <c r="AZ75" s="1482"/>
      <c r="BA75" s="1482"/>
      <c r="BB75" s="1482"/>
      <c r="BC75" s="1482"/>
      <c r="BD75" s="1482"/>
      <c r="BE75" s="1482"/>
      <c r="BF75" s="1482"/>
      <c r="BG75" s="1482"/>
      <c r="BH75" s="1482"/>
      <c r="BI75" s="1482"/>
      <c r="BJ75" s="1482"/>
      <c r="BK75" s="1482"/>
      <c r="BL75" s="1482"/>
      <c r="BM75" s="1482"/>
      <c r="BN75" s="1482"/>
      <c r="BO75" s="1482"/>
      <c r="BP75" s="1482"/>
      <c r="BQ75" s="1482"/>
      <c r="BR75" s="1482"/>
      <c r="BS75" s="1482"/>
      <c r="BT75" s="1482"/>
      <c r="BU75" s="1482"/>
      <c r="BV75" s="1482"/>
      <c r="BW75" s="1482"/>
      <c r="BX75" s="1482"/>
      <c r="BY75" s="1482"/>
      <c r="BZ75" s="1482"/>
      <c r="CA75" s="1482"/>
      <c r="CB75" s="1482"/>
      <c r="CC75" s="1482"/>
      <c r="CD75" s="1482"/>
      <c r="CE75" s="1482"/>
      <c r="CF75" s="1482"/>
      <c r="CG75" s="1482"/>
      <c r="CH75" s="1482"/>
      <c r="CI75" s="1482"/>
      <c r="CJ75" s="1482"/>
      <c r="CK75" s="1482"/>
      <c r="CL75" s="1482"/>
      <c r="CM75" s="1482"/>
      <c r="CN75" s="1482"/>
      <c r="CO75" s="1482"/>
      <c r="CP75" s="1482"/>
      <c r="CQ75" s="1482"/>
      <c r="CR75" s="1482"/>
      <c r="CS75" s="1482"/>
      <c r="CT75" s="1482"/>
      <c r="CU75" s="1482"/>
      <c r="CV75" s="1482"/>
      <c r="CW75" s="1482"/>
      <c r="CX75" s="1482"/>
      <c r="CY75" s="1482"/>
      <c r="CZ75" s="1482"/>
      <c r="DA75" s="1482"/>
      <c r="DB75" s="1482"/>
      <c r="DC75" s="1482"/>
      <c r="DD75" s="1482"/>
      <c r="DE75" s="1482"/>
      <c r="DF75" s="1482"/>
      <c r="DG75" s="1482"/>
      <c r="DH75" s="1482"/>
      <c r="DI75" s="1482"/>
      <c r="DJ75" s="1482"/>
      <c r="DK75" s="1482"/>
      <c r="DL75" s="1482"/>
      <c r="DM75" s="1482"/>
      <c r="DN75" s="1482"/>
      <c r="DO75" s="1482"/>
      <c r="DP75" s="1482"/>
      <c r="DQ75" s="1482"/>
      <c r="DR75" s="1482"/>
      <c r="DS75" s="1482"/>
      <c r="DT75" s="1482"/>
      <c r="DU75" s="1482"/>
      <c r="DV75" s="1482"/>
      <c r="DW75" s="1482"/>
      <c r="DX75" s="1482"/>
      <c r="DY75" s="1482"/>
      <c r="DZ75" s="1482"/>
      <c r="EA75" s="1482"/>
      <c r="EB75" s="1482"/>
      <c r="EC75" s="1482"/>
      <c r="ED75" s="1482"/>
      <c r="EE75" s="1482"/>
      <c r="EF75" s="1482"/>
      <c r="EG75" s="1482"/>
      <c r="EH75" s="1482"/>
      <c r="EI75" s="1482"/>
      <c r="EJ75" s="1482"/>
      <c r="EK75" s="1482"/>
      <c r="EL75" s="1482"/>
      <c r="EM75" s="1482"/>
      <c r="EN75" s="1482"/>
      <c r="EO75" s="1482"/>
      <c r="EP75" s="1482"/>
      <c r="EQ75" s="1482"/>
      <c r="ER75" s="1482"/>
      <c r="ES75" s="1482"/>
      <c r="ET75" s="1482"/>
      <c r="EU75" s="1482"/>
      <c r="EV75" s="1482"/>
      <c r="EW75" s="1482"/>
      <c r="EX75" s="1482"/>
      <c r="EY75" s="1482"/>
      <c r="EZ75" s="1482"/>
      <c r="FA75" s="1482"/>
      <c r="FB75" s="1482"/>
      <c r="FC75" s="1482"/>
      <c r="FD75" s="1482"/>
      <c r="FE75" s="1482"/>
      <c r="FF75" s="1482"/>
      <c r="FG75" s="1482"/>
      <c r="FH75" s="1482"/>
      <c r="FI75" s="1482"/>
      <c r="FJ75" s="1482"/>
      <c r="FK75" s="1482"/>
      <c r="FL75" s="1482"/>
      <c r="FM75" s="1482"/>
      <c r="FN75" s="1482"/>
      <c r="FO75" s="1482"/>
      <c r="FP75" s="1482"/>
      <c r="FQ75" s="1482"/>
      <c r="FR75" s="1482"/>
      <c r="FS75" s="1482"/>
      <c r="FT75" s="1482"/>
      <c r="FU75" s="1482"/>
      <c r="FV75" s="1482"/>
      <c r="FW75" s="1482"/>
      <c r="FX75" s="1482"/>
      <c r="FY75" s="1482"/>
      <c r="FZ75" s="1482"/>
      <c r="GA75" s="1482"/>
      <c r="GB75" s="1482"/>
      <c r="GC75" s="1482"/>
      <c r="GD75" s="1482"/>
      <c r="GE75" s="1482"/>
      <c r="GF75" s="1482"/>
      <c r="GG75" s="1482"/>
      <c r="GH75" s="1482"/>
      <c r="GI75" s="1482"/>
      <c r="GJ75" s="1482"/>
      <c r="GK75" s="1482"/>
      <c r="GL75" s="1482"/>
      <c r="GM75" s="1482"/>
      <c r="GN75" s="1482"/>
      <c r="GO75" s="1482"/>
      <c r="GP75" s="1482"/>
      <c r="GQ75" s="1482"/>
      <c r="GR75" s="1482"/>
      <c r="GS75" s="1482"/>
      <c r="GT75" s="1482"/>
      <c r="GU75" s="1482"/>
      <c r="GV75" s="1482"/>
      <c r="GW75" s="1482"/>
      <c r="GX75" s="1482"/>
      <c r="GY75" s="1482"/>
      <c r="GZ75" s="1482"/>
      <c r="HA75" s="1482"/>
      <c r="HB75" s="1482"/>
      <c r="HC75" s="1482"/>
      <c r="HD75" s="1482"/>
      <c r="HE75" s="1482"/>
      <c r="HF75" s="1482"/>
      <c r="HG75" s="1482"/>
      <c r="HH75" s="1482"/>
      <c r="HI75" s="1482"/>
      <c r="HJ75" s="1482"/>
      <c r="HK75" s="1482"/>
      <c r="HL75" s="1482"/>
      <c r="HM75" s="1482"/>
      <c r="HN75" s="1482"/>
      <c r="HO75" s="1482"/>
      <c r="HP75" s="1482"/>
      <c r="HQ75" s="1482"/>
      <c r="HR75" s="1482"/>
      <c r="HS75" s="1482"/>
      <c r="HT75" s="1482"/>
      <c r="HU75" s="1482"/>
      <c r="HV75" s="1482"/>
      <c r="HW75" s="1482"/>
      <c r="HX75" s="1482"/>
      <c r="HY75" s="1482"/>
      <c r="HZ75" s="1482"/>
      <c r="IA75" s="1482"/>
      <c r="IB75" s="1482"/>
      <c r="IC75" s="1482"/>
      <c r="ID75" s="1482"/>
      <c r="IE75" s="1482"/>
      <c r="IF75" s="1482"/>
      <c r="IG75" s="1482"/>
      <c r="IH75" s="1482"/>
      <c r="II75" s="1482"/>
      <c r="IJ75" s="1482"/>
      <c r="IK75" s="1482"/>
      <c r="IL75" s="1482"/>
      <c r="IM75" s="1482"/>
      <c r="IN75" s="1482"/>
      <c r="IO75" s="1482"/>
      <c r="IP75" s="1482"/>
      <c r="IQ75" s="1482"/>
      <c r="IR75" s="1482"/>
      <c r="IS75" s="1482"/>
      <c r="IT75" s="1482"/>
      <c r="IU75" s="1482"/>
      <c r="IV75" s="1482"/>
      <c r="IW75" s="1482"/>
      <c r="IX75" s="1482"/>
      <c r="IY75" s="1482"/>
      <c r="IZ75" s="1482"/>
      <c r="JA75" s="1482"/>
      <c r="JB75" s="1482"/>
      <c r="JC75" s="1482"/>
      <c r="JD75" s="1482"/>
      <c r="JE75" s="1482"/>
      <c r="JF75" s="1482"/>
      <c r="JG75" s="1482"/>
      <c r="JH75" s="1482"/>
      <c r="JI75" s="1482"/>
      <c r="JJ75" s="1482"/>
      <c r="JK75" s="1482"/>
      <c r="JL75" s="1482"/>
      <c r="JM75" s="1482"/>
      <c r="JN75" s="1482"/>
      <c r="JO75" s="1482"/>
      <c r="JP75" s="1482"/>
      <c r="JQ75" s="1482"/>
      <c r="JR75" s="1482"/>
      <c r="JS75" s="1482"/>
      <c r="JT75" s="1482"/>
      <c r="JU75" s="1482"/>
      <c r="JV75" s="1482"/>
      <c r="JW75" s="1482"/>
      <c r="JX75" s="1482"/>
      <c r="JY75" s="1482"/>
      <c r="JZ75" s="1482"/>
      <c r="KA75" s="1482"/>
      <c r="KB75" s="1482"/>
      <c r="KC75" s="1482"/>
      <c r="KD75" s="1482"/>
      <c r="KE75" s="1482"/>
      <c r="KF75" s="1482"/>
      <c r="KG75" s="1482"/>
      <c r="KH75" s="1482"/>
      <c r="KI75" s="1482"/>
      <c r="KJ75" s="1482"/>
      <c r="KK75" s="1482"/>
      <c r="KL75" s="1482"/>
      <c r="KM75" s="1482"/>
      <c r="KN75" s="1482"/>
      <c r="KO75" s="1482"/>
      <c r="KP75" s="1482"/>
      <c r="KQ75" s="1482"/>
      <c r="KR75" s="1482"/>
      <c r="KS75" s="1482"/>
      <c r="KT75" s="1482"/>
      <c r="KU75" s="1482"/>
      <c r="KV75" s="1482"/>
      <c r="KW75" s="1482"/>
      <c r="KX75" s="1482"/>
      <c r="KY75" s="1482"/>
      <c r="KZ75" s="1482"/>
      <c r="LA75" s="1482"/>
      <c r="LB75" s="1482"/>
      <c r="LC75" s="1482"/>
      <c r="LD75" s="1482"/>
      <c r="LE75" s="1482"/>
      <c r="LF75" s="1482"/>
      <c r="LG75" s="1482"/>
      <c r="LH75" s="1482"/>
      <c r="LI75" s="1482"/>
      <c r="LJ75" s="1482"/>
      <c r="LK75" s="1482"/>
      <c r="LL75" s="1482"/>
      <c r="LM75" s="1482"/>
      <c r="LN75" s="1482"/>
      <c r="LO75" s="1482"/>
      <c r="LP75" s="1482"/>
      <c r="LQ75" s="1482"/>
      <c r="LR75" s="1482"/>
      <c r="LS75" s="1482"/>
      <c r="LT75" s="1482"/>
      <c r="LU75" s="1482"/>
      <c r="LV75" s="1482"/>
      <c r="LW75" s="1482"/>
      <c r="LX75" s="1482"/>
      <c r="LY75" s="1482"/>
      <c r="LZ75" s="1482"/>
      <c r="MA75" s="1482"/>
      <c r="MB75" s="1482"/>
      <c r="MC75" s="1482"/>
      <c r="MD75" s="1482"/>
      <c r="ME75" s="1482"/>
      <c r="MF75" s="1482"/>
      <c r="MG75" s="1482"/>
      <c r="MH75" s="1482"/>
      <c r="MI75" s="1482"/>
      <c r="MJ75" s="1482"/>
      <c r="MK75" s="1482"/>
      <c r="ML75" s="1482"/>
      <c r="MM75" s="1482"/>
      <c r="MN75" s="1482"/>
      <c r="MO75" s="1482"/>
      <c r="MP75" s="1482"/>
      <c r="MQ75" s="1482"/>
      <c r="MR75" s="1482"/>
      <c r="MS75" s="1482"/>
      <c r="MT75" s="1482"/>
      <c r="MU75" s="1482"/>
      <c r="MV75" s="1482"/>
      <c r="MW75" s="1482"/>
      <c r="MX75" s="1482"/>
      <c r="MY75" s="1482"/>
      <c r="MZ75" s="1482"/>
      <c r="NA75" s="1482"/>
      <c r="NB75" s="1482"/>
      <c r="NC75" s="1482"/>
      <c r="ND75" s="1493"/>
      <c r="NE75" s="1493"/>
      <c r="NF75" s="1493"/>
      <c r="NG75" s="1493"/>
      <c r="NH75" s="1493"/>
      <c r="NI75" s="1493"/>
      <c r="NJ75" s="1493"/>
      <c r="NK75" s="1493"/>
      <c r="NL75" s="1493"/>
      <c r="NM75" s="1493"/>
      <c r="NN75" s="1493"/>
      <c r="NO75" s="1493"/>
      <c r="NP75" s="1493"/>
      <c r="NQ75" s="1493"/>
      <c r="NR75" s="1493"/>
      <c r="NS75" s="1493"/>
      <c r="NT75" s="1493"/>
      <c r="NU75" s="1493"/>
      <c r="NV75" s="1493"/>
      <c r="NW75" s="1493"/>
      <c r="NX75" s="1493"/>
      <c r="NY75" s="1493"/>
      <c r="NZ75" s="1493"/>
      <c r="OA75" s="1493"/>
      <c r="OB75" s="1493"/>
      <c r="OC75" s="1493"/>
      <c r="OD75" s="1493"/>
      <c r="OE75" s="1493"/>
      <c r="OF75" s="1493"/>
      <c r="OG75" s="1493"/>
      <c r="OH75" s="1493"/>
      <c r="OI75" s="1493"/>
      <c r="OJ75" s="1493"/>
      <c r="OK75" s="1493"/>
      <c r="OL75" s="1493"/>
      <c r="OM75" s="1493"/>
      <c r="ON75" s="1493"/>
      <c r="OO75" s="1493"/>
      <c r="OP75" s="1493"/>
      <c r="OQ75" s="1493"/>
      <c r="OR75" s="1493"/>
      <c r="OS75" s="1493"/>
      <c r="OT75" s="1493"/>
      <c r="OU75" s="1493"/>
      <c r="OV75" s="1493"/>
      <c r="OW75" s="1493"/>
      <c r="OX75" s="1493"/>
      <c r="OY75" s="1493"/>
      <c r="OZ75" s="1493"/>
      <c r="PA75" s="1493"/>
      <c r="PB75" s="1493"/>
      <c r="PC75" s="1493"/>
      <c r="PD75" s="1493"/>
      <c r="PE75" s="1493"/>
      <c r="PF75" s="1493"/>
      <c r="PG75" s="1493"/>
      <c r="PH75" s="1493"/>
      <c r="PI75" s="1493"/>
      <c r="PJ75" s="1493"/>
      <c r="PK75" s="1493"/>
      <c r="PL75" s="1493"/>
      <c r="PM75" s="1493"/>
      <c r="PN75" s="1493"/>
      <c r="PO75" s="1493"/>
      <c r="PP75" s="1493"/>
      <c r="PQ75" s="1493"/>
      <c r="PR75" s="1493"/>
      <c r="PS75" s="1493"/>
      <c r="PT75" s="1493"/>
      <c r="PU75" s="1493"/>
      <c r="PV75" s="1493"/>
      <c r="PW75" s="1493"/>
      <c r="PX75" s="1493"/>
      <c r="PY75" s="1493"/>
      <c r="PZ75" s="1493"/>
      <c r="QA75" s="1493"/>
      <c r="QB75" s="1493"/>
      <c r="QC75" s="1493"/>
      <c r="QD75" s="1493"/>
      <c r="QE75" s="1493"/>
      <c r="QF75" s="1493"/>
      <c r="QG75" s="1493"/>
      <c r="QH75" s="1493"/>
      <c r="QI75" s="1493"/>
      <c r="QJ75" s="1493"/>
      <c r="QK75" s="1493"/>
      <c r="QL75" s="1493"/>
      <c r="QM75" s="1493"/>
      <c r="QN75" s="1493"/>
      <c r="QO75" s="1493"/>
      <c r="QP75" s="1493"/>
      <c r="QQ75" s="1493"/>
      <c r="QR75" s="1493"/>
      <c r="QS75" s="1493"/>
      <c r="QT75" s="1493"/>
      <c r="QU75" s="1493"/>
      <c r="QV75" s="1493"/>
      <c r="QW75" s="1493"/>
      <c r="QX75" s="1493"/>
      <c r="QY75" s="1493"/>
      <c r="QZ75" s="1493"/>
      <c r="RA75" s="1493"/>
      <c r="RB75" s="1493"/>
      <c r="RC75" s="1493"/>
      <c r="RD75" s="1493"/>
      <c r="RE75" s="1493"/>
      <c r="RF75" s="1493"/>
      <c r="RG75" s="1493"/>
      <c r="RH75" s="1493"/>
      <c r="RI75" s="1493"/>
      <c r="RJ75" s="1493"/>
      <c r="RK75" s="1493"/>
      <c r="RL75" s="1493"/>
      <c r="RM75" s="1493"/>
      <c r="RN75" s="1493"/>
      <c r="RO75" s="1493"/>
      <c r="RP75" s="1493"/>
      <c r="RQ75" s="1493"/>
      <c r="RR75" s="1493"/>
      <c r="RS75" s="1493"/>
      <c r="RT75" s="1493"/>
      <c r="RU75" s="1493"/>
      <c r="RV75" s="1493"/>
      <c r="RW75" s="1493"/>
      <c r="RX75" s="1493"/>
      <c r="RY75" s="1493"/>
      <c r="RZ75" s="1493"/>
    </row>
    <row r="76" spans="1:502" customFormat="1" hidden="1">
      <c r="A76" s="2308"/>
      <c r="B76" s="2308"/>
      <c r="C76" s="2307"/>
      <c r="D76" s="2307"/>
      <c r="E76" s="2307"/>
      <c r="F76" s="886"/>
      <c r="G76" s="1493"/>
      <c r="H76" s="1494" t="s">
        <v>1065</v>
      </c>
      <c r="I76" s="1495"/>
      <c r="J76" s="1507" t="str">
        <f t="shared" ref="J76:O76" si="351">IF(OR(J58=0,J$67=0),"",J58/J$67)</f>
        <v/>
      </c>
      <c r="K76" s="1508" t="str">
        <f t="shared" si="351"/>
        <v/>
      </c>
      <c r="L76" s="1508" t="str">
        <f t="shared" si="351"/>
        <v/>
      </c>
      <c r="M76" s="1508" t="str">
        <f t="shared" si="351"/>
        <v/>
      </c>
      <c r="N76" s="1508" t="str">
        <f t="shared" si="351"/>
        <v/>
      </c>
      <c r="O76" s="1509" t="str">
        <f t="shared" si="351"/>
        <v/>
      </c>
      <c r="R76" s="2376"/>
      <c r="S76" s="2377"/>
      <c r="T76" s="2377"/>
      <c r="U76" s="2377"/>
      <c r="V76" s="2378"/>
      <c r="W76" s="1482"/>
      <c r="X76" s="1482"/>
      <c r="Y76" s="1482"/>
      <c r="Z76" s="1482"/>
      <c r="AA76" s="1482"/>
      <c r="AB76" s="1482"/>
      <c r="AC76" s="1482"/>
      <c r="AD76" s="1482"/>
      <c r="AE76" s="1482"/>
      <c r="AF76" s="1482"/>
      <c r="AG76" s="1482"/>
      <c r="AH76" s="1482"/>
      <c r="AI76" s="1482"/>
      <c r="AJ76" s="1482"/>
      <c r="AK76" s="1482"/>
      <c r="AL76" s="1482"/>
      <c r="AM76" s="1482"/>
      <c r="AN76" s="1482"/>
      <c r="AO76" s="1482"/>
      <c r="AP76" s="1482"/>
      <c r="AQ76" s="1482"/>
      <c r="AR76" s="1482"/>
      <c r="AS76" s="1482"/>
      <c r="AT76" s="1482"/>
      <c r="AU76" s="1482"/>
      <c r="AV76" s="1482"/>
      <c r="AW76" s="1482"/>
      <c r="AX76" s="1482"/>
      <c r="AY76" s="1482"/>
      <c r="AZ76" s="1482"/>
      <c r="BA76" s="1482"/>
      <c r="BB76" s="1482"/>
      <c r="BC76" s="1482"/>
      <c r="BD76" s="1482"/>
      <c r="BE76" s="1482"/>
      <c r="BF76" s="1482"/>
      <c r="BG76" s="1482"/>
      <c r="BH76" s="1482"/>
      <c r="BI76" s="1482"/>
      <c r="BJ76" s="1482"/>
      <c r="BK76" s="1482"/>
      <c r="BL76" s="1482"/>
      <c r="BM76" s="1482"/>
      <c r="BN76" s="1482"/>
      <c r="BO76" s="1482"/>
      <c r="BP76" s="1482"/>
      <c r="BQ76" s="1482"/>
      <c r="BR76" s="1482"/>
      <c r="BS76" s="1482"/>
      <c r="BT76" s="1482"/>
      <c r="BU76" s="1482"/>
      <c r="BV76" s="1482"/>
      <c r="BW76" s="1482"/>
      <c r="BX76" s="1482"/>
      <c r="BY76" s="1482"/>
      <c r="BZ76" s="1482"/>
      <c r="CA76" s="1482"/>
      <c r="CB76" s="1482"/>
      <c r="CC76" s="1482"/>
      <c r="CD76" s="1482"/>
      <c r="CE76" s="1482"/>
      <c r="CF76" s="1482"/>
      <c r="CG76" s="1482"/>
      <c r="CH76" s="1482"/>
      <c r="CI76" s="1482"/>
      <c r="CJ76" s="1482"/>
      <c r="CK76" s="1482"/>
      <c r="CL76" s="1482"/>
      <c r="CM76" s="1482"/>
      <c r="CN76" s="1482"/>
      <c r="CO76" s="1482"/>
      <c r="CP76" s="1482"/>
      <c r="CQ76" s="1482"/>
      <c r="CR76" s="1482"/>
      <c r="CS76" s="1482"/>
      <c r="CT76" s="1482"/>
      <c r="CU76" s="1482"/>
      <c r="CV76" s="1482"/>
      <c r="CW76" s="1482"/>
      <c r="CX76" s="1482"/>
      <c r="CY76" s="1482"/>
      <c r="CZ76" s="1482"/>
      <c r="DA76" s="1482"/>
      <c r="DB76" s="1482"/>
      <c r="DC76" s="1482"/>
      <c r="DD76" s="1482"/>
      <c r="DE76" s="1482"/>
      <c r="DF76" s="1482"/>
      <c r="DG76" s="1482"/>
      <c r="DH76" s="1482"/>
      <c r="DI76" s="1482"/>
      <c r="DJ76" s="1482"/>
      <c r="DK76" s="1482"/>
      <c r="DL76" s="1482"/>
      <c r="DM76" s="1482"/>
      <c r="DN76" s="1482"/>
      <c r="DO76" s="1482"/>
      <c r="DP76" s="1482"/>
      <c r="DQ76" s="1482"/>
      <c r="DR76" s="1482"/>
      <c r="DS76" s="1482"/>
      <c r="DT76" s="1482"/>
      <c r="DU76" s="1482"/>
      <c r="DV76" s="1482"/>
      <c r="DW76" s="1482"/>
      <c r="DX76" s="1482"/>
      <c r="DY76" s="1482"/>
      <c r="DZ76" s="1482"/>
      <c r="EA76" s="1482"/>
      <c r="EB76" s="1482"/>
      <c r="EC76" s="1482"/>
      <c r="ED76" s="1482"/>
      <c r="EE76" s="1482"/>
      <c r="EF76" s="1482"/>
      <c r="EG76" s="1482"/>
      <c r="EH76" s="1482"/>
      <c r="EI76" s="1482"/>
      <c r="EJ76" s="1482"/>
      <c r="EK76" s="1482"/>
      <c r="EL76" s="1482"/>
      <c r="EM76" s="1482"/>
      <c r="EN76" s="1482"/>
      <c r="EO76" s="1482"/>
      <c r="EP76" s="1482"/>
      <c r="EQ76" s="1482"/>
      <c r="ER76" s="1482"/>
      <c r="ES76" s="1482"/>
      <c r="ET76" s="1482"/>
      <c r="EU76" s="1482"/>
      <c r="EV76" s="1482"/>
      <c r="EW76" s="1482"/>
      <c r="EX76" s="1482"/>
      <c r="EY76" s="1482"/>
      <c r="EZ76" s="1482"/>
      <c r="FA76" s="1482"/>
      <c r="FB76" s="1482"/>
      <c r="FC76" s="1482"/>
      <c r="FD76" s="1482"/>
      <c r="FE76" s="1482"/>
      <c r="FF76" s="1482"/>
      <c r="FG76" s="1482"/>
      <c r="FH76" s="1482"/>
      <c r="FI76" s="1482"/>
      <c r="FJ76" s="1482"/>
      <c r="FK76" s="1482"/>
      <c r="FL76" s="1482"/>
      <c r="FM76" s="1482"/>
      <c r="FN76" s="1482"/>
      <c r="FO76" s="1482"/>
      <c r="FP76" s="1482"/>
      <c r="FQ76" s="1482"/>
      <c r="FR76" s="1482"/>
      <c r="FS76" s="1482"/>
      <c r="FT76" s="1482"/>
      <c r="FU76" s="1482"/>
      <c r="FV76" s="1482"/>
      <c r="FW76" s="1482"/>
      <c r="FX76" s="1482"/>
      <c r="FY76" s="1482"/>
      <c r="FZ76" s="1482"/>
      <c r="GA76" s="1482"/>
      <c r="GB76" s="1482"/>
      <c r="GC76" s="1482"/>
      <c r="GD76" s="1482"/>
      <c r="GE76" s="1482"/>
      <c r="GF76" s="1482"/>
      <c r="GG76" s="1482"/>
      <c r="GH76" s="1482"/>
      <c r="GI76" s="1482"/>
      <c r="GJ76" s="1482"/>
      <c r="GK76" s="1482"/>
      <c r="GL76" s="1482"/>
      <c r="GM76" s="1482"/>
      <c r="GN76" s="1482"/>
      <c r="GO76" s="1482"/>
      <c r="GP76" s="1482"/>
      <c r="GQ76" s="1482"/>
      <c r="GR76" s="1482"/>
      <c r="GS76" s="1482"/>
      <c r="GT76" s="1482"/>
      <c r="GU76" s="1482"/>
      <c r="GV76" s="1482"/>
      <c r="GW76" s="1482"/>
      <c r="GX76" s="1482"/>
      <c r="GY76" s="1482"/>
      <c r="GZ76" s="1482"/>
      <c r="HA76" s="1482"/>
      <c r="HB76" s="1482"/>
      <c r="HC76" s="1482"/>
      <c r="HD76" s="1482"/>
      <c r="HE76" s="1482"/>
      <c r="HF76" s="1482"/>
      <c r="HG76" s="1482"/>
      <c r="HH76" s="1482"/>
      <c r="HI76" s="1482"/>
      <c r="HJ76" s="1482"/>
      <c r="HK76" s="1482"/>
      <c r="HL76" s="1482"/>
      <c r="HM76" s="1482"/>
      <c r="HN76" s="1482"/>
      <c r="HO76" s="1482"/>
      <c r="HP76" s="1482"/>
      <c r="HQ76" s="1482"/>
      <c r="HR76" s="1482"/>
      <c r="HS76" s="1482"/>
      <c r="HT76" s="1482"/>
      <c r="HU76" s="1482"/>
      <c r="HV76" s="1482"/>
      <c r="HW76" s="1482"/>
      <c r="HX76" s="1482"/>
      <c r="HY76" s="1482"/>
      <c r="HZ76" s="1482"/>
      <c r="IA76" s="1482"/>
      <c r="IB76" s="1482"/>
      <c r="IC76" s="1482"/>
      <c r="ID76" s="1482"/>
      <c r="IE76" s="1482"/>
      <c r="IF76" s="1482"/>
      <c r="IG76" s="1482"/>
      <c r="IH76" s="1482"/>
      <c r="II76" s="1482"/>
      <c r="IJ76" s="1482"/>
      <c r="IK76" s="1482"/>
      <c r="IL76" s="1482"/>
      <c r="IM76" s="1482"/>
      <c r="IN76" s="1482"/>
      <c r="IO76" s="1482"/>
      <c r="IP76" s="1482"/>
      <c r="IQ76" s="1482"/>
      <c r="IR76" s="1482"/>
      <c r="IS76" s="1482"/>
      <c r="IT76" s="1482"/>
      <c r="IU76" s="1482"/>
      <c r="IV76" s="1482"/>
      <c r="IW76" s="1482"/>
      <c r="IX76" s="1482"/>
      <c r="IY76" s="1482"/>
      <c r="IZ76" s="1482"/>
      <c r="JA76" s="1482"/>
      <c r="JB76" s="1482"/>
      <c r="JC76" s="1482"/>
      <c r="JD76" s="1482"/>
      <c r="JE76" s="1482"/>
      <c r="JF76" s="1482"/>
      <c r="JG76" s="1482"/>
      <c r="JH76" s="1482"/>
      <c r="JI76" s="1482"/>
      <c r="JJ76" s="1482"/>
      <c r="JK76" s="1482"/>
      <c r="JL76" s="1482"/>
      <c r="JM76" s="1482"/>
      <c r="JN76" s="1482"/>
      <c r="JO76" s="1482"/>
      <c r="JP76" s="1482"/>
      <c r="JQ76" s="1482"/>
      <c r="JR76" s="1482"/>
      <c r="JS76" s="1482"/>
      <c r="JT76" s="1482"/>
      <c r="JU76" s="1482"/>
      <c r="JV76" s="1482"/>
      <c r="JW76" s="1482"/>
      <c r="JX76" s="1482"/>
      <c r="JY76" s="1482"/>
      <c r="JZ76" s="1482"/>
      <c r="KA76" s="1482"/>
      <c r="KB76" s="1482"/>
      <c r="KC76" s="1482"/>
      <c r="KD76" s="1482"/>
      <c r="KE76" s="1482"/>
      <c r="KF76" s="1482"/>
      <c r="KG76" s="1482"/>
      <c r="KH76" s="1482"/>
      <c r="KI76" s="1482"/>
      <c r="KJ76" s="1482"/>
      <c r="KK76" s="1482"/>
      <c r="KL76" s="1482"/>
      <c r="KM76" s="1482"/>
      <c r="KN76" s="1482"/>
      <c r="KO76" s="1482"/>
      <c r="KP76" s="1482"/>
      <c r="KQ76" s="1482"/>
      <c r="KR76" s="1482"/>
      <c r="KS76" s="1482"/>
      <c r="KT76" s="1482"/>
      <c r="KU76" s="1482"/>
      <c r="KV76" s="1482"/>
      <c r="KW76" s="1482"/>
      <c r="KX76" s="1482"/>
      <c r="KY76" s="1482"/>
      <c r="KZ76" s="1482"/>
      <c r="LA76" s="1482"/>
      <c r="LB76" s="1482"/>
      <c r="LC76" s="1482"/>
      <c r="LD76" s="1482"/>
      <c r="LE76" s="1482"/>
      <c r="LF76" s="1482"/>
      <c r="LG76" s="1482"/>
      <c r="LH76" s="1482"/>
      <c r="LI76" s="1482"/>
      <c r="LJ76" s="1482"/>
      <c r="LK76" s="1482"/>
      <c r="LL76" s="1482"/>
      <c r="LM76" s="1482"/>
      <c r="LN76" s="1482"/>
      <c r="LO76" s="1482"/>
      <c r="LP76" s="1482"/>
      <c r="LQ76" s="1482"/>
      <c r="LR76" s="1482"/>
      <c r="LS76" s="1482"/>
      <c r="LT76" s="1482"/>
      <c r="LU76" s="1482"/>
      <c r="LV76" s="1482"/>
      <c r="LW76" s="1482"/>
      <c r="LX76" s="1482"/>
      <c r="LY76" s="1482"/>
      <c r="LZ76" s="1482"/>
      <c r="MA76" s="1482"/>
      <c r="MB76" s="1482"/>
      <c r="MC76" s="1482"/>
      <c r="MD76" s="1482"/>
      <c r="ME76" s="1482"/>
      <c r="MF76" s="1482"/>
      <c r="MG76" s="1482"/>
      <c r="MH76" s="1482"/>
      <c r="MI76" s="1482"/>
      <c r="MJ76" s="1482"/>
      <c r="MK76" s="1482"/>
      <c r="ML76" s="1482"/>
      <c r="MM76" s="1482"/>
      <c r="MN76" s="1482"/>
      <c r="MO76" s="1482"/>
      <c r="MP76" s="1482"/>
      <c r="MQ76" s="1482"/>
      <c r="MR76" s="1482"/>
      <c r="MS76" s="1482"/>
      <c r="MT76" s="1482"/>
      <c r="MU76" s="1482"/>
      <c r="MV76" s="1482"/>
      <c r="MW76" s="1482"/>
      <c r="MX76" s="1482"/>
      <c r="MY76" s="1482"/>
      <c r="MZ76" s="1482"/>
      <c r="NA76" s="1482"/>
      <c r="NB76" s="1482"/>
      <c r="NC76" s="1482"/>
      <c r="ND76" s="1493"/>
      <c r="NE76" s="1493"/>
      <c r="NF76" s="1493"/>
      <c r="NG76" s="1493"/>
      <c r="NH76" s="1493"/>
      <c r="NI76" s="1493"/>
      <c r="NJ76" s="1493"/>
      <c r="NK76" s="1493"/>
      <c r="NL76" s="1493"/>
      <c r="NM76" s="1493"/>
      <c r="NN76" s="1493"/>
      <c r="NO76" s="1493"/>
      <c r="NP76" s="1493"/>
      <c r="NQ76" s="1493"/>
      <c r="NR76" s="1493"/>
      <c r="NS76" s="1493"/>
      <c r="NT76" s="1493"/>
      <c r="NU76" s="1493"/>
      <c r="NV76" s="1493"/>
      <c r="NW76" s="1493"/>
      <c r="NX76" s="1493"/>
      <c r="NY76" s="1493"/>
      <c r="NZ76" s="1493"/>
      <c r="OA76" s="1493"/>
      <c r="OB76" s="1493"/>
      <c r="OC76" s="1493"/>
      <c r="OD76" s="1493"/>
      <c r="OE76" s="1493"/>
      <c r="OF76" s="1493"/>
      <c r="OG76" s="1493"/>
      <c r="OH76" s="1493"/>
      <c r="OI76" s="1493"/>
      <c r="OJ76" s="1493"/>
      <c r="OK76" s="1493"/>
      <c r="OL76" s="1493"/>
      <c r="OM76" s="1493"/>
      <c r="ON76" s="1493"/>
      <c r="OO76" s="1493"/>
      <c r="OP76" s="1493"/>
      <c r="OQ76" s="1493"/>
      <c r="OR76" s="1493"/>
      <c r="OS76" s="1493"/>
      <c r="OT76" s="1493"/>
      <c r="OU76" s="1493"/>
      <c r="OV76" s="1493"/>
      <c r="OW76" s="1493"/>
      <c r="OX76" s="1493"/>
      <c r="OY76" s="1493"/>
      <c r="OZ76" s="1493"/>
      <c r="PA76" s="1493"/>
      <c r="PB76" s="1493"/>
      <c r="PC76" s="1493"/>
      <c r="PD76" s="1493"/>
      <c r="PE76" s="1493"/>
      <c r="PF76" s="1493"/>
      <c r="PG76" s="1493"/>
      <c r="PH76" s="1493"/>
      <c r="PI76" s="1493"/>
      <c r="PJ76" s="1493"/>
      <c r="PK76" s="1493"/>
      <c r="PL76" s="1493"/>
      <c r="PM76" s="1493"/>
      <c r="PN76" s="1493"/>
      <c r="PO76" s="1493"/>
      <c r="PP76" s="1493"/>
      <c r="PQ76" s="1493"/>
      <c r="PR76" s="1493"/>
      <c r="PS76" s="1493"/>
      <c r="PT76" s="1493"/>
      <c r="PU76" s="1493"/>
      <c r="PV76" s="1493"/>
      <c r="PW76" s="1493"/>
      <c r="PX76" s="1493"/>
      <c r="PY76" s="1493"/>
      <c r="PZ76" s="1493"/>
      <c r="QA76" s="1493"/>
      <c r="QB76" s="1493"/>
      <c r="QC76" s="1493"/>
      <c r="QD76" s="1493"/>
      <c r="QE76" s="1493"/>
      <c r="QF76" s="1493"/>
      <c r="QG76" s="1493"/>
      <c r="QH76" s="1493"/>
      <c r="QI76" s="1493"/>
      <c r="QJ76" s="1493"/>
      <c r="QK76" s="1493"/>
      <c r="QL76" s="1493"/>
      <c r="QM76" s="1493"/>
      <c r="QN76" s="1493"/>
      <c r="QO76" s="1493"/>
      <c r="QP76" s="1493"/>
      <c r="QQ76" s="1493"/>
      <c r="QR76" s="1493"/>
      <c r="QS76" s="1493"/>
      <c r="QT76" s="1493"/>
      <c r="QU76" s="1493"/>
      <c r="QV76" s="1493"/>
      <c r="QW76" s="1493"/>
      <c r="QX76" s="1493"/>
      <c r="QY76" s="1493"/>
      <c r="QZ76" s="1493"/>
      <c r="RA76" s="1493"/>
      <c r="RB76" s="1493"/>
      <c r="RC76" s="1493"/>
      <c r="RD76" s="1493"/>
      <c r="RE76" s="1493"/>
      <c r="RF76" s="1493"/>
      <c r="RG76" s="1493"/>
      <c r="RH76" s="1493"/>
      <c r="RI76" s="1493"/>
      <c r="RJ76" s="1493"/>
      <c r="RK76" s="1493"/>
      <c r="RL76" s="1493"/>
      <c r="RM76" s="1493"/>
      <c r="RN76" s="1493"/>
      <c r="RO76" s="1493"/>
      <c r="RP76" s="1493"/>
      <c r="RQ76" s="1493"/>
      <c r="RR76" s="1493"/>
      <c r="RS76" s="1493"/>
      <c r="RT76" s="1493"/>
      <c r="RU76" s="1493"/>
      <c r="RV76" s="1493"/>
      <c r="RW76" s="1493"/>
      <c r="RX76" s="1493"/>
      <c r="RY76" s="1493"/>
      <c r="RZ76" s="1493"/>
    </row>
    <row r="77" spans="1:502" customFormat="1" ht="15.75" hidden="1" customHeight="1">
      <c r="A77" s="2308"/>
      <c r="B77" s="2308"/>
      <c r="C77" s="2307"/>
      <c r="D77" s="2307"/>
      <c r="E77" s="2307"/>
      <c r="F77" s="886"/>
      <c r="G77" s="1493"/>
      <c r="H77" s="1487" t="s">
        <v>3699</v>
      </c>
      <c r="I77" s="1495"/>
      <c r="J77" s="1501" t="str">
        <f>IF(OR(J58=0,$P76="",J$67=0),"",$P76*J$67)</f>
        <v/>
      </c>
      <c r="K77" s="1501" t="str">
        <f>IF(OR(K58=0,$P76="",K$67=0),"",$P76*K$67)</f>
        <v/>
      </c>
      <c r="L77" s="1501" t="str">
        <f>IF(OR(L58=0,$P76="",L$67=0),"",$P76*L$67)</f>
        <v/>
      </c>
      <c r="M77" s="1501" t="str">
        <f>IF(OR(M58=0,$P76="",M$67=0),"",$P76*M$67)</f>
        <v/>
      </c>
      <c r="N77" s="1501" t="str">
        <f>IF(OR(N58=0,$P76="",N$67=0),"",$P76*N$67)</f>
        <v/>
      </c>
      <c r="O77" s="1502" t="str">
        <f t="shared" ref="O77" si="352">IF(OR($P76="",O$67=0),"",$P76*O$67)</f>
        <v/>
      </c>
      <c r="R77" s="2304"/>
      <c r="S77" s="2305"/>
      <c r="T77" s="2305"/>
      <c r="U77" s="2305"/>
      <c r="V77" s="2306"/>
      <c r="W77" s="1482"/>
      <c r="X77" s="1482"/>
      <c r="Y77" s="1482"/>
      <c r="Z77" s="1482"/>
      <c r="AA77" s="1482"/>
      <c r="AB77" s="1482"/>
      <c r="AC77" s="1482"/>
      <c r="AD77" s="1482"/>
      <c r="AE77" s="1482"/>
      <c r="AF77" s="1482"/>
      <c r="AG77" s="1482"/>
      <c r="AH77" s="1482"/>
      <c r="AI77" s="1482"/>
      <c r="AJ77" s="1482"/>
      <c r="AK77" s="1482"/>
      <c r="AL77" s="1482"/>
      <c r="AM77" s="1482"/>
      <c r="AN77" s="1482"/>
      <c r="AO77" s="1482"/>
      <c r="AP77" s="1482"/>
      <c r="AQ77" s="1482"/>
      <c r="AR77" s="1482"/>
      <c r="AS77" s="1482"/>
      <c r="AT77" s="1482"/>
      <c r="AU77" s="1482"/>
      <c r="AV77" s="1482"/>
      <c r="AW77" s="1482"/>
      <c r="AX77" s="1482"/>
      <c r="AY77" s="1482"/>
      <c r="AZ77" s="1482"/>
      <c r="BA77" s="1482"/>
      <c r="BB77" s="1482"/>
      <c r="BC77" s="1482"/>
      <c r="BD77" s="1482"/>
      <c r="BE77" s="1482"/>
      <c r="BF77" s="1482"/>
      <c r="BG77" s="1482"/>
      <c r="BH77" s="1482"/>
      <c r="BI77" s="1482"/>
      <c r="BJ77" s="1482"/>
      <c r="BK77" s="1482"/>
      <c r="BL77" s="1482"/>
      <c r="BM77" s="1482"/>
      <c r="BN77" s="1482"/>
      <c r="BO77" s="1482"/>
      <c r="BP77" s="1482"/>
      <c r="BQ77" s="1482"/>
      <c r="BR77" s="1482"/>
      <c r="BS77" s="1482"/>
      <c r="BT77" s="1482"/>
      <c r="BU77" s="1482"/>
      <c r="BV77" s="1482"/>
      <c r="BW77" s="1482"/>
      <c r="BX77" s="1482"/>
      <c r="BY77" s="1482"/>
      <c r="BZ77" s="1482"/>
      <c r="CA77" s="1482"/>
      <c r="CB77" s="1482"/>
      <c r="CC77" s="1482"/>
      <c r="CD77" s="1482"/>
      <c r="CE77" s="1482"/>
      <c r="CF77" s="1482"/>
      <c r="CG77" s="1482"/>
      <c r="CH77" s="1482"/>
      <c r="CI77" s="1482"/>
      <c r="CJ77" s="1482"/>
      <c r="CK77" s="1482"/>
      <c r="CL77" s="1482"/>
      <c r="CM77" s="1482"/>
      <c r="CN77" s="1482"/>
      <c r="CO77" s="1482"/>
      <c r="CP77" s="1482"/>
      <c r="CQ77" s="1482"/>
      <c r="CR77" s="1482"/>
      <c r="CS77" s="1482"/>
      <c r="CT77" s="1482"/>
      <c r="CU77" s="1482"/>
      <c r="CV77" s="1482"/>
      <c r="CW77" s="1482"/>
      <c r="CX77" s="1482"/>
      <c r="CY77" s="1482"/>
      <c r="CZ77" s="1482"/>
      <c r="DA77" s="1482"/>
      <c r="DB77" s="1482"/>
      <c r="DC77" s="1482"/>
      <c r="DD77" s="1482"/>
      <c r="DE77" s="1482"/>
      <c r="DF77" s="1482"/>
      <c r="DG77" s="1482"/>
      <c r="DH77" s="1482"/>
      <c r="DI77" s="1482"/>
      <c r="DJ77" s="1482"/>
      <c r="DK77" s="1482"/>
      <c r="DL77" s="1482"/>
      <c r="DM77" s="1482"/>
      <c r="DN77" s="1482"/>
      <c r="DO77" s="1482"/>
      <c r="DP77" s="1482"/>
      <c r="DQ77" s="1482"/>
      <c r="DR77" s="1482"/>
      <c r="DS77" s="1482"/>
      <c r="DT77" s="1482"/>
      <c r="DU77" s="1482"/>
      <c r="DV77" s="1482"/>
      <c r="DW77" s="1482"/>
      <c r="DX77" s="1482"/>
      <c r="DY77" s="1482"/>
      <c r="DZ77" s="1482"/>
      <c r="EA77" s="1482"/>
      <c r="EB77" s="1482"/>
      <c r="EC77" s="1482"/>
      <c r="ED77" s="1482"/>
      <c r="EE77" s="1482"/>
      <c r="EF77" s="1482"/>
      <c r="EG77" s="1482"/>
      <c r="EH77" s="1482"/>
      <c r="EI77" s="1482"/>
      <c r="EJ77" s="1482"/>
      <c r="EK77" s="1482"/>
      <c r="EL77" s="1482"/>
      <c r="EM77" s="1482"/>
      <c r="EN77" s="1482"/>
      <c r="EO77" s="1482"/>
      <c r="EP77" s="1482"/>
      <c r="EQ77" s="1482"/>
      <c r="ER77" s="1482"/>
      <c r="ES77" s="1482"/>
      <c r="ET77" s="1482"/>
      <c r="EU77" s="1482"/>
      <c r="EV77" s="1482"/>
      <c r="EW77" s="1482"/>
      <c r="EX77" s="1482"/>
      <c r="EY77" s="1482"/>
      <c r="EZ77" s="1482"/>
      <c r="FA77" s="1482"/>
      <c r="FB77" s="1482"/>
      <c r="FC77" s="1482"/>
      <c r="FD77" s="1482"/>
      <c r="FE77" s="1482"/>
      <c r="FF77" s="1482"/>
      <c r="FG77" s="1482"/>
      <c r="FH77" s="1482"/>
      <c r="FI77" s="1482"/>
      <c r="FJ77" s="1482"/>
      <c r="FK77" s="1482"/>
      <c r="FL77" s="1482"/>
      <c r="FM77" s="1482"/>
      <c r="FN77" s="1482"/>
      <c r="FO77" s="1482"/>
      <c r="FP77" s="1482"/>
      <c r="FQ77" s="1482"/>
      <c r="FR77" s="1482"/>
      <c r="FS77" s="1482"/>
      <c r="FT77" s="1482"/>
      <c r="FU77" s="1482"/>
      <c r="FV77" s="1482"/>
      <c r="FW77" s="1482"/>
      <c r="FX77" s="1482"/>
      <c r="FY77" s="1482"/>
      <c r="FZ77" s="1482"/>
      <c r="GA77" s="1482"/>
      <c r="GB77" s="1482"/>
      <c r="GC77" s="1482"/>
      <c r="GD77" s="1482"/>
      <c r="GE77" s="1482"/>
      <c r="GF77" s="1482"/>
      <c r="GG77" s="1482"/>
      <c r="GH77" s="1482"/>
      <c r="GI77" s="1482"/>
      <c r="GJ77" s="1482"/>
      <c r="GK77" s="1482"/>
      <c r="GL77" s="1482"/>
      <c r="GM77" s="1482"/>
      <c r="GN77" s="1482"/>
      <c r="GO77" s="1482"/>
      <c r="GP77" s="1482"/>
      <c r="GQ77" s="1482"/>
      <c r="GR77" s="1482"/>
      <c r="GS77" s="1482"/>
      <c r="GT77" s="1482"/>
      <c r="GU77" s="1482"/>
      <c r="GV77" s="1482"/>
      <c r="GW77" s="1482"/>
      <c r="GX77" s="1482"/>
      <c r="GY77" s="1482"/>
      <c r="GZ77" s="1482"/>
      <c r="HA77" s="1482"/>
      <c r="HB77" s="1482"/>
      <c r="HC77" s="1482"/>
      <c r="HD77" s="1482"/>
      <c r="HE77" s="1482"/>
      <c r="HF77" s="1482"/>
      <c r="HG77" s="1482"/>
      <c r="HH77" s="1482"/>
      <c r="HI77" s="1482"/>
      <c r="HJ77" s="1482"/>
      <c r="HK77" s="1482"/>
      <c r="HL77" s="1482"/>
      <c r="HM77" s="1482"/>
      <c r="HN77" s="1482"/>
      <c r="HO77" s="1482"/>
      <c r="HP77" s="1482"/>
      <c r="HQ77" s="1482"/>
      <c r="HR77" s="1482"/>
      <c r="HS77" s="1482"/>
      <c r="HT77" s="1482"/>
      <c r="HU77" s="1482"/>
      <c r="HV77" s="1482"/>
      <c r="HW77" s="1482"/>
      <c r="HX77" s="1482"/>
      <c r="HY77" s="1482"/>
      <c r="HZ77" s="1482"/>
      <c r="IA77" s="1482"/>
      <c r="IB77" s="1482"/>
      <c r="IC77" s="1482"/>
      <c r="ID77" s="1482"/>
      <c r="IE77" s="1482"/>
      <c r="IF77" s="1482"/>
      <c r="IG77" s="1482"/>
      <c r="IH77" s="1482"/>
      <c r="II77" s="1482"/>
      <c r="IJ77" s="1482"/>
      <c r="IK77" s="1482"/>
      <c r="IL77" s="1482"/>
      <c r="IM77" s="1482"/>
      <c r="IN77" s="1482"/>
      <c r="IO77" s="1482"/>
      <c r="IP77" s="1482"/>
      <c r="IQ77" s="1482"/>
      <c r="IR77" s="1482"/>
      <c r="IS77" s="1482"/>
      <c r="IT77" s="1482"/>
      <c r="IU77" s="1482"/>
      <c r="IV77" s="1482"/>
      <c r="IW77" s="1482"/>
      <c r="IX77" s="1482"/>
      <c r="IY77" s="1482"/>
      <c r="IZ77" s="1482"/>
      <c r="JA77" s="1482"/>
      <c r="JB77" s="1482"/>
      <c r="JC77" s="1482"/>
      <c r="JD77" s="1482"/>
      <c r="JE77" s="1482"/>
      <c r="JF77" s="1482"/>
      <c r="JG77" s="1482"/>
      <c r="JH77" s="1482"/>
      <c r="JI77" s="1482"/>
      <c r="JJ77" s="1482"/>
      <c r="JK77" s="1482"/>
      <c r="JL77" s="1482"/>
      <c r="JM77" s="1482"/>
      <c r="JN77" s="1482"/>
      <c r="JO77" s="1482"/>
      <c r="JP77" s="1482"/>
      <c r="JQ77" s="1482"/>
      <c r="JR77" s="1482"/>
      <c r="JS77" s="1482"/>
      <c r="JT77" s="1482"/>
      <c r="JU77" s="1482"/>
      <c r="JV77" s="1482"/>
      <c r="JW77" s="1482"/>
      <c r="JX77" s="1482"/>
      <c r="JY77" s="1482"/>
      <c r="JZ77" s="1482"/>
      <c r="KA77" s="1482"/>
      <c r="KB77" s="1482"/>
      <c r="KC77" s="1482"/>
      <c r="KD77" s="1482"/>
      <c r="KE77" s="1482"/>
      <c r="KF77" s="1482"/>
      <c r="KG77" s="1482"/>
      <c r="KH77" s="1482"/>
      <c r="KI77" s="1482"/>
      <c r="KJ77" s="1482"/>
      <c r="KK77" s="1482"/>
      <c r="KL77" s="1482"/>
      <c r="KM77" s="1482"/>
      <c r="KN77" s="1482"/>
      <c r="KO77" s="1482"/>
      <c r="KP77" s="1482"/>
      <c r="KQ77" s="1482"/>
      <c r="KR77" s="1482"/>
      <c r="KS77" s="1482"/>
      <c r="KT77" s="1482"/>
      <c r="KU77" s="1482"/>
      <c r="KV77" s="1482"/>
      <c r="KW77" s="1482"/>
      <c r="KX77" s="1482"/>
      <c r="KY77" s="1482"/>
      <c r="KZ77" s="1482"/>
      <c r="LA77" s="1482"/>
      <c r="LB77" s="1482"/>
      <c r="LC77" s="1482"/>
      <c r="LD77" s="1482"/>
      <c r="LE77" s="1482"/>
      <c r="LF77" s="1482"/>
      <c r="LG77" s="1482"/>
      <c r="LH77" s="1482"/>
      <c r="LI77" s="1482"/>
      <c r="LJ77" s="1482"/>
      <c r="LK77" s="1482"/>
      <c r="LL77" s="1482"/>
      <c r="LM77" s="1482"/>
      <c r="LN77" s="1482"/>
      <c r="LO77" s="1482"/>
      <c r="LP77" s="1482"/>
      <c r="LQ77" s="1482"/>
      <c r="LR77" s="1482"/>
      <c r="LS77" s="1482"/>
      <c r="LT77" s="1482"/>
      <c r="LU77" s="1482"/>
      <c r="LV77" s="1482"/>
      <c r="LW77" s="1482"/>
      <c r="LX77" s="1482"/>
      <c r="LY77" s="1482"/>
      <c r="LZ77" s="1482"/>
      <c r="MA77" s="1482"/>
      <c r="MB77" s="1482"/>
      <c r="MC77" s="1482"/>
      <c r="MD77" s="1482"/>
      <c r="ME77" s="1482"/>
      <c r="MF77" s="1482"/>
      <c r="MG77" s="1482"/>
      <c r="MH77" s="1482"/>
      <c r="MI77" s="1482"/>
      <c r="MJ77" s="1482"/>
      <c r="MK77" s="1482"/>
      <c r="ML77" s="1482"/>
      <c r="MM77" s="1482"/>
      <c r="MN77" s="1482"/>
      <c r="MO77" s="1482"/>
      <c r="MP77" s="1482"/>
      <c r="MQ77" s="1482"/>
      <c r="MR77" s="1482"/>
      <c r="MS77" s="1482"/>
      <c r="MT77" s="1482"/>
      <c r="MU77" s="1482"/>
      <c r="MV77" s="1482"/>
      <c r="MW77" s="1482"/>
      <c r="MX77" s="1482"/>
      <c r="MY77" s="1482"/>
      <c r="MZ77" s="1482"/>
      <c r="NA77" s="1482"/>
      <c r="NB77" s="1482"/>
      <c r="NC77" s="1482"/>
      <c r="ND77" s="1493"/>
      <c r="NE77" s="1493"/>
      <c r="NF77" s="1493"/>
      <c r="NG77" s="1493"/>
      <c r="NH77" s="1493"/>
      <c r="NI77" s="1493"/>
      <c r="NJ77" s="1493"/>
      <c r="NK77" s="1493"/>
      <c r="NL77" s="1493"/>
      <c r="NM77" s="1493"/>
      <c r="NN77" s="1493"/>
      <c r="NO77" s="1493"/>
      <c r="NP77" s="1493"/>
      <c r="NQ77" s="1493"/>
      <c r="NR77" s="1493"/>
      <c r="NS77" s="1493"/>
      <c r="NT77" s="1493"/>
      <c r="NU77" s="1493"/>
      <c r="NV77" s="1493"/>
      <c r="NW77" s="1493"/>
      <c r="NX77" s="1493"/>
      <c r="NY77" s="1493"/>
      <c r="NZ77" s="1493"/>
      <c r="OA77" s="1493"/>
      <c r="OB77" s="1493"/>
      <c r="OC77" s="1493"/>
      <c r="OD77" s="1493"/>
      <c r="OE77" s="1493"/>
      <c r="OF77" s="1493"/>
      <c r="OG77" s="1493"/>
      <c r="OH77" s="1493"/>
      <c r="OI77" s="1493"/>
      <c r="OJ77" s="1493"/>
      <c r="OK77" s="1493"/>
      <c r="OL77" s="1493"/>
      <c r="OM77" s="1493"/>
      <c r="ON77" s="1493"/>
      <c r="OO77" s="1493"/>
      <c r="OP77" s="1493"/>
      <c r="OQ77" s="1493"/>
      <c r="OR77" s="1493"/>
      <c r="OS77" s="1493"/>
      <c r="OT77" s="1493"/>
      <c r="OU77" s="1493"/>
      <c r="OV77" s="1493"/>
      <c r="OW77" s="1493"/>
      <c r="OX77" s="1493"/>
      <c r="OY77" s="1493"/>
      <c r="OZ77" s="1493"/>
      <c r="PA77" s="1493"/>
      <c r="PB77" s="1493"/>
      <c r="PC77" s="1493"/>
      <c r="PD77" s="1493"/>
      <c r="PE77" s="1493"/>
      <c r="PF77" s="1493"/>
      <c r="PG77" s="1493"/>
      <c r="PH77" s="1493"/>
      <c r="PI77" s="1493"/>
      <c r="PJ77" s="1493"/>
      <c r="PK77" s="1493"/>
      <c r="PL77" s="1493"/>
      <c r="PM77" s="1493"/>
      <c r="PN77" s="1493"/>
      <c r="PO77" s="1493"/>
      <c r="PP77" s="1493"/>
      <c r="PQ77" s="1493"/>
      <c r="PR77" s="1493"/>
      <c r="PS77" s="1493"/>
      <c r="PT77" s="1493"/>
      <c r="PU77" s="1493"/>
      <c r="PV77" s="1493"/>
      <c r="PW77" s="1493"/>
      <c r="PX77" s="1493"/>
      <c r="PY77" s="1493"/>
      <c r="PZ77" s="1493"/>
      <c r="QA77" s="1493"/>
      <c r="QB77" s="1493"/>
      <c r="QC77" s="1493"/>
      <c r="QD77" s="1493"/>
      <c r="QE77" s="1493"/>
      <c r="QF77" s="1493"/>
      <c r="QG77" s="1493"/>
      <c r="QH77" s="1493"/>
      <c r="QI77" s="1493"/>
      <c r="QJ77" s="1493"/>
      <c r="QK77" s="1493"/>
      <c r="QL77" s="1493"/>
      <c r="QM77" s="1493"/>
      <c r="QN77" s="1493"/>
      <c r="QO77" s="1493"/>
      <c r="QP77" s="1493"/>
      <c r="QQ77" s="1493"/>
      <c r="QR77" s="1493"/>
      <c r="QS77" s="1493"/>
      <c r="QT77" s="1493"/>
      <c r="QU77" s="1493"/>
      <c r="QV77" s="1493"/>
      <c r="QW77" s="1493"/>
      <c r="QX77" s="1493"/>
      <c r="QY77" s="1493"/>
      <c r="QZ77" s="1493"/>
      <c r="RA77" s="1493"/>
      <c r="RB77" s="1493"/>
      <c r="RC77" s="1493"/>
      <c r="RD77" s="1493"/>
      <c r="RE77" s="1493"/>
      <c r="RF77" s="1493"/>
      <c r="RG77" s="1493"/>
      <c r="RH77" s="1493"/>
      <c r="RI77" s="1493"/>
      <c r="RJ77" s="1493"/>
      <c r="RK77" s="1493"/>
      <c r="RL77" s="1493"/>
      <c r="RM77" s="1493"/>
      <c r="RN77" s="1493"/>
      <c r="RO77" s="1493"/>
      <c r="RP77" s="1493"/>
      <c r="RQ77" s="1493"/>
      <c r="RR77" s="1493"/>
      <c r="RS77" s="1493"/>
      <c r="RT77" s="1493"/>
      <c r="RU77" s="1493"/>
      <c r="RV77" s="1493"/>
      <c r="RW77" s="1493"/>
      <c r="RX77" s="1493"/>
      <c r="RY77" s="1493"/>
      <c r="RZ77" s="1493"/>
    </row>
    <row r="78" spans="1:502" customFormat="1" ht="15.75" hidden="1" customHeight="1">
      <c r="A78" s="2308"/>
      <c r="B78" s="2308"/>
      <c r="C78" s="2307"/>
      <c r="D78" s="2307"/>
      <c r="E78" s="2307"/>
      <c r="F78" s="1493"/>
      <c r="G78" s="1493"/>
      <c r="H78" s="1513" t="s">
        <v>3698</v>
      </c>
      <c r="I78" s="1503"/>
      <c r="J78" s="1504" t="str">
        <f t="shared" ref="J78:O78" si="353">IF(OR(J77="",J58=0),"", J58-J77)</f>
        <v/>
      </c>
      <c r="K78" s="1504" t="str">
        <f t="shared" si="353"/>
        <v/>
      </c>
      <c r="L78" s="1504" t="str">
        <f t="shared" si="353"/>
        <v/>
      </c>
      <c r="M78" s="1504" t="str">
        <f t="shared" si="353"/>
        <v/>
      </c>
      <c r="N78" s="1504" t="str">
        <f t="shared" si="353"/>
        <v/>
      </c>
      <c r="O78" s="1504" t="str">
        <f t="shared" si="353"/>
        <v/>
      </c>
      <c r="W78" s="1482"/>
      <c r="X78" s="1482"/>
      <c r="Y78" s="1482"/>
      <c r="Z78" s="1482"/>
      <c r="AA78" s="1482"/>
      <c r="AB78" s="1482"/>
      <c r="AC78" s="1482"/>
      <c r="AD78" s="1482"/>
      <c r="AE78" s="1482"/>
      <c r="AF78" s="1482"/>
      <c r="AG78" s="1482"/>
      <c r="AH78" s="1482"/>
      <c r="AI78" s="1482"/>
      <c r="AJ78" s="1482"/>
      <c r="AK78" s="1482"/>
      <c r="AL78" s="1482"/>
      <c r="AM78" s="1482"/>
      <c r="AN78" s="1482"/>
      <c r="AO78" s="1482"/>
      <c r="AP78" s="1482"/>
      <c r="AQ78" s="1482"/>
      <c r="AR78" s="1482"/>
      <c r="AS78" s="1482"/>
      <c r="AT78" s="1482"/>
      <c r="AU78" s="1482"/>
      <c r="AV78" s="1482"/>
      <c r="AW78" s="1482"/>
      <c r="AX78" s="1482"/>
      <c r="AY78" s="1482"/>
      <c r="AZ78" s="1482"/>
      <c r="BA78" s="1482"/>
      <c r="BB78" s="1482"/>
      <c r="BC78" s="1482"/>
      <c r="BD78" s="1482"/>
      <c r="BE78" s="1482"/>
      <c r="BF78" s="1482"/>
      <c r="BG78" s="1482"/>
      <c r="BH78" s="1482"/>
      <c r="BI78" s="1482"/>
      <c r="BJ78" s="1482"/>
      <c r="BK78" s="1482"/>
      <c r="BL78" s="1482"/>
      <c r="BM78" s="1482"/>
      <c r="BN78" s="1482"/>
      <c r="BO78" s="1482"/>
      <c r="BP78" s="1482"/>
      <c r="BQ78" s="1482"/>
      <c r="BR78" s="1482"/>
      <c r="BS78" s="1482"/>
      <c r="BT78" s="1482"/>
      <c r="BU78" s="1482"/>
      <c r="BV78" s="1482"/>
      <c r="BW78" s="1482"/>
      <c r="BX78" s="1482"/>
      <c r="BY78" s="1482"/>
      <c r="BZ78" s="1482"/>
      <c r="CA78" s="1482"/>
      <c r="CB78" s="1482"/>
      <c r="CC78" s="1482"/>
      <c r="CD78" s="1482"/>
      <c r="CE78" s="1482"/>
      <c r="CF78" s="1482"/>
      <c r="CG78" s="1482"/>
      <c r="CH78" s="1482"/>
      <c r="CI78" s="1482"/>
      <c r="CJ78" s="1482"/>
      <c r="CK78" s="1482"/>
      <c r="CL78" s="1482"/>
      <c r="CM78" s="1482"/>
      <c r="CN78" s="1482"/>
      <c r="CO78" s="1482"/>
      <c r="CP78" s="1482"/>
      <c r="CQ78" s="1482"/>
      <c r="CR78" s="1482"/>
      <c r="CS78" s="1482"/>
      <c r="CT78" s="1482"/>
      <c r="CU78" s="1482"/>
      <c r="CV78" s="1482"/>
      <c r="CW78" s="1482"/>
      <c r="CX78" s="1482"/>
      <c r="CY78" s="1482"/>
      <c r="CZ78" s="1482"/>
      <c r="DA78" s="1482"/>
      <c r="DB78" s="1482"/>
      <c r="DC78" s="1482"/>
      <c r="DD78" s="1482"/>
      <c r="DE78" s="1482"/>
      <c r="DF78" s="1482"/>
      <c r="DG78" s="1482"/>
      <c r="DH78" s="1482"/>
      <c r="DI78" s="1482"/>
      <c r="DJ78" s="1482"/>
      <c r="DK78" s="1482"/>
      <c r="DL78" s="1482"/>
      <c r="DM78" s="1482"/>
      <c r="DN78" s="1482"/>
      <c r="DO78" s="1482"/>
      <c r="DP78" s="1482"/>
      <c r="DQ78" s="1482"/>
      <c r="DR78" s="1482"/>
      <c r="DS78" s="1482"/>
      <c r="DT78" s="1482"/>
      <c r="DU78" s="1482"/>
      <c r="DV78" s="1482"/>
      <c r="DW78" s="1482"/>
      <c r="DX78" s="1482"/>
      <c r="DY78" s="1482"/>
      <c r="DZ78" s="1482"/>
      <c r="EA78" s="1482"/>
      <c r="EB78" s="1482"/>
      <c r="EC78" s="1482"/>
      <c r="ED78" s="1482"/>
      <c r="EE78" s="1482"/>
      <c r="EF78" s="1482"/>
      <c r="EG78" s="1482"/>
      <c r="EH78" s="1482"/>
      <c r="EI78" s="1482"/>
      <c r="EJ78" s="1482"/>
      <c r="EK78" s="1482"/>
      <c r="EL78" s="1482"/>
      <c r="EM78" s="1482"/>
      <c r="EN78" s="1482"/>
      <c r="EO78" s="1482"/>
      <c r="EP78" s="1482"/>
      <c r="EQ78" s="1482"/>
      <c r="ER78" s="1482"/>
      <c r="ES78" s="1482"/>
      <c r="ET78" s="1482"/>
      <c r="EU78" s="1482"/>
      <c r="EV78" s="1482"/>
      <c r="EW78" s="1482"/>
      <c r="EX78" s="1482"/>
      <c r="EY78" s="1482"/>
      <c r="EZ78" s="1482"/>
      <c r="FA78" s="1482"/>
      <c r="FB78" s="1482"/>
      <c r="FC78" s="1482"/>
      <c r="FD78" s="1482"/>
      <c r="FE78" s="1482"/>
      <c r="FF78" s="1482"/>
      <c r="FG78" s="1482"/>
      <c r="FH78" s="1482"/>
      <c r="FI78" s="1482"/>
      <c r="FJ78" s="1482"/>
      <c r="FK78" s="1482"/>
      <c r="FL78" s="1482"/>
      <c r="FM78" s="1482"/>
      <c r="FN78" s="1482"/>
      <c r="FO78" s="1482"/>
      <c r="FP78" s="1482"/>
      <c r="FQ78" s="1482"/>
      <c r="FR78" s="1482"/>
      <c r="FS78" s="1482"/>
      <c r="FT78" s="1482"/>
      <c r="FU78" s="1482"/>
      <c r="FV78" s="1482"/>
      <c r="FW78" s="1482"/>
      <c r="FX78" s="1482"/>
      <c r="FY78" s="1482"/>
      <c r="FZ78" s="1482"/>
      <c r="GA78" s="1482"/>
      <c r="GB78" s="1482"/>
      <c r="GC78" s="1482"/>
      <c r="GD78" s="1482"/>
      <c r="GE78" s="1482"/>
      <c r="GF78" s="1482"/>
      <c r="GG78" s="1482"/>
      <c r="GH78" s="1482"/>
      <c r="GI78" s="1482"/>
      <c r="GJ78" s="1482"/>
      <c r="GK78" s="1482"/>
      <c r="GL78" s="1482"/>
      <c r="GM78" s="1482"/>
      <c r="GN78" s="1482"/>
      <c r="GO78" s="1482"/>
      <c r="GP78" s="1482"/>
      <c r="GQ78" s="1482"/>
      <c r="GR78" s="1482"/>
      <c r="GS78" s="1482"/>
      <c r="GT78" s="1482"/>
      <c r="GU78" s="1482"/>
      <c r="GV78" s="1482"/>
      <c r="GW78" s="1482"/>
      <c r="GX78" s="1482"/>
      <c r="GY78" s="1482"/>
      <c r="GZ78" s="1482"/>
      <c r="HA78" s="1482"/>
      <c r="HB78" s="1482"/>
      <c r="HC78" s="1482"/>
      <c r="HD78" s="1482"/>
      <c r="HE78" s="1482"/>
      <c r="HF78" s="1482"/>
      <c r="HG78" s="1482"/>
      <c r="HH78" s="1482"/>
      <c r="HI78" s="1482"/>
      <c r="HJ78" s="1482"/>
      <c r="HK78" s="1482"/>
      <c r="HL78" s="1482"/>
      <c r="HM78" s="1482"/>
      <c r="HN78" s="1482"/>
      <c r="HO78" s="1482"/>
      <c r="HP78" s="1482"/>
      <c r="HQ78" s="1482"/>
      <c r="HR78" s="1482"/>
      <c r="HS78" s="1482"/>
      <c r="HT78" s="1482"/>
      <c r="HU78" s="1482"/>
      <c r="HV78" s="1482"/>
      <c r="HW78" s="1482"/>
      <c r="HX78" s="1482"/>
      <c r="HY78" s="1482"/>
      <c r="HZ78" s="1482"/>
      <c r="IA78" s="1482"/>
      <c r="IB78" s="1482"/>
      <c r="IC78" s="1482"/>
      <c r="ID78" s="1482"/>
      <c r="IE78" s="1482"/>
      <c r="IF78" s="1482"/>
      <c r="IG78" s="1482"/>
      <c r="IH78" s="1482"/>
      <c r="II78" s="1482"/>
      <c r="IJ78" s="1482"/>
      <c r="IK78" s="1482"/>
      <c r="IL78" s="1482"/>
      <c r="IM78" s="1482"/>
      <c r="IN78" s="1482"/>
      <c r="IO78" s="1482"/>
      <c r="IP78" s="1482"/>
      <c r="IQ78" s="1482"/>
      <c r="IR78" s="1482"/>
      <c r="IS78" s="1482"/>
      <c r="IT78" s="1482"/>
      <c r="IU78" s="1482"/>
      <c r="IV78" s="1482"/>
      <c r="IW78" s="1482"/>
      <c r="IX78" s="1482"/>
      <c r="IY78" s="1482"/>
      <c r="IZ78" s="1482"/>
      <c r="JA78" s="1482"/>
      <c r="JB78" s="1482"/>
      <c r="JC78" s="1482"/>
      <c r="JD78" s="1482"/>
      <c r="JE78" s="1482"/>
      <c r="JF78" s="1482"/>
      <c r="JG78" s="1482"/>
      <c r="JH78" s="1482"/>
      <c r="JI78" s="1482"/>
      <c r="JJ78" s="1482"/>
      <c r="JK78" s="1482"/>
      <c r="JL78" s="1482"/>
      <c r="JM78" s="1482"/>
      <c r="JN78" s="1482"/>
      <c r="JO78" s="1482"/>
      <c r="JP78" s="1482"/>
      <c r="JQ78" s="1482"/>
      <c r="JR78" s="1482"/>
      <c r="JS78" s="1482"/>
      <c r="JT78" s="1482"/>
      <c r="JU78" s="1482"/>
      <c r="JV78" s="1482"/>
      <c r="JW78" s="1482"/>
      <c r="JX78" s="1482"/>
      <c r="JY78" s="1482"/>
      <c r="JZ78" s="1482"/>
      <c r="KA78" s="1482"/>
      <c r="KB78" s="1482"/>
      <c r="KC78" s="1482"/>
      <c r="KD78" s="1482"/>
      <c r="KE78" s="1482"/>
      <c r="KF78" s="1482"/>
      <c r="KG78" s="1482"/>
      <c r="KH78" s="1482"/>
      <c r="KI78" s="1482"/>
      <c r="KJ78" s="1482"/>
      <c r="KK78" s="1482"/>
      <c r="KL78" s="1482"/>
      <c r="KM78" s="1482"/>
      <c r="KN78" s="1482"/>
      <c r="KO78" s="1482"/>
      <c r="KP78" s="1482"/>
      <c r="KQ78" s="1482"/>
      <c r="KR78" s="1482"/>
      <c r="KS78" s="1482"/>
      <c r="KT78" s="1482"/>
      <c r="KU78" s="1482"/>
      <c r="KV78" s="1482"/>
      <c r="KW78" s="1482"/>
      <c r="KX78" s="1482"/>
      <c r="KY78" s="1482"/>
      <c r="KZ78" s="1482"/>
      <c r="LA78" s="1482"/>
      <c r="LB78" s="1482"/>
      <c r="LC78" s="1482"/>
      <c r="LD78" s="1482"/>
      <c r="LE78" s="1482"/>
      <c r="LF78" s="1482"/>
      <c r="LG78" s="1482"/>
      <c r="LH78" s="1482"/>
      <c r="LI78" s="1482"/>
      <c r="LJ78" s="1482"/>
      <c r="LK78" s="1482"/>
      <c r="LL78" s="1482"/>
      <c r="LM78" s="1482"/>
      <c r="LN78" s="1482"/>
      <c r="LO78" s="1482"/>
      <c r="LP78" s="1482"/>
      <c r="LQ78" s="1482"/>
      <c r="LR78" s="1482"/>
      <c r="LS78" s="1482"/>
      <c r="LT78" s="1482"/>
      <c r="LU78" s="1482"/>
      <c r="LV78" s="1482"/>
      <c r="LW78" s="1482"/>
      <c r="LX78" s="1482"/>
      <c r="LY78" s="1482"/>
      <c r="LZ78" s="1482"/>
      <c r="MA78" s="1482"/>
      <c r="MB78" s="1482"/>
      <c r="MC78" s="1482"/>
      <c r="MD78" s="1482"/>
      <c r="ME78" s="1482"/>
      <c r="MF78" s="1482"/>
      <c r="MG78" s="1482"/>
      <c r="MH78" s="1482"/>
      <c r="MI78" s="1482"/>
      <c r="MJ78" s="1482"/>
      <c r="MK78" s="1482"/>
      <c r="ML78" s="1482"/>
      <c r="MM78" s="1482"/>
      <c r="MN78" s="1482"/>
      <c r="MO78" s="1482"/>
      <c r="MP78" s="1482"/>
      <c r="MQ78" s="1482"/>
      <c r="MR78" s="1482"/>
      <c r="MS78" s="1482"/>
      <c r="MT78" s="1482"/>
      <c r="MU78" s="1482"/>
      <c r="MV78" s="1482"/>
      <c r="MW78" s="1482"/>
      <c r="MX78" s="1482"/>
      <c r="MY78" s="1482"/>
      <c r="MZ78" s="1482"/>
      <c r="NA78" s="1482"/>
      <c r="NB78" s="1482"/>
      <c r="NC78" s="1482"/>
      <c r="ND78" s="1493"/>
      <c r="NE78" s="1493"/>
      <c r="NF78" s="1493"/>
      <c r="NG78" s="1493"/>
      <c r="NH78" s="1493"/>
      <c r="NI78" s="1493"/>
      <c r="NJ78" s="1493"/>
      <c r="NK78" s="1493"/>
      <c r="NL78" s="1493"/>
      <c r="NM78" s="1493"/>
      <c r="NN78" s="1493"/>
      <c r="NO78" s="1493"/>
      <c r="NP78" s="1493"/>
      <c r="NQ78" s="1493"/>
      <c r="NR78" s="1493"/>
      <c r="NS78" s="1493"/>
      <c r="NT78" s="1493"/>
      <c r="NU78" s="1493"/>
      <c r="NV78" s="1493"/>
      <c r="NW78" s="1493"/>
      <c r="NX78" s="1493"/>
      <c r="NY78" s="1493"/>
      <c r="NZ78" s="1493"/>
      <c r="OA78" s="1493"/>
      <c r="OB78" s="1493"/>
      <c r="OC78" s="1493"/>
      <c r="OD78" s="1493"/>
      <c r="OE78" s="1493"/>
      <c r="OF78" s="1493"/>
      <c r="OG78" s="1493"/>
      <c r="OH78" s="1493"/>
      <c r="OI78" s="1493"/>
      <c r="OJ78" s="1493"/>
      <c r="OK78" s="1493"/>
      <c r="OL78" s="1493"/>
      <c r="OM78" s="1493"/>
      <c r="ON78" s="1493"/>
      <c r="OO78" s="1493"/>
      <c r="OP78" s="1493"/>
      <c r="OQ78" s="1493"/>
      <c r="OR78" s="1493"/>
      <c r="OS78" s="1493"/>
      <c r="OT78" s="1493"/>
      <c r="OU78" s="1493"/>
      <c r="OV78" s="1493"/>
      <c r="OW78" s="1493"/>
      <c r="OX78" s="1493"/>
      <c r="OY78" s="1493"/>
      <c r="OZ78" s="1493"/>
      <c r="PA78" s="1493"/>
      <c r="PB78" s="1493"/>
      <c r="PC78" s="1493"/>
      <c r="PD78" s="1493"/>
      <c r="PE78" s="1493"/>
      <c r="PF78" s="1493"/>
      <c r="PG78" s="1493"/>
      <c r="PH78" s="1493"/>
      <c r="PI78" s="1493"/>
      <c r="PJ78" s="1493"/>
      <c r="PK78" s="1493"/>
      <c r="PL78" s="1493"/>
      <c r="PM78" s="1493"/>
      <c r="PN78" s="1493"/>
      <c r="PO78" s="1493"/>
      <c r="PP78" s="1493"/>
      <c r="PQ78" s="1493"/>
      <c r="PR78" s="1493"/>
      <c r="PS78" s="1493"/>
      <c r="PT78" s="1493"/>
      <c r="PU78" s="1493"/>
      <c r="PV78" s="1493"/>
      <c r="PW78" s="1493"/>
      <c r="PX78" s="1493"/>
      <c r="PY78" s="1493"/>
      <c r="PZ78" s="1493"/>
      <c r="QA78" s="1493"/>
      <c r="QB78" s="1493"/>
      <c r="QC78" s="1493"/>
      <c r="QD78" s="1493"/>
      <c r="QE78" s="1493"/>
      <c r="QF78" s="1493"/>
      <c r="QG78" s="1493"/>
      <c r="QH78" s="1493"/>
      <c r="QI78" s="1493"/>
      <c r="QJ78" s="1493"/>
      <c r="QK78" s="1493"/>
      <c r="QL78" s="1493"/>
      <c r="QM78" s="1493"/>
      <c r="QN78" s="1493"/>
      <c r="QO78" s="1493"/>
      <c r="QP78" s="1493"/>
      <c r="QQ78" s="1493"/>
      <c r="QR78" s="1493"/>
      <c r="QS78" s="1493"/>
      <c r="QT78" s="1493"/>
      <c r="QU78" s="1493"/>
      <c r="QV78" s="1493"/>
      <c r="QW78" s="1493"/>
      <c r="QX78" s="1493"/>
      <c r="QY78" s="1493"/>
      <c r="QZ78" s="1493"/>
      <c r="RA78" s="1493"/>
      <c r="RB78" s="1493"/>
      <c r="RC78" s="1493"/>
      <c r="RD78" s="1493"/>
      <c r="RE78" s="1493"/>
      <c r="RF78" s="1493"/>
      <c r="RG78" s="1493"/>
      <c r="RH78" s="1493"/>
      <c r="RI78" s="1493"/>
      <c r="RJ78" s="1493"/>
      <c r="RK78" s="1493"/>
      <c r="RL78" s="1493"/>
      <c r="RM78" s="1493"/>
      <c r="RN78" s="1493"/>
      <c r="RO78" s="1493"/>
      <c r="RP78" s="1493"/>
      <c r="RQ78" s="1493"/>
      <c r="RR78" s="1493"/>
      <c r="RS78" s="1493"/>
      <c r="RT78" s="1493"/>
      <c r="RU78" s="1493"/>
      <c r="RV78" s="1493"/>
      <c r="RW78" s="1493"/>
      <c r="RX78" s="1493"/>
      <c r="RY78" s="1493"/>
      <c r="RZ78" s="1493"/>
    </row>
    <row r="79" spans="1:502" customFormat="1" hidden="1">
      <c r="A79" s="2308"/>
      <c r="B79" s="2308"/>
      <c r="C79" s="2307"/>
      <c r="D79" s="2307"/>
      <c r="E79" s="2307"/>
      <c r="F79" s="1493"/>
      <c r="G79" s="1493"/>
      <c r="H79" s="1494" t="s">
        <v>109</v>
      </c>
      <c r="I79" s="1495"/>
      <c r="J79" s="1507" t="str">
        <f t="shared" ref="J79:O79" si="354">IF(OR(J59=0,J$67=0),"",J59/J$67)</f>
        <v/>
      </c>
      <c r="K79" s="1508" t="str">
        <f t="shared" si="354"/>
        <v/>
      </c>
      <c r="L79" s="1508" t="str">
        <f t="shared" si="354"/>
        <v/>
      </c>
      <c r="M79" s="1508" t="str">
        <f t="shared" si="354"/>
        <v/>
      </c>
      <c r="N79" s="1508" t="str">
        <f t="shared" si="354"/>
        <v/>
      </c>
      <c r="O79" s="1509" t="str">
        <f t="shared" si="354"/>
        <v/>
      </c>
      <c r="W79" s="1482"/>
      <c r="X79" s="1482"/>
      <c r="Y79" s="1482"/>
      <c r="Z79" s="1482"/>
      <c r="AA79" s="1482"/>
      <c r="AB79" s="1482"/>
      <c r="AC79" s="1482"/>
      <c r="AD79" s="1482"/>
      <c r="AE79" s="1482"/>
      <c r="AF79" s="1482"/>
      <c r="AG79" s="1482"/>
      <c r="AH79" s="1482"/>
      <c r="AI79" s="1482"/>
      <c r="AJ79" s="1482"/>
      <c r="AK79" s="1482"/>
      <c r="AL79" s="1482"/>
      <c r="AM79" s="1482"/>
      <c r="AN79" s="1482"/>
      <c r="AO79" s="1482"/>
      <c r="AP79" s="1482"/>
      <c r="AQ79" s="1482"/>
      <c r="AR79" s="1482"/>
      <c r="AS79" s="1482"/>
      <c r="AT79" s="1482"/>
      <c r="AU79" s="1482"/>
      <c r="AV79" s="1482"/>
      <c r="AW79" s="1482"/>
      <c r="AX79" s="1482"/>
      <c r="AY79" s="1482"/>
      <c r="AZ79" s="1482"/>
      <c r="BA79" s="1482"/>
      <c r="BB79" s="1482"/>
      <c r="BC79" s="1482"/>
      <c r="BD79" s="1482"/>
      <c r="BE79" s="1482"/>
      <c r="BF79" s="1482"/>
      <c r="BG79" s="1482"/>
      <c r="BH79" s="1482"/>
      <c r="BI79" s="1482"/>
      <c r="BJ79" s="1482"/>
      <c r="BK79" s="1482"/>
      <c r="BL79" s="1482"/>
      <c r="BM79" s="1482"/>
      <c r="BN79" s="1482"/>
      <c r="BO79" s="1482"/>
      <c r="BP79" s="1482"/>
      <c r="BQ79" s="1482"/>
      <c r="BR79" s="1482"/>
      <c r="BS79" s="1482"/>
      <c r="BT79" s="1482"/>
      <c r="BU79" s="1482"/>
      <c r="BV79" s="1482"/>
      <c r="BW79" s="1482"/>
      <c r="BX79" s="1482"/>
      <c r="BY79" s="1482"/>
      <c r="BZ79" s="1482"/>
      <c r="CA79" s="1482"/>
      <c r="CB79" s="1482"/>
      <c r="CC79" s="1482"/>
      <c r="CD79" s="1482"/>
      <c r="CE79" s="1482"/>
      <c r="CF79" s="1482"/>
      <c r="CG79" s="1482"/>
      <c r="CH79" s="1482"/>
      <c r="CI79" s="1482"/>
      <c r="CJ79" s="1482"/>
      <c r="CK79" s="1482"/>
      <c r="CL79" s="1482"/>
      <c r="CM79" s="1482"/>
      <c r="CN79" s="1482"/>
      <c r="CO79" s="1482"/>
      <c r="CP79" s="1482"/>
      <c r="CQ79" s="1482"/>
      <c r="CR79" s="1482"/>
      <c r="CS79" s="1482"/>
      <c r="CT79" s="1482"/>
      <c r="CU79" s="1482"/>
      <c r="CV79" s="1482"/>
      <c r="CW79" s="1482"/>
      <c r="CX79" s="1482"/>
      <c r="CY79" s="1482"/>
      <c r="CZ79" s="1482"/>
      <c r="DA79" s="1482"/>
      <c r="DB79" s="1482"/>
      <c r="DC79" s="1482"/>
      <c r="DD79" s="1482"/>
      <c r="DE79" s="1482"/>
      <c r="DF79" s="1482"/>
      <c r="DG79" s="1482"/>
      <c r="DH79" s="1482"/>
      <c r="DI79" s="1482"/>
      <c r="DJ79" s="1482"/>
      <c r="DK79" s="1482"/>
      <c r="DL79" s="1482"/>
      <c r="DM79" s="1482"/>
      <c r="DN79" s="1482"/>
      <c r="DO79" s="1482"/>
      <c r="DP79" s="1482"/>
      <c r="DQ79" s="1482"/>
      <c r="DR79" s="1482"/>
      <c r="DS79" s="1482"/>
      <c r="DT79" s="1482"/>
      <c r="DU79" s="1482"/>
      <c r="DV79" s="1482"/>
      <c r="DW79" s="1482"/>
      <c r="DX79" s="1482"/>
      <c r="DY79" s="1482"/>
      <c r="DZ79" s="1482"/>
      <c r="EA79" s="1482"/>
      <c r="EB79" s="1482"/>
      <c r="EC79" s="1482"/>
      <c r="ED79" s="1482"/>
      <c r="EE79" s="1482"/>
      <c r="EF79" s="1482"/>
      <c r="EG79" s="1482"/>
      <c r="EH79" s="1482"/>
      <c r="EI79" s="1482"/>
      <c r="EJ79" s="1482"/>
      <c r="EK79" s="1482"/>
      <c r="EL79" s="1482"/>
      <c r="EM79" s="1482"/>
      <c r="EN79" s="1482"/>
      <c r="EO79" s="1482"/>
      <c r="EP79" s="1482"/>
      <c r="EQ79" s="1482"/>
      <c r="ER79" s="1482"/>
      <c r="ES79" s="1482"/>
      <c r="ET79" s="1482"/>
      <c r="EU79" s="1482"/>
      <c r="EV79" s="1482"/>
      <c r="EW79" s="1482"/>
      <c r="EX79" s="1482"/>
      <c r="EY79" s="1482"/>
      <c r="EZ79" s="1482"/>
      <c r="FA79" s="1482"/>
      <c r="FB79" s="1482"/>
      <c r="FC79" s="1482"/>
      <c r="FD79" s="1482"/>
      <c r="FE79" s="1482"/>
      <c r="FF79" s="1482"/>
      <c r="FG79" s="1482"/>
      <c r="FH79" s="1482"/>
      <c r="FI79" s="1482"/>
      <c r="FJ79" s="1482"/>
      <c r="FK79" s="1482"/>
      <c r="FL79" s="1482"/>
      <c r="FM79" s="1482"/>
      <c r="FN79" s="1482"/>
      <c r="FO79" s="1482"/>
      <c r="FP79" s="1482"/>
      <c r="FQ79" s="1482"/>
      <c r="FR79" s="1482"/>
      <c r="FS79" s="1482"/>
      <c r="FT79" s="1482"/>
      <c r="FU79" s="1482"/>
      <c r="FV79" s="1482"/>
      <c r="FW79" s="1482"/>
      <c r="FX79" s="1482"/>
      <c r="FY79" s="1482"/>
      <c r="FZ79" s="1482"/>
      <c r="GA79" s="1482"/>
      <c r="GB79" s="1482"/>
      <c r="GC79" s="1482"/>
      <c r="GD79" s="1482"/>
      <c r="GE79" s="1482"/>
      <c r="GF79" s="1482"/>
      <c r="GG79" s="1482"/>
      <c r="GH79" s="1482"/>
      <c r="GI79" s="1482"/>
      <c r="GJ79" s="1482"/>
      <c r="GK79" s="1482"/>
      <c r="GL79" s="1482"/>
      <c r="GM79" s="1482"/>
      <c r="GN79" s="1482"/>
      <c r="GO79" s="1482"/>
      <c r="GP79" s="1482"/>
      <c r="GQ79" s="1482"/>
      <c r="GR79" s="1482"/>
      <c r="GS79" s="1482"/>
      <c r="GT79" s="1482"/>
      <c r="GU79" s="1482"/>
      <c r="GV79" s="1482"/>
      <c r="GW79" s="1482"/>
      <c r="GX79" s="1482"/>
      <c r="GY79" s="1482"/>
      <c r="GZ79" s="1482"/>
      <c r="HA79" s="1482"/>
      <c r="HB79" s="1482"/>
      <c r="HC79" s="1482"/>
      <c r="HD79" s="1482"/>
      <c r="HE79" s="1482"/>
      <c r="HF79" s="1482"/>
      <c r="HG79" s="1482"/>
      <c r="HH79" s="1482"/>
      <c r="HI79" s="1482"/>
      <c r="HJ79" s="1482"/>
      <c r="HK79" s="1482"/>
      <c r="HL79" s="1482"/>
      <c r="HM79" s="1482"/>
      <c r="HN79" s="1482"/>
      <c r="HO79" s="1482"/>
      <c r="HP79" s="1482"/>
      <c r="HQ79" s="1482"/>
      <c r="HR79" s="1482"/>
      <c r="HS79" s="1482"/>
      <c r="HT79" s="1482"/>
      <c r="HU79" s="1482"/>
      <c r="HV79" s="1482"/>
      <c r="HW79" s="1482"/>
      <c r="HX79" s="1482"/>
      <c r="HY79" s="1482"/>
      <c r="HZ79" s="1482"/>
      <c r="IA79" s="1482"/>
      <c r="IB79" s="1482"/>
      <c r="IC79" s="1482"/>
      <c r="ID79" s="1482"/>
      <c r="IE79" s="1482"/>
      <c r="IF79" s="1482"/>
      <c r="IG79" s="1482"/>
      <c r="IH79" s="1482"/>
      <c r="II79" s="1482"/>
      <c r="IJ79" s="1482"/>
      <c r="IK79" s="1482"/>
      <c r="IL79" s="1482"/>
      <c r="IM79" s="1482"/>
      <c r="IN79" s="1482"/>
      <c r="IO79" s="1482"/>
      <c r="IP79" s="1482"/>
      <c r="IQ79" s="1482"/>
      <c r="IR79" s="1482"/>
      <c r="IS79" s="1482"/>
      <c r="IT79" s="1482"/>
      <c r="IU79" s="1482"/>
      <c r="IV79" s="1482"/>
      <c r="IW79" s="1482"/>
      <c r="IX79" s="1482"/>
      <c r="IY79" s="1482"/>
      <c r="IZ79" s="1482"/>
      <c r="JA79" s="1482"/>
      <c r="JB79" s="1482"/>
      <c r="JC79" s="1482"/>
      <c r="JD79" s="1482"/>
      <c r="JE79" s="1482"/>
      <c r="JF79" s="1482"/>
      <c r="JG79" s="1482"/>
      <c r="JH79" s="1482"/>
      <c r="JI79" s="1482"/>
      <c r="JJ79" s="1482"/>
      <c r="JK79" s="1482"/>
      <c r="JL79" s="1482"/>
      <c r="JM79" s="1482"/>
      <c r="JN79" s="1482"/>
      <c r="JO79" s="1482"/>
      <c r="JP79" s="1482"/>
      <c r="JQ79" s="1482"/>
      <c r="JR79" s="1482"/>
      <c r="JS79" s="1482"/>
      <c r="JT79" s="1482"/>
      <c r="JU79" s="1482"/>
      <c r="JV79" s="1482"/>
      <c r="JW79" s="1482"/>
      <c r="JX79" s="1482"/>
      <c r="JY79" s="1482"/>
      <c r="JZ79" s="1482"/>
      <c r="KA79" s="1482"/>
      <c r="KB79" s="1482"/>
      <c r="KC79" s="1482"/>
      <c r="KD79" s="1482"/>
      <c r="KE79" s="1482"/>
      <c r="KF79" s="1482"/>
      <c r="KG79" s="1482"/>
      <c r="KH79" s="1482"/>
      <c r="KI79" s="1482"/>
      <c r="KJ79" s="1482"/>
      <c r="KK79" s="1482"/>
      <c r="KL79" s="1482"/>
      <c r="KM79" s="1482"/>
      <c r="KN79" s="1482"/>
      <c r="KO79" s="1482"/>
      <c r="KP79" s="1482"/>
      <c r="KQ79" s="1482"/>
      <c r="KR79" s="1482"/>
      <c r="KS79" s="1482"/>
      <c r="KT79" s="1482"/>
      <c r="KU79" s="1482"/>
      <c r="KV79" s="1482"/>
      <c r="KW79" s="1482"/>
      <c r="KX79" s="1482"/>
      <c r="KY79" s="1482"/>
      <c r="KZ79" s="1482"/>
      <c r="LA79" s="1482"/>
      <c r="LB79" s="1482"/>
      <c r="LC79" s="1482"/>
      <c r="LD79" s="1482"/>
      <c r="LE79" s="1482"/>
      <c r="LF79" s="1482"/>
      <c r="LG79" s="1482"/>
      <c r="LH79" s="1482"/>
      <c r="LI79" s="1482"/>
      <c r="LJ79" s="1482"/>
      <c r="LK79" s="1482"/>
      <c r="LL79" s="1482"/>
      <c r="LM79" s="1482"/>
      <c r="LN79" s="1482"/>
      <c r="LO79" s="1482"/>
      <c r="LP79" s="1482"/>
      <c r="LQ79" s="1482"/>
      <c r="LR79" s="1482"/>
      <c r="LS79" s="1482"/>
      <c r="LT79" s="1482"/>
      <c r="LU79" s="1482"/>
      <c r="LV79" s="1482"/>
      <c r="LW79" s="1482"/>
      <c r="LX79" s="1482"/>
      <c r="LY79" s="1482"/>
      <c r="LZ79" s="1482"/>
      <c r="MA79" s="1482"/>
      <c r="MB79" s="1482"/>
      <c r="MC79" s="1482"/>
      <c r="MD79" s="1482"/>
      <c r="ME79" s="1482"/>
      <c r="MF79" s="1482"/>
      <c r="MG79" s="1482"/>
      <c r="MH79" s="1482"/>
      <c r="MI79" s="1482"/>
      <c r="MJ79" s="1482"/>
      <c r="MK79" s="1482"/>
      <c r="ML79" s="1482"/>
      <c r="MM79" s="1482"/>
      <c r="MN79" s="1482"/>
      <c r="MO79" s="1482"/>
      <c r="MP79" s="1482"/>
      <c r="MQ79" s="1482"/>
      <c r="MR79" s="1482"/>
      <c r="MS79" s="1482"/>
      <c r="MT79" s="1482"/>
      <c r="MU79" s="1482"/>
      <c r="MV79" s="1482"/>
      <c r="MW79" s="1482"/>
      <c r="MX79" s="1482"/>
      <c r="MY79" s="1482"/>
      <c r="MZ79" s="1482"/>
      <c r="NA79" s="1482"/>
      <c r="NB79" s="1482"/>
      <c r="NC79" s="1482"/>
      <c r="ND79" s="1493"/>
      <c r="NE79" s="1493"/>
      <c r="NF79" s="1493"/>
      <c r="NG79" s="1493"/>
      <c r="NH79" s="1493"/>
      <c r="NI79" s="1493"/>
      <c r="NJ79" s="1493"/>
      <c r="NK79" s="1493"/>
      <c r="NL79" s="1493"/>
      <c r="NM79" s="1493"/>
      <c r="NN79" s="1493"/>
      <c r="NO79" s="1493"/>
      <c r="NP79" s="1493"/>
      <c r="NQ79" s="1493"/>
      <c r="NR79" s="1493"/>
      <c r="NS79" s="1493"/>
      <c r="NT79" s="1493"/>
      <c r="NU79" s="1493"/>
      <c r="NV79" s="1493"/>
      <c r="NW79" s="1493"/>
      <c r="NX79" s="1493"/>
      <c r="NY79" s="1493"/>
      <c r="NZ79" s="1493"/>
      <c r="OA79" s="1493"/>
      <c r="OB79" s="1493"/>
      <c r="OC79" s="1493"/>
      <c r="OD79" s="1493"/>
      <c r="OE79" s="1493"/>
      <c r="OF79" s="1493"/>
      <c r="OG79" s="1493"/>
      <c r="OH79" s="1493"/>
      <c r="OI79" s="1493"/>
      <c r="OJ79" s="1493"/>
      <c r="OK79" s="1493"/>
      <c r="OL79" s="1493"/>
      <c r="OM79" s="1493"/>
      <c r="ON79" s="1493"/>
      <c r="OO79" s="1493"/>
      <c r="OP79" s="1493"/>
      <c r="OQ79" s="1493"/>
      <c r="OR79" s="1493"/>
      <c r="OS79" s="1493"/>
      <c r="OT79" s="1493"/>
      <c r="OU79" s="1493"/>
      <c r="OV79" s="1493"/>
      <c r="OW79" s="1493"/>
      <c r="OX79" s="1493"/>
      <c r="OY79" s="1493"/>
      <c r="OZ79" s="1493"/>
      <c r="PA79" s="1493"/>
      <c r="PB79" s="1493"/>
      <c r="PC79" s="1493"/>
      <c r="PD79" s="1493"/>
      <c r="PE79" s="1493"/>
      <c r="PF79" s="1493"/>
      <c r="PG79" s="1493"/>
      <c r="PH79" s="1493"/>
      <c r="PI79" s="1493"/>
      <c r="PJ79" s="1493"/>
      <c r="PK79" s="1493"/>
      <c r="PL79" s="1493"/>
      <c r="PM79" s="1493"/>
      <c r="PN79" s="1493"/>
      <c r="PO79" s="1493"/>
      <c r="PP79" s="1493"/>
      <c r="PQ79" s="1493"/>
      <c r="PR79" s="1493"/>
      <c r="PS79" s="1493"/>
      <c r="PT79" s="1493"/>
      <c r="PU79" s="1493"/>
      <c r="PV79" s="1493"/>
      <c r="PW79" s="1493"/>
      <c r="PX79" s="1493"/>
      <c r="PY79" s="1493"/>
      <c r="PZ79" s="1493"/>
      <c r="QA79" s="1493"/>
      <c r="QB79" s="1493"/>
      <c r="QC79" s="1493"/>
      <c r="QD79" s="1493"/>
      <c r="QE79" s="1493"/>
      <c r="QF79" s="1493"/>
      <c r="QG79" s="1493"/>
      <c r="QH79" s="1493"/>
      <c r="QI79" s="1493"/>
      <c r="QJ79" s="1493"/>
      <c r="QK79" s="1493"/>
      <c r="QL79" s="1493"/>
      <c r="QM79" s="1493"/>
      <c r="QN79" s="1493"/>
      <c r="QO79" s="1493"/>
      <c r="QP79" s="1493"/>
      <c r="QQ79" s="1493"/>
      <c r="QR79" s="1493"/>
      <c r="QS79" s="1493"/>
      <c r="QT79" s="1493"/>
      <c r="QU79" s="1493"/>
      <c r="QV79" s="1493"/>
      <c r="QW79" s="1493"/>
      <c r="QX79" s="1493"/>
      <c r="QY79" s="1493"/>
      <c r="QZ79" s="1493"/>
      <c r="RA79" s="1493"/>
      <c r="RB79" s="1493"/>
      <c r="RC79" s="1493"/>
      <c r="RD79" s="1493"/>
      <c r="RE79" s="1493"/>
      <c r="RF79" s="1493"/>
      <c r="RG79" s="1493"/>
      <c r="RH79" s="1493"/>
      <c r="RI79" s="1493"/>
      <c r="RJ79" s="1493"/>
      <c r="RK79" s="1493"/>
      <c r="RL79" s="1493"/>
      <c r="RM79" s="1493"/>
      <c r="RN79" s="1493"/>
      <c r="RO79" s="1493"/>
      <c r="RP79" s="1493"/>
      <c r="RQ79" s="1493"/>
      <c r="RR79" s="1493"/>
      <c r="RS79" s="1493"/>
      <c r="RT79" s="1493"/>
      <c r="RU79" s="1493"/>
      <c r="RV79" s="1493"/>
      <c r="RW79" s="1493"/>
      <c r="RX79" s="1493"/>
      <c r="RY79" s="1493"/>
      <c r="RZ79" s="1493"/>
    </row>
    <row r="80" spans="1:502" customFormat="1" ht="13.5" hidden="1">
      <c r="A80" s="2308"/>
      <c r="B80" s="2308"/>
      <c r="C80" s="1510"/>
      <c r="D80" s="1511"/>
      <c r="E80" s="1511"/>
      <c r="F80" s="1493"/>
      <c r="G80" s="1493"/>
      <c r="H80" s="1487" t="s">
        <v>3699</v>
      </c>
      <c r="I80" s="1495"/>
      <c r="J80" s="1501" t="str">
        <f>IF(OR(J59=0,$P79="",J$67=0),"",$P79*J$67)</f>
        <v/>
      </c>
      <c r="K80" s="1501" t="str">
        <f>IF(OR(K59=0,$P79="",K$67=0),"",$P79*K$67)</f>
        <v/>
      </c>
      <c r="L80" s="1501" t="str">
        <f>IF(OR(L59=0,$P79="",L$67=0),"",$P79*L$67)</f>
        <v/>
      </c>
      <c r="M80" s="1501" t="str">
        <f>IF(OR(M59=0,$P79="",M$67=0),"",$P79*M$67)</f>
        <v/>
      </c>
      <c r="N80" s="1501" t="str">
        <f>IF(OR(N59=0,$P79="",N$67=0),"",$P79*N$67)</f>
        <v/>
      </c>
      <c r="O80" s="1502" t="str">
        <f t="shared" ref="O80" si="355">IF(OR($P79="",O$67=0),"",$P79*O$67)</f>
        <v/>
      </c>
      <c r="W80" s="1482"/>
      <c r="X80" s="1482"/>
      <c r="Y80" s="1482"/>
      <c r="Z80" s="1482"/>
      <c r="AA80" s="1482"/>
      <c r="AB80" s="1482"/>
      <c r="AC80" s="1482"/>
      <c r="AD80" s="1482"/>
      <c r="AE80" s="1482"/>
      <c r="AF80" s="1482"/>
      <c r="AG80" s="1482"/>
      <c r="AH80" s="1482"/>
      <c r="AI80" s="1482"/>
      <c r="AJ80" s="1482"/>
      <c r="AK80" s="1482"/>
      <c r="AL80" s="1482"/>
      <c r="AM80" s="1482"/>
      <c r="AN80" s="1482"/>
      <c r="AO80" s="1482"/>
      <c r="AP80" s="1482"/>
      <c r="AQ80" s="1482"/>
      <c r="AR80" s="1482"/>
      <c r="AS80" s="1482"/>
      <c r="AT80" s="1482"/>
      <c r="AU80" s="1482"/>
      <c r="AV80" s="1482"/>
      <c r="AW80" s="1482"/>
      <c r="AX80" s="1482"/>
      <c r="AY80" s="1482"/>
      <c r="AZ80" s="1482"/>
      <c r="BA80" s="1482"/>
      <c r="BB80" s="1482"/>
      <c r="BC80" s="1482"/>
      <c r="BD80" s="1482"/>
      <c r="BE80" s="1482"/>
      <c r="BF80" s="1482"/>
      <c r="BG80" s="1482"/>
      <c r="BH80" s="1482"/>
      <c r="BI80" s="1482"/>
      <c r="BJ80" s="1482"/>
      <c r="BK80" s="1482"/>
      <c r="BL80" s="1482"/>
      <c r="BM80" s="1482"/>
      <c r="BN80" s="1482"/>
      <c r="BO80" s="1482"/>
      <c r="BP80" s="1482"/>
      <c r="BQ80" s="1482"/>
      <c r="BR80" s="1482"/>
      <c r="BS80" s="1482"/>
      <c r="BT80" s="1482"/>
      <c r="BU80" s="1482"/>
      <c r="BV80" s="1482"/>
      <c r="BW80" s="1482"/>
      <c r="BX80" s="1482"/>
      <c r="BY80" s="1482"/>
      <c r="BZ80" s="1482"/>
      <c r="CA80" s="1482"/>
      <c r="CB80" s="1482"/>
      <c r="CC80" s="1482"/>
      <c r="CD80" s="1482"/>
      <c r="CE80" s="1482"/>
      <c r="CF80" s="1482"/>
      <c r="CG80" s="1482"/>
      <c r="CH80" s="1482"/>
      <c r="CI80" s="1482"/>
      <c r="CJ80" s="1482"/>
      <c r="CK80" s="1482"/>
      <c r="CL80" s="1482"/>
      <c r="CM80" s="1482"/>
      <c r="CN80" s="1482"/>
      <c r="CO80" s="1482"/>
      <c r="CP80" s="1482"/>
      <c r="CQ80" s="1482"/>
      <c r="CR80" s="1482"/>
      <c r="CS80" s="1482"/>
      <c r="CT80" s="1482"/>
      <c r="CU80" s="1482"/>
      <c r="CV80" s="1482"/>
      <c r="CW80" s="1482"/>
      <c r="CX80" s="1482"/>
      <c r="CY80" s="1482"/>
      <c r="CZ80" s="1482"/>
      <c r="DA80" s="1482"/>
      <c r="DB80" s="1482"/>
      <c r="DC80" s="1482"/>
      <c r="DD80" s="1482"/>
      <c r="DE80" s="1482"/>
      <c r="DF80" s="1482"/>
      <c r="DG80" s="1482"/>
      <c r="DH80" s="1482"/>
      <c r="DI80" s="1482"/>
      <c r="DJ80" s="1482"/>
      <c r="DK80" s="1482"/>
      <c r="DL80" s="1482"/>
      <c r="DM80" s="1482"/>
      <c r="DN80" s="1482"/>
      <c r="DO80" s="1482"/>
      <c r="DP80" s="1482"/>
      <c r="DQ80" s="1482"/>
      <c r="DR80" s="1482"/>
      <c r="DS80" s="1482"/>
      <c r="DT80" s="1482"/>
      <c r="DU80" s="1482"/>
      <c r="DV80" s="1482"/>
      <c r="DW80" s="1482"/>
      <c r="DX80" s="1482"/>
      <c r="DY80" s="1482"/>
      <c r="DZ80" s="1482"/>
      <c r="EA80" s="1482"/>
      <c r="EB80" s="1482"/>
      <c r="EC80" s="1482"/>
      <c r="ED80" s="1482"/>
      <c r="EE80" s="1482"/>
      <c r="EF80" s="1482"/>
      <c r="EG80" s="1482"/>
      <c r="EH80" s="1482"/>
      <c r="EI80" s="1482"/>
      <c r="EJ80" s="1482"/>
      <c r="EK80" s="1482"/>
      <c r="EL80" s="1482"/>
      <c r="EM80" s="1482"/>
      <c r="EN80" s="1482"/>
      <c r="EO80" s="1482"/>
      <c r="EP80" s="1482"/>
      <c r="EQ80" s="1482"/>
      <c r="ER80" s="1482"/>
      <c r="ES80" s="1482"/>
      <c r="ET80" s="1482"/>
      <c r="EU80" s="1482"/>
      <c r="EV80" s="1482"/>
      <c r="EW80" s="1482"/>
      <c r="EX80" s="1482"/>
      <c r="EY80" s="1482"/>
      <c r="EZ80" s="1482"/>
      <c r="FA80" s="1482"/>
      <c r="FB80" s="1482"/>
      <c r="FC80" s="1482"/>
      <c r="FD80" s="1482"/>
      <c r="FE80" s="1482"/>
      <c r="FF80" s="1482"/>
      <c r="FG80" s="1482"/>
      <c r="FH80" s="1482"/>
      <c r="FI80" s="1482"/>
      <c r="FJ80" s="1482"/>
      <c r="FK80" s="1482"/>
      <c r="FL80" s="1482"/>
      <c r="FM80" s="1482"/>
      <c r="FN80" s="1482"/>
      <c r="FO80" s="1482"/>
      <c r="FP80" s="1482"/>
      <c r="FQ80" s="1482"/>
      <c r="FR80" s="1482"/>
      <c r="FS80" s="1482"/>
      <c r="FT80" s="1482"/>
      <c r="FU80" s="1482"/>
      <c r="FV80" s="1482"/>
      <c r="FW80" s="1482"/>
      <c r="FX80" s="1482"/>
      <c r="FY80" s="1482"/>
      <c r="FZ80" s="1482"/>
      <c r="GA80" s="1482"/>
      <c r="GB80" s="1482"/>
      <c r="GC80" s="1482"/>
      <c r="GD80" s="1482"/>
      <c r="GE80" s="1482"/>
      <c r="GF80" s="1482"/>
      <c r="GG80" s="1482"/>
      <c r="GH80" s="1482"/>
      <c r="GI80" s="1482"/>
      <c r="GJ80" s="1482"/>
      <c r="GK80" s="1482"/>
      <c r="GL80" s="1482"/>
      <c r="GM80" s="1482"/>
      <c r="GN80" s="1482"/>
      <c r="GO80" s="1482"/>
      <c r="GP80" s="1482"/>
      <c r="GQ80" s="1482"/>
      <c r="GR80" s="1482"/>
      <c r="GS80" s="1482"/>
      <c r="GT80" s="1482"/>
      <c r="GU80" s="1482"/>
      <c r="GV80" s="1482"/>
      <c r="GW80" s="1482"/>
      <c r="GX80" s="1482"/>
      <c r="GY80" s="1482"/>
      <c r="GZ80" s="1482"/>
      <c r="HA80" s="1482"/>
      <c r="HB80" s="1482"/>
      <c r="HC80" s="1482"/>
      <c r="HD80" s="1482"/>
      <c r="HE80" s="1482"/>
      <c r="HF80" s="1482"/>
      <c r="HG80" s="1482"/>
      <c r="HH80" s="1482"/>
      <c r="HI80" s="1482"/>
      <c r="HJ80" s="1482"/>
      <c r="HK80" s="1482"/>
      <c r="HL80" s="1482"/>
      <c r="HM80" s="1482"/>
      <c r="HN80" s="1482"/>
      <c r="HO80" s="1482"/>
      <c r="HP80" s="1482"/>
      <c r="HQ80" s="1482"/>
      <c r="HR80" s="1482"/>
      <c r="HS80" s="1482"/>
      <c r="HT80" s="1482"/>
      <c r="HU80" s="1482"/>
      <c r="HV80" s="1482"/>
      <c r="HW80" s="1482"/>
      <c r="HX80" s="1482"/>
      <c r="HY80" s="1482"/>
      <c r="HZ80" s="1482"/>
      <c r="IA80" s="1482"/>
      <c r="IB80" s="1482"/>
      <c r="IC80" s="1482"/>
      <c r="ID80" s="1482"/>
      <c r="IE80" s="1482"/>
      <c r="IF80" s="1482"/>
      <c r="IG80" s="1482"/>
      <c r="IH80" s="1482"/>
      <c r="II80" s="1482"/>
      <c r="IJ80" s="1482"/>
      <c r="IK80" s="1482"/>
      <c r="IL80" s="1482"/>
      <c r="IM80" s="1482"/>
      <c r="IN80" s="1482"/>
      <c r="IO80" s="1482"/>
      <c r="IP80" s="1482"/>
      <c r="IQ80" s="1482"/>
      <c r="IR80" s="1482"/>
      <c r="IS80" s="1482"/>
      <c r="IT80" s="1482"/>
      <c r="IU80" s="1482"/>
      <c r="IV80" s="1482"/>
      <c r="IW80" s="1482"/>
      <c r="IX80" s="1482"/>
      <c r="IY80" s="1482"/>
      <c r="IZ80" s="1482"/>
      <c r="JA80" s="1482"/>
      <c r="JB80" s="1482"/>
      <c r="JC80" s="1482"/>
      <c r="JD80" s="1482"/>
      <c r="JE80" s="1482"/>
      <c r="JF80" s="1482"/>
      <c r="JG80" s="1482"/>
      <c r="JH80" s="1482"/>
      <c r="JI80" s="1482"/>
      <c r="JJ80" s="1482"/>
      <c r="JK80" s="1482"/>
      <c r="JL80" s="1482"/>
      <c r="JM80" s="1482"/>
      <c r="JN80" s="1482"/>
      <c r="JO80" s="1482"/>
      <c r="JP80" s="1482"/>
      <c r="JQ80" s="1482"/>
      <c r="JR80" s="1482"/>
      <c r="JS80" s="1482"/>
      <c r="JT80" s="1482"/>
      <c r="JU80" s="1482"/>
      <c r="JV80" s="1482"/>
      <c r="JW80" s="1482"/>
      <c r="JX80" s="1482"/>
      <c r="JY80" s="1482"/>
      <c r="JZ80" s="1482"/>
      <c r="KA80" s="1482"/>
      <c r="KB80" s="1482"/>
      <c r="KC80" s="1482"/>
      <c r="KD80" s="1482"/>
      <c r="KE80" s="1482"/>
      <c r="KF80" s="1482"/>
      <c r="KG80" s="1482"/>
      <c r="KH80" s="1482"/>
      <c r="KI80" s="1482"/>
      <c r="KJ80" s="1482"/>
      <c r="KK80" s="1482"/>
      <c r="KL80" s="1482"/>
      <c r="KM80" s="1482"/>
      <c r="KN80" s="1482"/>
      <c r="KO80" s="1482"/>
      <c r="KP80" s="1482"/>
      <c r="KQ80" s="1482"/>
      <c r="KR80" s="1482"/>
      <c r="KS80" s="1482"/>
      <c r="KT80" s="1482"/>
      <c r="KU80" s="1482"/>
      <c r="KV80" s="1482"/>
      <c r="KW80" s="1482"/>
      <c r="KX80" s="1482"/>
      <c r="KY80" s="1482"/>
      <c r="KZ80" s="1482"/>
      <c r="LA80" s="1482"/>
      <c r="LB80" s="1482"/>
      <c r="LC80" s="1482"/>
      <c r="LD80" s="1482"/>
      <c r="LE80" s="1482"/>
      <c r="LF80" s="1482"/>
      <c r="LG80" s="1482"/>
      <c r="LH80" s="1482"/>
      <c r="LI80" s="1482"/>
      <c r="LJ80" s="1482"/>
      <c r="LK80" s="1482"/>
      <c r="LL80" s="1482"/>
      <c r="LM80" s="1482"/>
      <c r="LN80" s="1482"/>
      <c r="LO80" s="1482"/>
      <c r="LP80" s="1482"/>
      <c r="LQ80" s="1482"/>
      <c r="LR80" s="1482"/>
      <c r="LS80" s="1482"/>
      <c r="LT80" s="1482"/>
      <c r="LU80" s="1482"/>
      <c r="LV80" s="1482"/>
      <c r="LW80" s="1482"/>
      <c r="LX80" s="1482"/>
      <c r="LY80" s="1482"/>
      <c r="LZ80" s="1482"/>
      <c r="MA80" s="1482"/>
      <c r="MB80" s="1482"/>
      <c r="MC80" s="1482"/>
      <c r="MD80" s="1482"/>
      <c r="ME80" s="1482"/>
      <c r="MF80" s="1482"/>
      <c r="MG80" s="1482"/>
      <c r="MH80" s="1482"/>
      <c r="MI80" s="1482"/>
      <c r="MJ80" s="1482"/>
      <c r="MK80" s="1482"/>
      <c r="ML80" s="1482"/>
      <c r="MM80" s="1482"/>
      <c r="MN80" s="1482"/>
      <c r="MO80" s="1482"/>
      <c r="MP80" s="1482"/>
      <c r="MQ80" s="1482"/>
      <c r="MR80" s="1482"/>
      <c r="MS80" s="1482"/>
      <c r="MT80" s="1482"/>
      <c r="MU80" s="1482"/>
      <c r="MV80" s="1482"/>
      <c r="MW80" s="1482"/>
      <c r="MX80" s="1482"/>
      <c r="MY80" s="1482"/>
      <c r="MZ80" s="1482"/>
      <c r="NA80" s="1482"/>
      <c r="NB80" s="1482"/>
      <c r="NC80" s="1482"/>
      <c r="ND80" s="1493"/>
      <c r="NE80" s="1493"/>
      <c r="NF80" s="1493"/>
      <c r="NG80" s="1493"/>
      <c r="NH80" s="1493"/>
      <c r="NI80" s="1493"/>
      <c r="NJ80" s="1493"/>
      <c r="NK80" s="1493"/>
      <c r="NL80" s="1493"/>
      <c r="NM80" s="1493"/>
      <c r="NN80" s="1493"/>
      <c r="NO80" s="1493"/>
      <c r="NP80" s="1493"/>
      <c r="NQ80" s="1493"/>
      <c r="NR80" s="1493"/>
      <c r="NS80" s="1493"/>
      <c r="NT80" s="1493"/>
      <c r="NU80" s="1493"/>
      <c r="NV80" s="1493"/>
      <c r="NW80" s="1493"/>
      <c r="NX80" s="1493"/>
      <c r="NY80" s="1493"/>
      <c r="NZ80" s="1493"/>
      <c r="OA80" s="1493"/>
      <c r="OB80" s="1493"/>
      <c r="OC80" s="1493"/>
      <c r="OD80" s="1493"/>
      <c r="OE80" s="1493"/>
      <c r="OF80" s="1493"/>
      <c r="OG80" s="1493"/>
      <c r="OH80" s="1493"/>
      <c r="OI80" s="1493"/>
      <c r="OJ80" s="1493"/>
      <c r="OK80" s="1493"/>
      <c r="OL80" s="1493"/>
      <c r="OM80" s="1493"/>
      <c r="ON80" s="1493"/>
      <c r="OO80" s="1493"/>
      <c r="OP80" s="1493"/>
      <c r="OQ80" s="1493"/>
      <c r="OR80" s="1493"/>
      <c r="OS80" s="1493"/>
      <c r="OT80" s="1493"/>
      <c r="OU80" s="1493"/>
      <c r="OV80" s="1493"/>
      <c r="OW80" s="1493"/>
      <c r="OX80" s="1493"/>
      <c r="OY80" s="1493"/>
      <c r="OZ80" s="1493"/>
      <c r="PA80" s="1493"/>
      <c r="PB80" s="1493"/>
      <c r="PC80" s="1493"/>
      <c r="PD80" s="1493"/>
      <c r="PE80" s="1493"/>
      <c r="PF80" s="1493"/>
      <c r="PG80" s="1493"/>
      <c r="PH80" s="1493"/>
      <c r="PI80" s="1493"/>
      <c r="PJ80" s="1493"/>
      <c r="PK80" s="1493"/>
      <c r="PL80" s="1493"/>
      <c r="PM80" s="1493"/>
      <c r="PN80" s="1493"/>
      <c r="PO80" s="1493"/>
      <c r="PP80" s="1493"/>
      <c r="PQ80" s="1493"/>
      <c r="PR80" s="1493"/>
      <c r="PS80" s="1493"/>
      <c r="PT80" s="1493"/>
      <c r="PU80" s="1493"/>
      <c r="PV80" s="1493"/>
      <c r="PW80" s="1493"/>
      <c r="PX80" s="1493"/>
      <c r="PY80" s="1493"/>
      <c r="PZ80" s="1493"/>
      <c r="QA80" s="1493"/>
      <c r="QB80" s="1493"/>
      <c r="QC80" s="1493"/>
      <c r="QD80" s="1493"/>
      <c r="QE80" s="1493"/>
      <c r="QF80" s="1493"/>
      <c r="QG80" s="1493"/>
      <c r="QH80" s="1493"/>
      <c r="QI80" s="1493"/>
      <c r="QJ80" s="1493"/>
      <c r="QK80" s="1493"/>
      <c r="QL80" s="1493"/>
      <c r="QM80" s="1493"/>
      <c r="QN80" s="1493"/>
      <c r="QO80" s="1493"/>
      <c r="QP80" s="1493"/>
      <c r="QQ80" s="1493"/>
      <c r="QR80" s="1493"/>
      <c r="QS80" s="1493"/>
      <c r="QT80" s="1493"/>
      <c r="QU80" s="1493"/>
      <c r="QV80" s="1493"/>
      <c r="QW80" s="1493"/>
      <c r="QX80" s="1493"/>
      <c r="QY80" s="1493"/>
      <c r="QZ80" s="1493"/>
      <c r="RA80" s="1493"/>
      <c r="RB80" s="1493"/>
      <c r="RC80" s="1493"/>
      <c r="RD80" s="1493"/>
      <c r="RE80" s="1493"/>
      <c r="RF80" s="1493"/>
      <c r="RG80" s="1493"/>
      <c r="RH80" s="1493"/>
      <c r="RI80" s="1493"/>
      <c r="RJ80" s="1493"/>
      <c r="RK80" s="1493"/>
      <c r="RL80" s="1493"/>
      <c r="RM80" s="1493"/>
      <c r="RN80" s="1493"/>
      <c r="RO80" s="1493"/>
      <c r="RP80" s="1493"/>
      <c r="RQ80" s="1493"/>
      <c r="RR80" s="1493"/>
      <c r="RS80" s="1493"/>
      <c r="RT80" s="1493"/>
      <c r="RU80" s="1493"/>
      <c r="RV80" s="1493"/>
      <c r="RW80" s="1493"/>
      <c r="RX80" s="1493"/>
      <c r="RY80" s="1493"/>
      <c r="RZ80" s="1493"/>
    </row>
    <row r="81" spans="1:494" customFormat="1" ht="13.5" hidden="1">
      <c r="A81" s="2308"/>
      <c r="B81" s="2308"/>
      <c r="C81" s="1510"/>
      <c r="D81" s="1511"/>
      <c r="E81" s="1511"/>
      <c r="F81" s="1493"/>
      <c r="G81" s="1493"/>
      <c r="H81" s="1513" t="s">
        <v>3698</v>
      </c>
      <c r="I81" s="1503"/>
      <c r="J81" s="1504" t="str">
        <f t="shared" ref="J81:O81" si="356">IF(OR(J80="",J59=0),"", J59-J80)</f>
        <v/>
      </c>
      <c r="K81" s="1504" t="str">
        <f t="shared" si="356"/>
        <v/>
      </c>
      <c r="L81" s="1504" t="str">
        <f t="shared" si="356"/>
        <v/>
      </c>
      <c r="M81" s="1504" t="str">
        <f t="shared" si="356"/>
        <v/>
      </c>
      <c r="N81" s="1504" t="str">
        <f t="shared" si="356"/>
        <v/>
      </c>
      <c r="O81" s="1504" t="str">
        <f t="shared" si="356"/>
        <v/>
      </c>
      <c r="W81" s="1482"/>
      <c r="X81" s="1482"/>
      <c r="Y81" s="1482"/>
      <c r="Z81" s="1482"/>
      <c r="AA81" s="1482"/>
      <c r="AB81" s="1482"/>
      <c r="AC81" s="1482"/>
      <c r="AD81" s="1482"/>
      <c r="AE81" s="1482"/>
      <c r="AF81" s="1482"/>
      <c r="AG81" s="1482"/>
      <c r="AH81" s="1482"/>
      <c r="AI81" s="1482"/>
      <c r="AJ81" s="1482"/>
      <c r="AK81" s="1482"/>
      <c r="AL81" s="1482"/>
      <c r="AM81" s="1482"/>
      <c r="AN81" s="1482"/>
      <c r="AO81" s="1482"/>
      <c r="AP81" s="1482"/>
      <c r="AQ81" s="1482"/>
      <c r="AR81" s="1482"/>
      <c r="AS81" s="1482"/>
      <c r="AT81" s="1482"/>
      <c r="AU81" s="1482"/>
      <c r="AV81" s="1482"/>
      <c r="AW81" s="1482"/>
      <c r="AX81" s="1482"/>
      <c r="AY81" s="1482"/>
      <c r="AZ81" s="1482"/>
      <c r="BA81" s="1482"/>
      <c r="BB81" s="1482"/>
      <c r="BC81" s="1482"/>
      <c r="BD81" s="1482"/>
      <c r="BE81" s="1482"/>
      <c r="BF81" s="1482"/>
      <c r="BG81" s="1482"/>
      <c r="BH81" s="1482"/>
      <c r="BI81" s="1482"/>
      <c r="BJ81" s="1482"/>
      <c r="BK81" s="1482"/>
      <c r="BL81" s="1482"/>
      <c r="BM81" s="1482"/>
      <c r="BN81" s="1482"/>
      <c r="BO81" s="1482"/>
      <c r="BP81" s="1482"/>
      <c r="BQ81" s="1482"/>
      <c r="BR81" s="1482"/>
      <c r="BS81" s="1482"/>
      <c r="BT81" s="1482"/>
      <c r="BU81" s="1482"/>
      <c r="BV81" s="1482"/>
      <c r="BW81" s="1482"/>
      <c r="BX81" s="1482"/>
      <c r="BY81" s="1482"/>
      <c r="BZ81" s="1482"/>
      <c r="CA81" s="1482"/>
      <c r="CB81" s="1482"/>
      <c r="CC81" s="1482"/>
      <c r="CD81" s="1482"/>
      <c r="CE81" s="1482"/>
      <c r="CF81" s="1482"/>
      <c r="CG81" s="1482"/>
      <c r="CH81" s="1482"/>
      <c r="CI81" s="1482"/>
      <c r="CJ81" s="1482"/>
      <c r="CK81" s="1482"/>
      <c r="CL81" s="1482"/>
      <c r="CM81" s="1482"/>
      <c r="CN81" s="1482"/>
      <c r="CO81" s="1482"/>
      <c r="CP81" s="1482"/>
      <c r="CQ81" s="1482"/>
      <c r="CR81" s="1482"/>
      <c r="CS81" s="1482"/>
      <c r="CT81" s="1482"/>
      <c r="CU81" s="1482"/>
      <c r="CV81" s="1482"/>
      <c r="CW81" s="1482"/>
      <c r="CX81" s="1482"/>
      <c r="CY81" s="1482"/>
      <c r="CZ81" s="1482"/>
      <c r="DA81" s="1482"/>
      <c r="DB81" s="1482"/>
      <c r="DC81" s="1482"/>
      <c r="DD81" s="1482"/>
      <c r="DE81" s="1482"/>
      <c r="DF81" s="1482"/>
      <c r="DG81" s="1482"/>
      <c r="DH81" s="1482"/>
      <c r="DI81" s="1482"/>
      <c r="DJ81" s="1482"/>
      <c r="DK81" s="1482"/>
      <c r="DL81" s="1482"/>
      <c r="DM81" s="1482"/>
      <c r="DN81" s="1482"/>
      <c r="DO81" s="1482"/>
      <c r="DP81" s="1482"/>
      <c r="DQ81" s="1482"/>
      <c r="DR81" s="1482"/>
      <c r="DS81" s="1482"/>
      <c r="DT81" s="1482"/>
      <c r="DU81" s="1482"/>
      <c r="DV81" s="1482"/>
      <c r="DW81" s="1482"/>
      <c r="DX81" s="1482"/>
      <c r="DY81" s="1482"/>
      <c r="DZ81" s="1482"/>
      <c r="EA81" s="1482"/>
      <c r="EB81" s="1482"/>
      <c r="EC81" s="1482"/>
      <c r="ED81" s="1482"/>
      <c r="EE81" s="1482"/>
      <c r="EF81" s="1482"/>
      <c r="EG81" s="1482"/>
      <c r="EH81" s="1482"/>
      <c r="EI81" s="1482"/>
      <c r="EJ81" s="1482"/>
      <c r="EK81" s="1482"/>
      <c r="EL81" s="1482"/>
      <c r="EM81" s="1482"/>
      <c r="EN81" s="1482"/>
      <c r="EO81" s="1482"/>
      <c r="EP81" s="1482"/>
      <c r="EQ81" s="1482"/>
      <c r="ER81" s="1482"/>
      <c r="ES81" s="1482"/>
      <c r="ET81" s="1482"/>
      <c r="EU81" s="1482"/>
      <c r="EV81" s="1482"/>
      <c r="EW81" s="1482"/>
      <c r="EX81" s="1482"/>
      <c r="EY81" s="1482"/>
      <c r="EZ81" s="1482"/>
      <c r="FA81" s="1482"/>
      <c r="FB81" s="1482"/>
      <c r="FC81" s="1482"/>
      <c r="FD81" s="1482"/>
      <c r="FE81" s="1482"/>
      <c r="FF81" s="1482"/>
      <c r="FG81" s="1482"/>
      <c r="FH81" s="1482"/>
      <c r="FI81" s="1482"/>
      <c r="FJ81" s="1482"/>
      <c r="FK81" s="1482"/>
      <c r="FL81" s="1482"/>
      <c r="FM81" s="1482"/>
      <c r="FN81" s="1482"/>
      <c r="FO81" s="1482"/>
      <c r="FP81" s="1482"/>
      <c r="FQ81" s="1482"/>
      <c r="FR81" s="1482"/>
      <c r="FS81" s="1482"/>
      <c r="FT81" s="1482"/>
      <c r="FU81" s="1482"/>
      <c r="FV81" s="1482"/>
      <c r="FW81" s="1482"/>
      <c r="FX81" s="1482"/>
      <c r="FY81" s="1482"/>
      <c r="FZ81" s="1482"/>
      <c r="GA81" s="1482"/>
      <c r="GB81" s="1482"/>
      <c r="GC81" s="1482"/>
      <c r="GD81" s="1482"/>
      <c r="GE81" s="1482"/>
      <c r="GF81" s="1482"/>
      <c r="GG81" s="1482"/>
      <c r="GH81" s="1482"/>
      <c r="GI81" s="1482"/>
      <c r="GJ81" s="1482"/>
      <c r="GK81" s="1482"/>
      <c r="GL81" s="1482"/>
      <c r="GM81" s="1482"/>
      <c r="GN81" s="1482"/>
      <c r="GO81" s="1482"/>
      <c r="GP81" s="1482"/>
      <c r="GQ81" s="1482"/>
      <c r="GR81" s="1482"/>
      <c r="GS81" s="1482"/>
      <c r="GT81" s="1482"/>
      <c r="GU81" s="1482"/>
      <c r="GV81" s="1482"/>
      <c r="GW81" s="1482"/>
      <c r="GX81" s="1482"/>
      <c r="GY81" s="1482"/>
      <c r="GZ81" s="1482"/>
      <c r="HA81" s="1482"/>
      <c r="HB81" s="1482"/>
      <c r="HC81" s="1482"/>
      <c r="HD81" s="1482"/>
      <c r="HE81" s="1482"/>
      <c r="HF81" s="1482"/>
      <c r="HG81" s="1482"/>
      <c r="HH81" s="1482"/>
      <c r="HI81" s="1482"/>
      <c r="HJ81" s="1482"/>
      <c r="HK81" s="1482"/>
      <c r="HL81" s="1482"/>
      <c r="HM81" s="1482"/>
      <c r="HN81" s="1482"/>
      <c r="HO81" s="1482"/>
      <c r="HP81" s="1482"/>
      <c r="HQ81" s="1482"/>
      <c r="HR81" s="1482"/>
      <c r="HS81" s="1482"/>
      <c r="HT81" s="1482"/>
      <c r="HU81" s="1482"/>
      <c r="HV81" s="1482"/>
      <c r="HW81" s="1482"/>
      <c r="HX81" s="1482"/>
      <c r="HY81" s="1482"/>
      <c r="HZ81" s="1482"/>
      <c r="IA81" s="1482"/>
      <c r="IB81" s="1482"/>
      <c r="IC81" s="1482"/>
      <c r="ID81" s="1482"/>
      <c r="IE81" s="1482"/>
      <c r="IF81" s="1482"/>
      <c r="IG81" s="1482"/>
      <c r="IH81" s="1482"/>
      <c r="II81" s="1482"/>
      <c r="IJ81" s="1482"/>
      <c r="IK81" s="1482"/>
      <c r="IL81" s="1482"/>
      <c r="IM81" s="1482"/>
      <c r="IN81" s="1482"/>
      <c r="IO81" s="1482"/>
      <c r="IP81" s="1482"/>
      <c r="IQ81" s="1482"/>
      <c r="IR81" s="1482"/>
      <c r="IS81" s="1482"/>
      <c r="IT81" s="1482"/>
      <c r="IU81" s="1482"/>
      <c r="IV81" s="1482"/>
      <c r="IW81" s="1482"/>
      <c r="IX81" s="1482"/>
      <c r="IY81" s="1482"/>
      <c r="IZ81" s="1482"/>
      <c r="JA81" s="1482"/>
      <c r="JB81" s="1482"/>
      <c r="JC81" s="1482"/>
      <c r="JD81" s="1482"/>
      <c r="JE81" s="1482"/>
      <c r="JF81" s="1482"/>
      <c r="JG81" s="1482"/>
      <c r="JH81" s="1482"/>
      <c r="JI81" s="1482"/>
      <c r="JJ81" s="1482"/>
      <c r="JK81" s="1482"/>
      <c r="JL81" s="1482"/>
      <c r="JM81" s="1482"/>
      <c r="JN81" s="1482"/>
      <c r="JO81" s="1482"/>
      <c r="JP81" s="1482"/>
      <c r="JQ81" s="1482"/>
      <c r="JR81" s="1482"/>
      <c r="JS81" s="1482"/>
      <c r="JT81" s="1482"/>
      <c r="JU81" s="1482"/>
      <c r="JV81" s="1482"/>
      <c r="JW81" s="1482"/>
      <c r="JX81" s="1482"/>
      <c r="JY81" s="1482"/>
      <c r="JZ81" s="1482"/>
      <c r="KA81" s="1482"/>
      <c r="KB81" s="1482"/>
      <c r="KC81" s="1482"/>
      <c r="KD81" s="1482"/>
      <c r="KE81" s="1482"/>
      <c r="KF81" s="1482"/>
      <c r="KG81" s="1482"/>
      <c r="KH81" s="1482"/>
      <c r="KI81" s="1482"/>
      <c r="KJ81" s="1482"/>
      <c r="KK81" s="1482"/>
      <c r="KL81" s="1482"/>
      <c r="KM81" s="1482"/>
      <c r="KN81" s="1482"/>
      <c r="KO81" s="1482"/>
      <c r="KP81" s="1482"/>
      <c r="KQ81" s="1482"/>
      <c r="KR81" s="1482"/>
      <c r="KS81" s="1482"/>
      <c r="KT81" s="1482"/>
      <c r="KU81" s="1482"/>
      <c r="KV81" s="1482"/>
      <c r="KW81" s="1482"/>
      <c r="KX81" s="1482"/>
      <c r="KY81" s="1482"/>
      <c r="KZ81" s="1482"/>
      <c r="LA81" s="1482"/>
      <c r="LB81" s="1482"/>
      <c r="LC81" s="1482"/>
      <c r="LD81" s="1482"/>
      <c r="LE81" s="1482"/>
      <c r="LF81" s="1482"/>
      <c r="LG81" s="1482"/>
      <c r="LH81" s="1482"/>
      <c r="LI81" s="1482"/>
      <c r="LJ81" s="1482"/>
      <c r="LK81" s="1482"/>
      <c r="LL81" s="1482"/>
      <c r="LM81" s="1482"/>
      <c r="LN81" s="1482"/>
      <c r="LO81" s="1482"/>
      <c r="LP81" s="1482"/>
      <c r="LQ81" s="1482"/>
      <c r="LR81" s="1482"/>
      <c r="LS81" s="1482"/>
      <c r="LT81" s="1482"/>
      <c r="LU81" s="1482"/>
      <c r="LV81" s="1482"/>
      <c r="LW81" s="1482"/>
      <c r="LX81" s="1482"/>
      <c r="LY81" s="1482"/>
      <c r="LZ81" s="1482"/>
      <c r="MA81" s="1482"/>
      <c r="MB81" s="1482"/>
      <c r="MC81" s="1482"/>
      <c r="MD81" s="1482"/>
      <c r="ME81" s="1482"/>
      <c r="MF81" s="1482"/>
      <c r="MG81" s="1482"/>
      <c r="MH81" s="1482"/>
      <c r="MI81" s="1482"/>
      <c r="MJ81" s="1482"/>
      <c r="MK81" s="1482"/>
      <c r="ML81" s="1482"/>
      <c r="MM81" s="1482"/>
      <c r="MN81" s="1482"/>
      <c r="MO81" s="1482"/>
      <c r="MP81" s="1482"/>
      <c r="MQ81" s="1482"/>
      <c r="MR81" s="1482"/>
      <c r="MS81" s="1482"/>
      <c r="MT81" s="1482"/>
      <c r="MU81" s="1482"/>
      <c r="MV81" s="1482"/>
      <c r="MW81" s="1482"/>
      <c r="MX81" s="1482"/>
      <c r="MY81" s="1482"/>
      <c r="MZ81" s="1482"/>
      <c r="NA81" s="1482"/>
      <c r="NB81" s="1482"/>
      <c r="NC81" s="1482"/>
      <c r="ND81" s="1493"/>
      <c r="NE81" s="1493"/>
      <c r="NF81" s="1493"/>
      <c r="NG81" s="1493"/>
      <c r="NH81" s="1493"/>
      <c r="NI81" s="1493"/>
      <c r="NJ81" s="1493"/>
      <c r="NK81" s="1493"/>
      <c r="NL81" s="1493"/>
      <c r="NM81" s="1493"/>
      <c r="NN81" s="1493"/>
      <c r="NO81" s="1493"/>
      <c r="NP81" s="1493"/>
      <c r="NQ81" s="1493"/>
      <c r="NR81" s="1493"/>
      <c r="NS81" s="1493"/>
      <c r="NT81" s="1493"/>
      <c r="NU81" s="1493"/>
      <c r="NV81" s="1493"/>
      <c r="NW81" s="1493"/>
      <c r="NX81" s="1493"/>
      <c r="NY81" s="1493"/>
      <c r="NZ81" s="1493"/>
      <c r="OA81" s="1493"/>
      <c r="OB81" s="1493"/>
      <c r="OC81" s="1493"/>
      <c r="OD81" s="1493"/>
      <c r="OE81" s="1493"/>
      <c r="OF81" s="1493"/>
      <c r="OG81" s="1493"/>
      <c r="OH81" s="1493"/>
      <c r="OI81" s="1493"/>
      <c r="OJ81" s="1493"/>
      <c r="OK81" s="1493"/>
      <c r="OL81" s="1493"/>
      <c r="OM81" s="1493"/>
      <c r="ON81" s="1493"/>
      <c r="OO81" s="1493"/>
      <c r="OP81" s="1493"/>
      <c r="OQ81" s="1493"/>
      <c r="OR81" s="1493"/>
      <c r="OS81" s="1493"/>
      <c r="OT81" s="1493"/>
      <c r="OU81" s="1493"/>
      <c r="OV81" s="1493"/>
      <c r="OW81" s="1493"/>
      <c r="OX81" s="1493"/>
      <c r="OY81" s="1493"/>
      <c r="OZ81" s="1493"/>
      <c r="PA81" s="1493"/>
      <c r="PB81" s="1493"/>
      <c r="PC81" s="1493"/>
      <c r="PD81" s="1493"/>
      <c r="PE81" s="1493"/>
      <c r="PF81" s="1493"/>
      <c r="PG81" s="1493"/>
      <c r="PH81" s="1493"/>
      <c r="PI81" s="1493"/>
      <c r="PJ81" s="1493"/>
      <c r="PK81" s="1493"/>
      <c r="PL81" s="1493"/>
      <c r="PM81" s="1493"/>
      <c r="PN81" s="1493"/>
      <c r="PO81" s="1493"/>
      <c r="PP81" s="1493"/>
      <c r="PQ81" s="1493"/>
      <c r="PR81" s="1493"/>
      <c r="PS81" s="1493"/>
      <c r="PT81" s="1493"/>
      <c r="PU81" s="1493"/>
      <c r="PV81" s="1493"/>
      <c r="PW81" s="1493"/>
      <c r="PX81" s="1493"/>
      <c r="PY81" s="1493"/>
      <c r="PZ81" s="1493"/>
      <c r="QA81" s="1493"/>
      <c r="QB81" s="1493"/>
      <c r="QC81" s="1493"/>
      <c r="QD81" s="1493"/>
      <c r="QE81" s="1493"/>
      <c r="QF81" s="1493"/>
      <c r="QG81" s="1493"/>
      <c r="QH81" s="1493"/>
      <c r="QI81" s="1493"/>
      <c r="QJ81" s="1493"/>
      <c r="QK81" s="1493"/>
      <c r="QL81" s="1493"/>
      <c r="QM81" s="1493"/>
      <c r="QN81" s="1493"/>
      <c r="QO81" s="1493"/>
      <c r="QP81" s="1493"/>
      <c r="QQ81" s="1493"/>
      <c r="QR81" s="1493"/>
      <c r="QS81" s="1493"/>
      <c r="QT81" s="1493"/>
      <c r="QU81" s="1493"/>
      <c r="QV81" s="1493"/>
      <c r="QW81" s="1493"/>
      <c r="QX81" s="1493"/>
      <c r="QY81" s="1493"/>
      <c r="QZ81" s="1493"/>
      <c r="RA81" s="1493"/>
      <c r="RB81" s="1493"/>
      <c r="RC81" s="1493"/>
      <c r="RD81" s="1493"/>
      <c r="RE81" s="1493"/>
      <c r="RF81" s="1493"/>
      <c r="RG81" s="1493"/>
      <c r="RH81" s="1493"/>
      <c r="RI81" s="1493"/>
      <c r="RJ81" s="1493"/>
      <c r="RK81" s="1493"/>
      <c r="RL81" s="1493"/>
      <c r="RM81" s="1493"/>
      <c r="RN81" s="1493"/>
      <c r="RO81" s="1493"/>
      <c r="RP81" s="1493"/>
      <c r="RQ81" s="1493"/>
      <c r="RR81" s="1493"/>
      <c r="RS81" s="1493"/>
      <c r="RT81" s="1493"/>
      <c r="RU81" s="1493"/>
      <c r="RV81" s="1493"/>
      <c r="RW81" s="1493"/>
      <c r="RX81" s="1493"/>
      <c r="RY81" s="1493"/>
      <c r="RZ81" s="1493"/>
    </row>
    <row r="82" spans="1:494" customFormat="1" hidden="1">
      <c r="A82" s="2308"/>
      <c r="B82" s="2308"/>
      <c r="C82" s="1510" t="s">
        <v>3697</v>
      </c>
      <c r="D82" s="1511"/>
      <c r="E82" s="1511"/>
      <c r="F82" s="1493"/>
      <c r="G82" s="1493"/>
      <c r="H82" s="1494" t="s">
        <v>3386</v>
      </c>
      <c r="I82" s="1495"/>
      <c r="J82" s="1507" t="str">
        <f t="shared" ref="J82:O82" si="357">IF(OR(J60=0,J$67=0),"",J60/J$67)</f>
        <v/>
      </c>
      <c r="K82" s="1508" t="str">
        <f t="shared" si="357"/>
        <v/>
      </c>
      <c r="L82" s="1508" t="str">
        <f t="shared" si="357"/>
        <v/>
      </c>
      <c r="M82" s="1508" t="str">
        <f t="shared" si="357"/>
        <v/>
      </c>
      <c r="N82" s="1508" t="str">
        <f t="shared" si="357"/>
        <v/>
      </c>
      <c r="O82" s="1509" t="str">
        <f t="shared" si="357"/>
        <v/>
      </c>
      <c r="W82" s="1482"/>
      <c r="X82" s="1482"/>
      <c r="Y82" s="1482"/>
      <c r="Z82" s="1482"/>
      <c r="AA82" s="1482"/>
      <c r="AB82" s="1482"/>
      <c r="AC82" s="1482"/>
      <c r="AD82" s="1482"/>
      <c r="AE82" s="1482"/>
      <c r="AF82" s="1482"/>
      <c r="AG82" s="1482"/>
      <c r="AH82" s="1482"/>
      <c r="AI82" s="1482"/>
      <c r="AJ82" s="1482"/>
      <c r="AK82" s="1482"/>
      <c r="AL82" s="1482"/>
      <c r="AM82" s="1482"/>
      <c r="AN82" s="1482"/>
      <c r="AO82" s="1482"/>
      <c r="AP82" s="1482"/>
      <c r="AQ82" s="1482"/>
      <c r="AR82" s="1482"/>
      <c r="AS82" s="1482"/>
      <c r="AT82" s="1482"/>
      <c r="AU82" s="1482"/>
      <c r="AV82" s="1482"/>
      <c r="AW82" s="1482"/>
      <c r="AX82" s="1482"/>
      <c r="AY82" s="1482"/>
      <c r="AZ82" s="1482"/>
      <c r="BA82" s="1482"/>
      <c r="BB82" s="1482"/>
      <c r="BC82" s="1482"/>
      <c r="BD82" s="1482"/>
      <c r="BE82" s="1482"/>
      <c r="BF82" s="1482"/>
      <c r="BG82" s="1482"/>
      <c r="BH82" s="1482"/>
      <c r="BI82" s="1482"/>
      <c r="BJ82" s="1482"/>
      <c r="BK82" s="1482"/>
      <c r="BL82" s="1482"/>
      <c r="BM82" s="1482"/>
      <c r="BN82" s="1482"/>
      <c r="BO82" s="1482"/>
      <c r="BP82" s="1482"/>
      <c r="BQ82" s="1482"/>
      <c r="BR82" s="1482"/>
      <c r="BS82" s="1482"/>
      <c r="BT82" s="1482"/>
      <c r="BU82" s="1482"/>
      <c r="BV82" s="1482"/>
      <c r="BW82" s="1482"/>
      <c r="BX82" s="1482"/>
      <c r="BY82" s="1482"/>
      <c r="BZ82" s="1482"/>
      <c r="CA82" s="1482"/>
      <c r="CB82" s="1482"/>
      <c r="CC82" s="1482"/>
      <c r="CD82" s="1482"/>
      <c r="CE82" s="1482"/>
      <c r="CF82" s="1482"/>
      <c r="CG82" s="1482"/>
      <c r="CH82" s="1482"/>
      <c r="CI82" s="1482"/>
      <c r="CJ82" s="1482"/>
      <c r="CK82" s="1482"/>
      <c r="CL82" s="1482"/>
      <c r="CM82" s="1482"/>
      <c r="CN82" s="1482"/>
      <c r="CO82" s="1482"/>
      <c r="CP82" s="1482"/>
      <c r="CQ82" s="1482"/>
      <c r="CR82" s="1482"/>
      <c r="CS82" s="1482"/>
      <c r="CT82" s="1482"/>
      <c r="CU82" s="1482"/>
      <c r="CV82" s="1482"/>
      <c r="CW82" s="1482"/>
      <c r="CX82" s="1482"/>
      <c r="CY82" s="1482"/>
      <c r="CZ82" s="1482"/>
      <c r="DA82" s="1482"/>
      <c r="DB82" s="1482"/>
      <c r="DC82" s="1482"/>
      <c r="DD82" s="1482"/>
      <c r="DE82" s="1482"/>
      <c r="DF82" s="1482"/>
      <c r="DG82" s="1482"/>
      <c r="DH82" s="1482"/>
      <c r="DI82" s="1482"/>
      <c r="DJ82" s="1482"/>
      <c r="DK82" s="1482"/>
      <c r="DL82" s="1482"/>
      <c r="DM82" s="1482"/>
      <c r="DN82" s="1482"/>
      <c r="DO82" s="1482"/>
      <c r="DP82" s="1482"/>
      <c r="DQ82" s="1482"/>
      <c r="DR82" s="1482"/>
      <c r="DS82" s="1482"/>
      <c r="DT82" s="1482"/>
      <c r="DU82" s="1482"/>
      <c r="DV82" s="1482"/>
      <c r="DW82" s="1482"/>
      <c r="DX82" s="1482"/>
      <c r="DY82" s="1482"/>
      <c r="DZ82" s="1482"/>
      <c r="EA82" s="1482"/>
      <c r="EB82" s="1482"/>
      <c r="EC82" s="1482"/>
      <c r="ED82" s="1482"/>
      <c r="EE82" s="1482"/>
      <c r="EF82" s="1482"/>
      <c r="EG82" s="1482"/>
      <c r="EH82" s="1482"/>
      <c r="EI82" s="1482"/>
      <c r="EJ82" s="1482"/>
      <c r="EK82" s="1482"/>
      <c r="EL82" s="1482"/>
      <c r="EM82" s="1482"/>
      <c r="EN82" s="1482"/>
      <c r="EO82" s="1482"/>
      <c r="EP82" s="1482"/>
      <c r="EQ82" s="1482"/>
      <c r="ER82" s="1482"/>
      <c r="ES82" s="1482"/>
      <c r="ET82" s="1482"/>
      <c r="EU82" s="1482"/>
      <c r="EV82" s="1482"/>
      <c r="EW82" s="1482"/>
      <c r="EX82" s="1482"/>
      <c r="EY82" s="1482"/>
      <c r="EZ82" s="1482"/>
      <c r="FA82" s="1482"/>
      <c r="FB82" s="1482"/>
      <c r="FC82" s="1482"/>
      <c r="FD82" s="1482"/>
      <c r="FE82" s="1482"/>
      <c r="FF82" s="1482"/>
      <c r="FG82" s="1482"/>
      <c r="FH82" s="1482"/>
      <c r="FI82" s="1482"/>
      <c r="FJ82" s="1482"/>
      <c r="FK82" s="1482"/>
      <c r="FL82" s="1482"/>
      <c r="FM82" s="1482"/>
      <c r="FN82" s="1482"/>
      <c r="FO82" s="1482"/>
      <c r="FP82" s="1482"/>
      <c r="FQ82" s="1482"/>
      <c r="FR82" s="1482"/>
      <c r="FS82" s="1482"/>
      <c r="FT82" s="1482"/>
      <c r="FU82" s="1482"/>
      <c r="FV82" s="1482"/>
      <c r="FW82" s="1482"/>
      <c r="FX82" s="1482"/>
      <c r="FY82" s="1482"/>
      <c r="FZ82" s="1482"/>
      <c r="GA82" s="1482"/>
      <c r="GB82" s="1482"/>
      <c r="GC82" s="1482"/>
      <c r="GD82" s="1482"/>
      <c r="GE82" s="1482"/>
      <c r="GF82" s="1482"/>
      <c r="GG82" s="1482"/>
      <c r="GH82" s="1482"/>
      <c r="GI82" s="1482"/>
      <c r="GJ82" s="1482"/>
      <c r="GK82" s="1482"/>
      <c r="GL82" s="1482"/>
      <c r="GM82" s="1482"/>
      <c r="GN82" s="1482"/>
      <c r="GO82" s="1482"/>
      <c r="GP82" s="1482"/>
      <c r="GQ82" s="1482"/>
      <c r="GR82" s="1482"/>
      <c r="GS82" s="1482"/>
      <c r="GT82" s="1482"/>
      <c r="GU82" s="1482"/>
      <c r="GV82" s="1482"/>
      <c r="GW82" s="1482"/>
      <c r="GX82" s="1482"/>
      <c r="GY82" s="1482"/>
      <c r="GZ82" s="1482"/>
      <c r="HA82" s="1482"/>
      <c r="HB82" s="1482"/>
      <c r="HC82" s="1482"/>
      <c r="HD82" s="1482"/>
      <c r="HE82" s="1482"/>
      <c r="HF82" s="1482"/>
      <c r="HG82" s="1482"/>
      <c r="HH82" s="1482"/>
      <c r="HI82" s="1482"/>
      <c r="HJ82" s="1482"/>
      <c r="HK82" s="1482"/>
      <c r="HL82" s="1482"/>
      <c r="HM82" s="1482"/>
      <c r="HN82" s="1482"/>
      <c r="HO82" s="1482"/>
      <c r="HP82" s="1482"/>
      <c r="HQ82" s="1482"/>
      <c r="HR82" s="1482"/>
      <c r="HS82" s="1482"/>
      <c r="HT82" s="1482"/>
      <c r="HU82" s="1482"/>
      <c r="HV82" s="1482"/>
      <c r="HW82" s="1482"/>
      <c r="HX82" s="1482"/>
      <c r="HY82" s="1482"/>
      <c r="HZ82" s="1482"/>
      <c r="IA82" s="1482"/>
      <c r="IB82" s="1482"/>
      <c r="IC82" s="1482"/>
      <c r="ID82" s="1482"/>
      <c r="IE82" s="1482"/>
      <c r="IF82" s="1482"/>
      <c r="IG82" s="1482"/>
      <c r="IH82" s="1482"/>
      <c r="II82" s="1482"/>
      <c r="IJ82" s="1482"/>
      <c r="IK82" s="1482"/>
      <c r="IL82" s="1482"/>
      <c r="IM82" s="1482"/>
      <c r="IN82" s="1482"/>
      <c r="IO82" s="1482"/>
      <c r="IP82" s="1482"/>
      <c r="IQ82" s="1482"/>
      <c r="IR82" s="1482"/>
      <c r="IS82" s="1482"/>
      <c r="IT82" s="1482"/>
      <c r="IU82" s="1482"/>
      <c r="IV82" s="1482"/>
      <c r="IW82" s="1482"/>
      <c r="IX82" s="1482"/>
      <c r="IY82" s="1482"/>
      <c r="IZ82" s="1482"/>
      <c r="JA82" s="1482"/>
      <c r="JB82" s="1482"/>
      <c r="JC82" s="1482"/>
      <c r="JD82" s="1482"/>
      <c r="JE82" s="1482"/>
      <c r="JF82" s="1482"/>
      <c r="JG82" s="1482"/>
      <c r="JH82" s="1482"/>
      <c r="JI82" s="1482"/>
      <c r="JJ82" s="1482"/>
      <c r="JK82" s="1482"/>
      <c r="JL82" s="1482"/>
      <c r="JM82" s="1482"/>
      <c r="JN82" s="1482"/>
      <c r="JO82" s="1482"/>
      <c r="JP82" s="1482"/>
      <c r="JQ82" s="1482"/>
      <c r="JR82" s="1482"/>
      <c r="JS82" s="1482"/>
      <c r="JT82" s="1482"/>
      <c r="JU82" s="1482"/>
      <c r="JV82" s="1482"/>
      <c r="JW82" s="1482"/>
      <c r="JX82" s="1482"/>
      <c r="JY82" s="1482"/>
      <c r="JZ82" s="1482"/>
      <c r="KA82" s="1482"/>
      <c r="KB82" s="1482"/>
      <c r="KC82" s="1482"/>
      <c r="KD82" s="1482"/>
      <c r="KE82" s="1482"/>
      <c r="KF82" s="1482"/>
      <c r="KG82" s="1482"/>
      <c r="KH82" s="1482"/>
      <c r="KI82" s="1482"/>
      <c r="KJ82" s="1482"/>
      <c r="KK82" s="1482"/>
      <c r="KL82" s="1482"/>
      <c r="KM82" s="1482"/>
      <c r="KN82" s="1482"/>
      <c r="KO82" s="1482"/>
      <c r="KP82" s="1482"/>
      <c r="KQ82" s="1482"/>
      <c r="KR82" s="1482"/>
      <c r="KS82" s="1482"/>
      <c r="KT82" s="1482"/>
      <c r="KU82" s="1482"/>
      <c r="KV82" s="1482"/>
      <c r="KW82" s="1482"/>
      <c r="KX82" s="1482"/>
      <c r="KY82" s="1482"/>
      <c r="KZ82" s="1482"/>
      <c r="LA82" s="1482"/>
      <c r="LB82" s="1482"/>
      <c r="LC82" s="1482"/>
      <c r="LD82" s="1482"/>
      <c r="LE82" s="1482"/>
      <c r="LF82" s="1482"/>
      <c r="LG82" s="1482"/>
      <c r="LH82" s="1482"/>
      <c r="LI82" s="1482"/>
      <c r="LJ82" s="1482"/>
      <c r="LK82" s="1482"/>
      <c r="LL82" s="1482"/>
      <c r="LM82" s="1482"/>
      <c r="LN82" s="1482"/>
      <c r="LO82" s="1482"/>
      <c r="LP82" s="1482"/>
      <c r="LQ82" s="1482"/>
      <c r="LR82" s="1482"/>
      <c r="LS82" s="1482"/>
      <c r="LT82" s="1482"/>
      <c r="LU82" s="1482"/>
      <c r="LV82" s="1482"/>
      <c r="LW82" s="1482"/>
      <c r="LX82" s="1482"/>
      <c r="LY82" s="1482"/>
      <c r="LZ82" s="1482"/>
      <c r="MA82" s="1482"/>
      <c r="MB82" s="1482"/>
      <c r="MC82" s="1482"/>
      <c r="MD82" s="1482"/>
      <c r="ME82" s="1482"/>
      <c r="MF82" s="1482"/>
      <c r="MG82" s="1482"/>
      <c r="MH82" s="1482"/>
      <c r="MI82" s="1482"/>
      <c r="MJ82" s="1482"/>
      <c r="MK82" s="1482"/>
      <c r="ML82" s="1482"/>
      <c r="MM82" s="1482"/>
      <c r="MN82" s="1482"/>
      <c r="MO82" s="1482"/>
      <c r="MP82" s="1482"/>
      <c r="MQ82" s="1482"/>
      <c r="MR82" s="1482"/>
      <c r="MS82" s="1482"/>
      <c r="MT82" s="1482"/>
      <c r="MU82" s="1482"/>
      <c r="MV82" s="1482"/>
      <c r="MW82" s="1482"/>
      <c r="MX82" s="1482"/>
      <c r="MY82" s="1482"/>
      <c r="MZ82" s="1482"/>
      <c r="NA82" s="1482"/>
      <c r="NB82" s="1482"/>
      <c r="NC82" s="1482"/>
      <c r="ND82" s="1493"/>
      <c r="NE82" s="1493"/>
      <c r="NF82" s="1493"/>
      <c r="NG82" s="1493"/>
      <c r="NH82" s="1493"/>
      <c r="NI82" s="1493"/>
      <c r="NJ82" s="1493"/>
      <c r="NK82" s="1493"/>
      <c r="NL82" s="1493"/>
      <c r="NM82" s="1493"/>
      <c r="NN82" s="1493"/>
      <c r="NO82" s="1493"/>
      <c r="NP82" s="1493"/>
      <c r="NQ82" s="1493"/>
      <c r="NR82" s="1493"/>
      <c r="NS82" s="1493"/>
      <c r="NT82" s="1493"/>
      <c r="NU82" s="1493"/>
      <c r="NV82" s="1493"/>
      <c r="NW82" s="1493"/>
      <c r="NX82" s="1493"/>
      <c r="NY82" s="1493"/>
      <c r="NZ82" s="1493"/>
      <c r="OA82" s="1493"/>
      <c r="OB82" s="1493"/>
      <c r="OC82" s="1493"/>
      <c r="OD82" s="1493"/>
      <c r="OE82" s="1493"/>
      <c r="OF82" s="1493"/>
      <c r="OG82" s="1493"/>
      <c r="OH82" s="1493"/>
      <c r="OI82" s="1493"/>
      <c r="OJ82" s="1493"/>
      <c r="OK82" s="1493"/>
      <c r="OL82" s="1493"/>
      <c r="OM82" s="1493"/>
      <c r="ON82" s="1493"/>
      <c r="OO82" s="1493"/>
      <c r="OP82" s="1493"/>
      <c r="OQ82" s="1493"/>
      <c r="OR82" s="1493"/>
      <c r="OS82" s="1493"/>
      <c r="OT82" s="1493"/>
      <c r="OU82" s="1493"/>
      <c r="OV82" s="1493"/>
      <c r="OW82" s="1493"/>
      <c r="OX82" s="1493"/>
      <c r="OY82" s="1493"/>
      <c r="OZ82" s="1493"/>
      <c r="PA82" s="1493"/>
      <c r="PB82" s="1493"/>
      <c r="PC82" s="1493"/>
      <c r="PD82" s="1493"/>
      <c r="PE82" s="1493"/>
      <c r="PF82" s="1493"/>
      <c r="PG82" s="1493"/>
      <c r="PH82" s="1493"/>
      <c r="PI82" s="1493"/>
      <c r="PJ82" s="1493"/>
      <c r="PK82" s="1493"/>
      <c r="PL82" s="1493"/>
      <c r="PM82" s="1493"/>
      <c r="PN82" s="1493"/>
      <c r="PO82" s="1493"/>
      <c r="PP82" s="1493"/>
      <c r="PQ82" s="1493"/>
      <c r="PR82" s="1493"/>
      <c r="PS82" s="1493"/>
      <c r="PT82" s="1493"/>
      <c r="PU82" s="1493"/>
      <c r="PV82" s="1493"/>
      <c r="PW82" s="1493"/>
      <c r="PX82" s="1493"/>
      <c r="PY82" s="1493"/>
      <c r="PZ82" s="1493"/>
      <c r="QA82" s="1493"/>
      <c r="QB82" s="1493"/>
      <c r="QC82" s="1493"/>
      <c r="QD82" s="1493"/>
      <c r="QE82" s="1493"/>
      <c r="QF82" s="1493"/>
      <c r="QG82" s="1493"/>
      <c r="QH82" s="1493"/>
      <c r="QI82" s="1493"/>
      <c r="QJ82" s="1493"/>
      <c r="QK82" s="1493"/>
      <c r="QL82" s="1493"/>
      <c r="QM82" s="1493"/>
      <c r="QN82" s="1493"/>
      <c r="QO82" s="1493"/>
      <c r="QP82" s="1493"/>
      <c r="QQ82" s="1493"/>
      <c r="QR82" s="1493"/>
      <c r="QS82" s="1493"/>
      <c r="QT82" s="1493"/>
      <c r="QU82" s="1493"/>
      <c r="QV82" s="1493"/>
      <c r="QW82" s="1493"/>
      <c r="QX82" s="1493"/>
      <c r="QY82" s="1493"/>
      <c r="QZ82" s="1493"/>
      <c r="RA82" s="1493"/>
      <c r="RB82" s="1493"/>
      <c r="RC82" s="1493"/>
      <c r="RD82" s="1493"/>
      <c r="RE82" s="1493"/>
      <c r="RF82" s="1493"/>
      <c r="RG82" s="1493"/>
      <c r="RH82" s="1493"/>
      <c r="RI82" s="1493"/>
      <c r="RJ82" s="1493"/>
      <c r="RK82" s="1493"/>
      <c r="RL82" s="1493"/>
      <c r="RM82" s="1493"/>
      <c r="RN82" s="1493"/>
      <c r="RO82" s="1493"/>
      <c r="RP82" s="1493"/>
      <c r="RQ82" s="1493"/>
      <c r="RR82" s="1493"/>
      <c r="RS82" s="1493"/>
      <c r="RT82" s="1493"/>
      <c r="RU82" s="1493"/>
      <c r="RV82" s="1493"/>
      <c r="RW82" s="1493"/>
      <c r="RX82" s="1493"/>
      <c r="RY82" s="1493"/>
      <c r="RZ82" s="1493"/>
    </row>
    <row r="83" spans="1:494" customFormat="1" ht="13.5" hidden="1">
      <c r="A83" s="2308"/>
      <c r="B83" s="2308"/>
      <c r="C83" s="1510"/>
      <c r="D83" s="886"/>
      <c r="E83" s="886"/>
      <c r="F83" s="886"/>
      <c r="G83" s="1493"/>
      <c r="H83" s="1487" t="s">
        <v>3699</v>
      </c>
      <c r="I83" s="1495"/>
      <c r="J83" s="1501" t="str">
        <f>IF(OR(J60=0,$P82="",J$67=0),"",$P82*J$67)</f>
        <v/>
      </c>
      <c r="K83" s="1501" t="str">
        <f>IF(OR(K60=0,$P82="",K$67=0),"",$P82*K$67)</f>
        <v/>
      </c>
      <c r="L83" s="1501" t="str">
        <f>IF(OR(L60=0,$P82="",L$67=0),"",$P82*L$67)</f>
        <v/>
      </c>
      <c r="M83" s="1501" t="str">
        <f>IF(OR(M60=0,$P82="",M$67=0),"",$P82*M$67)</f>
        <v/>
      </c>
      <c r="N83" s="1501" t="str">
        <f>IF(OR(N60=0,$P82="",N$67=0),"",$P82*N$67)</f>
        <v/>
      </c>
      <c r="O83" s="1502" t="str">
        <f t="shared" ref="O83" si="358">IF(OR($P82="",O$67=0),"",$P82*O$67)</f>
        <v/>
      </c>
      <c r="W83" s="1482"/>
      <c r="X83" s="1482"/>
      <c r="Y83" s="1482"/>
      <c r="Z83" s="1482"/>
      <c r="AA83" s="1482"/>
      <c r="AB83" s="1482"/>
      <c r="AC83" s="1482"/>
      <c r="AD83" s="1482"/>
      <c r="AE83" s="1482"/>
      <c r="AF83" s="1482"/>
      <c r="AG83" s="1482"/>
      <c r="AH83" s="1482"/>
      <c r="AI83" s="1482"/>
      <c r="AJ83" s="1482"/>
      <c r="AK83" s="1482"/>
      <c r="AL83" s="1482"/>
      <c r="AM83" s="1482"/>
      <c r="AN83" s="1482"/>
      <c r="AO83" s="1482"/>
      <c r="AP83" s="1482"/>
      <c r="AQ83" s="1482"/>
      <c r="AR83" s="1482"/>
      <c r="AS83" s="1482"/>
      <c r="AT83" s="1482"/>
      <c r="AU83" s="1482"/>
      <c r="AV83" s="1482"/>
      <c r="AW83" s="1482"/>
      <c r="AX83" s="1482"/>
      <c r="AY83" s="1482"/>
      <c r="AZ83" s="1482"/>
      <c r="BA83" s="1482"/>
      <c r="BB83" s="1482"/>
      <c r="BC83" s="1482"/>
      <c r="BD83" s="1482"/>
      <c r="BE83" s="1482"/>
      <c r="BF83" s="1482"/>
      <c r="BG83" s="1482"/>
      <c r="BH83" s="1482"/>
      <c r="BI83" s="1482"/>
      <c r="BJ83" s="1482"/>
      <c r="BK83" s="1482"/>
      <c r="BL83" s="1482"/>
      <c r="BM83" s="1482"/>
      <c r="BN83" s="1482"/>
      <c r="BO83" s="1482"/>
      <c r="BP83" s="1482"/>
      <c r="BQ83" s="1482"/>
      <c r="BR83" s="1482"/>
      <c r="BS83" s="1482"/>
      <c r="BT83" s="1482"/>
      <c r="BU83" s="1482"/>
      <c r="BV83" s="1482"/>
      <c r="BW83" s="1482"/>
      <c r="BX83" s="1482"/>
      <c r="BY83" s="1482"/>
      <c r="BZ83" s="1482"/>
      <c r="CA83" s="1482"/>
      <c r="CB83" s="1482"/>
      <c r="CC83" s="1482"/>
      <c r="CD83" s="1482"/>
      <c r="CE83" s="1482"/>
      <c r="CF83" s="1482"/>
      <c r="CG83" s="1482"/>
      <c r="CH83" s="1482"/>
      <c r="CI83" s="1482"/>
      <c r="CJ83" s="1482"/>
      <c r="CK83" s="1482"/>
      <c r="CL83" s="1482"/>
      <c r="CM83" s="1482"/>
      <c r="CN83" s="1482"/>
      <c r="CO83" s="1482"/>
      <c r="CP83" s="1482"/>
      <c r="CQ83" s="1482"/>
      <c r="CR83" s="1482"/>
      <c r="CS83" s="1482"/>
      <c r="CT83" s="1482"/>
      <c r="CU83" s="1482"/>
      <c r="CV83" s="1482"/>
      <c r="CW83" s="1482"/>
      <c r="CX83" s="1482"/>
      <c r="CY83" s="1482"/>
      <c r="CZ83" s="1482"/>
      <c r="DA83" s="1482"/>
      <c r="DB83" s="1482"/>
      <c r="DC83" s="1482"/>
      <c r="DD83" s="1482"/>
      <c r="DE83" s="1482"/>
      <c r="DF83" s="1482"/>
      <c r="DG83" s="1482"/>
      <c r="DH83" s="1482"/>
      <c r="DI83" s="1482"/>
      <c r="DJ83" s="1482"/>
      <c r="DK83" s="1482"/>
      <c r="DL83" s="1482"/>
      <c r="DM83" s="1482"/>
      <c r="DN83" s="1482"/>
      <c r="DO83" s="1482"/>
      <c r="DP83" s="1482"/>
      <c r="DQ83" s="1482"/>
      <c r="DR83" s="1482"/>
      <c r="DS83" s="1482"/>
      <c r="DT83" s="1482"/>
      <c r="DU83" s="1482"/>
      <c r="DV83" s="1482"/>
      <c r="DW83" s="1482"/>
      <c r="DX83" s="1482"/>
      <c r="DY83" s="1482"/>
      <c r="DZ83" s="1482"/>
      <c r="EA83" s="1482"/>
      <c r="EB83" s="1482"/>
      <c r="EC83" s="1482"/>
      <c r="ED83" s="1482"/>
      <c r="EE83" s="1482"/>
      <c r="EF83" s="1482"/>
      <c r="EG83" s="1482"/>
      <c r="EH83" s="1482"/>
      <c r="EI83" s="1482"/>
      <c r="EJ83" s="1482"/>
      <c r="EK83" s="1482"/>
      <c r="EL83" s="1482"/>
      <c r="EM83" s="1482"/>
      <c r="EN83" s="1482"/>
      <c r="EO83" s="1482"/>
      <c r="EP83" s="1482"/>
      <c r="EQ83" s="1482"/>
      <c r="ER83" s="1482"/>
      <c r="ES83" s="1482"/>
      <c r="ET83" s="1482"/>
      <c r="EU83" s="1482"/>
      <c r="EV83" s="1482"/>
      <c r="EW83" s="1482"/>
      <c r="EX83" s="1482"/>
      <c r="EY83" s="1482"/>
      <c r="EZ83" s="1482"/>
      <c r="FA83" s="1482"/>
      <c r="FB83" s="1482"/>
      <c r="FC83" s="1482"/>
      <c r="FD83" s="1482"/>
      <c r="FE83" s="1482"/>
      <c r="FF83" s="1482"/>
      <c r="FG83" s="1482"/>
      <c r="FH83" s="1482"/>
      <c r="FI83" s="1482"/>
      <c r="FJ83" s="1482"/>
      <c r="FK83" s="1482"/>
      <c r="FL83" s="1482"/>
      <c r="FM83" s="1482"/>
      <c r="FN83" s="1482"/>
      <c r="FO83" s="1482"/>
      <c r="FP83" s="1482"/>
      <c r="FQ83" s="1482"/>
      <c r="FR83" s="1482"/>
      <c r="FS83" s="1482"/>
      <c r="FT83" s="1482"/>
      <c r="FU83" s="1482"/>
      <c r="FV83" s="1482"/>
      <c r="FW83" s="1482"/>
      <c r="FX83" s="1482"/>
      <c r="FY83" s="1482"/>
      <c r="FZ83" s="1482"/>
      <c r="GA83" s="1482"/>
      <c r="GB83" s="1482"/>
      <c r="GC83" s="1482"/>
      <c r="GD83" s="1482"/>
      <c r="GE83" s="1482"/>
      <c r="GF83" s="1482"/>
      <c r="GG83" s="1482"/>
      <c r="GH83" s="1482"/>
      <c r="GI83" s="1482"/>
      <c r="GJ83" s="1482"/>
      <c r="GK83" s="1482"/>
      <c r="GL83" s="1482"/>
      <c r="GM83" s="1482"/>
      <c r="GN83" s="1482"/>
      <c r="GO83" s="1482"/>
      <c r="GP83" s="1482"/>
      <c r="GQ83" s="1482"/>
      <c r="GR83" s="1482"/>
      <c r="GS83" s="1482"/>
      <c r="GT83" s="1482"/>
      <c r="GU83" s="1482"/>
      <c r="GV83" s="1482"/>
      <c r="GW83" s="1482"/>
      <c r="GX83" s="1482"/>
      <c r="GY83" s="1482"/>
      <c r="GZ83" s="1482"/>
      <c r="HA83" s="1482"/>
      <c r="HB83" s="1482"/>
      <c r="HC83" s="1482"/>
      <c r="HD83" s="1482"/>
      <c r="HE83" s="1482"/>
      <c r="HF83" s="1482"/>
      <c r="HG83" s="1482"/>
      <c r="HH83" s="1482"/>
      <c r="HI83" s="1482"/>
      <c r="HJ83" s="1482"/>
      <c r="HK83" s="1482"/>
      <c r="HL83" s="1482"/>
      <c r="HM83" s="1482"/>
      <c r="HN83" s="1482"/>
      <c r="HO83" s="1482"/>
      <c r="HP83" s="1482"/>
      <c r="HQ83" s="1482"/>
      <c r="HR83" s="1482"/>
      <c r="HS83" s="1482"/>
      <c r="HT83" s="1482"/>
      <c r="HU83" s="1482"/>
      <c r="HV83" s="1482"/>
      <c r="HW83" s="1482"/>
      <c r="HX83" s="1482"/>
      <c r="HY83" s="1482"/>
      <c r="HZ83" s="1482"/>
      <c r="IA83" s="1482"/>
      <c r="IB83" s="1482"/>
      <c r="IC83" s="1482"/>
      <c r="ID83" s="1482"/>
      <c r="IE83" s="1482"/>
      <c r="IF83" s="1482"/>
      <c r="IG83" s="1482"/>
      <c r="IH83" s="1482"/>
      <c r="II83" s="1482"/>
      <c r="IJ83" s="1482"/>
      <c r="IK83" s="1482"/>
      <c r="IL83" s="1482"/>
      <c r="IM83" s="1482"/>
      <c r="IN83" s="1482"/>
      <c r="IO83" s="1482"/>
      <c r="IP83" s="1482"/>
      <c r="IQ83" s="1482"/>
      <c r="IR83" s="1482"/>
      <c r="IS83" s="1482"/>
      <c r="IT83" s="1482"/>
      <c r="IU83" s="1482"/>
      <c r="IV83" s="1482"/>
      <c r="IW83" s="1482"/>
      <c r="IX83" s="1482"/>
      <c r="IY83" s="1482"/>
      <c r="IZ83" s="1482"/>
      <c r="JA83" s="1482"/>
      <c r="JB83" s="1482"/>
      <c r="JC83" s="1482"/>
      <c r="JD83" s="1482"/>
      <c r="JE83" s="1482"/>
      <c r="JF83" s="1482"/>
      <c r="JG83" s="1482"/>
      <c r="JH83" s="1482"/>
      <c r="JI83" s="1482"/>
      <c r="JJ83" s="1482"/>
      <c r="JK83" s="1482"/>
      <c r="JL83" s="1482"/>
      <c r="JM83" s="1482"/>
      <c r="JN83" s="1482"/>
      <c r="JO83" s="1482"/>
      <c r="JP83" s="1482"/>
      <c r="JQ83" s="1482"/>
      <c r="JR83" s="1482"/>
      <c r="JS83" s="1482"/>
      <c r="JT83" s="1482"/>
      <c r="JU83" s="1482"/>
      <c r="JV83" s="1482"/>
      <c r="JW83" s="1482"/>
      <c r="JX83" s="1482"/>
      <c r="JY83" s="1482"/>
      <c r="JZ83" s="1482"/>
      <c r="KA83" s="1482"/>
      <c r="KB83" s="1482"/>
      <c r="KC83" s="1482"/>
      <c r="KD83" s="1482"/>
      <c r="KE83" s="1482"/>
      <c r="KF83" s="1482"/>
      <c r="KG83" s="1482"/>
      <c r="KH83" s="1482"/>
      <c r="KI83" s="1482"/>
      <c r="KJ83" s="1482"/>
      <c r="KK83" s="1482"/>
      <c r="KL83" s="1482"/>
      <c r="KM83" s="1482"/>
      <c r="KN83" s="1482"/>
      <c r="KO83" s="1482"/>
      <c r="KP83" s="1482"/>
      <c r="KQ83" s="1482"/>
      <c r="KR83" s="1482"/>
      <c r="KS83" s="1482"/>
      <c r="KT83" s="1482"/>
      <c r="KU83" s="1482"/>
      <c r="KV83" s="1482"/>
      <c r="KW83" s="1482"/>
      <c r="KX83" s="1482"/>
      <c r="KY83" s="1482"/>
      <c r="KZ83" s="1482"/>
      <c r="LA83" s="1482"/>
      <c r="LB83" s="1482"/>
      <c r="LC83" s="1482"/>
      <c r="LD83" s="1482"/>
      <c r="LE83" s="1482"/>
      <c r="LF83" s="1482"/>
      <c r="LG83" s="1482"/>
      <c r="LH83" s="1482"/>
      <c r="LI83" s="1482"/>
      <c r="LJ83" s="1482"/>
      <c r="LK83" s="1482"/>
      <c r="LL83" s="1482"/>
      <c r="LM83" s="1482"/>
      <c r="LN83" s="1482"/>
      <c r="LO83" s="1482"/>
      <c r="LP83" s="1482"/>
      <c r="LQ83" s="1482"/>
      <c r="LR83" s="1482"/>
      <c r="LS83" s="1482"/>
      <c r="LT83" s="1482"/>
      <c r="LU83" s="1482"/>
      <c r="LV83" s="1482"/>
      <c r="LW83" s="1482"/>
      <c r="LX83" s="1482"/>
      <c r="LY83" s="1482"/>
      <c r="LZ83" s="1482"/>
      <c r="MA83" s="1482"/>
      <c r="MB83" s="1482"/>
      <c r="MC83" s="1482"/>
      <c r="MD83" s="1482"/>
      <c r="ME83" s="1482"/>
      <c r="MF83" s="1482"/>
      <c r="MG83" s="1482"/>
      <c r="MH83" s="1482"/>
      <c r="MI83" s="1482"/>
      <c r="MJ83" s="1482"/>
      <c r="MK83" s="1482"/>
      <c r="ML83" s="1482"/>
      <c r="MM83" s="1482"/>
      <c r="MN83" s="1482"/>
      <c r="MO83" s="1482"/>
      <c r="MP83" s="1482"/>
      <c r="MQ83" s="1482"/>
      <c r="MR83" s="1482"/>
      <c r="MS83" s="1482"/>
      <c r="MT83" s="1482"/>
      <c r="MU83" s="1482"/>
      <c r="MV83" s="1482"/>
      <c r="MW83" s="1482"/>
      <c r="MX83" s="1482"/>
      <c r="MY83" s="1482"/>
      <c r="MZ83" s="1482"/>
      <c r="NA83" s="1482"/>
      <c r="NB83" s="1482"/>
      <c r="NC83" s="1482"/>
      <c r="ND83" s="1493"/>
      <c r="NE83" s="1493"/>
      <c r="NF83" s="1493"/>
      <c r="NG83" s="1493"/>
      <c r="NH83" s="1493"/>
      <c r="NI83" s="1493"/>
      <c r="NJ83" s="1493"/>
      <c r="NK83" s="1493"/>
      <c r="NL83" s="1493"/>
      <c r="NM83" s="1493"/>
      <c r="NN83" s="1493"/>
      <c r="NO83" s="1493"/>
      <c r="NP83" s="1493"/>
      <c r="NQ83" s="1493"/>
      <c r="NR83" s="1493"/>
      <c r="NS83" s="1493"/>
      <c r="NT83" s="1493"/>
      <c r="NU83" s="1493"/>
      <c r="NV83" s="1493"/>
      <c r="NW83" s="1493"/>
      <c r="NX83" s="1493"/>
      <c r="NY83" s="1493"/>
      <c r="NZ83" s="1493"/>
      <c r="OA83" s="1493"/>
      <c r="OB83" s="1493"/>
      <c r="OC83" s="1493"/>
      <c r="OD83" s="1493"/>
      <c r="OE83" s="1493"/>
      <c r="OF83" s="1493"/>
      <c r="OG83" s="1493"/>
      <c r="OH83" s="1493"/>
      <c r="OI83" s="1493"/>
      <c r="OJ83" s="1493"/>
      <c r="OK83" s="1493"/>
      <c r="OL83" s="1493"/>
      <c r="OM83" s="1493"/>
      <c r="ON83" s="1493"/>
      <c r="OO83" s="1493"/>
      <c r="OP83" s="1493"/>
      <c r="OQ83" s="1493"/>
      <c r="OR83" s="1493"/>
      <c r="OS83" s="1493"/>
      <c r="OT83" s="1493"/>
      <c r="OU83" s="1493"/>
      <c r="OV83" s="1493"/>
      <c r="OW83" s="1493"/>
      <c r="OX83" s="1493"/>
      <c r="OY83" s="1493"/>
      <c r="OZ83" s="1493"/>
      <c r="PA83" s="1493"/>
      <c r="PB83" s="1493"/>
      <c r="PC83" s="1493"/>
      <c r="PD83" s="1493"/>
      <c r="PE83" s="1493"/>
      <c r="PF83" s="1493"/>
      <c r="PG83" s="1493"/>
      <c r="PH83" s="1493"/>
      <c r="PI83" s="1493"/>
      <c r="PJ83" s="1493"/>
      <c r="PK83" s="1493"/>
      <c r="PL83" s="1493"/>
      <c r="PM83" s="1493"/>
      <c r="PN83" s="1493"/>
      <c r="PO83" s="1493"/>
      <c r="PP83" s="1493"/>
      <c r="PQ83" s="1493"/>
      <c r="PR83" s="1493"/>
      <c r="PS83" s="1493"/>
      <c r="PT83" s="1493"/>
      <c r="PU83" s="1493"/>
      <c r="PV83" s="1493"/>
      <c r="PW83" s="1493"/>
      <c r="PX83" s="1493"/>
      <c r="PY83" s="1493"/>
      <c r="PZ83" s="1493"/>
      <c r="QA83" s="1493"/>
      <c r="QB83" s="1493"/>
      <c r="QC83" s="1493"/>
      <c r="QD83" s="1493"/>
      <c r="QE83" s="1493"/>
      <c r="QF83" s="1493"/>
      <c r="QG83" s="1493"/>
      <c r="QH83" s="1493"/>
      <c r="QI83" s="1493"/>
      <c r="QJ83" s="1493"/>
      <c r="QK83" s="1493"/>
      <c r="QL83" s="1493"/>
      <c r="QM83" s="1493"/>
      <c r="QN83" s="1493"/>
      <c r="QO83" s="1493"/>
      <c r="QP83" s="1493"/>
      <c r="QQ83" s="1493"/>
      <c r="QR83" s="1493"/>
      <c r="QS83" s="1493"/>
      <c r="QT83" s="1493"/>
      <c r="QU83" s="1493"/>
      <c r="QV83" s="1493"/>
      <c r="QW83" s="1493"/>
      <c r="QX83" s="1493"/>
      <c r="QY83" s="1493"/>
      <c r="QZ83" s="1493"/>
      <c r="RA83" s="1493"/>
      <c r="RB83" s="1493"/>
      <c r="RC83" s="1493"/>
      <c r="RD83" s="1493"/>
      <c r="RE83" s="1493"/>
      <c r="RF83" s="1493"/>
      <c r="RG83" s="1493"/>
      <c r="RH83" s="1493"/>
      <c r="RI83" s="1493"/>
      <c r="RJ83" s="1493"/>
      <c r="RK83" s="1493"/>
      <c r="RL83" s="1493"/>
      <c r="RM83" s="1493"/>
      <c r="RN83" s="1493"/>
      <c r="RO83" s="1493"/>
      <c r="RP83" s="1493"/>
      <c r="RQ83" s="1493"/>
      <c r="RR83" s="1493"/>
      <c r="RS83" s="1493"/>
      <c r="RT83" s="1493"/>
      <c r="RU83" s="1493"/>
      <c r="RV83" s="1493"/>
      <c r="RW83" s="1493"/>
      <c r="RX83" s="1493"/>
      <c r="RY83" s="1493"/>
      <c r="RZ83" s="1493"/>
    </row>
    <row r="84" spans="1:494" customFormat="1" ht="13.5" hidden="1">
      <c r="A84" s="2308"/>
      <c r="B84" s="2308"/>
      <c r="C84" s="1510"/>
      <c r="D84" s="886"/>
      <c r="E84" s="886"/>
      <c r="F84" s="886"/>
      <c r="G84" s="1493"/>
      <c r="H84" s="1513" t="s">
        <v>3698</v>
      </c>
      <c r="I84" s="1503"/>
      <c r="J84" s="1504" t="str">
        <f t="shared" ref="J84:O84" si="359">IF(OR(J83="",J60=0),"", J60-J83)</f>
        <v/>
      </c>
      <c r="K84" s="1504" t="str">
        <f t="shared" si="359"/>
        <v/>
      </c>
      <c r="L84" s="1504" t="str">
        <f t="shared" si="359"/>
        <v/>
      </c>
      <c r="M84" s="1504" t="str">
        <f t="shared" si="359"/>
        <v/>
      </c>
      <c r="N84" s="1504" t="str">
        <f t="shared" si="359"/>
        <v/>
      </c>
      <c r="O84" s="1504" t="str">
        <f t="shared" si="359"/>
        <v/>
      </c>
      <c r="W84" s="1482"/>
      <c r="X84" s="1482"/>
      <c r="Y84" s="1482"/>
      <c r="Z84" s="1482"/>
      <c r="AA84" s="1482"/>
      <c r="AB84" s="1482"/>
      <c r="AC84" s="1482"/>
      <c r="AD84" s="1482"/>
      <c r="AE84" s="1482"/>
      <c r="AF84" s="1482"/>
      <c r="AG84" s="1482"/>
      <c r="AH84" s="1482"/>
      <c r="AI84" s="1482"/>
      <c r="AJ84" s="1482"/>
      <c r="AK84" s="1482"/>
      <c r="AL84" s="1482"/>
      <c r="AM84" s="1482"/>
      <c r="AN84" s="1482"/>
      <c r="AO84" s="1482"/>
      <c r="AP84" s="1482"/>
      <c r="AQ84" s="1482"/>
      <c r="AR84" s="1482"/>
      <c r="AS84" s="1482"/>
      <c r="AT84" s="1482"/>
      <c r="AU84" s="1482"/>
      <c r="AV84" s="1482"/>
      <c r="AW84" s="1482"/>
      <c r="AX84" s="1482"/>
      <c r="AY84" s="1482"/>
      <c r="AZ84" s="1482"/>
      <c r="BA84" s="1482"/>
      <c r="BB84" s="1482"/>
      <c r="BC84" s="1482"/>
      <c r="BD84" s="1482"/>
      <c r="BE84" s="1482"/>
      <c r="BF84" s="1482"/>
      <c r="BG84" s="1482"/>
      <c r="BH84" s="1482"/>
      <c r="BI84" s="1482"/>
      <c r="BJ84" s="1482"/>
      <c r="BK84" s="1482"/>
      <c r="BL84" s="1482"/>
      <c r="BM84" s="1482"/>
      <c r="BN84" s="1482"/>
      <c r="BO84" s="1482"/>
      <c r="BP84" s="1482"/>
      <c r="BQ84" s="1482"/>
      <c r="BR84" s="1482"/>
      <c r="BS84" s="1482"/>
      <c r="BT84" s="1482"/>
      <c r="BU84" s="1482"/>
      <c r="BV84" s="1482"/>
      <c r="BW84" s="1482"/>
      <c r="BX84" s="1482"/>
      <c r="BY84" s="1482"/>
      <c r="BZ84" s="1482"/>
      <c r="CA84" s="1482"/>
      <c r="CB84" s="1482"/>
      <c r="CC84" s="1482"/>
      <c r="CD84" s="1482"/>
      <c r="CE84" s="1482"/>
      <c r="CF84" s="1482"/>
      <c r="CG84" s="1482"/>
      <c r="CH84" s="1482"/>
      <c r="CI84" s="1482"/>
      <c r="CJ84" s="1482"/>
      <c r="CK84" s="1482"/>
      <c r="CL84" s="1482"/>
      <c r="CM84" s="1482"/>
      <c r="CN84" s="1482"/>
      <c r="CO84" s="1482"/>
      <c r="CP84" s="1482"/>
      <c r="CQ84" s="1482"/>
      <c r="CR84" s="1482"/>
      <c r="CS84" s="1482"/>
      <c r="CT84" s="1482"/>
      <c r="CU84" s="1482"/>
      <c r="CV84" s="1482"/>
      <c r="CW84" s="1482"/>
      <c r="CX84" s="1482"/>
      <c r="CY84" s="1482"/>
      <c r="CZ84" s="1482"/>
      <c r="DA84" s="1482"/>
      <c r="DB84" s="1482"/>
      <c r="DC84" s="1482"/>
      <c r="DD84" s="1482"/>
      <c r="DE84" s="1482"/>
      <c r="DF84" s="1482"/>
      <c r="DG84" s="1482"/>
      <c r="DH84" s="1482"/>
      <c r="DI84" s="1482"/>
      <c r="DJ84" s="1482"/>
      <c r="DK84" s="1482"/>
      <c r="DL84" s="1482"/>
      <c r="DM84" s="1482"/>
      <c r="DN84" s="1482"/>
      <c r="DO84" s="1482"/>
      <c r="DP84" s="1482"/>
      <c r="DQ84" s="1482"/>
      <c r="DR84" s="1482"/>
      <c r="DS84" s="1482"/>
      <c r="DT84" s="1482"/>
      <c r="DU84" s="1482"/>
      <c r="DV84" s="1482"/>
      <c r="DW84" s="1482"/>
      <c r="DX84" s="1482"/>
      <c r="DY84" s="1482"/>
      <c r="DZ84" s="1482"/>
      <c r="EA84" s="1482"/>
      <c r="EB84" s="1482"/>
      <c r="EC84" s="1482"/>
      <c r="ED84" s="1482"/>
      <c r="EE84" s="1482"/>
      <c r="EF84" s="1482"/>
      <c r="EG84" s="1482"/>
      <c r="EH84" s="1482"/>
      <c r="EI84" s="1482"/>
      <c r="EJ84" s="1482"/>
      <c r="EK84" s="1482"/>
      <c r="EL84" s="1482"/>
      <c r="EM84" s="1482"/>
      <c r="EN84" s="1482"/>
      <c r="EO84" s="1482"/>
      <c r="EP84" s="1482"/>
      <c r="EQ84" s="1482"/>
      <c r="ER84" s="1482"/>
      <c r="ES84" s="1482"/>
      <c r="ET84" s="1482"/>
      <c r="EU84" s="1482"/>
      <c r="EV84" s="1482"/>
      <c r="EW84" s="1482"/>
      <c r="EX84" s="1482"/>
      <c r="EY84" s="1482"/>
      <c r="EZ84" s="1482"/>
      <c r="FA84" s="1482"/>
      <c r="FB84" s="1482"/>
      <c r="FC84" s="1482"/>
      <c r="FD84" s="1482"/>
      <c r="FE84" s="1482"/>
      <c r="FF84" s="1482"/>
      <c r="FG84" s="1482"/>
      <c r="FH84" s="1482"/>
      <c r="FI84" s="1482"/>
      <c r="FJ84" s="1482"/>
      <c r="FK84" s="1482"/>
      <c r="FL84" s="1482"/>
      <c r="FM84" s="1482"/>
      <c r="FN84" s="1482"/>
      <c r="FO84" s="1482"/>
      <c r="FP84" s="1482"/>
      <c r="FQ84" s="1482"/>
      <c r="FR84" s="1482"/>
      <c r="FS84" s="1482"/>
      <c r="FT84" s="1482"/>
      <c r="FU84" s="1482"/>
      <c r="FV84" s="1482"/>
      <c r="FW84" s="1482"/>
      <c r="FX84" s="1482"/>
      <c r="FY84" s="1482"/>
      <c r="FZ84" s="1482"/>
      <c r="GA84" s="1482"/>
      <c r="GB84" s="1482"/>
      <c r="GC84" s="1482"/>
      <c r="GD84" s="1482"/>
      <c r="GE84" s="1482"/>
      <c r="GF84" s="1482"/>
      <c r="GG84" s="1482"/>
      <c r="GH84" s="1482"/>
      <c r="GI84" s="1482"/>
      <c r="GJ84" s="1482"/>
      <c r="GK84" s="1482"/>
      <c r="GL84" s="1482"/>
      <c r="GM84" s="1482"/>
      <c r="GN84" s="1482"/>
      <c r="GO84" s="1482"/>
      <c r="GP84" s="1482"/>
      <c r="GQ84" s="1482"/>
      <c r="GR84" s="1482"/>
      <c r="GS84" s="1482"/>
      <c r="GT84" s="1482"/>
      <c r="GU84" s="1482"/>
      <c r="GV84" s="1482"/>
      <c r="GW84" s="1482"/>
      <c r="GX84" s="1482"/>
      <c r="GY84" s="1482"/>
      <c r="GZ84" s="1482"/>
      <c r="HA84" s="1482"/>
      <c r="HB84" s="1482"/>
      <c r="HC84" s="1482"/>
      <c r="HD84" s="1482"/>
      <c r="HE84" s="1482"/>
      <c r="HF84" s="1482"/>
      <c r="HG84" s="1482"/>
      <c r="HH84" s="1482"/>
      <c r="HI84" s="1482"/>
      <c r="HJ84" s="1482"/>
      <c r="HK84" s="1482"/>
      <c r="HL84" s="1482"/>
      <c r="HM84" s="1482"/>
      <c r="HN84" s="1482"/>
      <c r="HO84" s="1482"/>
      <c r="HP84" s="1482"/>
      <c r="HQ84" s="1482"/>
      <c r="HR84" s="1482"/>
      <c r="HS84" s="1482"/>
      <c r="HT84" s="1482"/>
      <c r="HU84" s="1482"/>
      <c r="HV84" s="1482"/>
      <c r="HW84" s="1482"/>
      <c r="HX84" s="1482"/>
      <c r="HY84" s="1482"/>
      <c r="HZ84" s="1482"/>
      <c r="IA84" s="1482"/>
      <c r="IB84" s="1482"/>
      <c r="IC84" s="1482"/>
      <c r="ID84" s="1482"/>
      <c r="IE84" s="1482"/>
      <c r="IF84" s="1482"/>
      <c r="IG84" s="1482"/>
      <c r="IH84" s="1482"/>
      <c r="II84" s="1482"/>
      <c r="IJ84" s="1482"/>
      <c r="IK84" s="1482"/>
      <c r="IL84" s="1482"/>
      <c r="IM84" s="1482"/>
      <c r="IN84" s="1482"/>
      <c r="IO84" s="1482"/>
      <c r="IP84" s="1482"/>
      <c r="IQ84" s="1482"/>
      <c r="IR84" s="1482"/>
      <c r="IS84" s="1482"/>
      <c r="IT84" s="1482"/>
      <c r="IU84" s="1482"/>
      <c r="IV84" s="1482"/>
      <c r="IW84" s="1482"/>
      <c r="IX84" s="1482"/>
      <c r="IY84" s="1482"/>
      <c r="IZ84" s="1482"/>
      <c r="JA84" s="1482"/>
      <c r="JB84" s="1482"/>
      <c r="JC84" s="1482"/>
      <c r="JD84" s="1482"/>
      <c r="JE84" s="1482"/>
      <c r="JF84" s="1482"/>
      <c r="JG84" s="1482"/>
      <c r="JH84" s="1482"/>
      <c r="JI84" s="1482"/>
      <c r="JJ84" s="1482"/>
      <c r="JK84" s="1482"/>
      <c r="JL84" s="1482"/>
      <c r="JM84" s="1482"/>
      <c r="JN84" s="1482"/>
      <c r="JO84" s="1482"/>
      <c r="JP84" s="1482"/>
      <c r="JQ84" s="1482"/>
      <c r="JR84" s="1482"/>
      <c r="JS84" s="1482"/>
      <c r="JT84" s="1482"/>
      <c r="JU84" s="1482"/>
      <c r="JV84" s="1482"/>
      <c r="JW84" s="1482"/>
      <c r="JX84" s="1482"/>
      <c r="JY84" s="1482"/>
      <c r="JZ84" s="1482"/>
      <c r="KA84" s="1482"/>
      <c r="KB84" s="1482"/>
      <c r="KC84" s="1482"/>
      <c r="KD84" s="1482"/>
      <c r="KE84" s="1482"/>
      <c r="KF84" s="1482"/>
      <c r="KG84" s="1482"/>
      <c r="KH84" s="1482"/>
      <c r="KI84" s="1482"/>
      <c r="KJ84" s="1482"/>
      <c r="KK84" s="1482"/>
      <c r="KL84" s="1482"/>
      <c r="KM84" s="1482"/>
      <c r="KN84" s="1482"/>
      <c r="KO84" s="1482"/>
      <c r="KP84" s="1482"/>
      <c r="KQ84" s="1482"/>
      <c r="KR84" s="1482"/>
      <c r="KS84" s="1482"/>
      <c r="KT84" s="1482"/>
      <c r="KU84" s="1482"/>
      <c r="KV84" s="1482"/>
      <c r="KW84" s="1482"/>
      <c r="KX84" s="1482"/>
      <c r="KY84" s="1482"/>
      <c r="KZ84" s="1482"/>
      <c r="LA84" s="1482"/>
      <c r="LB84" s="1482"/>
      <c r="LC84" s="1482"/>
      <c r="LD84" s="1482"/>
      <c r="LE84" s="1482"/>
      <c r="LF84" s="1482"/>
      <c r="LG84" s="1482"/>
      <c r="LH84" s="1482"/>
      <c r="LI84" s="1482"/>
      <c r="LJ84" s="1482"/>
      <c r="LK84" s="1482"/>
      <c r="LL84" s="1482"/>
      <c r="LM84" s="1482"/>
      <c r="LN84" s="1482"/>
      <c r="LO84" s="1482"/>
      <c r="LP84" s="1482"/>
      <c r="LQ84" s="1482"/>
      <c r="LR84" s="1482"/>
      <c r="LS84" s="1482"/>
      <c r="LT84" s="1482"/>
      <c r="LU84" s="1482"/>
      <c r="LV84" s="1482"/>
      <c r="LW84" s="1482"/>
      <c r="LX84" s="1482"/>
      <c r="LY84" s="1482"/>
      <c r="LZ84" s="1482"/>
      <c r="MA84" s="1482"/>
      <c r="MB84" s="1482"/>
      <c r="MC84" s="1482"/>
      <c r="MD84" s="1482"/>
      <c r="ME84" s="1482"/>
      <c r="MF84" s="1482"/>
      <c r="MG84" s="1482"/>
      <c r="MH84" s="1482"/>
      <c r="MI84" s="1482"/>
      <c r="MJ84" s="1482"/>
      <c r="MK84" s="1482"/>
      <c r="ML84" s="1482"/>
      <c r="MM84" s="1482"/>
      <c r="MN84" s="1482"/>
      <c r="MO84" s="1482"/>
      <c r="MP84" s="1482"/>
      <c r="MQ84" s="1482"/>
      <c r="MR84" s="1482"/>
      <c r="MS84" s="1482"/>
      <c r="MT84" s="1482"/>
      <c r="MU84" s="1482"/>
      <c r="MV84" s="1482"/>
      <c r="MW84" s="1482"/>
      <c r="MX84" s="1482"/>
      <c r="MY84" s="1482"/>
      <c r="MZ84" s="1482"/>
      <c r="NA84" s="1482"/>
      <c r="NB84" s="1482"/>
      <c r="NC84" s="1482"/>
      <c r="ND84" s="1493"/>
      <c r="NE84" s="1493"/>
      <c r="NF84" s="1493"/>
      <c r="NG84" s="1493"/>
      <c r="NH84" s="1493"/>
      <c r="NI84" s="1493"/>
      <c r="NJ84" s="1493"/>
      <c r="NK84" s="1493"/>
      <c r="NL84" s="1493"/>
      <c r="NM84" s="1493"/>
      <c r="NN84" s="1493"/>
      <c r="NO84" s="1493"/>
      <c r="NP84" s="1493"/>
      <c r="NQ84" s="1493"/>
      <c r="NR84" s="1493"/>
      <c r="NS84" s="1493"/>
      <c r="NT84" s="1493"/>
      <c r="NU84" s="1493"/>
      <c r="NV84" s="1493"/>
      <c r="NW84" s="1493"/>
      <c r="NX84" s="1493"/>
      <c r="NY84" s="1493"/>
      <c r="NZ84" s="1493"/>
      <c r="OA84" s="1493"/>
      <c r="OB84" s="1493"/>
      <c r="OC84" s="1493"/>
      <c r="OD84" s="1493"/>
      <c r="OE84" s="1493"/>
      <c r="OF84" s="1493"/>
      <c r="OG84" s="1493"/>
      <c r="OH84" s="1493"/>
      <c r="OI84" s="1493"/>
      <c r="OJ84" s="1493"/>
      <c r="OK84" s="1493"/>
      <c r="OL84" s="1493"/>
      <c r="OM84" s="1493"/>
      <c r="ON84" s="1493"/>
      <c r="OO84" s="1493"/>
      <c r="OP84" s="1493"/>
      <c r="OQ84" s="1493"/>
      <c r="OR84" s="1493"/>
      <c r="OS84" s="1493"/>
      <c r="OT84" s="1493"/>
      <c r="OU84" s="1493"/>
      <c r="OV84" s="1493"/>
      <c r="OW84" s="1493"/>
      <c r="OX84" s="1493"/>
      <c r="OY84" s="1493"/>
      <c r="OZ84" s="1493"/>
      <c r="PA84" s="1493"/>
      <c r="PB84" s="1493"/>
      <c r="PC84" s="1493"/>
      <c r="PD84" s="1493"/>
      <c r="PE84" s="1493"/>
      <c r="PF84" s="1493"/>
      <c r="PG84" s="1493"/>
      <c r="PH84" s="1493"/>
      <c r="PI84" s="1493"/>
      <c r="PJ84" s="1493"/>
      <c r="PK84" s="1493"/>
      <c r="PL84" s="1493"/>
      <c r="PM84" s="1493"/>
      <c r="PN84" s="1493"/>
      <c r="PO84" s="1493"/>
      <c r="PP84" s="1493"/>
      <c r="PQ84" s="1493"/>
      <c r="PR84" s="1493"/>
      <c r="PS84" s="1493"/>
      <c r="PT84" s="1493"/>
      <c r="PU84" s="1493"/>
      <c r="PV84" s="1493"/>
      <c r="PW84" s="1493"/>
      <c r="PX84" s="1493"/>
      <c r="PY84" s="1493"/>
      <c r="PZ84" s="1493"/>
      <c r="QA84" s="1493"/>
      <c r="QB84" s="1493"/>
      <c r="QC84" s="1493"/>
      <c r="QD84" s="1493"/>
      <c r="QE84" s="1493"/>
      <c r="QF84" s="1493"/>
      <c r="QG84" s="1493"/>
      <c r="QH84" s="1493"/>
      <c r="QI84" s="1493"/>
      <c r="QJ84" s="1493"/>
      <c r="QK84" s="1493"/>
      <c r="QL84" s="1493"/>
      <c r="QM84" s="1493"/>
      <c r="QN84" s="1493"/>
      <c r="QO84" s="1493"/>
      <c r="QP84" s="1493"/>
      <c r="QQ84" s="1493"/>
      <c r="QR84" s="1493"/>
      <c r="QS84" s="1493"/>
      <c r="QT84" s="1493"/>
      <c r="QU84" s="1493"/>
      <c r="QV84" s="1493"/>
      <c r="QW84" s="1493"/>
      <c r="QX84" s="1493"/>
      <c r="QY84" s="1493"/>
      <c r="QZ84" s="1493"/>
      <c r="RA84" s="1493"/>
      <c r="RB84" s="1493"/>
      <c r="RC84" s="1493"/>
      <c r="RD84" s="1493"/>
      <c r="RE84" s="1493"/>
      <c r="RF84" s="1493"/>
      <c r="RG84" s="1493"/>
      <c r="RH84" s="1493"/>
      <c r="RI84" s="1493"/>
      <c r="RJ84" s="1493"/>
      <c r="RK84" s="1493"/>
      <c r="RL84" s="1493"/>
      <c r="RM84" s="1493"/>
      <c r="RN84" s="1493"/>
      <c r="RO84" s="1493"/>
      <c r="RP84" s="1493"/>
      <c r="RQ84" s="1493"/>
      <c r="RR84" s="1493"/>
      <c r="RS84" s="1493"/>
      <c r="RT84" s="1493"/>
      <c r="RU84" s="1493"/>
      <c r="RV84" s="1493"/>
      <c r="RW84" s="1493"/>
      <c r="RX84" s="1493"/>
      <c r="RY84" s="1493"/>
      <c r="RZ84" s="1493"/>
    </row>
    <row r="85" spans="1:494" customFormat="1" hidden="1">
      <c r="A85" s="2308"/>
      <c r="B85" s="2308"/>
      <c r="C85" s="1510" t="s">
        <v>3697</v>
      </c>
      <c r="D85" s="886"/>
      <c r="E85" s="886"/>
      <c r="F85" s="886"/>
      <c r="G85" s="1493"/>
      <c r="H85" s="1494" t="s">
        <v>3387</v>
      </c>
      <c r="I85" s="1495"/>
      <c r="J85" s="1507" t="str">
        <f t="shared" ref="J85:O85" si="360">IF(OR(J61=0,J$67=0),"",J61/J$67)</f>
        <v/>
      </c>
      <c r="K85" s="1508" t="str">
        <f t="shared" si="360"/>
        <v/>
      </c>
      <c r="L85" s="1508" t="str">
        <f t="shared" si="360"/>
        <v/>
      </c>
      <c r="M85" s="1508" t="str">
        <f t="shared" si="360"/>
        <v/>
      </c>
      <c r="N85" s="1508" t="str">
        <f t="shared" si="360"/>
        <v/>
      </c>
      <c r="O85" s="1509" t="str">
        <f t="shared" si="360"/>
        <v/>
      </c>
      <c r="W85" s="1482"/>
      <c r="X85" s="1482"/>
      <c r="Y85" s="1482"/>
      <c r="Z85" s="1482"/>
      <c r="AA85" s="1482"/>
      <c r="AB85" s="1482"/>
      <c r="AC85" s="1482"/>
      <c r="AD85" s="1482"/>
      <c r="AE85" s="1482"/>
      <c r="AF85" s="1482"/>
      <c r="AG85" s="1482"/>
      <c r="AH85" s="1482"/>
      <c r="AI85" s="1482"/>
      <c r="AJ85" s="1482"/>
      <c r="AK85" s="1482"/>
      <c r="AL85" s="1482"/>
      <c r="AM85" s="1482"/>
      <c r="AN85" s="1482"/>
      <c r="AO85" s="1482"/>
      <c r="AP85" s="1482"/>
      <c r="AQ85" s="1482"/>
      <c r="AR85" s="1482"/>
      <c r="AS85" s="1482"/>
      <c r="AT85" s="1482"/>
      <c r="AU85" s="1482"/>
      <c r="AV85" s="1482"/>
      <c r="AW85" s="1482"/>
      <c r="AX85" s="1482"/>
      <c r="AY85" s="1482"/>
      <c r="AZ85" s="1482"/>
      <c r="BA85" s="1482"/>
      <c r="BB85" s="1482"/>
      <c r="BC85" s="1482"/>
      <c r="BD85" s="1482"/>
      <c r="BE85" s="1482"/>
      <c r="BF85" s="1482"/>
      <c r="BG85" s="1482"/>
      <c r="BH85" s="1482"/>
      <c r="BI85" s="1482"/>
      <c r="BJ85" s="1482"/>
      <c r="BK85" s="1482"/>
      <c r="BL85" s="1482"/>
      <c r="BM85" s="1482"/>
      <c r="BN85" s="1482"/>
      <c r="BO85" s="1482"/>
      <c r="BP85" s="1482"/>
      <c r="BQ85" s="1482"/>
      <c r="BR85" s="1482"/>
      <c r="BS85" s="1482"/>
      <c r="BT85" s="1482"/>
      <c r="BU85" s="1482"/>
      <c r="BV85" s="1482"/>
      <c r="BW85" s="1482"/>
      <c r="BX85" s="1482"/>
      <c r="BY85" s="1482"/>
      <c r="BZ85" s="1482"/>
      <c r="CA85" s="1482"/>
      <c r="CB85" s="1482"/>
      <c r="CC85" s="1482"/>
      <c r="CD85" s="1482"/>
      <c r="CE85" s="1482"/>
      <c r="CF85" s="1482"/>
      <c r="CG85" s="1482"/>
      <c r="CH85" s="1482"/>
      <c r="CI85" s="1482"/>
      <c r="CJ85" s="1482"/>
      <c r="CK85" s="1482"/>
      <c r="CL85" s="1482"/>
      <c r="CM85" s="1482"/>
      <c r="CN85" s="1482"/>
      <c r="CO85" s="1482"/>
      <c r="CP85" s="1482"/>
      <c r="CQ85" s="1482"/>
      <c r="CR85" s="1482"/>
      <c r="CS85" s="1482"/>
      <c r="CT85" s="1482"/>
      <c r="CU85" s="1482"/>
      <c r="CV85" s="1482"/>
      <c r="CW85" s="1482"/>
      <c r="CX85" s="1482"/>
      <c r="CY85" s="1482"/>
      <c r="CZ85" s="1482"/>
      <c r="DA85" s="1482"/>
      <c r="DB85" s="1482"/>
      <c r="DC85" s="1482"/>
      <c r="DD85" s="1482"/>
      <c r="DE85" s="1482"/>
      <c r="DF85" s="1482"/>
      <c r="DG85" s="1482"/>
      <c r="DH85" s="1482"/>
      <c r="DI85" s="1482"/>
      <c r="DJ85" s="1482"/>
      <c r="DK85" s="1482"/>
      <c r="DL85" s="1482"/>
      <c r="DM85" s="1482"/>
      <c r="DN85" s="1482"/>
      <c r="DO85" s="1482"/>
      <c r="DP85" s="1482"/>
      <c r="DQ85" s="1482"/>
      <c r="DR85" s="1482"/>
      <c r="DS85" s="1482"/>
      <c r="DT85" s="1482"/>
      <c r="DU85" s="1482"/>
      <c r="DV85" s="1482"/>
      <c r="DW85" s="1482"/>
      <c r="DX85" s="1482"/>
      <c r="DY85" s="1482"/>
      <c r="DZ85" s="1482"/>
      <c r="EA85" s="1482"/>
      <c r="EB85" s="1482"/>
      <c r="EC85" s="1482"/>
      <c r="ED85" s="1482"/>
      <c r="EE85" s="1482"/>
      <c r="EF85" s="1482"/>
      <c r="EG85" s="1482"/>
      <c r="EH85" s="1482"/>
      <c r="EI85" s="1482"/>
      <c r="EJ85" s="1482"/>
      <c r="EK85" s="1482"/>
      <c r="EL85" s="1482"/>
      <c r="EM85" s="1482"/>
      <c r="EN85" s="1482"/>
      <c r="EO85" s="1482"/>
      <c r="EP85" s="1482"/>
      <c r="EQ85" s="1482"/>
      <c r="ER85" s="1482"/>
      <c r="ES85" s="1482"/>
      <c r="ET85" s="1482"/>
      <c r="EU85" s="1482"/>
      <c r="EV85" s="1482"/>
      <c r="EW85" s="1482"/>
      <c r="EX85" s="1482"/>
      <c r="EY85" s="1482"/>
      <c r="EZ85" s="1482"/>
      <c r="FA85" s="1482"/>
      <c r="FB85" s="1482"/>
      <c r="FC85" s="1482"/>
      <c r="FD85" s="1482"/>
      <c r="FE85" s="1482"/>
      <c r="FF85" s="1482"/>
      <c r="FG85" s="1482"/>
      <c r="FH85" s="1482"/>
      <c r="FI85" s="1482"/>
      <c r="FJ85" s="1482"/>
      <c r="FK85" s="1482"/>
      <c r="FL85" s="1482"/>
      <c r="FM85" s="1482"/>
      <c r="FN85" s="1482"/>
      <c r="FO85" s="1482"/>
      <c r="FP85" s="1482"/>
      <c r="FQ85" s="1482"/>
      <c r="FR85" s="1482"/>
      <c r="FS85" s="1482"/>
      <c r="FT85" s="1482"/>
      <c r="FU85" s="1482"/>
      <c r="FV85" s="1482"/>
      <c r="FW85" s="1482"/>
      <c r="FX85" s="1482"/>
      <c r="FY85" s="1482"/>
      <c r="FZ85" s="1482"/>
      <c r="GA85" s="1482"/>
      <c r="GB85" s="1482"/>
      <c r="GC85" s="1482"/>
      <c r="GD85" s="1482"/>
      <c r="GE85" s="1482"/>
      <c r="GF85" s="1482"/>
      <c r="GG85" s="1482"/>
      <c r="GH85" s="1482"/>
      <c r="GI85" s="1482"/>
      <c r="GJ85" s="1482"/>
      <c r="GK85" s="1482"/>
      <c r="GL85" s="1482"/>
      <c r="GM85" s="1482"/>
      <c r="GN85" s="1482"/>
      <c r="GO85" s="1482"/>
      <c r="GP85" s="1482"/>
      <c r="GQ85" s="1482"/>
      <c r="GR85" s="1482"/>
      <c r="GS85" s="1482"/>
      <c r="GT85" s="1482"/>
      <c r="GU85" s="1482"/>
      <c r="GV85" s="1482"/>
      <c r="GW85" s="1482"/>
      <c r="GX85" s="1482"/>
      <c r="GY85" s="1482"/>
      <c r="GZ85" s="1482"/>
      <c r="HA85" s="1482"/>
      <c r="HB85" s="1482"/>
      <c r="HC85" s="1482"/>
      <c r="HD85" s="1482"/>
      <c r="HE85" s="1482"/>
      <c r="HF85" s="1482"/>
      <c r="HG85" s="1482"/>
      <c r="HH85" s="1482"/>
      <c r="HI85" s="1482"/>
      <c r="HJ85" s="1482"/>
      <c r="HK85" s="1482"/>
      <c r="HL85" s="1482"/>
      <c r="HM85" s="1482"/>
      <c r="HN85" s="1482"/>
      <c r="HO85" s="1482"/>
      <c r="HP85" s="1482"/>
      <c r="HQ85" s="1482"/>
      <c r="HR85" s="1482"/>
      <c r="HS85" s="1482"/>
      <c r="HT85" s="1482"/>
      <c r="HU85" s="1482"/>
      <c r="HV85" s="1482"/>
      <c r="HW85" s="1482"/>
      <c r="HX85" s="1482"/>
      <c r="HY85" s="1482"/>
      <c r="HZ85" s="1482"/>
      <c r="IA85" s="1482"/>
      <c r="IB85" s="1482"/>
      <c r="IC85" s="1482"/>
      <c r="ID85" s="1482"/>
      <c r="IE85" s="1482"/>
      <c r="IF85" s="1482"/>
      <c r="IG85" s="1482"/>
      <c r="IH85" s="1482"/>
      <c r="II85" s="1482"/>
      <c r="IJ85" s="1482"/>
      <c r="IK85" s="1482"/>
      <c r="IL85" s="1482"/>
      <c r="IM85" s="1482"/>
      <c r="IN85" s="1482"/>
      <c r="IO85" s="1482"/>
      <c r="IP85" s="1482"/>
      <c r="IQ85" s="1482"/>
      <c r="IR85" s="1482"/>
      <c r="IS85" s="1482"/>
      <c r="IT85" s="1482"/>
      <c r="IU85" s="1482"/>
      <c r="IV85" s="1482"/>
      <c r="IW85" s="1482"/>
      <c r="IX85" s="1482"/>
      <c r="IY85" s="1482"/>
      <c r="IZ85" s="1482"/>
      <c r="JA85" s="1482"/>
      <c r="JB85" s="1482"/>
      <c r="JC85" s="1482"/>
      <c r="JD85" s="1482"/>
      <c r="JE85" s="1482"/>
      <c r="JF85" s="1482"/>
      <c r="JG85" s="1482"/>
      <c r="JH85" s="1482"/>
      <c r="JI85" s="1482"/>
      <c r="JJ85" s="1482"/>
      <c r="JK85" s="1482"/>
      <c r="JL85" s="1482"/>
      <c r="JM85" s="1482"/>
      <c r="JN85" s="1482"/>
      <c r="JO85" s="1482"/>
      <c r="JP85" s="1482"/>
      <c r="JQ85" s="1482"/>
      <c r="JR85" s="1482"/>
      <c r="JS85" s="1482"/>
      <c r="JT85" s="1482"/>
      <c r="JU85" s="1482"/>
      <c r="JV85" s="1482"/>
      <c r="JW85" s="1482"/>
      <c r="JX85" s="1482"/>
      <c r="JY85" s="1482"/>
      <c r="JZ85" s="1482"/>
      <c r="KA85" s="1482"/>
      <c r="KB85" s="1482"/>
      <c r="KC85" s="1482"/>
      <c r="KD85" s="1482"/>
      <c r="KE85" s="1482"/>
      <c r="KF85" s="1482"/>
      <c r="KG85" s="1482"/>
      <c r="KH85" s="1482"/>
      <c r="KI85" s="1482"/>
      <c r="KJ85" s="1482"/>
      <c r="KK85" s="1482"/>
      <c r="KL85" s="1482"/>
      <c r="KM85" s="1482"/>
      <c r="KN85" s="1482"/>
      <c r="KO85" s="1482"/>
      <c r="KP85" s="1482"/>
      <c r="KQ85" s="1482"/>
      <c r="KR85" s="1482"/>
      <c r="KS85" s="1482"/>
      <c r="KT85" s="1482"/>
      <c r="KU85" s="1482"/>
      <c r="KV85" s="1482"/>
      <c r="KW85" s="1482"/>
      <c r="KX85" s="1482"/>
      <c r="KY85" s="1482"/>
      <c r="KZ85" s="1482"/>
      <c r="LA85" s="1482"/>
      <c r="LB85" s="1482"/>
      <c r="LC85" s="1482"/>
      <c r="LD85" s="1482"/>
      <c r="LE85" s="1482"/>
      <c r="LF85" s="1482"/>
      <c r="LG85" s="1482"/>
      <c r="LH85" s="1482"/>
      <c r="LI85" s="1482"/>
      <c r="LJ85" s="1482"/>
      <c r="LK85" s="1482"/>
      <c r="LL85" s="1482"/>
      <c r="LM85" s="1482"/>
      <c r="LN85" s="1482"/>
      <c r="LO85" s="1482"/>
      <c r="LP85" s="1482"/>
      <c r="LQ85" s="1482"/>
      <c r="LR85" s="1482"/>
      <c r="LS85" s="1482"/>
      <c r="LT85" s="1482"/>
      <c r="LU85" s="1482"/>
      <c r="LV85" s="1482"/>
      <c r="LW85" s="1482"/>
      <c r="LX85" s="1482"/>
      <c r="LY85" s="1482"/>
      <c r="LZ85" s="1482"/>
      <c r="MA85" s="1482"/>
      <c r="MB85" s="1482"/>
      <c r="MC85" s="1482"/>
      <c r="MD85" s="1482"/>
      <c r="ME85" s="1482"/>
      <c r="MF85" s="1482"/>
      <c r="MG85" s="1482"/>
      <c r="MH85" s="1482"/>
      <c r="MI85" s="1482"/>
      <c r="MJ85" s="1482"/>
      <c r="MK85" s="1482"/>
      <c r="ML85" s="1482"/>
      <c r="MM85" s="1482"/>
      <c r="MN85" s="1482"/>
      <c r="MO85" s="1482"/>
      <c r="MP85" s="1482"/>
      <c r="MQ85" s="1482"/>
      <c r="MR85" s="1482"/>
      <c r="MS85" s="1482"/>
      <c r="MT85" s="1482"/>
      <c r="MU85" s="1482"/>
      <c r="MV85" s="1482"/>
      <c r="MW85" s="1482"/>
      <c r="MX85" s="1482"/>
      <c r="MY85" s="1482"/>
      <c r="MZ85" s="1482"/>
      <c r="NA85" s="1482"/>
      <c r="NB85" s="1482"/>
      <c r="NC85" s="1482"/>
      <c r="ND85" s="1493"/>
      <c r="NE85" s="1493"/>
      <c r="NF85" s="1493"/>
      <c r="NG85" s="1493"/>
      <c r="NH85" s="1493"/>
      <c r="NI85" s="1493"/>
      <c r="NJ85" s="1493"/>
      <c r="NK85" s="1493"/>
      <c r="NL85" s="1493"/>
      <c r="NM85" s="1493"/>
      <c r="NN85" s="1493"/>
      <c r="NO85" s="1493"/>
      <c r="NP85" s="1493"/>
      <c r="NQ85" s="1493"/>
      <c r="NR85" s="1493"/>
      <c r="NS85" s="1493"/>
      <c r="NT85" s="1493"/>
      <c r="NU85" s="1493"/>
      <c r="NV85" s="1493"/>
      <c r="NW85" s="1493"/>
      <c r="NX85" s="1493"/>
      <c r="NY85" s="1493"/>
      <c r="NZ85" s="1493"/>
      <c r="OA85" s="1493"/>
      <c r="OB85" s="1493"/>
      <c r="OC85" s="1493"/>
      <c r="OD85" s="1493"/>
      <c r="OE85" s="1493"/>
      <c r="OF85" s="1493"/>
      <c r="OG85" s="1493"/>
      <c r="OH85" s="1493"/>
      <c r="OI85" s="1493"/>
      <c r="OJ85" s="1493"/>
      <c r="OK85" s="1493"/>
      <c r="OL85" s="1493"/>
      <c r="OM85" s="1493"/>
      <c r="ON85" s="1493"/>
      <c r="OO85" s="1493"/>
      <c r="OP85" s="1493"/>
      <c r="OQ85" s="1493"/>
      <c r="OR85" s="1493"/>
      <c r="OS85" s="1493"/>
      <c r="OT85" s="1493"/>
      <c r="OU85" s="1493"/>
      <c r="OV85" s="1493"/>
      <c r="OW85" s="1493"/>
      <c r="OX85" s="1493"/>
      <c r="OY85" s="1493"/>
      <c r="OZ85" s="1493"/>
      <c r="PA85" s="1493"/>
      <c r="PB85" s="1493"/>
      <c r="PC85" s="1493"/>
      <c r="PD85" s="1493"/>
      <c r="PE85" s="1493"/>
      <c r="PF85" s="1493"/>
      <c r="PG85" s="1493"/>
      <c r="PH85" s="1493"/>
      <c r="PI85" s="1493"/>
      <c r="PJ85" s="1493"/>
      <c r="PK85" s="1493"/>
      <c r="PL85" s="1493"/>
      <c r="PM85" s="1493"/>
      <c r="PN85" s="1493"/>
      <c r="PO85" s="1493"/>
      <c r="PP85" s="1493"/>
      <c r="PQ85" s="1493"/>
      <c r="PR85" s="1493"/>
      <c r="PS85" s="1493"/>
      <c r="PT85" s="1493"/>
      <c r="PU85" s="1493"/>
      <c r="PV85" s="1493"/>
      <c r="PW85" s="1493"/>
      <c r="PX85" s="1493"/>
      <c r="PY85" s="1493"/>
      <c r="PZ85" s="1493"/>
      <c r="QA85" s="1493"/>
      <c r="QB85" s="1493"/>
      <c r="QC85" s="1493"/>
      <c r="QD85" s="1493"/>
      <c r="QE85" s="1493"/>
      <c r="QF85" s="1493"/>
      <c r="QG85" s="1493"/>
      <c r="QH85" s="1493"/>
      <c r="QI85" s="1493"/>
      <c r="QJ85" s="1493"/>
      <c r="QK85" s="1493"/>
      <c r="QL85" s="1493"/>
      <c r="QM85" s="1493"/>
      <c r="QN85" s="1493"/>
      <c r="QO85" s="1493"/>
      <c r="QP85" s="1493"/>
      <c r="QQ85" s="1493"/>
      <c r="QR85" s="1493"/>
      <c r="QS85" s="1493"/>
      <c r="QT85" s="1493"/>
      <c r="QU85" s="1493"/>
      <c r="QV85" s="1493"/>
      <c r="QW85" s="1493"/>
      <c r="QX85" s="1493"/>
      <c r="QY85" s="1493"/>
      <c r="QZ85" s="1493"/>
      <c r="RA85" s="1493"/>
      <c r="RB85" s="1493"/>
      <c r="RC85" s="1493"/>
      <c r="RD85" s="1493"/>
      <c r="RE85" s="1493"/>
      <c r="RF85" s="1493"/>
      <c r="RG85" s="1493"/>
      <c r="RH85" s="1493"/>
      <c r="RI85" s="1493"/>
      <c r="RJ85" s="1493"/>
      <c r="RK85" s="1493"/>
      <c r="RL85" s="1493"/>
      <c r="RM85" s="1493"/>
      <c r="RN85" s="1493"/>
      <c r="RO85" s="1493"/>
      <c r="RP85" s="1493"/>
      <c r="RQ85" s="1493"/>
      <c r="RR85" s="1493"/>
      <c r="RS85" s="1493"/>
      <c r="RT85" s="1493"/>
      <c r="RU85" s="1493"/>
      <c r="RV85" s="1493"/>
      <c r="RW85" s="1493"/>
      <c r="RX85" s="1493"/>
      <c r="RY85" s="1493"/>
      <c r="RZ85" s="1493"/>
    </row>
    <row r="86" spans="1:494" customFormat="1" ht="13.5" hidden="1">
      <c r="A86" s="2308"/>
      <c r="B86" s="2308"/>
      <c r="C86" s="1510"/>
      <c r="D86" s="886"/>
      <c r="E86" s="886"/>
      <c r="F86" s="886"/>
      <c r="G86" s="1493"/>
      <c r="H86" s="1487" t="s">
        <v>3699</v>
      </c>
      <c r="I86" s="1495"/>
      <c r="J86" s="1501" t="str">
        <f>IF(OR(J61=0,$P85="",J$67=0),"",$P85*J$67)</f>
        <v/>
      </c>
      <c r="K86" s="1501" t="str">
        <f>IF(OR(K61=0,$P85="",K$67=0),"",$P85*K$67)</f>
        <v/>
      </c>
      <c r="L86" s="1501" t="str">
        <f>IF(OR(L61=0,$P85="",L$67=0),"",$P85*L$67)</f>
        <v/>
      </c>
      <c r="M86" s="1501" t="str">
        <f>IF(OR(M61=0,$P85="",M$67=0),"",$P85*M$67)</f>
        <v/>
      </c>
      <c r="N86" s="1501" t="str">
        <f>IF(OR(N61=0,$P85="",N$67=0),"",$P85*N$67)</f>
        <v/>
      </c>
      <c r="O86" s="1502" t="str">
        <f t="shared" ref="O86" si="361">IF(OR($P85="",O$67=0),"",$P85*O$67)</f>
        <v/>
      </c>
      <c r="W86" s="1482"/>
      <c r="X86" s="1482"/>
      <c r="Y86" s="1482"/>
      <c r="Z86" s="1482"/>
      <c r="AA86" s="1482"/>
      <c r="AB86" s="1482"/>
      <c r="AC86" s="1482"/>
      <c r="AD86" s="1482"/>
      <c r="AE86" s="1482"/>
      <c r="AF86" s="1482"/>
      <c r="AG86" s="1482"/>
      <c r="AH86" s="1482"/>
      <c r="AI86" s="1482"/>
      <c r="AJ86" s="1482"/>
      <c r="AK86" s="1482"/>
      <c r="AL86" s="1482"/>
      <c r="AM86" s="1482"/>
      <c r="AN86" s="1482"/>
      <c r="AO86" s="1482"/>
      <c r="AP86" s="1482"/>
      <c r="AQ86" s="1482"/>
      <c r="AR86" s="1482"/>
      <c r="AS86" s="1482"/>
      <c r="AT86" s="1482"/>
      <c r="AU86" s="1482"/>
      <c r="AV86" s="1482"/>
      <c r="AW86" s="1482"/>
      <c r="AX86" s="1482"/>
      <c r="AY86" s="1482"/>
      <c r="AZ86" s="1482"/>
      <c r="BA86" s="1482"/>
      <c r="BB86" s="1482"/>
      <c r="BC86" s="1482"/>
      <c r="BD86" s="1482"/>
      <c r="BE86" s="1482"/>
      <c r="BF86" s="1482"/>
      <c r="BG86" s="1482"/>
      <c r="BH86" s="1482"/>
      <c r="BI86" s="1482"/>
      <c r="BJ86" s="1482"/>
      <c r="BK86" s="1482"/>
      <c r="BL86" s="1482"/>
      <c r="BM86" s="1482"/>
      <c r="BN86" s="1482"/>
      <c r="BO86" s="1482"/>
      <c r="BP86" s="1482"/>
      <c r="BQ86" s="1482"/>
      <c r="BR86" s="1482"/>
      <c r="BS86" s="1482"/>
      <c r="BT86" s="1482"/>
      <c r="BU86" s="1482"/>
      <c r="BV86" s="1482"/>
      <c r="BW86" s="1482"/>
      <c r="BX86" s="1482"/>
      <c r="BY86" s="1482"/>
      <c r="BZ86" s="1482"/>
      <c r="CA86" s="1482"/>
      <c r="CB86" s="1482"/>
      <c r="CC86" s="1482"/>
      <c r="CD86" s="1482"/>
      <c r="CE86" s="1482"/>
      <c r="CF86" s="1482"/>
      <c r="CG86" s="1482"/>
      <c r="CH86" s="1482"/>
      <c r="CI86" s="1482"/>
      <c r="CJ86" s="1482"/>
      <c r="CK86" s="1482"/>
      <c r="CL86" s="1482"/>
      <c r="CM86" s="1482"/>
      <c r="CN86" s="1482"/>
      <c r="CO86" s="1482"/>
      <c r="CP86" s="1482"/>
      <c r="CQ86" s="1482"/>
      <c r="CR86" s="1482"/>
      <c r="CS86" s="1482"/>
      <c r="CT86" s="1482"/>
      <c r="CU86" s="1482"/>
      <c r="CV86" s="1482"/>
      <c r="CW86" s="1482"/>
      <c r="CX86" s="1482"/>
      <c r="CY86" s="1482"/>
      <c r="CZ86" s="1482"/>
      <c r="DA86" s="1482"/>
      <c r="DB86" s="1482"/>
      <c r="DC86" s="1482"/>
      <c r="DD86" s="1482"/>
      <c r="DE86" s="1482"/>
      <c r="DF86" s="1482"/>
      <c r="DG86" s="1482"/>
      <c r="DH86" s="1482"/>
      <c r="DI86" s="1482"/>
      <c r="DJ86" s="1482"/>
      <c r="DK86" s="1482"/>
      <c r="DL86" s="1482"/>
      <c r="DM86" s="1482"/>
      <c r="DN86" s="1482"/>
      <c r="DO86" s="1482"/>
      <c r="DP86" s="1482"/>
      <c r="DQ86" s="1482"/>
      <c r="DR86" s="1482"/>
      <c r="DS86" s="1482"/>
      <c r="DT86" s="1482"/>
      <c r="DU86" s="1482"/>
      <c r="DV86" s="1482"/>
      <c r="DW86" s="1482"/>
      <c r="DX86" s="1482"/>
      <c r="DY86" s="1482"/>
      <c r="DZ86" s="1482"/>
      <c r="EA86" s="1482"/>
      <c r="EB86" s="1482"/>
      <c r="EC86" s="1482"/>
      <c r="ED86" s="1482"/>
      <c r="EE86" s="1482"/>
      <c r="EF86" s="1482"/>
      <c r="EG86" s="1482"/>
      <c r="EH86" s="1482"/>
      <c r="EI86" s="1482"/>
      <c r="EJ86" s="1482"/>
      <c r="EK86" s="1482"/>
      <c r="EL86" s="1482"/>
      <c r="EM86" s="1482"/>
      <c r="EN86" s="1482"/>
      <c r="EO86" s="1482"/>
      <c r="EP86" s="1482"/>
      <c r="EQ86" s="1482"/>
      <c r="ER86" s="1482"/>
      <c r="ES86" s="1482"/>
      <c r="ET86" s="1482"/>
      <c r="EU86" s="1482"/>
      <c r="EV86" s="1482"/>
      <c r="EW86" s="1482"/>
      <c r="EX86" s="1482"/>
      <c r="EY86" s="1482"/>
      <c r="EZ86" s="1482"/>
      <c r="FA86" s="1482"/>
      <c r="FB86" s="1482"/>
      <c r="FC86" s="1482"/>
      <c r="FD86" s="1482"/>
      <c r="FE86" s="1482"/>
      <c r="FF86" s="1482"/>
      <c r="FG86" s="1482"/>
      <c r="FH86" s="1482"/>
      <c r="FI86" s="1482"/>
      <c r="FJ86" s="1482"/>
      <c r="FK86" s="1482"/>
      <c r="FL86" s="1482"/>
      <c r="FM86" s="1482"/>
      <c r="FN86" s="1482"/>
      <c r="FO86" s="1482"/>
      <c r="FP86" s="1482"/>
      <c r="FQ86" s="1482"/>
      <c r="FR86" s="1482"/>
      <c r="FS86" s="1482"/>
      <c r="FT86" s="1482"/>
      <c r="FU86" s="1482"/>
      <c r="FV86" s="1482"/>
      <c r="FW86" s="1482"/>
      <c r="FX86" s="1482"/>
      <c r="FY86" s="1482"/>
      <c r="FZ86" s="1482"/>
      <c r="GA86" s="1482"/>
      <c r="GB86" s="1482"/>
      <c r="GC86" s="1482"/>
      <c r="GD86" s="1482"/>
      <c r="GE86" s="1482"/>
      <c r="GF86" s="1482"/>
      <c r="GG86" s="1482"/>
      <c r="GH86" s="1482"/>
      <c r="GI86" s="1482"/>
      <c r="GJ86" s="1482"/>
      <c r="GK86" s="1482"/>
      <c r="GL86" s="1482"/>
      <c r="GM86" s="1482"/>
      <c r="GN86" s="1482"/>
      <c r="GO86" s="1482"/>
      <c r="GP86" s="1482"/>
      <c r="GQ86" s="1482"/>
      <c r="GR86" s="1482"/>
      <c r="GS86" s="1482"/>
      <c r="GT86" s="1482"/>
      <c r="GU86" s="1482"/>
      <c r="GV86" s="1482"/>
      <c r="GW86" s="1482"/>
      <c r="GX86" s="1482"/>
      <c r="GY86" s="1482"/>
      <c r="GZ86" s="1482"/>
      <c r="HA86" s="1482"/>
      <c r="HB86" s="1482"/>
      <c r="HC86" s="1482"/>
      <c r="HD86" s="1482"/>
      <c r="HE86" s="1482"/>
      <c r="HF86" s="1482"/>
      <c r="HG86" s="1482"/>
      <c r="HH86" s="1482"/>
      <c r="HI86" s="1482"/>
      <c r="HJ86" s="1482"/>
      <c r="HK86" s="1482"/>
      <c r="HL86" s="1482"/>
      <c r="HM86" s="1482"/>
      <c r="HN86" s="1482"/>
      <c r="HO86" s="1482"/>
      <c r="HP86" s="1482"/>
      <c r="HQ86" s="1482"/>
      <c r="HR86" s="1482"/>
      <c r="HS86" s="1482"/>
      <c r="HT86" s="1482"/>
      <c r="HU86" s="1482"/>
      <c r="HV86" s="1482"/>
      <c r="HW86" s="1482"/>
      <c r="HX86" s="1482"/>
      <c r="HY86" s="1482"/>
      <c r="HZ86" s="1482"/>
      <c r="IA86" s="1482"/>
      <c r="IB86" s="1482"/>
      <c r="IC86" s="1482"/>
      <c r="ID86" s="1482"/>
      <c r="IE86" s="1482"/>
      <c r="IF86" s="1482"/>
      <c r="IG86" s="1482"/>
      <c r="IH86" s="1482"/>
      <c r="II86" s="1482"/>
      <c r="IJ86" s="1482"/>
      <c r="IK86" s="1482"/>
      <c r="IL86" s="1482"/>
      <c r="IM86" s="1482"/>
      <c r="IN86" s="1482"/>
      <c r="IO86" s="1482"/>
      <c r="IP86" s="1482"/>
      <c r="IQ86" s="1482"/>
      <c r="IR86" s="1482"/>
      <c r="IS86" s="1482"/>
      <c r="IT86" s="1482"/>
      <c r="IU86" s="1482"/>
      <c r="IV86" s="1482"/>
      <c r="IW86" s="1482"/>
      <c r="IX86" s="1482"/>
      <c r="IY86" s="1482"/>
      <c r="IZ86" s="1482"/>
      <c r="JA86" s="1482"/>
      <c r="JB86" s="1482"/>
      <c r="JC86" s="1482"/>
      <c r="JD86" s="1482"/>
      <c r="JE86" s="1482"/>
      <c r="JF86" s="1482"/>
      <c r="JG86" s="1482"/>
      <c r="JH86" s="1482"/>
      <c r="JI86" s="1482"/>
      <c r="JJ86" s="1482"/>
      <c r="JK86" s="1482"/>
      <c r="JL86" s="1482"/>
      <c r="JM86" s="1482"/>
      <c r="JN86" s="1482"/>
      <c r="JO86" s="1482"/>
      <c r="JP86" s="1482"/>
      <c r="JQ86" s="1482"/>
      <c r="JR86" s="1482"/>
      <c r="JS86" s="1482"/>
      <c r="JT86" s="1482"/>
      <c r="JU86" s="1482"/>
      <c r="JV86" s="1482"/>
      <c r="JW86" s="1482"/>
      <c r="JX86" s="1482"/>
      <c r="JY86" s="1482"/>
      <c r="JZ86" s="1482"/>
      <c r="KA86" s="1482"/>
      <c r="KB86" s="1482"/>
      <c r="KC86" s="1482"/>
      <c r="KD86" s="1482"/>
      <c r="KE86" s="1482"/>
      <c r="KF86" s="1482"/>
      <c r="KG86" s="1482"/>
      <c r="KH86" s="1482"/>
      <c r="KI86" s="1482"/>
      <c r="KJ86" s="1482"/>
      <c r="KK86" s="1482"/>
      <c r="KL86" s="1482"/>
      <c r="KM86" s="1482"/>
      <c r="KN86" s="1482"/>
      <c r="KO86" s="1482"/>
      <c r="KP86" s="1482"/>
      <c r="KQ86" s="1482"/>
      <c r="KR86" s="1482"/>
      <c r="KS86" s="1482"/>
      <c r="KT86" s="1482"/>
      <c r="KU86" s="1482"/>
      <c r="KV86" s="1482"/>
      <c r="KW86" s="1482"/>
      <c r="KX86" s="1482"/>
      <c r="KY86" s="1482"/>
      <c r="KZ86" s="1482"/>
      <c r="LA86" s="1482"/>
      <c r="LB86" s="1482"/>
      <c r="LC86" s="1482"/>
      <c r="LD86" s="1482"/>
      <c r="LE86" s="1482"/>
      <c r="LF86" s="1482"/>
      <c r="LG86" s="1482"/>
      <c r="LH86" s="1482"/>
      <c r="LI86" s="1482"/>
      <c r="LJ86" s="1482"/>
      <c r="LK86" s="1482"/>
      <c r="LL86" s="1482"/>
      <c r="LM86" s="1482"/>
      <c r="LN86" s="1482"/>
      <c r="LO86" s="1482"/>
      <c r="LP86" s="1482"/>
      <c r="LQ86" s="1482"/>
      <c r="LR86" s="1482"/>
      <c r="LS86" s="1482"/>
      <c r="LT86" s="1482"/>
      <c r="LU86" s="1482"/>
      <c r="LV86" s="1482"/>
      <c r="LW86" s="1482"/>
      <c r="LX86" s="1482"/>
      <c r="LY86" s="1482"/>
      <c r="LZ86" s="1482"/>
      <c r="MA86" s="1482"/>
      <c r="MB86" s="1482"/>
      <c r="MC86" s="1482"/>
      <c r="MD86" s="1482"/>
      <c r="ME86" s="1482"/>
      <c r="MF86" s="1482"/>
      <c r="MG86" s="1482"/>
      <c r="MH86" s="1482"/>
      <c r="MI86" s="1482"/>
      <c r="MJ86" s="1482"/>
      <c r="MK86" s="1482"/>
      <c r="ML86" s="1482"/>
      <c r="MM86" s="1482"/>
      <c r="MN86" s="1482"/>
      <c r="MO86" s="1482"/>
      <c r="MP86" s="1482"/>
      <c r="MQ86" s="1482"/>
      <c r="MR86" s="1482"/>
      <c r="MS86" s="1482"/>
      <c r="MT86" s="1482"/>
      <c r="MU86" s="1482"/>
      <c r="MV86" s="1482"/>
      <c r="MW86" s="1482"/>
      <c r="MX86" s="1482"/>
      <c r="MY86" s="1482"/>
      <c r="MZ86" s="1482"/>
      <c r="NA86" s="1482"/>
      <c r="NB86" s="1482"/>
      <c r="NC86" s="1482"/>
      <c r="ND86" s="1493"/>
      <c r="NE86" s="1493"/>
      <c r="NF86" s="1493"/>
      <c r="NG86" s="1493"/>
      <c r="NH86" s="1493"/>
      <c r="NI86" s="1493"/>
      <c r="NJ86" s="1493"/>
      <c r="NK86" s="1493"/>
      <c r="NL86" s="1493"/>
      <c r="NM86" s="1493"/>
      <c r="NN86" s="1493"/>
      <c r="NO86" s="1493"/>
      <c r="NP86" s="1493"/>
      <c r="NQ86" s="1493"/>
      <c r="NR86" s="1493"/>
      <c r="NS86" s="1493"/>
      <c r="NT86" s="1493"/>
      <c r="NU86" s="1493"/>
      <c r="NV86" s="1493"/>
      <c r="NW86" s="1493"/>
      <c r="NX86" s="1493"/>
      <c r="NY86" s="1493"/>
      <c r="NZ86" s="1493"/>
      <c r="OA86" s="1493"/>
      <c r="OB86" s="1493"/>
      <c r="OC86" s="1493"/>
      <c r="OD86" s="1493"/>
      <c r="OE86" s="1493"/>
      <c r="OF86" s="1493"/>
      <c r="OG86" s="1493"/>
      <c r="OH86" s="1493"/>
      <c r="OI86" s="1493"/>
      <c r="OJ86" s="1493"/>
      <c r="OK86" s="1493"/>
      <c r="OL86" s="1493"/>
      <c r="OM86" s="1493"/>
      <c r="ON86" s="1493"/>
      <c r="OO86" s="1493"/>
      <c r="OP86" s="1493"/>
      <c r="OQ86" s="1493"/>
      <c r="OR86" s="1493"/>
      <c r="OS86" s="1493"/>
      <c r="OT86" s="1493"/>
      <c r="OU86" s="1493"/>
      <c r="OV86" s="1493"/>
      <c r="OW86" s="1493"/>
      <c r="OX86" s="1493"/>
      <c r="OY86" s="1493"/>
      <c r="OZ86" s="1493"/>
      <c r="PA86" s="1493"/>
      <c r="PB86" s="1493"/>
      <c r="PC86" s="1493"/>
      <c r="PD86" s="1493"/>
      <c r="PE86" s="1493"/>
      <c r="PF86" s="1493"/>
      <c r="PG86" s="1493"/>
      <c r="PH86" s="1493"/>
      <c r="PI86" s="1493"/>
      <c r="PJ86" s="1493"/>
      <c r="PK86" s="1493"/>
      <c r="PL86" s="1493"/>
      <c r="PM86" s="1493"/>
      <c r="PN86" s="1493"/>
      <c r="PO86" s="1493"/>
      <c r="PP86" s="1493"/>
      <c r="PQ86" s="1493"/>
      <c r="PR86" s="1493"/>
      <c r="PS86" s="1493"/>
      <c r="PT86" s="1493"/>
      <c r="PU86" s="1493"/>
      <c r="PV86" s="1493"/>
      <c r="PW86" s="1493"/>
      <c r="PX86" s="1493"/>
      <c r="PY86" s="1493"/>
      <c r="PZ86" s="1493"/>
      <c r="QA86" s="1493"/>
      <c r="QB86" s="1493"/>
      <c r="QC86" s="1493"/>
      <c r="QD86" s="1493"/>
      <c r="QE86" s="1493"/>
      <c r="QF86" s="1493"/>
      <c r="QG86" s="1493"/>
      <c r="QH86" s="1493"/>
      <c r="QI86" s="1493"/>
      <c r="QJ86" s="1493"/>
      <c r="QK86" s="1493"/>
      <c r="QL86" s="1493"/>
      <c r="QM86" s="1493"/>
      <c r="QN86" s="1493"/>
      <c r="QO86" s="1493"/>
      <c r="QP86" s="1493"/>
      <c r="QQ86" s="1493"/>
      <c r="QR86" s="1493"/>
      <c r="QS86" s="1493"/>
      <c r="QT86" s="1493"/>
      <c r="QU86" s="1493"/>
      <c r="QV86" s="1493"/>
      <c r="QW86" s="1493"/>
      <c r="QX86" s="1493"/>
      <c r="QY86" s="1493"/>
      <c r="QZ86" s="1493"/>
      <c r="RA86" s="1493"/>
      <c r="RB86" s="1493"/>
      <c r="RC86" s="1493"/>
      <c r="RD86" s="1493"/>
      <c r="RE86" s="1493"/>
      <c r="RF86" s="1493"/>
      <c r="RG86" s="1493"/>
      <c r="RH86" s="1493"/>
      <c r="RI86" s="1493"/>
      <c r="RJ86" s="1493"/>
      <c r="RK86" s="1493"/>
      <c r="RL86" s="1493"/>
      <c r="RM86" s="1493"/>
      <c r="RN86" s="1493"/>
      <c r="RO86" s="1493"/>
      <c r="RP86" s="1493"/>
      <c r="RQ86" s="1493"/>
      <c r="RR86" s="1493"/>
      <c r="RS86" s="1493"/>
      <c r="RT86" s="1493"/>
      <c r="RU86" s="1493"/>
      <c r="RV86" s="1493"/>
      <c r="RW86" s="1493"/>
      <c r="RX86" s="1493"/>
      <c r="RY86" s="1493"/>
      <c r="RZ86" s="1493"/>
    </row>
    <row r="87" spans="1:494" customFormat="1" ht="13.5" hidden="1">
      <c r="A87" s="2308"/>
      <c r="B87" s="2308"/>
      <c r="C87" s="1510"/>
      <c r="D87" s="886"/>
      <c r="E87" s="886"/>
      <c r="F87" s="886"/>
      <c r="G87" s="1493"/>
      <c r="H87" s="1513" t="s">
        <v>3698</v>
      </c>
      <c r="I87" s="1503"/>
      <c r="J87" s="1504" t="str">
        <f t="shared" ref="J87:O87" si="362">IF(OR(J86="",J61=0),"", J61-J86)</f>
        <v/>
      </c>
      <c r="K87" s="1504" t="str">
        <f t="shared" si="362"/>
        <v/>
      </c>
      <c r="L87" s="1504" t="str">
        <f t="shared" si="362"/>
        <v/>
      </c>
      <c r="M87" s="1504" t="str">
        <f t="shared" si="362"/>
        <v/>
      </c>
      <c r="N87" s="1504" t="str">
        <f t="shared" si="362"/>
        <v/>
      </c>
      <c r="O87" s="1504" t="str">
        <f t="shared" si="362"/>
        <v/>
      </c>
      <c r="W87" s="1482"/>
      <c r="X87" s="1482"/>
      <c r="Y87" s="1482"/>
      <c r="Z87" s="1482"/>
      <c r="AA87" s="1482"/>
      <c r="AB87" s="1482"/>
      <c r="AC87" s="1482"/>
      <c r="AD87" s="1482"/>
      <c r="AE87" s="1482"/>
      <c r="AF87" s="1482"/>
      <c r="AG87" s="1482"/>
      <c r="AH87" s="1482"/>
      <c r="AI87" s="1482"/>
      <c r="AJ87" s="1482"/>
      <c r="AK87" s="1482"/>
      <c r="AL87" s="1482"/>
      <c r="AM87" s="1482"/>
      <c r="AN87" s="1482"/>
      <c r="AO87" s="1482"/>
      <c r="AP87" s="1482"/>
      <c r="AQ87" s="1482"/>
      <c r="AR87" s="1482"/>
      <c r="AS87" s="1482"/>
      <c r="AT87" s="1482"/>
      <c r="AU87" s="1482"/>
      <c r="AV87" s="1482"/>
      <c r="AW87" s="1482"/>
      <c r="AX87" s="1482"/>
      <c r="AY87" s="1482"/>
      <c r="AZ87" s="1482"/>
      <c r="BA87" s="1482"/>
      <c r="BB87" s="1482"/>
      <c r="BC87" s="1482"/>
      <c r="BD87" s="1482"/>
      <c r="BE87" s="1482"/>
      <c r="BF87" s="1482"/>
      <c r="BG87" s="1482"/>
      <c r="BH87" s="1482"/>
      <c r="BI87" s="1482"/>
      <c r="BJ87" s="1482"/>
      <c r="BK87" s="1482"/>
      <c r="BL87" s="1482"/>
      <c r="BM87" s="1482"/>
      <c r="BN87" s="1482"/>
      <c r="BO87" s="1482"/>
      <c r="BP87" s="1482"/>
      <c r="BQ87" s="1482"/>
      <c r="BR87" s="1482"/>
      <c r="BS87" s="1482"/>
      <c r="BT87" s="1482"/>
      <c r="BU87" s="1482"/>
      <c r="BV87" s="1482"/>
      <c r="BW87" s="1482"/>
      <c r="BX87" s="1482"/>
      <c r="BY87" s="1482"/>
      <c r="BZ87" s="1482"/>
      <c r="CA87" s="1482"/>
      <c r="CB87" s="1482"/>
      <c r="CC87" s="1482"/>
      <c r="CD87" s="1482"/>
      <c r="CE87" s="1482"/>
      <c r="CF87" s="1482"/>
      <c r="CG87" s="1482"/>
      <c r="CH87" s="1482"/>
      <c r="CI87" s="1482"/>
      <c r="CJ87" s="1482"/>
      <c r="CK87" s="1482"/>
      <c r="CL87" s="1482"/>
      <c r="CM87" s="1482"/>
      <c r="CN87" s="1482"/>
      <c r="CO87" s="1482"/>
      <c r="CP87" s="1482"/>
      <c r="CQ87" s="1482"/>
      <c r="CR87" s="1482"/>
      <c r="CS87" s="1482"/>
      <c r="CT87" s="1482"/>
      <c r="CU87" s="1482"/>
      <c r="CV87" s="1482"/>
      <c r="CW87" s="1482"/>
      <c r="CX87" s="1482"/>
      <c r="CY87" s="1482"/>
      <c r="CZ87" s="1482"/>
      <c r="DA87" s="1482"/>
      <c r="DB87" s="1482"/>
      <c r="DC87" s="1482"/>
      <c r="DD87" s="1482"/>
      <c r="DE87" s="1482"/>
      <c r="DF87" s="1482"/>
      <c r="DG87" s="1482"/>
      <c r="DH87" s="1482"/>
      <c r="DI87" s="1482"/>
      <c r="DJ87" s="1482"/>
      <c r="DK87" s="1482"/>
      <c r="DL87" s="1482"/>
      <c r="DM87" s="1482"/>
      <c r="DN87" s="1482"/>
      <c r="DO87" s="1482"/>
      <c r="DP87" s="1482"/>
      <c r="DQ87" s="1482"/>
      <c r="DR87" s="1482"/>
      <c r="DS87" s="1482"/>
      <c r="DT87" s="1482"/>
      <c r="DU87" s="1482"/>
      <c r="DV87" s="1482"/>
      <c r="DW87" s="1482"/>
      <c r="DX87" s="1482"/>
      <c r="DY87" s="1482"/>
      <c r="DZ87" s="1482"/>
      <c r="EA87" s="1482"/>
      <c r="EB87" s="1482"/>
      <c r="EC87" s="1482"/>
      <c r="ED87" s="1482"/>
      <c r="EE87" s="1482"/>
      <c r="EF87" s="1482"/>
      <c r="EG87" s="1482"/>
      <c r="EH87" s="1482"/>
      <c r="EI87" s="1482"/>
      <c r="EJ87" s="1482"/>
      <c r="EK87" s="1482"/>
      <c r="EL87" s="1482"/>
      <c r="EM87" s="1482"/>
      <c r="EN87" s="1482"/>
      <c r="EO87" s="1482"/>
      <c r="EP87" s="1482"/>
      <c r="EQ87" s="1482"/>
      <c r="ER87" s="1482"/>
      <c r="ES87" s="1482"/>
      <c r="ET87" s="1482"/>
      <c r="EU87" s="1482"/>
      <c r="EV87" s="1482"/>
      <c r="EW87" s="1482"/>
      <c r="EX87" s="1482"/>
      <c r="EY87" s="1482"/>
      <c r="EZ87" s="1482"/>
      <c r="FA87" s="1482"/>
      <c r="FB87" s="1482"/>
      <c r="FC87" s="1482"/>
      <c r="FD87" s="1482"/>
      <c r="FE87" s="1482"/>
      <c r="FF87" s="1482"/>
      <c r="FG87" s="1482"/>
      <c r="FH87" s="1482"/>
      <c r="FI87" s="1482"/>
      <c r="FJ87" s="1482"/>
      <c r="FK87" s="1482"/>
      <c r="FL87" s="1482"/>
      <c r="FM87" s="1482"/>
      <c r="FN87" s="1482"/>
      <c r="FO87" s="1482"/>
      <c r="FP87" s="1482"/>
      <c r="FQ87" s="1482"/>
      <c r="FR87" s="1482"/>
      <c r="FS87" s="1482"/>
      <c r="FT87" s="1482"/>
      <c r="FU87" s="1482"/>
      <c r="FV87" s="1482"/>
      <c r="FW87" s="1482"/>
      <c r="FX87" s="1482"/>
      <c r="FY87" s="1482"/>
      <c r="FZ87" s="1482"/>
      <c r="GA87" s="1482"/>
      <c r="GB87" s="1482"/>
      <c r="GC87" s="1482"/>
      <c r="GD87" s="1482"/>
      <c r="GE87" s="1482"/>
      <c r="GF87" s="1482"/>
      <c r="GG87" s="1482"/>
      <c r="GH87" s="1482"/>
      <c r="GI87" s="1482"/>
      <c r="GJ87" s="1482"/>
      <c r="GK87" s="1482"/>
      <c r="GL87" s="1482"/>
      <c r="GM87" s="1482"/>
      <c r="GN87" s="1482"/>
      <c r="GO87" s="1482"/>
      <c r="GP87" s="1482"/>
      <c r="GQ87" s="1482"/>
      <c r="GR87" s="1482"/>
      <c r="GS87" s="1482"/>
      <c r="GT87" s="1482"/>
      <c r="GU87" s="1482"/>
      <c r="GV87" s="1482"/>
      <c r="GW87" s="1482"/>
      <c r="GX87" s="1482"/>
      <c r="GY87" s="1482"/>
      <c r="GZ87" s="1482"/>
      <c r="HA87" s="1482"/>
      <c r="HB87" s="1482"/>
      <c r="HC87" s="1482"/>
      <c r="HD87" s="1482"/>
      <c r="HE87" s="1482"/>
      <c r="HF87" s="1482"/>
      <c r="HG87" s="1482"/>
      <c r="HH87" s="1482"/>
      <c r="HI87" s="1482"/>
      <c r="HJ87" s="1482"/>
      <c r="HK87" s="1482"/>
      <c r="HL87" s="1482"/>
      <c r="HM87" s="1482"/>
      <c r="HN87" s="1482"/>
      <c r="HO87" s="1482"/>
      <c r="HP87" s="1482"/>
      <c r="HQ87" s="1482"/>
      <c r="HR87" s="1482"/>
      <c r="HS87" s="1482"/>
      <c r="HT87" s="1482"/>
      <c r="HU87" s="1482"/>
      <c r="HV87" s="1482"/>
      <c r="HW87" s="1482"/>
      <c r="HX87" s="1482"/>
      <c r="HY87" s="1482"/>
      <c r="HZ87" s="1482"/>
      <c r="IA87" s="1482"/>
      <c r="IB87" s="1482"/>
      <c r="IC87" s="1482"/>
      <c r="ID87" s="1482"/>
      <c r="IE87" s="1482"/>
      <c r="IF87" s="1482"/>
      <c r="IG87" s="1482"/>
      <c r="IH87" s="1482"/>
      <c r="II87" s="1482"/>
      <c r="IJ87" s="1482"/>
      <c r="IK87" s="1482"/>
      <c r="IL87" s="1482"/>
      <c r="IM87" s="1482"/>
      <c r="IN87" s="1482"/>
      <c r="IO87" s="1482"/>
      <c r="IP87" s="1482"/>
      <c r="IQ87" s="1482"/>
      <c r="IR87" s="1482"/>
      <c r="IS87" s="1482"/>
      <c r="IT87" s="1482"/>
      <c r="IU87" s="1482"/>
      <c r="IV87" s="1482"/>
      <c r="IW87" s="1482"/>
      <c r="IX87" s="1482"/>
      <c r="IY87" s="1482"/>
      <c r="IZ87" s="1482"/>
      <c r="JA87" s="1482"/>
      <c r="JB87" s="1482"/>
      <c r="JC87" s="1482"/>
      <c r="JD87" s="1482"/>
      <c r="JE87" s="1482"/>
      <c r="JF87" s="1482"/>
      <c r="JG87" s="1482"/>
      <c r="JH87" s="1482"/>
      <c r="JI87" s="1482"/>
      <c r="JJ87" s="1482"/>
      <c r="JK87" s="1482"/>
      <c r="JL87" s="1482"/>
      <c r="JM87" s="1482"/>
      <c r="JN87" s="1482"/>
      <c r="JO87" s="1482"/>
      <c r="JP87" s="1482"/>
      <c r="JQ87" s="1482"/>
      <c r="JR87" s="1482"/>
      <c r="JS87" s="1482"/>
      <c r="JT87" s="1482"/>
      <c r="JU87" s="1482"/>
      <c r="JV87" s="1482"/>
      <c r="JW87" s="1482"/>
      <c r="JX87" s="1482"/>
      <c r="JY87" s="1482"/>
      <c r="JZ87" s="1482"/>
      <c r="KA87" s="1482"/>
      <c r="KB87" s="1482"/>
      <c r="KC87" s="1482"/>
      <c r="KD87" s="1482"/>
      <c r="KE87" s="1482"/>
      <c r="KF87" s="1482"/>
      <c r="KG87" s="1482"/>
      <c r="KH87" s="1482"/>
      <c r="KI87" s="1482"/>
      <c r="KJ87" s="1482"/>
      <c r="KK87" s="1482"/>
      <c r="KL87" s="1482"/>
      <c r="KM87" s="1482"/>
      <c r="KN87" s="1482"/>
      <c r="KO87" s="1482"/>
      <c r="KP87" s="1482"/>
      <c r="KQ87" s="1482"/>
      <c r="KR87" s="1482"/>
      <c r="KS87" s="1482"/>
      <c r="KT87" s="1482"/>
      <c r="KU87" s="1482"/>
      <c r="KV87" s="1482"/>
      <c r="KW87" s="1482"/>
      <c r="KX87" s="1482"/>
      <c r="KY87" s="1482"/>
      <c r="KZ87" s="1482"/>
      <c r="LA87" s="1482"/>
      <c r="LB87" s="1482"/>
      <c r="LC87" s="1482"/>
      <c r="LD87" s="1482"/>
      <c r="LE87" s="1482"/>
      <c r="LF87" s="1482"/>
      <c r="LG87" s="1482"/>
      <c r="LH87" s="1482"/>
      <c r="LI87" s="1482"/>
      <c r="LJ87" s="1482"/>
      <c r="LK87" s="1482"/>
      <c r="LL87" s="1482"/>
      <c r="LM87" s="1482"/>
      <c r="LN87" s="1482"/>
      <c r="LO87" s="1482"/>
      <c r="LP87" s="1482"/>
      <c r="LQ87" s="1482"/>
      <c r="LR87" s="1482"/>
      <c r="LS87" s="1482"/>
      <c r="LT87" s="1482"/>
      <c r="LU87" s="1482"/>
      <c r="LV87" s="1482"/>
      <c r="LW87" s="1482"/>
      <c r="LX87" s="1482"/>
      <c r="LY87" s="1482"/>
      <c r="LZ87" s="1482"/>
      <c r="MA87" s="1482"/>
      <c r="MB87" s="1482"/>
      <c r="MC87" s="1482"/>
      <c r="MD87" s="1482"/>
      <c r="ME87" s="1482"/>
      <c r="MF87" s="1482"/>
      <c r="MG87" s="1482"/>
      <c r="MH87" s="1482"/>
      <c r="MI87" s="1482"/>
      <c r="MJ87" s="1482"/>
      <c r="MK87" s="1482"/>
      <c r="ML87" s="1482"/>
      <c r="MM87" s="1482"/>
      <c r="MN87" s="1482"/>
      <c r="MO87" s="1482"/>
      <c r="MP87" s="1482"/>
      <c r="MQ87" s="1482"/>
      <c r="MR87" s="1482"/>
      <c r="MS87" s="1482"/>
      <c r="MT87" s="1482"/>
      <c r="MU87" s="1482"/>
      <c r="MV87" s="1482"/>
      <c r="MW87" s="1482"/>
      <c r="MX87" s="1482"/>
      <c r="MY87" s="1482"/>
      <c r="MZ87" s="1482"/>
      <c r="NA87" s="1482"/>
      <c r="NB87" s="1482"/>
      <c r="NC87" s="1482"/>
      <c r="ND87" s="1493"/>
      <c r="NE87" s="1493"/>
      <c r="NF87" s="1493"/>
      <c r="NG87" s="1493"/>
      <c r="NH87" s="1493"/>
      <c r="NI87" s="1493"/>
      <c r="NJ87" s="1493"/>
      <c r="NK87" s="1493"/>
      <c r="NL87" s="1493"/>
      <c r="NM87" s="1493"/>
      <c r="NN87" s="1493"/>
      <c r="NO87" s="1493"/>
      <c r="NP87" s="1493"/>
      <c r="NQ87" s="1493"/>
      <c r="NR87" s="1493"/>
      <c r="NS87" s="1493"/>
      <c r="NT87" s="1493"/>
      <c r="NU87" s="1493"/>
      <c r="NV87" s="1493"/>
      <c r="NW87" s="1493"/>
      <c r="NX87" s="1493"/>
      <c r="NY87" s="1493"/>
      <c r="NZ87" s="1493"/>
      <c r="OA87" s="1493"/>
      <c r="OB87" s="1493"/>
      <c r="OC87" s="1493"/>
      <c r="OD87" s="1493"/>
      <c r="OE87" s="1493"/>
      <c r="OF87" s="1493"/>
      <c r="OG87" s="1493"/>
      <c r="OH87" s="1493"/>
      <c r="OI87" s="1493"/>
      <c r="OJ87" s="1493"/>
      <c r="OK87" s="1493"/>
      <c r="OL87" s="1493"/>
      <c r="OM87" s="1493"/>
      <c r="ON87" s="1493"/>
      <c r="OO87" s="1493"/>
      <c r="OP87" s="1493"/>
      <c r="OQ87" s="1493"/>
      <c r="OR87" s="1493"/>
      <c r="OS87" s="1493"/>
      <c r="OT87" s="1493"/>
      <c r="OU87" s="1493"/>
      <c r="OV87" s="1493"/>
      <c r="OW87" s="1493"/>
      <c r="OX87" s="1493"/>
      <c r="OY87" s="1493"/>
      <c r="OZ87" s="1493"/>
      <c r="PA87" s="1493"/>
      <c r="PB87" s="1493"/>
      <c r="PC87" s="1493"/>
      <c r="PD87" s="1493"/>
      <c r="PE87" s="1493"/>
      <c r="PF87" s="1493"/>
      <c r="PG87" s="1493"/>
      <c r="PH87" s="1493"/>
      <c r="PI87" s="1493"/>
      <c r="PJ87" s="1493"/>
      <c r="PK87" s="1493"/>
      <c r="PL87" s="1493"/>
      <c r="PM87" s="1493"/>
      <c r="PN87" s="1493"/>
      <c r="PO87" s="1493"/>
      <c r="PP87" s="1493"/>
      <c r="PQ87" s="1493"/>
      <c r="PR87" s="1493"/>
      <c r="PS87" s="1493"/>
      <c r="PT87" s="1493"/>
      <c r="PU87" s="1493"/>
      <c r="PV87" s="1493"/>
      <c r="PW87" s="1493"/>
      <c r="PX87" s="1493"/>
      <c r="PY87" s="1493"/>
      <c r="PZ87" s="1493"/>
      <c r="QA87" s="1493"/>
      <c r="QB87" s="1493"/>
      <c r="QC87" s="1493"/>
      <c r="QD87" s="1493"/>
      <c r="QE87" s="1493"/>
      <c r="QF87" s="1493"/>
      <c r="QG87" s="1493"/>
      <c r="QH87" s="1493"/>
      <c r="QI87" s="1493"/>
      <c r="QJ87" s="1493"/>
      <c r="QK87" s="1493"/>
      <c r="QL87" s="1493"/>
      <c r="QM87" s="1493"/>
      <c r="QN87" s="1493"/>
      <c r="QO87" s="1493"/>
      <c r="QP87" s="1493"/>
      <c r="QQ87" s="1493"/>
      <c r="QR87" s="1493"/>
      <c r="QS87" s="1493"/>
      <c r="QT87" s="1493"/>
      <c r="QU87" s="1493"/>
      <c r="QV87" s="1493"/>
      <c r="QW87" s="1493"/>
      <c r="QX87" s="1493"/>
      <c r="QY87" s="1493"/>
      <c r="QZ87" s="1493"/>
      <c r="RA87" s="1493"/>
      <c r="RB87" s="1493"/>
      <c r="RC87" s="1493"/>
      <c r="RD87" s="1493"/>
      <c r="RE87" s="1493"/>
      <c r="RF87" s="1493"/>
      <c r="RG87" s="1493"/>
      <c r="RH87" s="1493"/>
      <c r="RI87" s="1493"/>
      <c r="RJ87" s="1493"/>
      <c r="RK87" s="1493"/>
      <c r="RL87" s="1493"/>
      <c r="RM87" s="1493"/>
      <c r="RN87" s="1493"/>
      <c r="RO87" s="1493"/>
      <c r="RP87" s="1493"/>
      <c r="RQ87" s="1493"/>
      <c r="RR87" s="1493"/>
      <c r="RS87" s="1493"/>
      <c r="RT87" s="1493"/>
      <c r="RU87" s="1493"/>
      <c r="RV87" s="1493"/>
      <c r="RW87" s="1493"/>
      <c r="RX87" s="1493"/>
      <c r="RY87" s="1493"/>
      <c r="RZ87" s="1493"/>
    </row>
    <row r="88" spans="1:494" customFormat="1" hidden="1">
      <c r="A88" s="2308"/>
      <c r="B88" s="2308"/>
      <c r="C88" s="1510" t="s">
        <v>3697</v>
      </c>
      <c r="D88" s="1493"/>
      <c r="E88" s="1493"/>
      <c r="F88" s="1493"/>
      <c r="G88" s="1493"/>
      <c r="H88" s="1494" t="s">
        <v>3388</v>
      </c>
      <c r="I88" s="1495"/>
      <c r="J88" s="1507" t="str">
        <f t="shared" ref="J88:O88" si="363">IF(OR(J62=0,J$67=0),"",J62/J$67)</f>
        <v/>
      </c>
      <c r="K88" s="1508" t="str">
        <f t="shared" si="363"/>
        <v/>
      </c>
      <c r="L88" s="1508" t="str">
        <f t="shared" si="363"/>
        <v/>
      </c>
      <c r="M88" s="1508" t="str">
        <f t="shared" si="363"/>
        <v/>
      </c>
      <c r="N88" s="1508" t="str">
        <f t="shared" si="363"/>
        <v/>
      </c>
      <c r="O88" s="1509" t="str">
        <f t="shared" si="363"/>
        <v/>
      </c>
      <c r="W88" s="1482"/>
      <c r="X88" s="1482"/>
      <c r="Y88" s="1482"/>
      <c r="Z88" s="1482"/>
      <c r="AA88" s="1482"/>
      <c r="AB88" s="1482"/>
      <c r="AC88" s="1482"/>
      <c r="AD88" s="1482"/>
      <c r="AE88" s="1482"/>
      <c r="AF88" s="1482"/>
      <c r="AG88" s="1482"/>
      <c r="AH88" s="1482"/>
      <c r="AI88" s="1482"/>
      <c r="AJ88" s="1482"/>
      <c r="AK88" s="1482"/>
      <c r="AL88" s="1482"/>
      <c r="AM88" s="1482"/>
      <c r="AN88" s="1482"/>
      <c r="AO88" s="1482"/>
      <c r="AP88" s="1482"/>
      <c r="AQ88" s="1482"/>
      <c r="AR88" s="1482"/>
      <c r="AS88" s="1482"/>
      <c r="AT88" s="1482"/>
      <c r="AU88" s="1482"/>
      <c r="AV88" s="1482"/>
      <c r="AW88" s="1482"/>
      <c r="AX88" s="1482"/>
      <c r="AY88" s="1482"/>
      <c r="AZ88" s="1482"/>
      <c r="BA88" s="1482"/>
      <c r="BB88" s="1482"/>
      <c r="BC88" s="1482"/>
      <c r="BD88" s="1482"/>
      <c r="BE88" s="1482"/>
      <c r="BF88" s="1482"/>
      <c r="BG88" s="1482"/>
      <c r="BH88" s="1482"/>
      <c r="BI88" s="1482"/>
      <c r="BJ88" s="1482"/>
      <c r="BK88" s="1482"/>
      <c r="BL88" s="1482"/>
      <c r="BM88" s="1482"/>
      <c r="BN88" s="1482"/>
      <c r="BO88" s="1482"/>
      <c r="BP88" s="1482"/>
      <c r="BQ88" s="1482"/>
      <c r="BR88" s="1482"/>
      <c r="BS88" s="1482"/>
      <c r="BT88" s="1482"/>
      <c r="BU88" s="1482"/>
      <c r="BV88" s="1482"/>
      <c r="BW88" s="1482"/>
      <c r="BX88" s="1482"/>
      <c r="BY88" s="1482"/>
      <c r="BZ88" s="1482"/>
      <c r="CA88" s="1482"/>
      <c r="CB88" s="1482"/>
      <c r="CC88" s="1482"/>
      <c r="CD88" s="1482"/>
      <c r="CE88" s="1482"/>
      <c r="CF88" s="1482"/>
      <c r="CG88" s="1482"/>
      <c r="CH88" s="1482"/>
      <c r="CI88" s="1482"/>
      <c r="CJ88" s="1482"/>
      <c r="CK88" s="1482"/>
      <c r="CL88" s="1482"/>
      <c r="CM88" s="1482"/>
      <c r="CN88" s="1482"/>
      <c r="CO88" s="1482"/>
      <c r="CP88" s="1482"/>
      <c r="CQ88" s="1482"/>
      <c r="CR88" s="1482"/>
      <c r="CS88" s="1482"/>
      <c r="CT88" s="1482"/>
      <c r="CU88" s="1482"/>
      <c r="CV88" s="1482"/>
      <c r="CW88" s="1482"/>
      <c r="CX88" s="1482"/>
      <c r="CY88" s="1482"/>
      <c r="CZ88" s="1482"/>
      <c r="DA88" s="1482"/>
      <c r="DB88" s="1482"/>
      <c r="DC88" s="1482"/>
      <c r="DD88" s="1482"/>
      <c r="DE88" s="1482"/>
      <c r="DF88" s="1482"/>
      <c r="DG88" s="1482"/>
      <c r="DH88" s="1482"/>
      <c r="DI88" s="1482"/>
      <c r="DJ88" s="1482"/>
      <c r="DK88" s="1482"/>
      <c r="DL88" s="1482"/>
      <c r="DM88" s="1482"/>
      <c r="DN88" s="1482"/>
      <c r="DO88" s="1482"/>
      <c r="DP88" s="1482"/>
      <c r="DQ88" s="1482"/>
      <c r="DR88" s="1482"/>
      <c r="DS88" s="1482"/>
      <c r="DT88" s="1482"/>
      <c r="DU88" s="1482"/>
      <c r="DV88" s="1482"/>
      <c r="DW88" s="1482"/>
      <c r="DX88" s="1482"/>
      <c r="DY88" s="1482"/>
      <c r="DZ88" s="1482"/>
      <c r="EA88" s="1482"/>
      <c r="EB88" s="1482"/>
      <c r="EC88" s="1482"/>
      <c r="ED88" s="1482"/>
      <c r="EE88" s="1482"/>
      <c r="EF88" s="1482"/>
      <c r="EG88" s="1482"/>
      <c r="EH88" s="1482"/>
      <c r="EI88" s="1482"/>
      <c r="EJ88" s="1482"/>
      <c r="EK88" s="1482"/>
      <c r="EL88" s="1482"/>
      <c r="EM88" s="1482"/>
      <c r="EN88" s="1482"/>
      <c r="EO88" s="1482"/>
      <c r="EP88" s="1482"/>
      <c r="EQ88" s="1482"/>
      <c r="ER88" s="1482"/>
      <c r="ES88" s="1482"/>
      <c r="ET88" s="1482"/>
      <c r="EU88" s="1482"/>
      <c r="EV88" s="1482"/>
      <c r="EW88" s="1482"/>
      <c r="EX88" s="1482"/>
      <c r="EY88" s="1482"/>
      <c r="EZ88" s="1482"/>
      <c r="FA88" s="1482"/>
      <c r="FB88" s="1482"/>
      <c r="FC88" s="1482"/>
      <c r="FD88" s="1482"/>
      <c r="FE88" s="1482"/>
      <c r="FF88" s="1482"/>
      <c r="FG88" s="1482"/>
      <c r="FH88" s="1482"/>
      <c r="FI88" s="1482"/>
      <c r="FJ88" s="1482"/>
      <c r="FK88" s="1482"/>
      <c r="FL88" s="1482"/>
      <c r="FM88" s="1482"/>
      <c r="FN88" s="1482"/>
      <c r="FO88" s="1482"/>
      <c r="FP88" s="1482"/>
      <c r="FQ88" s="1482"/>
      <c r="FR88" s="1482"/>
      <c r="FS88" s="1482"/>
      <c r="FT88" s="1482"/>
      <c r="FU88" s="1482"/>
      <c r="FV88" s="1482"/>
      <c r="FW88" s="1482"/>
      <c r="FX88" s="1482"/>
      <c r="FY88" s="1482"/>
      <c r="FZ88" s="1482"/>
      <c r="GA88" s="1482"/>
      <c r="GB88" s="1482"/>
      <c r="GC88" s="1482"/>
      <c r="GD88" s="1482"/>
      <c r="GE88" s="1482"/>
      <c r="GF88" s="1482"/>
      <c r="GG88" s="1482"/>
      <c r="GH88" s="1482"/>
      <c r="GI88" s="1482"/>
      <c r="GJ88" s="1482"/>
      <c r="GK88" s="1482"/>
      <c r="GL88" s="1482"/>
      <c r="GM88" s="1482"/>
      <c r="GN88" s="1482"/>
      <c r="GO88" s="1482"/>
      <c r="GP88" s="1482"/>
      <c r="GQ88" s="1482"/>
      <c r="GR88" s="1482"/>
      <c r="GS88" s="1482"/>
      <c r="GT88" s="1482"/>
      <c r="GU88" s="1482"/>
      <c r="GV88" s="1482"/>
      <c r="GW88" s="1482"/>
      <c r="GX88" s="1482"/>
      <c r="GY88" s="1482"/>
      <c r="GZ88" s="1482"/>
      <c r="HA88" s="1482"/>
      <c r="HB88" s="1482"/>
      <c r="HC88" s="1482"/>
      <c r="HD88" s="1482"/>
      <c r="HE88" s="1482"/>
      <c r="HF88" s="1482"/>
      <c r="HG88" s="1482"/>
      <c r="HH88" s="1482"/>
      <c r="HI88" s="1482"/>
      <c r="HJ88" s="1482"/>
      <c r="HK88" s="1482"/>
      <c r="HL88" s="1482"/>
      <c r="HM88" s="1482"/>
      <c r="HN88" s="1482"/>
      <c r="HO88" s="1482"/>
      <c r="HP88" s="1482"/>
      <c r="HQ88" s="1482"/>
      <c r="HR88" s="1482"/>
      <c r="HS88" s="1482"/>
      <c r="HT88" s="1482"/>
      <c r="HU88" s="1482"/>
      <c r="HV88" s="1482"/>
      <c r="HW88" s="1482"/>
      <c r="HX88" s="1482"/>
      <c r="HY88" s="1482"/>
      <c r="HZ88" s="1482"/>
      <c r="IA88" s="1482"/>
      <c r="IB88" s="1482"/>
      <c r="IC88" s="1482"/>
      <c r="ID88" s="1482"/>
      <c r="IE88" s="1482"/>
      <c r="IF88" s="1482"/>
      <c r="IG88" s="1482"/>
      <c r="IH88" s="1482"/>
      <c r="II88" s="1482"/>
      <c r="IJ88" s="1482"/>
      <c r="IK88" s="1482"/>
      <c r="IL88" s="1482"/>
      <c r="IM88" s="1482"/>
      <c r="IN88" s="1482"/>
      <c r="IO88" s="1482"/>
      <c r="IP88" s="1482"/>
      <c r="IQ88" s="1482"/>
      <c r="IR88" s="1482"/>
      <c r="IS88" s="1482"/>
      <c r="IT88" s="1482"/>
      <c r="IU88" s="1482"/>
      <c r="IV88" s="1482"/>
      <c r="IW88" s="1482"/>
      <c r="IX88" s="1482"/>
      <c r="IY88" s="1482"/>
      <c r="IZ88" s="1482"/>
      <c r="JA88" s="1482"/>
      <c r="JB88" s="1482"/>
      <c r="JC88" s="1482"/>
      <c r="JD88" s="1482"/>
      <c r="JE88" s="1482"/>
      <c r="JF88" s="1482"/>
      <c r="JG88" s="1482"/>
      <c r="JH88" s="1482"/>
      <c r="JI88" s="1482"/>
      <c r="JJ88" s="1482"/>
      <c r="JK88" s="1482"/>
      <c r="JL88" s="1482"/>
      <c r="JM88" s="1482"/>
      <c r="JN88" s="1482"/>
      <c r="JO88" s="1482"/>
      <c r="JP88" s="1482"/>
      <c r="JQ88" s="1482"/>
      <c r="JR88" s="1482"/>
      <c r="JS88" s="1482"/>
      <c r="JT88" s="1482"/>
      <c r="JU88" s="1482"/>
      <c r="JV88" s="1482"/>
      <c r="JW88" s="1482"/>
      <c r="JX88" s="1482"/>
      <c r="JY88" s="1482"/>
      <c r="JZ88" s="1482"/>
      <c r="KA88" s="1482"/>
      <c r="KB88" s="1482"/>
      <c r="KC88" s="1482"/>
      <c r="KD88" s="1482"/>
      <c r="KE88" s="1482"/>
      <c r="KF88" s="1482"/>
      <c r="KG88" s="1482"/>
      <c r="KH88" s="1482"/>
      <c r="KI88" s="1482"/>
      <c r="KJ88" s="1482"/>
      <c r="KK88" s="1482"/>
      <c r="KL88" s="1482"/>
      <c r="KM88" s="1482"/>
      <c r="KN88" s="1482"/>
      <c r="KO88" s="1482"/>
      <c r="KP88" s="1482"/>
      <c r="KQ88" s="1482"/>
      <c r="KR88" s="1482"/>
      <c r="KS88" s="1482"/>
      <c r="KT88" s="1482"/>
      <c r="KU88" s="1482"/>
      <c r="KV88" s="1482"/>
      <c r="KW88" s="1482"/>
      <c r="KX88" s="1482"/>
      <c r="KY88" s="1482"/>
      <c r="KZ88" s="1482"/>
      <c r="LA88" s="1482"/>
      <c r="LB88" s="1482"/>
      <c r="LC88" s="1482"/>
      <c r="LD88" s="1482"/>
      <c r="LE88" s="1482"/>
      <c r="LF88" s="1482"/>
      <c r="LG88" s="1482"/>
      <c r="LH88" s="1482"/>
      <c r="LI88" s="1482"/>
      <c r="LJ88" s="1482"/>
      <c r="LK88" s="1482"/>
      <c r="LL88" s="1482"/>
      <c r="LM88" s="1482"/>
      <c r="LN88" s="1482"/>
      <c r="LO88" s="1482"/>
      <c r="LP88" s="1482"/>
      <c r="LQ88" s="1482"/>
      <c r="LR88" s="1482"/>
      <c r="LS88" s="1482"/>
      <c r="LT88" s="1482"/>
      <c r="LU88" s="1482"/>
      <c r="LV88" s="1482"/>
      <c r="LW88" s="1482"/>
      <c r="LX88" s="1482"/>
      <c r="LY88" s="1482"/>
      <c r="LZ88" s="1482"/>
      <c r="MA88" s="1482"/>
      <c r="MB88" s="1482"/>
      <c r="MC88" s="1482"/>
      <c r="MD88" s="1482"/>
      <c r="ME88" s="1482"/>
      <c r="MF88" s="1482"/>
      <c r="MG88" s="1482"/>
      <c r="MH88" s="1482"/>
      <c r="MI88" s="1482"/>
      <c r="MJ88" s="1482"/>
      <c r="MK88" s="1482"/>
      <c r="ML88" s="1482"/>
      <c r="MM88" s="1482"/>
      <c r="MN88" s="1482"/>
      <c r="MO88" s="1482"/>
      <c r="MP88" s="1482"/>
      <c r="MQ88" s="1482"/>
      <c r="MR88" s="1482"/>
      <c r="MS88" s="1482"/>
      <c r="MT88" s="1482"/>
      <c r="MU88" s="1482"/>
      <c r="MV88" s="1482"/>
      <c r="MW88" s="1482"/>
      <c r="MX88" s="1482"/>
      <c r="MY88" s="1482"/>
      <c r="MZ88" s="1482"/>
      <c r="NA88" s="1482"/>
      <c r="NB88" s="1482"/>
      <c r="NC88" s="1482"/>
      <c r="ND88" s="1493"/>
      <c r="NE88" s="1493"/>
      <c r="NF88" s="1493"/>
      <c r="NG88" s="1493"/>
      <c r="NH88" s="1493"/>
      <c r="NI88" s="1493"/>
      <c r="NJ88" s="1493"/>
      <c r="NK88" s="1493"/>
      <c r="NL88" s="1493"/>
      <c r="NM88" s="1493"/>
      <c r="NN88" s="1493"/>
      <c r="NO88" s="1493"/>
      <c r="NP88" s="1493"/>
      <c r="NQ88" s="1493"/>
      <c r="NR88" s="1493"/>
      <c r="NS88" s="1493"/>
      <c r="NT88" s="1493"/>
      <c r="NU88" s="1493"/>
      <c r="NV88" s="1493"/>
      <c r="NW88" s="1493"/>
      <c r="NX88" s="1493"/>
      <c r="NY88" s="1493"/>
      <c r="NZ88" s="1493"/>
      <c r="OA88" s="1493"/>
      <c r="OB88" s="1493"/>
      <c r="OC88" s="1493"/>
      <c r="OD88" s="1493"/>
      <c r="OE88" s="1493"/>
      <c r="OF88" s="1493"/>
      <c r="OG88" s="1493"/>
      <c r="OH88" s="1493"/>
      <c r="OI88" s="1493"/>
      <c r="OJ88" s="1493"/>
      <c r="OK88" s="1493"/>
      <c r="OL88" s="1493"/>
      <c r="OM88" s="1493"/>
      <c r="ON88" s="1493"/>
      <c r="OO88" s="1493"/>
      <c r="OP88" s="1493"/>
      <c r="OQ88" s="1493"/>
      <c r="OR88" s="1493"/>
      <c r="OS88" s="1493"/>
      <c r="OT88" s="1493"/>
      <c r="OU88" s="1493"/>
      <c r="OV88" s="1493"/>
      <c r="OW88" s="1493"/>
      <c r="OX88" s="1493"/>
      <c r="OY88" s="1493"/>
      <c r="OZ88" s="1493"/>
      <c r="PA88" s="1493"/>
      <c r="PB88" s="1493"/>
      <c r="PC88" s="1493"/>
      <c r="PD88" s="1493"/>
      <c r="PE88" s="1493"/>
      <c r="PF88" s="1493"/>
      <c r="PG88" s="1493"/>
      <c r="PH88" s="1493"/>
      <c r="PI88" s="1493"/>
      <c r="PJ88" s="1493"/>
      <c r="PK88" s="1493"/>
      <c r="PL88" s="1493"/>
      <c r="PM88" s="1493"/>
      <c r="PN88" s="1493"/>
      <c r="PO88" s="1493"/>
      <c r="PP88" s="1493"/>
      <c r="PQ88" s="1493"/>
      <c r="PR88" s="1493"/>
      <c r="PS88" s="1493"/>
      <c r="PT88" s="1493"/>
      <c r="PU88" s="1493"/>
      <c r="PV88" s="1493"/>
      <c r="PW88" s="1493"/>
      <c r="PX88" s="1493"/>
      <c r="PY88" s="1493"/>
      <c r="PZ88" s="1493"/>
      <c r="QA88" s="1493"/>
      <c r="QB88" s="1493"/>
      <c r="QC88" s="1493"/>
      <c r="QD88" s="1493"/>
      <c r="QE88" s="1493"/>
      <c r="QF88" s="1493"/>
      <c r="QG88" s="1493"/>
      <c r="QH88" s="1493"/>
      <c r="QI88" s="1493"/>
      <c r="QJ88" s="1493"/>
      <c r="QK88" s="1493"/>
      <c r="QL88" s="1493"/>
      <c r="QM88" s="1493"/>
      <c r="QN88" s="1493"/>
      <c r="QO88" s="1493"/>
      <c r="QP88" s="1493"/>
      <c r="QQ88" s="1493"/>
      <c r="QR88" s="1493"/>
      <c r="QS88" s="1493"/>
      <c r="QT88" s="1493"/>
      <c r="QU88" s="1493"/>
      <c r="QV88" s="1493"/>
      <c r="QW88" s="1493"/>
      <c r="QX88" s="1493"/>
      <c r="QY88" s="1493"/>
      <c r="QZ88" s="1493"/>
      <c r="RA88" s="1493"/>
      <c r="RB88" s="1493"/>
      <c r="RC88" s="1493"/>
      <c r="RD88" s="1493"/>
      <c r="RE88" s="1493"/>
      <c r="RF88" s="1493"/>
      <c r="RG88" s="1493"/>
      <c r="RH88" s="1493"/>
      <c r="RI88" s="1493"/>
      <c r="RJ88" s="1493"/>
      <c r="RK88" s="1493"/>
      <c r="RL88" s="1493"/>
      <c r="RM88" s="1493"/>
      <c r="RN88" s="1493"/>
      <c r="RO88" s="1493"/>
      <c r="RP88" s="1493"/>
      <c r="RQ88" s="1493"/>
      <c r="RR88" s="1493"/>
      <c r="RS88" s="1493"/>
      <c r="RT88" s="1493"/>
      <c r="RU88" s="1493"/>
      <c r="RV88" s="1493"/>
      <c r="RW88" s="1493"/>
      <c r="RX88" s="1493"/>
      <c r="RY88" s="1493"/>
      <c r="RZ88" s="1493"/>
    </row>
    <row r="89" spans="1:494" customFormat="1" ht="13.5" hidden="1">
      <c r="A89" s="2308"/>
      <c r="B89" s="2308"/>
      <c r="C89" s="1510"/>
      <c r="D89" s="1511"/>
      <c r="E89" s="1511"/>
      <c r="F89" s="1493"/>
      <c r="G89" s="1493"/>
      <c r="H89" s="1487" t="s">
        <v>3699</v>
      </c>
      <c r="I89" s="1495"/>
      <c r="J89" s="1501" t="str">
        <f>IF(OR(J62=0,$P88="",J$67=0),"",$P88*J$67)</f>
        <v/>
      </c>
      <c r="K89" s="1501" t="str">
        <f>IF(OR(K62=0,$P88="",K$67=0),"",$P88*K$67)</f>
        <v/>
      </c>
      <c r="L89" s="1501" t="str">
        <f>IF(OR(L62=0,$P88="",L$67=0),"",$P88*L$67)</f>
        <v/>
      </c>
      <c r="M89" s="1501" t="str">
        <f>IF(OR(M62=0,$P88="",M$67=0),"",$P88*M$67)</f>
        <v/>
      </c>
      <c r="N89" s="1501" t="str">
        <f>IF(OR(N62=0,$P88="",N$67=0),"",$P88*N$67)</f>
        <v/>
      </c>
      <c r="O89" s="1502" t="str">
        <f t="shared" ref="O89" si="364">IF(OR($P88="",O$67=0),"",$P88*O$67)</f>
        <v/>
      </c>
      <c r="W89" s="1482"/>
      <c r="X89" s="1482"/>
      <c r="Y89" s="1482"/>
      <c r="Z89" s="1482"/>
      <c r="AA89" s="1482"/>
      <c r="AB89" s="1482"/>
      <c r="AC89" s="1482"/>
      <c r="AD89" s="1482"/>
      <c r="AE89" s="1482"/>
      <c r="AF89" s="1482"/>
      <c r="AG89" s="1482"/>
      <c r="AH89" s="1482"/>
      <c r="AI89" s="1482"/>
      <c r="AJ89" s="1482"/>
      <c r="AK89" s="1482"/>
      <c r="AL89" s="1482"/>
      <c r="AM89" s="1482"/>
      <c r="AN89" s="1482"/>
      <c r="AO89" s="1482"/>
      <c r="AP89" s="1482"/>
      <c r="AQ89" s="1482"/>
      <c r="AR89" s="1482"/>
      <c r="AS89" s="1482"/>
      <c r="AT89" s="1482"/>
      <c r="AU89" s="1482"/>
      <c r="AV89" s="1482"/>
      <c r="AW89" s="1482"/>
      <c r="AX89" s="1482"/>
      <c r="AY89" s="1482"/>
      <c r="AZ89" s="1482"/>
      <c r="BA89" s="1482"/>
      <c r="BB89" s="1482"/>
      <c r="BC89" s="1482"/>
      <c r="BD89" s="1482"/>
      <c r="BE89" s="1482"/>
      <c r="BF89" s="1482"/>
      <c r="BG89" s="1482"/>
      <c r="BH89" s="1482"/>
      <c r="BI89" s="1482"/>
      <c r="BJ89" s="1482"/>
      <c r="BK89" s="1482"/>
      <c r="BL89" s="1482"/>
      <c r="BM89" s="1482"/>
      <c r="BN89" s="1482"/>
      <c r="BO89" s="1482"/>
      <c r="BP89" s="1482"/>
      <c r="BQ89" s="1482"/>
      <c r="BR89" s="1482"/>
      <c r="BS89" s="1482"/>
      <c r="BT89" s="1482"/>
      <c r="BU89" s="1482"/>
      <c r="BV89" s="1482"/>
      <c r="BW89" s="1482"/>
      <c r="BX89" s="1482"/>
      <c r="BY89" s="1482"/>
      <c r="BZ89" s="1482"/>
      <c r="CA89" s="1482"/>
      <c r="CB89" s="1482"/>
      <c r="CC89" s="1482"/>
      <c r="CD89" s="1482"/>
      <c r="CE89" s="1482"/>
      <c r="CF89" s="1482"/>
      <c r="CG89" s="1482"/>
      <c r="CH89" s="1482"/>
      <c r="CI89" s="1482"/>
      <c r="CJ89" s="1482"/>
      <c r="CK89" s="1482"/>
      <c r="CL89" s="1482"/>
      <c r="CM89" s="1482"/>
      <c r="CN89" s="1482"/>
      <c r="CO89" s="1482"/>
      <c r="CP89" s="1482"/>
      <c r="CQ89" s="1482"/>
      <c r="CR89" s="1482"/>
      <c r="CS89" s="1482"/>
      <c r="CT89" s="1482"/>
      <c r="CU89" s="1482"/>
      <c r="CV89" s="1482"/>
      <c r="CW89" s="1482"/>
      <c r="CX89" s="1482"/>
      <c r="CY89" s="1482"/>
      <c r="CZ89" s="1482"/>
      <c r="DA89" s="1482"/>
      <c r="DB89" s="1482"/>
      <c r="DC89" s="1482"/>
      <c r="DD89" s="1482"/>
      <c r="DE89" s="1482"/>
      <c r="DF89" s="1482"/>
      <c r="DG89" s="1482"/>
      <c r="DH89" s="1482"/>
      <c r="DI89" s="1482"/>
      <c r="DJ89" s="1482"/>
      <c r="DK89" s="1482"/>
      <c r="DL89" s="1482"/>
      <c r="DM89" s="1482"/>
      <c r="DN89" s="1482"/>
      <c r="DO89" s="1482"/>
      <c r="DP89" s="1482"/>
      <c r="DQ89" s="1482"/>
      <c r="DR89" s="1482"/>
      <c r="DS89" s="1482"/>
      <c r="DT89" s="1482"/>
      <c r="DU89" s="1482"/>
      <c r="DV89" s="1482"/>
      <c r="DW89" s="1482"/>
      <c r="DX89" s="1482"/>
      <c r="DY89" s="1482"/>
      <c r="DZ89" s="1482"/>
      <c r="EA89" s="1482"/>
      <c r="EB89" s="1482"/>
      <c r="EC89" s="1482"/>
      <c r="ED89" s="1482"/>
      <c r="EE89" s="1482"/>
      <c r="EF89" s="1482"/>
      <c r="EG89" s="1482"/>
      <c r="EH89" s="1482"/>
      <c r="EI89" s="1482"/>
      <c r="EJ89" s="1482"/>
      <c r="EK89" s="1482"/>
      <c r="EL89" s="1482"/>
      <c r="EM89" s="1482"/>
      <c r="EN89" s="1482"/>
      <c r="EO89" s="1482"/>
      <c r="EP89" s="1482"/>
      <c r="EQ89" s="1482"/>
      <c r="ER89" s="1482"/>
      <c r="ES89" s="1482"/>
      <c r="ET89" s="1482"/>
      <c r="EU89" s="1482"/>
      <c r="EV89" s="1482"/>
      <c r="EW89" s="1482"/>
      <c r="EX89" s="1482"/>
      <c r="EY89" s="1482"/>
      <c r="EZ89" s="1482"/>
      <c r="FA89" s="1482"/>
      <c r="FB89" s="1482"/>
      <c r="FC89" s="1482"/>
      <c r="FD89" s="1482"/>
      <c r="FE89" s="1482"/>
      <c r="FF89" s="1482"/>
      <c r="FG89" s="1482"/>
      <c r="FH89" s="1482"/>
      <c r="FI89" s="1482"/>
      <c r="FJ89" s="1482"/>
      <c r="FK89" s="1482"/>
      <c r="FL89" s="1482"/>
      <c r="FM89" s="1482"/>
      <c r="FN89" s="1482"/>
      <c r="FO89" s="1482"/>
      <c r="FP89" s="1482"/>
      <c r="FQ89" s="1482"/>
      <c r="FR89" s="1482"/>
      <c r="FS89" s="1482"/>
      <c r="FT89" s="1482"/>
      <c r="FU89" s="1482"/>
      <c r="FV89" s="1482"/>
      <c r="FW89" s="1482"/>
      <c r="FX89" s="1482"/>
      <c r="FY89" s="1482"/>
      <c r="FZ89" s="1482"/>
      <c r="GA89" s="1482"/>
      <c r="GB89" s="1482"/>
      <c r="GC89" s="1482"/>
      <c r="GD89" s="1482"/>
      <c r="GE89" s="1482"/>
      <c r="GF89" s="1482"/>
      <c r="GG89" s="1482"/>
      <c r="GH89" s="1482"/>
      <c r="GI89" s="1482"/>
      <c r="GJ89" s="1482"/>
      <c r="GK89" s="1482"/>
      <c r="GL89" s="1482"/>
      <c r="GM89" s="1482"/>
      <c r="GN89" s="1482"/>
      <c r="GO89" s="1482"/>
      <c r="GP89" s="1482"/>
      <c r="GQ89" s="1482"/>
      <c r="GR89" s="1482"/>
      <c r="GS89" s="1482"/>
      <c r="GT89" s="1482"/>
      <c r="GU89" s="1482"/>
      <c r="GV89" s="1482"/>
      <c r="GW89" s="1482"/>
      <c r="GX89" s="1482"/>
      <c r="GY89" s="1482"/>
      <c r="GZ89" s="1482"/>
      <c r="HA89" s="1482"/>
      <c r="HB89" s="1482"/>
      <c r="HC89" s="1482"/>
      <c r="HD89" s="1482"/>
      <c r="HE89" s="1482"/>
      <c r="HF89" s="1482"/>
      <c r="HG89" s="1482"/>
      <c r="HH89" s="1482"/>
      <c r="HI89" s="1482"/>
      <c r="HJ89" s="1482"/>
      <c r="HK89" s="1482"/>
      <c r="HL89" s="1482"/>
      <c r="HM89" s="1482"/>
      <c r="HN89" s="1482"/>
      <c r="HO89" s="1482"/>
      <c r="HP89" s="1482"/>
      <c r="HQ89" s="1482"/>
      <c r="HR89" s="1482"/>
      <c r="HS89" s="1482"/>
      <c r="HT89" s="1482"/>
      <c r="HU89" s="1482"/>
      <c r="HV89" s="1482"/>
      <c r="HW89" s="1482"/>
      <c r="HX89" s="1482"/>
      <c r="HY89" s="1482"/>
      <c r="HZ89" s="1482"/>
      <c r="IA89" s="1482"/>
      <c r="IB89" s="1482"/>
      <c r="IC89" s="1482"/>
      <c r="ID89" s="1482"/>
      <c r="IE89" s="1482"/>
      <c r="IF89" s="1482"/>
      <c r="IG89" s="1482"/>
      <c r="IH89" s="1482"/>
      <c r="II89" s="1482"/>
      <c r="IJ89" s="1482"/>
      <c r="IK89" s="1482"/>
      <c r="IL89" s="1482"/>
      <c r="IM89" s="1482"/>
      <c r="IN89" s="1482"/>
      <c r="IO89" s="1482"/>
      <c r="IP89" s="1482"/>
      <c r="IQ89" s="1482"/>
      <c r="IR89" s="1482"/>
      <c r="IS89" s="1482"/>
      <c r="IT89" s="1482"/>
      <c r="IU89" s="1482"/>
      <c r="IV89" s="1482"/>
      <c r="IW89" s="1482"/>
      <c r="IX89" s="1482"/>
      <c r="IY89" s="1482"/>
      <c r="IZ89" s="1482"/>
      <c r="JA89" s="1482"/>
      <c r="JB89" s="1482"/>
      <c r="JC89" s="1482"/>
      <c r="JD89" s="1482"/>
      <c r="JE89" s="1482"/>
      <c r="JF89" s="1482"/>
      <c r="JG89" s="1482"/>
      <c r="JH89" s="1482"/>
      <c r="JI89" s="1482"/>
      <c r="JJ89" s="1482"/>
      <c r="JK89" s="1482"/>
      <c r="JL89" s="1482"/>
      <c r="JM89" s="1482"/>
      <c r="JN89" s="1482"/>
      <c r="JO89" s="1482"/>
      <c r="JP89" s="1482"/>
      <c r="JQ89" s="1482"/>
      <c r="JR89" s="1482"/>
      <c r="JS89" s="1482"/>
      <c r="JT89" s="1482"/>
      <c r="JU89" s="1482"/>
      <c r="JV89" s="1482"/>
      <c r="JW89" s="1482"/>
      <c r="JX89" s="1482"/>
      <c r="JY89" s="1482"/>
      <c r="JZ89" s="1482"/>
      <c r="KA89" s="1482"/>
      <c r="KB89" s="1482"/>
      <c r="KC89" s="1482"/>
      <c r="KD89" s="1482"/>
      <c r="KE89" s="1482"/>
      <c r="KF89" s="1482"/>
      <c r="KG89" s="1482"/>
      <c r="KH89" s="1482"/>
      <c r="KI89" s="1482"/>
      <c r="KJ89" s="1482"/>
      <c r="KK89" s="1482"/>
      <c r="KL89" s="1482"/>
      <c r="KM89" s="1482"/>
      <c r="KN89" s="1482"/>
      <c r="KO89" s="1482"/>
      <c r="KP89" s="1482"/>
      <c r="KQ89" s="1482"/>
      <c r="KR89" s="1482"/>
      <c r="KS89" s="1482"/>
      <c r="KT89" s="1482"/>
      <c r="KU89" s="1482"/>
      <c r="KV89" s="1482"/>
      <c r="KW89" s="1482"/>
      <c r="KX89" s="1482"/>
      <c r="KY89" s="1482"/>
      <c r="KZ89" s="1482"/>
      <c r="LA89" s="1482"/>
      <c r="LB89" s="1482"/>
      <c r="LC89" s="1482"/>
      <c r="LD89" s="1482"/>
      <c r="LE89" s="1482"/>
      <c r="LF89" s="1482"/>
      <c r="LG89" s="1482"/>
      <c r="LH89" s="1482"/>
      <c r="LI89" s="1482"/>
      <c r="LJ89" s="1482"/>
      <c r="LK89" s="1482"/>
      <c r="LL89" s="1482"/>
      <c r="LM89" s="1482"/>
      <c r="LN89" s="1482"/>
      <c r="LO89" s="1482"/>
      <c r="LP89" s="1482"/>
      <c r="LQ89" s="1482"/>
      <c r="LR89" s="1482"/>
      <c r="LS89" s="1482"/>
      <c r="LT89" s="1482"/>
      <c r="LU89" s="1482"/>
      <c r="LV89" s="1482"/>
      <c r="LW89" s="1482"/>
      <c r="LX89" s="1482"/>
      <c r="LY89" s="1482"/>
      <c r="LZ89" s="1482"/>
      <c r="MA89" s="1482"/>
      <c r="MB89" s="1482"/>
      <c r="MC89" s="1482"/>
      <c r="MD89" s="1482"/>
      <c r="ME89" s="1482"/>
      <c r="MF89" s="1482"/>
      <c r="MG89" s="1482"/>
      <c r="MH89" s="1482"/>
      <c r="MI89" s="1482"/>
      <c r="MJ89" s="1482"/>
      <c r="MK89" s="1482"/>
      <c r="ML89" s="1482"/>
      <c r="MM89" s="1482"/>
      <c r="MN89" s="1482"/>
      <c r="MO89" s="1482"/>
      <c r="MP89" s="1482"/>
      <c r="MQ89" s="1482"/>
      <c r="MR89" s="1482"/>
      <c r="MS89" s="1482"/>
      <c r="MT89" s="1482"/>
      <c r="MU89" s="1482"/>
      <c r="MV89" s="1482"/>
      <c r="MW89" s="1482"/>
      <c r="MX89" s="1482"/>
      <c r="MY89" s="1482"/>
      <c r="MZ89" s="1482"/>
      <c r="NA89" s="1482"/>
      <c r="NB89" s="1482"/>
      <c r="NC89" s="1482"/>
      <c r="ND89" s="1493"/>
      <c r="NE89" s="1493"/>
      <c r="NF89" s="1493"/>
      <c r="NG89" s="1493"/>
      <c r="NH89" s="1493"/>
      <c r="NI89" s="1493"/>
      <c r="NJ89" s="1493"/>
      <c r="NK89" s="1493"/>
      <c r="NL89" s="1493"/>
      <c r="NM89" s="1493"/>
      <c r="NN89" s="1493"/>
      <c r="NO89" s="1493"/>
      <c r="NP89" s="1493"/>
      <c r="NQ89" s="1493"/>
      <c r="NR89" s="1493"/>
      <c r="NS89" s="1493"/>
      <c r="NT89" s="1493"/>
      <c r="NU89" s="1493"/>
      <c r="NV89" s="1493"/>
      <c r="NW89" s="1493"/>
      <c r="NX89" s="1493"/>
      <c r="NY89" s="1493"/>
      <c r="NZ89" s="1493"/>
      <c r="OA89" s="1493"/>
      <c r="OB89" s="1493"/>
      <c r="OC89" s="1493"/>
      <c r="OD89" s="1493"/>
      <c r="OE89" s="1493"/>
      <c r="OF89" s="1493"/>
      <c r="OG89" s="1493"/>
      <c r="OH89" s="1493"/>
      <c r="OI89" s="1493"/>
      <c r="OJ89" s="1493"/>
      <c r="OK89" s="1493"/>
      <c r="OL89" s="1493"/>
      <c r="OM89" s="1493"/>
      <c r="ON89" s="1493"/>
      <c r="OO89" s="1493"/>
      <c r="OP89" s="1493"/>
      <c r="OQ89" s="1493"/>
      <c r="OR89" s="1493"/>
      <c r="OS89" s="1493"/>
      <c r="OT89" s="1493"/>
      <c r="OU89" s="1493"/>
      <c r="OV89" s="1493"/>
      <c r="OW89" s="1493"/>
      <c r="OX89" s="1493"/>
      <c r="OY89" s="1493"/>
      <c r="OZ89" s="1493"/>
      <c r="PA89" s="1493"/>
      <c r="PB89" s="1493"/>
      <c r="PC89" s="1493"/>
      <c r="PD89" s="1493"/>
      <c r="PE89" s="1493"/>
      <c r="PF89" s="1493"/>
      <c r="PG89" s="1493"/>
      <c r="PH89" s="1493"/>
      <c r="PI89" s="1493"/>
      <c r="PJ89" s="1493"/>
      <c r="PK89" s="1493"/>
      <c r="PL89" s="1493"/>
      <c r="PM89" s="1493"/>
      <c r="PN89" s="1493"/>
      <c r="PO89" s="1493"/>
      <c r="PP89" s="1493"/>
      <c r="PQ89" s="1493"/>
      <c r="PR89" s="1493"/>
      <c r="PS89" s="1493"/>
      <c r="PT89" s="1493"/>
      <c r="PU89" s="1493"/>
      <c r="PV89" s="1493"/>
      <c r="PW89" s="1493"/>
      <c r="PX89" s="1493"/>
      <c r="PY89" s="1493"/>
      <c r="PZ89" s="1493"/>
      <c r="QA89" s="1493"/>
      <c r="QB89" s="1493"/>
      <c r="QC89" s="1493"/>
      <c r="QD89" s="1493"/>
      <c r="QE89" s="1493"/>
      <c r="QF89" s="1493"/>
      <c r="QG89" s="1493"/>
      <c r="QH89" s="1493"/>
      <c r="QI89" s="1493"/>
      <c r="QJ89" s="1493"/>
      <c r="QK89" s="1493"/>
      <c r="QL89" s="1493"/>
      <c r="QM89" s="1493"/>
      <c r="QN89" s="1493"/>
      <c r="QO89" s="1493"/>
      <c r="QP89" s="1493"/>
      <c r="QQ89" s="1493"/>
      <c r="QR89" s="1493"/>
      <c r="QS89" s="1493"/>
      <c r="QT89" s="1493"/>
      <c r="QU89" s="1493"/>
      <c r="QV89" s="1493"/>
      <c r="QW89" s="1493"/>
      <c r="QX89" s="1493"/>
      <c r="QY89" s="1493"/>
      <c r="QZ89" s="1493"/>
      <c r="RA89" s="1493"/>
      <c r="RB89" s="1493"/>
      <c r="RC89" s="1493"/>
      <c r="RD89" s="1493"/>
      <c r="RE89" s="1493"/>
      <c r="RF89" s="1493"/>
      <c r="RG89" s="1493"/>
      <c r="RH89" s="1493"/>
      <c r="RI89" s="1493"/>
      <c r="RJ89" s="1493"/>
      <c r="RK89" s="1493"/>
      <c r="RL89" s="1493"/>
      <c r="RM89" s="1493"/>
      <c r="RN89" s="1493"/>
      <c r="RO89" s="1493"/>
      <c r="RP89" s="1493"/>
      <c r="RQ89" s="1493"/>
      <c r="RR89" s="1493"/>
      <c r="RS89" s="1493"/>
      <c r="RT89" s="1493"/>
      <c r="RU89" s="1493"/>
      <c r="RV89" s="1493"/>
      <c r="RW89" s="1493"/>
      <c r="RX89" s="1493"/>
      <c r="RY89" s="1493"/>
      <c r="RZ89" s="1493"/>
    </row>
    <row r="90" spans="1:494" customFormat="1" ht="13.5" hidden="1">
      <c r="A90" s="2308"/>
      <c r="B90" s="2308"/>
      <c r="C90" s="1510"/>
      <c r="D90" s="1511"/>
      <c r="E90" s="1511"/>
      <c r="F90" s="1493"/>
      <c r="G90" s="1493"/>
      <c r="H90" s="1513" t="s">
        <v>3698</v>
      </c>
      <c r="I90" s="1503"/>
      <c r="J90" s="1512" t="str">
        <f t="shared" ref="J90:O90" si="365">IF(OR(J89="",J62=0),"", J62-J89)</f>
        <v/>
      </c>
      <c r="K90" s="1512" t="str">
        <f t="shared" si="365"/>
        <v/>
      </c>
      <c r="L90" s="1512" t="str">
        <f t="shared" si="365"/>
        <v/>
      </c>
      <c r="M90" s="1512" t="str">
        <f t="shared" si="365"/>
        <v/>
      </c>
      <c r="N90" s="1512" t="str">
        <f t="shared" si="365"/>
        <v/>
      </c>
      <c r="O90" s="1512" t="str">
        <f t="shared" si="365"/>
        <v/>
      </c>
      <c r="W90" s="1482"/>
      <c r="X90" s="1482"/>
      <c r="Y90" s="1482"/>
      <c r="Z90" s="1482"/>
      <c r="AA90" s="1482"/>
      <c r="AB90" s="1482"/>
      <c r="AC90" s="1482"/>
      <c r="AD90" s="1482"/>
      <c r="AE90" s="1482"/>
      <c r="AF90" s="1482"/>
      <c r="AG90" s="1482"/>
      <c r="AH90" s="1482"/>
      <c r="AI90" s="1482"/>
      <c r="AJ90" s="1482"/>
      <c r="AK90" s="1482"/>
      <c r="AL90" s="1482"/>
      <c r="AM90" s="1482"/>
      <c r="AN90" s="1482"/>
      <c r="AO90" s="1482"/>
      <c r="AP90" s="1482"/>
      <c r="AQ90" s="1482"/>
      <c r="AR90" s="1482"/>
      <c r="AS90" s="1482"/>
      <c r="AT90" s="1482"/>
      <c r="AU90" s="1482"/>
      <c r="AV90" s="1482"/>
      <c r="AW90" s="1482"/>
      <c r="AX90" s="1482"/>
      <c r="AY90" s="1482"/>
      <c r="AZ90" s="1482"/>
      <c r="BA90" s="1482"/>
      <c r="BB90" s="1482"/>
      <c r="BC90" s="1482"/>
      <c r="BD90" s="1482"/>
      <c r="BE90" s="1482"/>
      <c r="BF90" s="1482"/>
      <c r="BG90" s="1482"/>
      <c r="BH90" s="1482"/>
      <c r="BI90" s="1482"/>
      <c r="BJ90" s="1482"/>
      <c r="BK90" s="1482"/>
      <c r="BL90" s="1482"/>
      <c r="BM90" s="1482"/>
      <c r="BN90" s="1482"/>
      <c r="BO90" s="1482"/>
      <c r="BP90" s="1482"/>
      <c r="BQ90" s="1482"/>
      <c r="BR90" s="1482"/>
      <c r="BS90" s="1482"/>
      <c r="BT90" s="1482"/>
      <c r="BU90" s="1482"/>
      <c r="BV90" s="1482"/>
      <c r="BW90" s="1482"/>
      <c r="BX90" s="1482"/>
      <c r="BY90" s="1482"/>
      <c r="BZ90" s="1482"/>
      <c r="CA90" s="1482"/>
      <c r="CB90" s="1482"/>
      <c r="CC90" s="1482"/>
      <c r="CD90" s="1482"/>
      <c r="CE90" s="1482"/>
      <c r="CF90" s="1482"/>
      <c r="CG90" s="1482"/>
      <c r="CH90" s="1482"/>
      <c r="CI90" s="1482"/>
      <c r="CJ90" s="1482"/>
      <c r="CK90" s="1482"/>
      <c r="CL90" s="1482"/>
      <c r="CM90" s="1482"/>
      <c r="CN90" s="1482"/>
      <c r="CO90" s="1482"/>
      <c r="CP90" s="1482"/>
      <c r="CQ90" s="1482"/>
      <c r="CR90" s="1482"/>
      <c r="CS90" s="1482"/>
      <c r="CT90" s="1482"/>
      <c r="CU90" s="1482"/>
      <c r="CV90" s="1482"/>
      <c r="CW90" s="1482"/>
      <c r="CX90" s="1482"/>
      <c r="CY90" s="1482"/>
      <c r="CZ90" s="1482"/>
      <c r="DA90" s="1482"/>
      <c r="DB90" s="1482"/>
      <c r="DC90" s="1482"/>
      <c r="DD90" s="1482"/>
      <c r="DE90" s="1482"/>
      <c r="DF90" s="1482"/>
      <c r="DG90" s="1482"/>
      <c r="DH90" s="1482"/>
      <c r="DI90" s="1482"/>
      <c r="DJ90" s="1482"/>
      <c r="DK90" s="1482"/>
      <c r="DL90" s="1482"/>
      <c r="DM90" s="1482"/>
      <c r="DN90" s="1482"/>
      <c r="DO90" s="1482"/>
      <c r="DP90" s="1482"/>
      <c r="DQ90" s="1482"/>
      <c r="DR90" s="1482"/>
      <c r="DS90" s="1482"/>
      <c r="DT90" s="1482"/>
      <c r="DU90" s="1482"/>
      <c r="DV90" s="1482"/>
      <c r="DW90" s="1482"/>
      <c r="DX90" s="1482"/>
      <c r="DY90" s="1482"/>
      <c r="DZ90" s="1482"/>
      <c r="EA90" s="1482"/>
      <c r="EB90" s="1482"/>
      <c r="EC90" s="1482"/>
      <c r="ED90" s="1482"/>
      <c r="EE90" s="1482"/>
      <c r="EF90" s="1482"/>
      <c r="EG90" s="1482"/>
      <c r="EH90" s="1482"/>
      <c r="EI90" s="1482"/>
      <c r="EJ90" s="1482"/>
      <c r="EK90" s="1482"/>
      <c r="EL90" s="1482"/>
      <c r="EM90" s="1482"/>
      <c r="EN90" s="1482"/>
      <c r="EO90" s="1482"/>
      <c r="EP90" s="1482"/>
      <c r="EQ90" s="1482"/>
      <c r="ER90" s="1482"/>
      <c r="ES90" s="1482"/>
      <c r="ET90" s="1482"/>
      <c r="EU90" s="1482"/>
      <c r="EV90" s="1482"/>
      <c r="EW90" s="1482"/>
      <c r="EX90" s="1482"/>
      <c r="EY90" s="1482"/>
      <c r="EZ90" s="1482"/>
      <c r="FA90" s="1482"/>
      <c r="FB90" s="1482"/>
      <c r="FC90" s="1482"/>
      <c r="FD90" s="1482"/>
      <c r="FE90" s="1482"/>
      <c r="FF90" s="1482"/>
      <c r="FG90" s="1482"/>
      <c r="FH90" s="1482"/>
      <c r="FI90" s="1482"/>
      <c r="FJ90" s="1482"/>
      <c r="FK90" s="1482"/>
      <c r="FL90" s="1482"/>
      <c r="FM90" s="1482"/>
      <c r="FN90" s="1482"/>
      <c r="FO90" s="1482"/>
      <c r="FP90" s="1482"/>
      <c r="FQ90" s="1482"/>
      <c r="FR90" s="1482"/>
      <c r="FS90" s="1482"/>
      <c r="FT90" s="1482"/>
      <c r="FU90" s="1482"/>
      <c r="FV90" s="1482"/>
      <c r="FW90" s="1482"/>
      <c r="FX90" s="1482"/>
      <c r="FY90" s="1482"/>
      <c r="FZ90" s="1482"/>
      <c r="GA90" s="1482"/>
      <c r="GB90" s="1482"/>
      <c r="GC90" s="1482"/>
      <c r="GD90" s="1482"/>
      <c r="GE90" s="1482"/>
      <c r="GF90" s="1482"/>
      <c r="GG90" s="1482"/>
      <c r="GH90" s="1482"/>
      <c r="GI90" s="1482"/>
      <c r="GJ90" s="1482"/>
      <c r="GK90" s="1482"/>
      <c r="GL90" s="1482"/>
      <c r="GM90" s="1482"/>
      <c r="GN90" s="1482"/>
      <c r="GO90" s="1482"/>
      <c r="GP90" s="1482"/>
      <c r="GQ90" s="1482"/>
      <c r="GR90" s="1482"/>
      <c r="GS90" s="1482"/>
      <c r="GT90" s="1482"/>
      <c r="GU90" s="1482"/>
      <c r="GV90" s="1482"/>
      <c r="GW90" s="1482"/>
      <c r="GX90" s="1482"/>
      <c r="GY90" s="1482"/>
      <c r="GZ90" s="1482"/>
      <c r="HA90" s="1482"/>
      <c r="HB90" s="1482"/>
      <c r="HC90" s="1482"/>
      <c r="HD90" s="1482"/>
      <c r="HE90" s="1482"/>
      <c r="HF90" s="1482"/>
      <c r="HG90" s="1482"/>
      <c r="HH90" s="1482"/>
      <c r="HI90" s="1482"/>
      <c r="HJ90" s="1482"/>
      <c r="HK90" s="1482"/>
      <c r="HL90" s="1482"/>
      <c r="HM90" s="1482"/>
      <c r="HN90" s="1482"/>
      <c r="HO90" s="1482"/>
      <c r="HP90" s="1482"/>
      <c r="HQ90" s="1482"/>
      <c r="HR90" s="1482"/>
      <c r="HS90" s="1482"/>
      <c r="HT90" s="1482"/>
      <c r="HU90" s="1482"/>
      <c r="HV90" s="1482"/>
      <c r="HW90" s="1482"/>
      <c r="HX90" s="1482"/>
      <c r="HY90" s="1482"/>
      <c r="HZ90" s="1482"/>
      <c r="IA90" s="1482"/>
      <c r="IB90" s="1482"/>
      <c r="IC90" s="1482"/>
      <c r="ID90" s="1482"/>
      <c r="IE90" s="1482"/>
      <c r="IF90" s="1482"/>
      <c r="IG90" s="1482"/>
      <c r="IH90" s="1482"/>
      <c r="II90" s="1482"/>
      <c r="IJ90" s="1482"/>
      <c r="IK90" s="1482"/>
      <c r="IL90" s="1482"/>
      <c r="IM90" s="1482"/>
      <c r="IN90" s="1482"/>
      <c r="IO90" s="1482"/>
      <c r="IP90" s="1482"/>
      <c r="IQ90" s="1482"/>
      <c r="IR90" s="1482"/>
      <c r="IS90" s="1482"/>
      <c r="IT90" s="1482"/>
      <c r="IU90" s="1482"/>
      <c r="IV90" s="1482"/>
      <c r="IW90" s="1482"/>
      <c r="IX90" s="1482"/>
      <c r="IY90" s="1482"/>
      <c r="IZ90" s="1482"/>
      <c r="JA90" s="1482"/>
      <c r="JB90" s="1482"/>
      <c r="JC90" s="1482"/>
      <c r="JD90" s="1482"/>
      <c r="JE90" s="1482"/>
      <c r="JF90" s="1482"/>
      <c r="JG90" s="1482"/>
      <c r="JH90" s="1482"/>
      <c r="JI90" s="1482"/>
      <c r="JJ90" s="1482"/>
      <c r="JK90" s="1482"/>
      <c r="JL90" s="1482"/>
      <c r="JM90" s="1482"/>
      <c r="JN90" s="1482"/>
      <c r="JO90" s="1482"/>
      <c r="JP90" s="1482"/>
      <c r="JQ90" s="1482"/>
      <c r="JR90" s="1482"/>
      <c r="JS90" s="1482"/>
      <c r="JT90" s="1482"/>
      <c r="JU90" s="1482"/>
      <c r="JV90" s="1482"/>
      <c r="JW90" s="1482"/>
      <c r="JX90" s="1482"/>
      <c r="JY90" s="1482"/>
      <c r="JZ90" s="1482"/>
      <c r="KA90" s="1482"/>
      <c r="KB90" s="1482"/>
      <c r="KC90" s="1482"/>
      <c r="KD90" s="1482"/>
      <c r="KE90" s="1482"/>
      <c r="KF90" s="1482"/>
      <c r="KG90" s="1482"/>
      <c r="KH90" s="1482"/>
      <c r="KI90" s="1482"/>
      <c r="KJ90" s="1482"/>
      <c r="KK90" s="1482"/>
      <c r="KL90" s="1482"/>
      <c r="KM90" s="1482"/>
      <c r="KN90" s="1482"/>
      <c r="KO90" s="1482"/>
      <c r="KP90" s="1482"/>
      <c r="KQ90" s="1482"/>
      <c r="KR90" s="1482"/>
      <c r="KS90" s="1482"/>
      <c r="KT90" s="1482"/>
      <c r="KU90" s="1482"/>
      <c r="KV90" s="1482"/>
      <c r="KW90" s="1482"/>
      <c r="KX90" s="1482"/>
      <c r="KY90" s="1482"/>
      <c r="KZ90" s="1482"/>
      <c r="LA90" s="1482"/>
      <c r="LB90" s="1482"/>
      <c r="LC90" s="1482"/>
      <c r="LD90" s="1482"/>
      <c r="LE90" s="1482"/>
      <c r="LF90" s="1482"/>
      <c r="LG90" s="1482"/>
      <c r="LH90" s="1482"/>
      <c r="LI90" s="1482"/>
      <c r="LJ90" s="1482"/>
      <c r="LK90" s="1482"/>
      <c r="LL90" s="1482"/>
      <c r="LM90" s="1482"/>
      <c r="LN90" s="1482"/>
      <c r="LO90" s="1482"/>
      <c r="LP90" s="1482"/>
      <c r="LQ90" s="1482"/>
      <c r="LR90" s="1482"/>
      <c r="LS90" s="1482"/>
      <c r="LT90" s="1482"/>
      <c r="LU90" s="1482"/>
      <c r="LV90" s="1482"/>
      <c r="LW90" s="1482"/>
      <c r="LX90" s="1482"/>
      <c r="LY90" s="1482"/>
      <c r="LZ90" s="1482"/>
      <c r="MA90" s="1482"/>
      <c r="MB90" s="1482"/>
      <c r="MC90" s="1482"/>
      <c r="MD90" s="1482"/>
      <c r="ME90" s="1482"/>
      <c r="MF90" s="1482"/>
      <c r="MG90" s="1482"/>
      <c r="MH90" s="1482"/>
      <c r="MI90" s="1482"/>
      <c r="MJ90" s="1482"/>
      <c r="MK90" s="1482"/>
      <c r="ML90" s="1482"/>
      <c r="MM90" s="1482"/>
      <c r="MN90" s="1482"/>
      <c r="MO90" s="1482"/>
      <c r="MP90" s="1482"/>
      <c r="MQ90" s="1482"/>
      <c r="MR90" s="1482"/>
      <c r="MS90" s="1482"/>
      <c r="MT90" s="1482"/>
      <c r="MU90" s="1482"/>
      <c r="MV90" s="1482"/>
      <c r="MW90" s="1482"/>
      <c r="MX90" s="1482"/>
      <c r="MY90" s="1482"/>
      <c r="MZ90" s="1482"/>
      <c r="NA90" s="1482"/>
      <c r="NB90" s="1482"/>
      <c r="NC90" s="1482"/>
      <c r="ND90" s="1493"/>
      <c r="NE90" s="1493"/>
      <c r="NF90" s="1493"/>
      <c r="NG90" s="1493"/>
      <c r="NH90" s="1493"/>
      <c r="NI90" s="1493"/>
      <c r="NJ90" s="1493"/>
      <c r="NK90" s="1493"/>
      <c r="NL90" s="1493"/>
      <c r="NM90" s="1493"/>
      <c r="NN90" s="1493"/>
      <c r="NO90" s="1493"/>
      <c r="NP90" s="1493"/>
      <c r="NQ90" s="1493"/>
      <c r="NR90" s="1493"/>
      <c r="NS90" s="1493"/>
      <c r="NT90" s="1493"/>
      <c r="NU90" s="1493"/>
      <c r="NV90" s="1493"/>
      <c r="NW90" s="1493"/>
      <c r="NX90" s="1493"/>
      <c r="NY90" s="1493"/>
      <c r="NZ90" s="1493"/>
      <c r="OA90" s="1493"/>
      <c r="OB90" s="1493"/>
      <c r="OC90" s="1493"/>
      <c r="OD90" s="1493"/>
      <c r="OE90" s="1493"/>
      <c r="OF90" s="1493"/>
      <c r="OG90" s="1493"/>
      <c r="OH90" s="1493"/>
      <c r="OI90" s="1493"/>
      <c r="OJ90" s="1493"/>
      <c r="OK90" s="1493"/>
      <c r="OL90" s="1493"/>
      <c r="OM90" s="1493"/>
      <c r="ON90" s="1493"/>
      <c r="OO90" s="1493"/>
      <c r="OP90" s="1493"/>
      <c r="OQ90" s="1493"/>
      <c r="OR90" s="1493"/>
      <c r="OS90" s="1493"/>
      <c r="OT90" s="1493"/>
      <c r="OU90" s="1493"/>
      <c r="OV90" s="1493"/>
      <c r="OW90" s="1493"/>
      <c r="OX90" s="1493"/>
      <c r="OY90" s="1493"/>
      <c r="OZ90" s="1493"/>
      <c r="PA90" s="1493"/>
      <c r="PB90" s="1493"/>
      <c r="PC90" s="1493"/>
      <c r="PD90" s="1493"/>
      <c r="PE90" s="1493"/>
      <c r="PF90" s="1493"/>
      <c r="PG90" s="1493"/>
      <c r="PH90" s="1493"/>
      <c r="PI90" s="1493"/>
      <c r="PJ90" s="1493"/>
      <c r="PK90" s="1493"/>
      <c r="PL90" s="1493"/>
      <c r="PM90" s="1493"/>
      <c r="PN90" s="1493"/>
      <c r="PO90" s="1493"/>
      <c r="PP90" s="1493"/>
      <c r="PQ90" s="1493"/>
      <c r="PR90" s="1493"/>
      <c r="PS90" s="1493"/>
      <c r="PT90" s="1493"/>
      <c r="PU90" s="1493"/>
      <c r="PV90" s="1493"/>
      <c r="PW90" s="1493"/>
      <c r="PX90" s="1493"/>
      <c r="PY90" s="1493"/>
      <c r="PZ90" s="1493"/>
      <c r="QA90" s="1493"/>
      <c r="QB90" s="1493"/>
      <c r="QC90" s="1493"/>
      <c r="QD90" s="1493"/>
      <c r="QE90" s="1493"/>
      <c r="QF90" s="1493"/>
      <c r="QG90" s="1493"/>
      <c r="QH90" s="1493"/>
      <c r="QI90" s="1493"/>
      <c r="QJ90" s="1493"/>
      <c r="QK90" s="1493"/>
      <c r="QL90" s="1493"/>
      <c r="QM90" s="1493"/>
      <c r="QN90" s="1493"/>
      <c r="QO90" s="1493"/>
      <c r="QP90" s="1493"/>
      <c r="QQ90" s="1493"/>
      <c r="QR90" s="1493"/>
      <c r="QS90" s="1493"/>
      <c r="QT90" s="1493"/>
      <c r="QU90" s="1493"/>
      <c r="QV90" s="1493"/>
      <c r="QW90" s="1493"/>
      <c r="QX90" s="1493"/>
      <c r="QY90" s="1493"/>
      <c r="QZ90" s="1493"/>
      <c r="RA90" s="1493"/>
      <c r="RB90" s="1493"/>
      <c r="RC90" s="1493"/>
      <c r="RD90" s="1493"/>
      <c r="RE90" s="1493"/>
      <c r="RF90" s="1493"/>
      <c r="RG90" s="1493"/>
      <c r="RH90" s="1493"/>
      <c r="RI90" s="1493"/>
      <c r="RJ90" s="1493"/>
      <c r="RK90" s="1493"/>
      <c r="RL90" s="1493"/>
      <c r="RM90" s="1493"/>
      <c r="RN90" s="1493"/>
      <c r="RO90" s="1493"/>
      <c r="RP90" s="1493"/>
      <c r="RQ90" s="1493"/>
      <c r="RR90" s="1493"/>
      <c r="RS90" s="1493"/>
      <c r="RT90" s="1493"/>
      <c r="RU90" s="1493"/>
      <c r="RV90" s="1493"/>
      <c r="RW90" s="1493"/>
      <c r="RX90" s="1493"/>
      <c r="RY90" s="1493"/>
      <c r="RZ90" s="1493"/>
    </row>
    <row r="91" spans="1:494" hidden="1">
      <c r="A91" s="2308"/>
      <c r="B91" s="2308"/>
      <c r="C91" s="1018"/>
      <c r="D91" s="1018"/>
      <c r="E91" s="1018"/>
      <c r="F91" s="1018"/>
      <c r="G91" s="1061"/>
      <c r="H91" s="1161"/>
      <c r="I91" s="1061"/>
      <c r="J91" s="1193"/>
      <c r="K91" s="1193"/>
      <c r="L91" s="1193"/>
      <c r="M91" s="1193"/>
      <c r="N91" s="1193"/>
      <c r="O91" s="1193"/>
      <c r="R91" s="1198" t="str">
        <f>C92</f>
        <v>PBRA-Assisted</v>
      </c>
      <c r="S91" s="1194"/>
      <c r="T91" s="1195"/>
      <c r="W91" s="1167"/>
      <c r="Z91" s="1167"/>
      <c r="AA91" s="1168"/>
      <c r="AB91" s="1167"/>
      <c r="AE91" s="1167"/>
      <c r="AF91" s="1168"/>
      <c r="AG91" s="1167"/>
      <c r="AJ91" s="1167"/>
      <c r="AK91" s="1168"/>
      <c r="AL91" s="1167"/>
      <c r="AO91" s="1167"/>
      <c r="AP91" s="1168"/>
      <c r="AQ91" s="1167"/>
      <c r="AR91" s="1167"/>
      <c r="AS91" s="1167"/>
      <c r="AT91" s="1167"/>
      <c r="AU91" s="1167"/>
      <c r="AV91" s="1167"/>
      <c r="AW91" s="1154"/>
      <c r="AX91" s="1058"/>
      <c r="BA91" s="1167"/>
      <c r="BB91" s="1154"/>
      <c r="BC91" s="1058"/>
      <c r="LN91" s="1155"/>
      <c r="MC91" s="1064"/>
    </row>
    <row r="92" spans="1:494" ht="15" customHeight="1">
      <c r="A92" s="2308"/>
      <c r="B92" s="2308"/>
      <c r="C92" s="1018" t="s">
        <v>868</v>
      </c>
      <c r="D92" s="1018"/>
      <c r="E92" s="1182"/>
      <c r="F92" s="1018"/>
      <c r="G92" s="1061"/>
      <c r="H92" s="1161" t="s">
        <v>3383</v>
      </c>
      <c r="I92" s="1061"/>
      <c r="J92" s="1199">
        <f>CO48</f>
        <v>0</v>
      </c>
      <c r="K92" s="1200">
        <f>CP48</f>
        <v>0</v>
      </c>
      <c r="L92" s="1200">
        <f>CQ48</f>
        <v>0</v>
      </c>
      <c r="M92" s="1200">
        <f>CR48</f>
        <v>0</v>
      </c>
      <c r="N92" s="1201">
        <f>CS48</f>
        <v>0</v>
      </c>
      <c r="O92" s="1165">
        <f t="shared" ref="O92:O99" si="366">SUM(J92:N92)</f>
        <v>0</v>
      </c>
      <c r="R92" s="2355"/>
      <c r="S92" s="2356"/>
      <c r="T92" s="2356"/>
      <c r="U92" s="2356"/>
      <c r="V92" s="2357"/>
      <c r="W92" s="1167"/>
      <c r="Z92" s="1167"/>
      <c r="AA92" s="1168"/>
      <c r="AB92" s="1167"/>
      <c r="AE92" s="1167"/>
      <c r="AF92" s="1168"/>
      <c r="AG92" s="1167"/>
      <c r="AJ92" s="1167"/>
      <c r="AK92" s="1168"/>
      <c r="AL92" s="1167"/>
      <c r="AO92" s="1167"/>
      <c r="AP92" s="1168"/>
      <c r="AQ92" s="305"/>
      <c r="AR92" s="305"/>
      <c r="AS92" s="305"/>
      <c r="AT92" s="305"/>
      <c r="AU92" s="305"/>
      <c r="AV92" s="305"/>
      <c r="AW92" s="1168"/>
      <c r="AX92" s="1058"/>
      <c r="BA92" s="305"/>
      <c r="BB92" s="1168"/>
      <c r="BC92" s="1058"/>
      <c r="LN92" s="1155"/>
      <c r="MC92" s="1064"/>
    </row>
    <row r="93" spans="1:494" ht="15" customHeight="1">
      <c r="A93" s="2308"/>
      <c r="B93" s="2308"/>
      <c r="C93" s="1161" t="s">
        <v>2225</v>
      </c>
      <c r="D93" s="1018"/>
      <c r="E93" s="1182"/>
      <c r="F93" s="1018"/>
      <c r="G93" s="1061"/>
      <c r="H93" s="1161" t="s">
        <v>3385</v>
      </c>
      <c r="I93" s="1061"/>
      <c r="J93" s="1169">
        <f>CJ48</f>
        <v>0</v>
      </c>
      <c r="K93" s="1170">
        <f>CK48</f>
        <v>0</v>
      </c>
      <c r="L93" s="1170">
        <f>CL48</f>
        <v>0</v>
      </c>
      <c r="M93" s="1170">
        <f>CM48</f>
        <v>0</v>
      </c>
      <c r="N93" s="1171">
        <f>CN48</f>
        <v>0</v>
      </c>
      <c r="O93" s="1172">
        <f t="shared" si="366"/>
        <v>0</v>
      </c>
      <c r="R93" s="2314"/>
      <c r="S93" s="2315"/>
      <c r="T93" s="2315"/>
      <c r="U93" s="2315"/>
      <c r="V93" s="2316"/>
      <c r="W93" s="1167"/>
      <c r="Z93" s="1167"/>
      <c r="AA93" s="1168"/>
      <c r="AB93" s="1167"/>
      <c r="AE93" s="1167"/>
      <c r="AF93" s="1168"/>
      <c r="AG93" s="1167"/>
      <c r="AJ93" s="1167"/>
      <c r="AK93" s="1168"/>
      <c r="AL93" s="1167"/>
      <c r="AO93" s="1167"/>
      <c r="AP93" s="1168"/>
      <c r="AQ93" s="305"/>
      <c r="AR93" s="305"/>
      <c r="AS93" s="305"/>
      <c r="AT93" s="305"/>
      <c r="AU93" s="305"/>
      <c r="AV93" s="305"/>
      <c r="AW93" s="1168"/>
      <c r="AX93" s="1058"/>
      <c r="BA93" s="305"/>
      <c r="BB93" s="1168"/>
      <c r="BC93" s="1058"/>
      <c r="LN93" s="1155"/>
      <c r="MC93" s="1064"/>
    </row>
    <row r="94" spans="1:494" ht="15" customHeight="1">
      <c r="A94" s="2308"/>
      <c r="B94" s="2308"/>
      <c r="C94" s="1018"/>
      <c r="D94" s="1018"/>
      <c r="E94" s="1182"/>
      <c r="F94" s="1018"/>
      <c r="G94" s="1061"/>
      <c r="H94" s="1161" t="s">
        <v>1065</v>
      </c>
      <c r="I94" s="1061"/>
      <c r="J94" s="1169">
        <f>CE48</f>
        <v>0</v>
      </c>
      <c r="K94" s="1170">
        <f>CF48</f>
        <v>0</v>
      </c>
      <c r="L94" s="1170">
        <f>CG48</f>
        <v>0</v>
      </c>
      <c r="M94" s="1170">
        <f>CH48</f>
        <v>0</v>
      </c>
      <c r="N94" s="1171">
        <f>CI48</f>
        <v>0</v>
      </c>
      <c r="O94" s="1172">
        <f t="shared" si="366"/>
        <v>0</v>
      </c>
      <c r="R94" s="2314"/>
      <c r="S94" s="2315"/>
      <c r="T94" s="2315"/>
      <c r="U94" s="2315"/>
      <c r="V94" s="2316"/>
      <c r="W94" s="1167"/>
      <c r="Z94" s="1167"/>
      <c r="AA94" s="1168"/>
      <c r="AB94" s="1167"/>
      <c r="AE94" s="1167"/>
      <c r="AF94" s="1168"/>
      <c r="AG94" s="1167"/>
      <c r="AJ94" s="1167"/>
      <c r="AK94" s="1168"/>
      <c r="AL94" s="1167"/>
      <c r="AO94" s="1167"/>
      <c r="AP94" s="1168"/>
      <c r="AQ94" s="305"/>
      <c r="AR94" s="305"/>
      <c r="AS94" s="305"/>
      <c r="AT94" s="305"/>
      <c r="AU94" s="305"/>
      <c r="AV94" s="305"/>
      <c r="AW94" s="1168"/>
      <c r="AX94" s="1058"/>
      <c r="BA94" s="305"/>
      <c r="BB94" s="1168"/>
      <c r="BC94" s="1058"/>
      <c r="LN94" s="1155"/>
      <c r="MC94" s="1064"/>
    </row>
    <row r="95" spans="1:494" ht="15" customHeight="1">
      <c r="A95" s="2308"/>
      <c r="B95" s="2308"/>
      <c r="C95" s="1018"/>
      <c r="D95" s="1018"/>
      <c r="E95" s="1182"/>
      <c r="F95" s="1018"/>
      <c r="G95" s="1061"/>
      <c r="H95" s="1173" t="s">
        <v>109</v>
      </c>
      <c r="I95" s="1174"/>
      <c r="J95" s="1175">
        <f>BZ48</f>
        <v>0</v>
      </c>
      <c r="K95" s="1176">
        <f>CA48</f>
        <v>0</v>
      </c>
      <c r="L95" s="1176">
        <f>CB48</f>
        <v>0</v>
      </c>
      <c r="M95" s="1176">
        <f>CC48</f>
        <v>0</v>
      </c>
      <c r="N95" s="1177">
        <f>CD48</f>
        <v>0</v>
      </c>
      <c r="O95" s="515">
        <f t="shared" si="366"/>
        <v>0</v>
      </c>
      <c r="R95" s="2314"/>
      <c r="S95" s="2315"/>
      <c r="T95" s="2315"/>
      <c r="U95" s="2315"/>
      <c r="V95" s="2316"/>
      <c r="W95" s="1167"/>
      <c r="Z95" s="1167"/>
      <c r="AA95" s="1168"/>
      <c r="AB95" s="1167"/>
      <c r="AE95" s="1167"/>
      <c r="AF95" s="1168"/>
      <c r="AG95" s="1167"/>
      <c r="AJ95" s="1167"/>
      <c r="AK95" s="1168"/>
      <c r="AL95" s="1167"/>
      <c r="AO95" s="1167"/>
      <c r="AP95" s="1168"/>
      <c r="AQ95" s="305"/>
      <c r="AR95" s="305"/>
      <c r="AS95" s="305"/>
      <c r="AT95" s="305"/>
      <c r="AU95" s="305"/>
      <c r="AV95" s="305"/>
      <c r="AW95" s="1168"/>
      <c r="AX95" s="1058"/>
      <c r="BA95" s="305"/>
      <c r="BB95" s="1168"/>
      <c r="BC95" s="1058"/>
      <c r="LN95" s="1155"/>
      <c r="MC95" s="1064"/>
    </row>
    <row r="96" spans="1:494" ht="15" customHeight="1">
      <c r="A96" s="1197"/>
      <c r="B96" s="1197"/>
      <c r="C96" s="1018"/>
      <c r="D96" s="1018"/>
      <c r="E96" s="1182"/>
      <c r="F96" s="1018"/>
      <c r="G96" s="1061"/>
      <c r="H96" s="1173" t="s">
        <v>3386</v>
      </c>
      <c r="I96" s="1174"/>
      <c r="J96" s="1169">
        <f>BU48</f>
        <v>0</v>
      </c>
      <c r="K96" s="1170">
        <f>BV48</f>
        <v>0</v>
      </c>
      <c r="L96" s="1170">
        <f>BW48</f>
        <v>0</v>
      </c>
      <c r="M96" s="1170">
        <f>BX48</f>
        <v>0</v>
      </c>
      <c r="N96" s="1171">
        <f>BY48</f>
        <v>0</v>
      </c>
      <c r="O96" s="1172">
        <f t="shared" si="366"/>
        <v>0</v>
      </c>
      <c r="R96" s="2314"/>
      <c r="S96" s="2315"/>
      <c r="T96" s="2315"/>
      <c r="U96" s="2315"/>
      <c r="V96" s="2316"/>
      <c r="W96" s="1167"/>
      <c r="Z96" s="1167"/>
      <c r="AA96" s="1168"/>
      <c r="AB96" s="1167"/>
      <c r="AE96" s="1167"/>
      <c r="AF96" s="1168"/>
      <c r="AG96" s="1167"/>
      <c r="AJ96" s="1167"/>
      <c r="AK96" s="1168"/>
      <c r="AL96" s="1167"/>
      <c r="AO96" s="1167"/>
      <c r="AP96" s="1168"/>
      <c r="AQ96" s="305"/>
      <c r="AR96" s="305"/>
      <c r="AS96" s="305"/>
      <c r="AT96" s="305"/>
      <c r="AU96" s="305"/>
      <c r="AV96" s="305"/>
      <c r="AW96" s="1168"/>
      <c r="AX96" s="1058"/>
      <c r="BA96" s="305"/>
      <c r="BB96" s="1168"/>
      <c r="BC96" s="1058"/>
      <c r="LN96" s="1155"/>
      <c r="MC96" s="1064"/>
    </row>
    <row r="97" spans="1:341" ht="15" customHeight="1">
      <c r="A97" s="1202"/>
      <c r="B97" s="1202"/>
      <c r="C97" s="1018"/>
      <c r="D97" s="1018"/>
      <c r="E97" s="1182"/>
      <c r="F97" s="1018"/>
      <c r="G97" s="1061"/>
      <c r="H97" s="1161" t="s">
        <v>3387</v>
      </c>
      <c r="I97" s="1061"/>
      <c r="J97" s="1169">
        <f>BP48</f>
        <v>0</v>
      </c>
      <c r="K97" s="1170">
        <f>BQ48</f>
        <v>0</v>
      </c>
      <c r="L97" s="1170">
        <f>BR48</f>
        <v>0</v>
      </c>
      <c r="M97" s="1170">
        <f>BS48</f>
        <v>0</v>
      </c>
      <c r="N97" s="1171">
        <f>BT48</f>
        <v>0</v>
      </c>
      <c r="O97" s="1172">
        <f t="shared" si="366"/>
        <v>0</v>
      </c>
      <c r="R97" s="2314"/>
      <c r="S97" s="2315"/>
      <c r="T97" s="2315"/>
      <c r="U97" s="2315"/>
      <c r="V97" s="2316"/>
      <c r="W97" s="1167"/>
      <c r="Z97" s="1167"/>
      <c r="AA97" s="1168"/>
      <c r="AB97" s="1167"/>
      <c r="AE97" s="1167"/>
      <c r="AF97" s="1168"/>
      <c r="AG97" s="1167"/>
      <c r="AJ97" s="1167"/>
      <c r="AK97" s="1168"/>
      <c r="AL97" s="1167"/>
      <c r="AO97" s="1167"/>
      <c r="AP97" s="1168"/>
      <c r="AQ97" s="305"/>
      <c r="AR97" s="305"/>
      <c r="AS97" s="305"/>
      <c r="AT97" s="305"/>
      <c r="AU97" s="305"/>
      <c r="AV97" s="305"/>
      <c r="AW97" s="1168"/>
      <c r="AX97" s="1058"/>
      <c r="BA97" s="305"/>
      <c r="BB97" s="1168"/>
      <c r="BC97" s="1058"/>
      <c r="LN97" s="1155"/>
      <c r="MC97" s="1064"/>
    </row>
    <row r="98" spans="1:341" ht="15" customHeight="1">
      <c r="A98" s="1202"/>
      <c r="B98" s="1202"/>
      <c r="D98" s="1018"/>
      <c r="E98" s="1182"/>
      <c r="F98" s="1018"/>
      <c r="G98" s="1061"/>
      <c r="H98" s="1161" t="s">
        <v>3388</v>
      </c>
      <c r="I98" s="1061"/>
      <c r="J98" s="1203">
        <f>BK48</f>
        <v>0</v>
      </c>
      <c r="K98" s="1204">
        <f>BL48</f>
        <v>0</v>
      </c>
      <c r="L98" s="1204">
        <f>BM48</f>
        <v>0</v>
      </c>
      <c r="M98" s="1204">
        <f>BN48</f>
        <v>0</v>
      </c>
      <c r="N98" s="1205">
        <f>BO48</f>
        <v>0</v>
      </c>
      <c r="O98" s="1185">
        <f t="shared" si="366"/>
        <v>0</v>
      </c>
      <c r="R98" s="2314"/>
      <c r="S98" s="2315"/>
      <c r="T98" s="2315"/>
      <c r="U98" s="2315"/>
      <c r="V98" s="2316"/>
      <c r="W98" s="1168"/>
      <c r="Z98" s="1167"/>
      <c r="AA98" s="1168"/>
      <c r="AB98" s="1168"/>
      <c r="AE98" s="1167"/>
      <c r="AF98" s="1168"/>
      <c r="AG98" s="1168"/>
      <c r="AJ98" s="1167"/>
      <c r="AK98" s="1168"/>
      <c r="AL98" s="1168"/>
      <c r="AO98" s="1167"/>
      <c r="AP98" s="1168"/>
      <c r="AQ98" s="305"/>
      <c r="AR98" s="305"/>
      <c r="AS98" s="305"/>
      <c r="AT98" s="305"/>
      <c r="AU98" s="305"/>
      <c r="AV98" s="305"/>
      <c r="AW98" s="1168"/>
      <c r="AX98" s="1058"/>
      <c r="BA98" s="305"/>
      <c r="BB98" s="1168"/>
      <c r="BC98" s="1058"/>
      <c r="LN98" s="1155"/>
      <c r="MC98" s="1064"/>
    </row>
    <row r="99" spans="1:341" ht="15" customHeight="1">
      <c r="A99" s="1202"/>
      <c r="B99" s="1202"/>
      <c r="C99" s="1015"/>
      <c r="D99" s="1018"/>
      <c r="E99" s="1182"/>
      <c r="F99" s="1018"/>
      <c r="G99" s="1061"/>
      <c r="H99" s="1206" t="s">
        <v>503</v>
      </c>
      <c r="I99" s="1061"/>
      <c r="J99" s="1191">
        <f>SUM(J92:J98)</f>
        <v>0</v>
      </c>
      <c r="K99" s="1191">
        <f>SUM(K92:K98)</f>
        <v>0</v>
      </c>
      <c r="L99" s="1191">
        <f>SUM(L92:L98)</f>
        <v>0</v>
      </c>
      <c r="M99" s="1191">
        <f>SUM(M92:M98)</f>
        <v>0</v>
      </c>
      <c r="N99" s="1191">
        <f>SUM(N92:N98)</f>
        <v>0</v>
      </c>
      <c r="O99" s="1191">
        <f t="shared" si="366"/>
        <v>0</v>
      </c>
      <c r="R99" s="2311"/>
      <c r="S99" s="2312"/>
      <c r="T99" s="2312"/>
      <c r="U99" s="2312"/>
      <c r="V99" s="2313"/>
      <c r="W99" s="1181"/>
      <c r="Z99" s="1167"/>
      <c r="AA99" s="1168"/>
      <c r="AB99" s="1181"/>
      <c r="AE99" s="1167"/>
      <c r="AF99" s="1168"/>
      <c r="AG99" s="1181"/>
      <c r="AJ99" s="1167"/>
      <c r="AK99" s="1168"/>
      <c r="AL99" s="1181"/>
      <c r="AO99" s="1167"/>
      <c r="AP99" s="1168"/>
      <c r="AQ99" s="305"/>
      <c r="AR99" s="305"/>
      <c r="AS99" s="305"/>
      <c r="AT99" s="305"/>
      <c r="AU99" s="305"/>
      <c r="AV99" s="305"/>
      <c r="AW99" s="1168"/>
      <c r="AX99" s="1058"/>
      <c r="BA99" s="305"/>
      <c r="BB99" s="1168"/>
      <c r="BC99" s="1058"/>
      <c r="LN99" s="1155"/>
      <c r="MC99" s="1064"/>
    </row>
    <row r="100" spans="1:341" ht="9" customHeight="1" thickBot="1">
      <c r="A100" s="1202"/>
      <c r="B100" s="1202"/>
      <c r="C100" s="1018"/>
      <c r="D100" s="1018"/>
      <c r="E100" s="1018"/>
      <c r="F100" s="1018"/>
      <c r="G100" s="1061"/>
      <c r="H100" s="1161"/>
      <c r="I100" s="1061"/>
      <c r="J100" s="1193"/>
      <c r="K100" s="1193"/>
      <c r="L100" s="1193"/>
      <c r="M100" s="1193"/>
      <c r="N100" s="1193"/>
      <c r="O100" s="1193"/>
      <c r="S100" s="1194"/>
      <c r="T100" s="1195"/>
      <c r="W100" s="1167"/>
      <c r="Z100" s="1167"/>
      <c r="AA100" s="1168"/>
      <c r="AB100" s="1167"/>
      <c r="AE100" s="1167"/>
      <c r="AF100" s="1168"/>
      <c r="AG100" s="1167"/>
      <c r="AJ100" s="1167"/>
      <c r="AK100" s="1168"/>
      <c r="AL100" s="1167"/>
      <c r="AO100" s="1167"/>
      <c r="AP100" s="1168"/>
      <c r="AQ100" s="1167"/>
      <c r="AR100" s="1167"/>
      <c r="AS100" s="1167"/>
      <c r="AT100" s="1167"/>
      <c r="AU100" s="1167"/>
      <c r="AV100" s="1167"/>
      <c r="AW100" s="1154"/>
      <c r="AX100" s="1058"/>
      <c r="BA100" s="1167"/>
      <c r="BB100" s="1154"/>
      <c r="BC100" s="1058"/>
      <c r="LN100" s="1155"/>
      <c r="MC100" s="1064"/>
    </row>
    <row r="101" spans="1:341" ht="14.45" customHeight="1" thickBot="1">
      <c r="A101" s="885" t="s">
        <v>685</v>
      </c>
      <c r="B101" s="885" t="s">
        <v>3394</v>
      </c>
      <c r="K101" s="2367" t="str">
        <f>$K$53</f>
        <v>&lt;&lt; Select LIHTC Election &gt;&gt;</v>
      </c>
      <c r="L101" s="2368"/>
      <c r="M101" s="2368"/>
      <c r="N101" s="2369"/>
      <c r="O101" s="1061"/>
      <c r="R101" s="1442" t="str">
        <f>B101</f>
        <v>UNIT SUMMARY (Continued)</v>
      </c>
      <c r="S101" s="1442"/>
      <c r="T101" s="1442"/>
      <c r="U101" s="1442"/>
      <c r="W101" s="1154"/>
      <c r="Z101" s="1154"/>
      <c r="AA101" s="1154"/>
      <c r="AB101" s="1154"/>
      <c r="AE101" s="1154"/>
      <c r="AF101" s="1154"/>
      <c r="AG101" s="1154"/>
      <c r="AJ101" s="1154"/>
      <c r="AK101" s="1154"/>
      <c r="AL101" s="1154"/>
      <c r="AO101" s="1154"/>
      <c r="AP101" s="1154"/>
      <c r="AQ101" s="1154"/>
      <c r="AR101" s="1154"/>
      <c r="AS101" s="1154"/>
      <c r="AT101" s="1154"/>
      <c r="AU101" s="1154"/>
      <c r="AV101" s="1154"/>
      <c r="AW101" s="1154"/>
      <c r="AX101" s="1058"/>
      <c r="BA101" s="1154"/>
      <c r="BB101" s="1154"/>
      <c r="BC101" s="1058"/>
      <c r="LN101" s="1155"/>
      <c r="MC101" s="1064"/>
    </row>
    <row r="102" spans="1:341" ht="9" customHeight="1">
      <c r="A102" s="885"/>
      <c r="B102" s="885"/>
      <c r="O102" s="1061"/>
      <c r="R102" s="1198" t="str">
        <f>C103</f>
        <v>PHA Operating Subsidy-Assisted</v>
      </c>
      <c r="S102" s="1157"/>
      <c r="T102" s="1158"/>
      <c r="W102" s="1154"/>
      <c r="Z102" s="1154"/>
      <c r="AA102" s="1154"/>
      <c r="AB102" s="1154"/>
      <c r="AE102" s="1154"/>
      <c r="AF102" s="1154"/>
      <c r="AG102" s="1154"/>
      <c r="AJ102" s="1154"/>
      <c r="AK102" s="1154"/>
      <c r="AL102" s="1154"/>
      <c r="AO102" s="1154"/>
      <c r="AP102" s="1154"/>
      <c r="AQ102" s="1154"/>
      <c r="AR102" s="1154"/>
      <c r="AS102" s="1154"/>
      <c r="AT102" s="1154"/>
      <c r="AU102" s="1154"/>
      <c r="AV102" s="1154"/>
      <c r="AW102" s="1154"/>
      <c r="AX102" s="1058"/>
      <c r="BA102" s="1154"/>
      <c r="BB102" s="1154"/>
      <c r="BC102" s="1058"/>
      <c r="LN102" s="1155"/>
      <c r="MC102" s="1064"/>
    </row>
    <row r="103" spans="1:341" ht="15" customHeight="1">
      <c r="A103" s="1202"/>
      <c r="B103" s="1202"/>
      <c r="C103" s="1207" t="s">
        <v>829</v>
      </c>
      <c r="D103" s="1207"/>
      <c r="E103" s="1207"/>
      <c r="F103" s="1018"/>
      <c r="G103" s="1061"/>
      <c r="H103" s="1161" t="s">
        <v>3383</v>
      </c>
      <c r="I103" s="1061"/>
      <c r="J103" s="1199">
        <f>DX48</f>
        <v>0</v>
      </c>
      <c r="K103" s="1200">
        <f>DY48</f>
        <v>0</v>
      </c>
      <c r="L103" s="1200">
        <f>DZ48</f>
        <v>0</v>
      </c>
      <c r="M103" s="1200">
        <f>EA48</f>
        <v>0</v>
      </c>
      <c r="N103" s="1201">
        <f>EB48</f>
        <v>0</v>
      </c>
      <c r="O103" s="1165">
        <f t="shared" ref="O103:O110" si="367">SUM(J103:N103)</f>
        <v>0</v>
      </c>
      <c r="R103" s="2355"/>
      <c r="S103" s="2356"/>
      <c r="T103" s="2356"/>
      <c r="U103" s="2356"/>
      <c r="V103" s="2357"/>
      <c r="W103" s="1058"/>
      <c r="Z103" s="1167"/>
      <c r="AA103" s="1168"/>
      <c r="AB103" s="1058"/>
      <c r="AE103" s="1167"/>
      <c r="AF103" s="1168"/>
      <c r="AG103" s="1058"/>
      <c r="AJ103" s="1167"/>
      <c r="AK103" s="1168"/>
      <c r="AL103" s="1058"/>
      <c r="AO103" s="1167"/>
      <c r="AP103" s="1168"/>
      <c r="AQ103" s="305"/>
      <c r="AR103" s="305"/>
      <c r="AS103" s="305"/>
      <c r="AT103" s="305"/>
      <c r="AU103" s="305"/>
      <c r="AV103" s="305"/>
      <c r="AW103" s="1168"/>
      <c r="AX103" s="1058"/>
      <c r="BA103" s="305"/>
      <c r="BB103" s="1168"/>
      <c r="BC103" s="1058"/>
      <c r="LN103" s="1155"/>
      <c r="MC103" s="1064"/>
    </row>
    <row r="104" spans="1:341" ht="15" customHeight="1">
      <c r="A104" s="1202"/>
      <c r="B104" s="1202"/>
      <c r="C104" s="1161" t="s">
        <v>2225</v>
      </c>
      <c r="D104" s="1207"/>
      <c r="E104" s="1207"/>
      <c r="F104" s="1018"/>
      <c r="G104" s="1061"/>
      <c r="H104" s="1161" t="s">
        <v>3385</v>
      </c>
      <c r="I104" s="1061"/>
      <c r="J104" s="1169">
        <f>DS48</f>
        <v>0</v>
      </c>
      <c r="K104" s="1170">
        <f>DT48</f>
        <v>0</v>
      </c>
      <c r="L104" s="1170">
        <f>DU48</f>
        <v>0</v>
      </c>
      <c r="M104" s="1170">
        <f>DV48</f>
        <v>0</v>
      </c>
      <c r="N104" s="1171">
        <f>DW48</f>
        <v>0</v>
      </c>
      <c r="O104" s="1172">
        <f t="shared" si="367"/>
        <v>0</v>
      </c>
      <c r="R104" s="2314"/>
      <c r="S104" s="2315"/>
      <c r="T104" s="2315"/>
      <c r="U104" s="2315"/>
      <c r="V104" s="2316"/>
      <c r="W104" s="1058"/>
      <c r="Z104" s="1167"/>
      <c r="AA104" s="1168"/>
      <c r="AB104" s="1058"/>
      <c r="AE104" s="1167"/>
      <c r="AF104" s="1168"/>
      <c r="AG104" s="1058"/>
      <c r="AJ104" s="1167"/>
      <c r="AK104" s="1168"/>
      <c r="AL104" s="1058"/>
      <c r="AO104" s="1167"/>
      <c r="AP104" s="1168"/>
      <c r="AQ104" s="305"/>
      <c r="AR104" s="305"/>
      <c r="AS104" s="305"/>
      <c r="AT104" s="305"/>
      <c r="AU104" s="305"/>
      <c r="AV104" s="305"/>
      <c r="AW104" s="1168"/>
      <c r="AX104" s="1058"/>
      <c r="BA104" s="305"/>
      <c r="BB104" s="1168"/>
      <c r="BC104" s="1058"/>
      <c r="LN104" s="1155"/>
      <c r="MC104" s="1064"/>
    </row>
    <row r="105" spans="1:341" ht="15" customHeight="1">
      <c r="A105" s="1202"/>
      <c r="B105" s="1202"/>
      <c r="C105" s="1207"/>
      <c r="D105" s="1207"/>
      <c r="E105" s="1207"/>
      <c r="F105" s="1018"/>
      <c r="G105" s="1061"/>
      <c r="H105" s="1161" t="s">
        <v>1065</v>
      </c>
      <c r="I105" s="1061"/>
      <c r="J105" s="1169">
        <f>DN48</f>
        <v>0</v>
      </c>
      <c r="K105" s="1170">
        <f>DO48</f>
        <v>0</v>
      </c>
      <c r="L105" s="1170">
        <f>DP48</f>
        <v>0</v>
      </c>
      <c r="M105" s="1170">
        <f>DQ48</f>
        <v>0</v>
      </c>
      <c r="N105" s="1171">
        <f>DR48</f>
        <v>0</v>
      </c>
      <c r="O105" s="1172">
        <f t="shared" si="367"/>
        <v>0</v>
      </c>
      <c r="R105" s="2314"/>
      <c r="S105" s="2315"/>
      <c r="T105" s="2315"/>
      <c r="U105" s="2315"/>
      <c r="V105" s="2316"/>
      <c r="W105" s="1058"/>
      <c r="Z105" s="1167"/>
      <c r="AA105" s="1168"/>
      <c r="AB105" s="1058"/>
      <c r="AE105" s="1167"/>
      <c r="AF105" s="1168"/>
      <c r="AG105" s="1058"/>
      <c r="AJ105" s="1167"/>
      <c r="AK105" s="1168"/>
      <c r="AL105" s="1058"/>
      <c r="AO105" s="1167"/>
      <c r="AP105" s="1168"/>
      <c r="AQ105" s="305"/>
      <c r="AR105" s="305"/>
      <c r="AS105" s="305"/>
      <c r="AT105" s="305"/>
      <c r="AU105" s="305"/>
      <c r="AV105" s="305"/>
      <c r="AW105" s="1168"/>
      <c r="AX105" s="1058"/>
      <c r="BA105" s="305"/>
      <c r="BB105" s="1168"/>
      <c r="BC105" s="1058"/>
      <c r="LN105" s="1155"/>
      <c r="MC105" s="1064"/>
    </row>
    <row r="106" spans="1:341" ht="15" customHeight="1">
      <c r="A106" s="1202"/>
      <c r="B106" s="1202"/>
      <c r="C106" s="1207"/>
      <c r="D106" s="1207"/>
      <c r="E106" s="1207"/>
      <c r="F106" s="1018"/>
      <c r="G106" s="1061"/>
      <c r="H106" s="1173" t="s">
        <v>109</v>
      </c>
      <c r="I106" s="1174"/>
      <c r="J106" s="1175">
        <f>DI48</f>
        <v>0</v>
      </c>
      <c r="K106" s="1176">
        <f>DJ48</f>
        <v>0</v>
      </c>
      <c r="L106" s="1176">
        <f>DK48</f>
        <v>0</v>
      </c>
      <c r="M106" s="1176">
        <f>DL48</f>
        <v>0</v>
      </c>
      <c r="N106" s="1177">
        <f>DM48</f>
        <v>0</v>
      </c>
      <c r="O106" s="515">
        <f t="shared" si="367"/>
        <v>0</v>
      </c>
      <c r="R106" s="2314"/>
      <c r="S106" s="2315"/>
      <c r="T106" s="2315"/>
      <c r="U106" s="2315"/>
      <c r="V106" s="2316"/>
      <c r="W106" s="1058"/>
      <c r="Z106" s="1167"/>
      <c r="AA106" s="1168"/>
      <c r="AB106" s="1058"/>
      <c r="AE106" s="1167"/>
      <c r="AF106" s="1168"/>
      <c r="AG106" s="1058"/>
      <c r="AJ106" s="1167"/>
      <c r="AK106" s="1168"/>
      <c r="AL106" s="1058"/>
      <c r="AO106" s="1167"/>
      <c r="AP106" s="1168"/>
      <c r="AQ106" s="305"/>
      <c r="AR106" s="305"/>
      <c r="AS106" s="305"/>
      <c r="AT106" s="305"/>
      <c r="AU106" s="305"/>
      <c r="AV106" s="305"/>
      <c r="AW106" s="1168"/>
      <c r="AX106" s="1058"/>
      <c r="BA106" s="305"/>
      <c r="BB106" s="1168"/>
      <c r="BC106" s="1058"/>
      <c r="LN106" s="1155"/>
      <c r="MC106" s="1064"/>
    </row>
    <row r="107" spans="1:341" ht="15" customHeight="1">
      <c r="A107" s="1202"/>
      <c r="B107" s="1202"/>
      <c r="C107" s="1207"/>
      <c r="D107" s="1207"/>
      <c r="E107" s="1207"/>
      <c r="F107" s="1018"/>
      <c r="G107" s="1061"/>
      <c r="H107" s="1173" t="s">
        <v>3386</v>
      </c>
      <c r="I107" s="1174"/>
      <c r="J107" s="1169">
        <f>DD48</f>
        <v>0</v>
      </c>
      <c r="K107" s="1170">
        <f>DE48</f>
        <v>0</v>
      </c>
      <c r="L107" s="1170">
        <f>DF48</f>
        <v>0</v>
      </c>
      <c r="M107" s="1170">
        <f>DG48</f>
        <v>0</v>
      </c>
      <c r="N107" s="1171">
        <f>DH48</f>
        <v>0</v>
      </c>
      <c r="O107" s="1172">
        <f t="shared" si="367"/>
        <v>0</v>
      </c>
      <c r="R107" s="2314"/>
      <c r="S107" s="2315"/>
      <c r="T107" s="2315"/>
      <c r="U107" s="2315"/>
      <c r="V107" s="2316"/>
      <c r="W107" s="1058"/>
      <c r="Z107" s="1167"/>
      <c r="AA107" s="1168"/>
      <c r="AB107" s="1058"/>
      <c r="AE107" s="1167"/>
      <c r="AF107" s="1168"/>
      <c r="AG107" s="1058"/>
      <c r="AJ107" s="1167"/>
      <c r="AK107" s="1168"/>
      <c r="AL107" s="1058"/>
      <c r="AO107" s="1167"/>
      <c r="AP107" s="1168"/>
      <c r="AQ107" s="305"/>
      <c r="AR107" s="305"/>
      <c r="AS107" s="305"/>
      <c r="AT107" s="305"/>
      <c r="AU107" s="305"/>
      <c r="AV107" s="305"/>
      <c r="AW107" s="1168"/>
      <c r="AX107" s="1058"/>
      <c r="BA107" s="305"/>
      <c r="BB107" s="1168"/>
      <c r="BC107" s="1058"/>
      <c r="LN107" s="1155"/>
      <c r="MC107" s="1064"/>
    </row>
    <row r="108" spans="1:341" ht="15" customHeight="1">
      <c r="A108" s="1202"/>
      <c r="B108" s="1202"/>
      <c r="C108" s="1207"/>
      <c r="D108" s="1207"/>
      <c r="E108" s="1207"/>
      <c r="F108" s="1018"/>
      <c r="G108" s="1061"/>
      <c r="H108" s="1161" t="s">
        <v>3387</v>
      </c>
      <c r="I108" s="1061"/>
      <c r="J108" s="1169">
        <f>CY48</f>
        <v>0</v>
      </c>
      <c r="K108" s="1170">
        <f>CZ48</f>
        <v>0</v>
      </c>
      <c r="L108" s="1170">
        <f>DA48</f>
        <v>0</v>
      </c>
      <c r="M108" s="1170">
        <f>DB48</f>
        <v>0</v>
      </c>
      <c r="N108" s="1171">
        <f>DC48</f>
        <v>0</v>
      </c>
      <c r="O108" s="1172">
        <f t="shared" si="367"/>
        <v>0</v>
      </c>
      <c r="R108" s="2314"/>
      <c r="S108" s="2315"/>
      <c r="T108" s="2315"/>
      <c r="U108" s="2315"/>
      <c r="V108" s="2316"/>
      <c r="W108" s="1058"/>
      <c r="Z108" s="1167"/>
      <c r="AA108" s="1168"/>
      <c r="AB108" s="1058"/>
      <c r="AE108" s="1167"/>
      <c r="AF108" s="1168"/>
      <c r="AG108" s="1058"/>
      <c r="AJ108" s="1167"/>
      <c r="AK108" s="1168"/>
      <c r="AL108" s="1058"/>
      <c r="AO108" s="1167"/>
      <c r="AP108" s="1168"/>
      <c r="AQ108" s="305"/>
      <c r="AR108" s="305"/>
      <c r="AS108" s="305"/>
      <c r="AT108" s="305"/>
      <c r="AU108" s="305"/>
      <c r="AV108" s="305"/>
      <c r="AW108" s="1168"/>
      <c r="AX108" s="1058"/>
      <c r="BA108" s="305"/>
      <c r="BB108" s="1168"/>
      <c r="BC108" s="1058"/>
      <c r="LN108" s="1155"/>
      <c r="MC108" s="1064"/>
    </row>
    <row r="109" spans="1:341" ht="15" customHeight="1">
      <c r="A109" s="1202"/>
      <c r="B109" s="1202"/>
      <c r="C109" s="1207"/>
      <c r="D109" s="1207"/>
      <c r="E109" s="1207"/>
      <c r="F109" s="1018"/>
      <c r="G109" s="1061"/>
      <c r="H109" s="1161" t="s">
        <v>3388</v>
      </c>
      <c r="I109" s="1061"/>
      <c r="J109" s="1203">
        <f>CT48</f>
        <v>0</v>
      </c>
      <c r="K109" s="1204">
        <f>CU48</f>
        <v>0</v>
      </c>
      <c r="L109" s="1204">
        <f>CV48</f>
        <v>0</v>
      </c>
      <c r="M109" s="1204">
        <f>CW48</f>
        <v>0</v>
      </c>
      <c r="N109" s="1205">
        <f>CX48</f>
        <v>0</v>
      </c>
      <c r="O109" s="1185">
        <f t="shared" si="367"/>
        <v>0</v>
      </c>
      <c r="R109" s="2314"/>
      <c r="S109" s="2315"/>
      <c r="T109" s="2315"/>
      <c r="U109" s="2315"/>
      <c r="V109" s="2316"/>
      <c r="W109" s="1208"/>
      <c r="Z109" s="1167"/>
      <c r="AA109" s="1168"/>
      <c r="AB109" s="1208"/>
      <c r="AE109" s="1167"/>
      <c r="AF109" s="1168"/>
      <c r="AG109" s="1208"/>
      <c r="AJ109" s="1167"/>
      <c r="AK109" s="1168"/>
      <c r="AL109" s="1208"/>
      <c r="AO109" s="1167"/>
      <c r="AP109" s="1168"/>
      <c r="AQ109" s="305"/>
      <c r="AR109" s="305"/>
      <c r="AS109" s="305"/>
      <c r="AT109" s="305"/>
      <c r="AU109" s="305"/>
      <c r="AV109" s="305"/>
      <c r="AW109" s="1168"/>
      <c r="AX109" s="1058"/>
      <c r="BA109" s="305"/>
      <c r="BB109" s="1168"/>
      <c r="BC109" s="1058"/>
      <c r="LN109" s="1155"/>
      <c r="MC109" s="1064"/>
    </row>
    <row r="110" spans="1:341" ht="15" customHeight="1">
      <c r="A110" s="1202"/>
      <c r="B110" s="1202"/>
      <c r="C110" s="1061"/>
      <c r="D110" s="1018"/>
      <c r="E110" s="1182"/>
      <c r="F110" s="1018"/>
      <c r="G110" s="1061"/>
      <c r="H110" s="1206" t="s">
        <v>503</v>
      </c>
      <c r="I110" s="1061"/>
      <c r="J110" s="1191">
        <f>SUM(J103:J109)</f>
        <v>0</v>
      </c>
      <c r="K110" s="1191">
        <f>SUM(K103:K109)</f>
        <v>0</v>
      </c>
      <c r="L110" s="1191">
        <f>SUM(L103:L109)</f>
        <v>0</v>
      </c>
      <c r="M110" s="1191">
        <f>SUM(M103:M109)</f>
        <v>0</v>
      </c>
      <c r="N110" s="1191">
        <f>SUM(N103:N109)</f>
        <v>0</v>
      </c>
      <c r="O110" s="1191">
        <f t="shared" si="367"/>
        <v>0</v>
      </c>
      <c r="R110" s="2311"/>
      <c r="S110" s="2312"/>
      <c r="T110" s="2312"/>
      <c r="U110" s="2312"/>
      <c r="V110" s="2313"/>
      <c r="W110" s="1181"/>
      <c r="Z110" s="1167"/>
      <c r="AA110" s="1168"/>
      <c r="AB110" s="1181"/>
      <c r="AE110" s="1167"/>
      <c r="AF110" s="1168"/>
      <c r="AG110" s="1181"/>
      <c r="AJ110" s="1167"/>
      <c r="AK110" s="1168"/>
      <c r="AL110" s="1181"/>
      <c r="AO110" s="1167"/>
      <c r="AP110" s="1168"/>
      <c r="AQ110" s="305"/>
      <c r="AR110" s="305"/>
      <c r="AS110" s="305"/>
      <c r="AT110" s="305"/>
      <c r="AU110" s="305"/>
      <c r="AV110" s="305"/>
      <c r="AW110" s="1168"/>
      <c r="AX110" s="1058"/>
      <c r="BA110" s="305"/>
      <c r="BB110" s="1168"/>
      <c r="BC110" s="1058"/>
      <c r="LN110" s="1155"/>
      <c r="MC110" s="1064"/>
    </row>
    <row r="111" spans="1:341" ht="9" customHeight="1">
      <c r="A111" s="1202"/>
      <c r="B111" s="1202"/>
      <c r="D111" s="1209"/>
      <c r="E111" s="1182"/>
      <c r="F111" s="1018"/>
      <c r="G111" s="1061"/>
      <c r="H111" s="1161"/>
      <c r="I111" s="1061"/>
      <c r="J111" s="1193"/>
      <c r="K111" s="1193"/>
      <c r="L111" s="1193"/>
      <c r="M111" s="1193"/>
      <c r="N111" s="1193"/>
      <c r="O111" s="1193"/>
      <c r="R111" s="1198"/>
      <c r="S111" s="1194"/>
      <c r="T111" s="1195"/>
      <c r="W111" s="1167"/>
      <c r="Z111" s="1167"/>
      <c r="AA111" s="1168"/>
      <c r="AB111" s="1167"/>
      <c r="AE111" s="1167"/>
      <c r="AF111" s="1168"/>
      <c r="AG111" s="1167"/>
      <c r="AJ111" s="1167"/>
      <c r="AK111" s="1168"/>
      <c r="AL111" s="1167"/>
      <c r="AO111" s="1167"/>
      <c r="AP111" s="1168"/>
      <c r="AQ111" s="1167"/>
      <c r="AR111" s="1167"/>
      <c r="AS111" s="1167"/>
      <c r="AT111" s="1167"/>
      <c r="AU111" s="1167"/>
      <c r="AV111" s="1167"/>
      <c r="AW111" s="1154"/>
      <c r="AX111" s="1058"/>
      <c r="BA111" s="1167"/>
      <c r="BB111" s="1154"/>
      <c r="BC111" s="1058"/>
      <c r="LN111" s="1155"/>
      <c r="MC111" s="1064"/>
    </row>
    <row r="112" spans="1:341" ht="14.25" customHeight="1">
      <c r="A112" s="1202"/>
      <c r="B112" s="1202"/>
      <c r="C112" s="2373" t="s">
        <v>33</v>
      </c>
      <c r="D112" s="2373"/>
      <c r="E112" s="1196" t="s">
        <v>2039</v>
      </c>
      <c r="F112" s="1018"/>
      <c r="G112" s="1061"/>
      <c r="H112" s="1161" t="s">
        <v>1314</v>
      </c>
      <c r="I112" s="1061"/>
      <c r="J112" s="1162">
        <f>GF48</f>
        <v>0</v>
      </c>
      <c r="K112" s="1163">
        <f>GG48</f>
        <v>0</v>
      </c>
      <c r="L112" s="1163">
        <f>GH48</f>
        <v>0</v>
      </c>
      <c r="M112" s="1163">
        <f>GI48</f>
        <v>0</v>
      </c>
      <c r="N112" s="1164">
        <f>GJ48</f>
        <v>0</v>
      </c>
      <c r="O112" s="1165">
        <f t="shared" ref="O112:O122" si="368">SUM(J112:N112)</f>
        <v>0</v>
      </c>
      <c r="R112" s="2355"/>
      <c r="S112" s="2356"/>
      <c r="T112" s="2356"/>
      <c r="U112" s="2356"/>
      <c r="V112" s="2357"/>
      <c r="W112" s="1167"/>
      <c r="Z112" s="1167"/>
      <c r="AA112" s="1168"/>
      <c r="AB112" s="1167"/>
      <c r="AE112" s="1167"/>
      <c r="AF112" s="1168"/>
      <c r="AG112" s="1167"/>
      <c r="AJ112" s="1167"/>
      <c r="AK112" s="1168"/>
      <c r="AL112" s="1167"/>
      <c r="AO112" s="1167"/>
      <c r="AP112" s="1168"/>
      <c r="AQ112" s="305"/>
      <c r="AR112" s="305"/>
      <c r="AS112" s="305"/>
      <c r="AT112" s="305"/>
      <c r="AU112" s="305"/>
      <c r="AV112" s="305"/>
      <c r="AW112" s="1154"/>
      <c r="BA112" s="305"/>
      <c r="BB112" s="1154"/>
      <c r="JV112" s="1064"/>
      <c r="KA112" s="1064"/>
      <c r="KB112" s="1064"/>
      <c r="KC112" s="1064"/>
      <c r="KD112" s="1064"/>
      <c r="KE112" s="1064"/>
      <c r="KF112" s="1064"/>
      <c r="KG112" s="1064"/>
      <c r="KH112" s="1064"/>
      <c r="KI112" s="1064"/>
      <c r="KJ112" s="1064"/>
      <c r="KK112" s="1064"/>
      <c r="KL112" s="1064"/>
      <c r="KM112" s="1064"/>
      <c r="KN112" s="1064"/>
      <c r="KO112" s="1064"/>
      <c r="KP112" s="1064"/>
      <c r="KQ112" s="1064"/>
      <c r="KR112" s="1064"/>
      <c r="KS112" s="1064"/>
      <c r="KT112" s="1064"/>
      <c r="KU112" s="1064"/>
      <c r="KV112" s="1064"/>
      <c r="KW112" s="1064"/>
      <c r="KX112" s="1064"/>
      <c r="KY112" s="1064"/>
      <c r="KZ112" s="1064"/>
      <c r="LA112" s="1064"/>
      <c r="LB112" s="1064"/>
      <c r="LC112" s="1064"/>
      <c r="LD112" s="1064"/>
      <c r="LE112" s="1064"/>
      <c r="LF112" s="1064"/>
      <c r="LN112" s="1155"/>
      <c r="MC112" s="1064"/>
    </row>
    <row r="113" spans="1:341" ht="14.25" customHeight="1">
      <c r="A113" s="1202"/>
      <c r="B113" s="1202"/>
      <c r="C113" s="2373"/>
      <c r="D113" s="2373"/>
      <c r="E113" s="1182"/>
      <c r="F113" s="1018"/>
      <c r="G113" s="1061"/>
      <c r="H113" s="1161" t="s">
        <v>282</v>
      </c>
      <c r="I113" s="1061"/>
      <c r="J113" s="1178">
        <f>GK48</f>
        <v>0</v>
      </c>
      <c r="K113" s="1179">
        <f>GL48</f>
        <v>0</v>
      </c>
      <c r="L113" s="1179">
        <f>GM48</f>
        <v>0</v>
      </c>
      <c r="M113" s="1179">
        <f>GN48</f>
        <v>0</v>
      </c>
      <c r="N113" s="1180">
        <f>GO48</f>
        <v>0</v>
      </c>
      <c r="O113" s="1185">
        <f t="shared" si="368"/>
        <v>0</v>
      </c>
      <c r="R113" s="2314"/>
      <c r="S113" s="2315"/>
      <c r="T113" s="2315"/>
      <c r="U113" s="2315"/>
      <c r="V113" s="2316"/>
      <c r="W113" s="1167"/>
      <c r="Z113" s="1167"/>
      <c r="AA113" s="1168"/>
      <c r="AB113" s="1167"/>
      <c r="AE113" s="1167"/>
      <c r="AF113" s="1168"/>
      <c r="AG113" s="1167"/>
      <c r="AJ113" s="1167"/>
      <c r="AK113" s="1168"/>
      <c r="AL113" s="1167"/>
      <c r="AO113" s="1167"/>
      <c r="AP113" s="1168"/>
      <c r="AQ113" s="305"/>
      <c r="AR113" s="305"/>
      <c r="AS113" s="305"/>
      <c r="AT113" s="305"/>
      <c r="AU113" s="305"/>
      <c r="AV113" s="305"/>
      <c r="AW113" s="1186"/>
      <c r="AX113" s="1058"/>
      <c r="BA113" s="305"/>
      <c r="BB113" s="1186"/>
      <c r="BC113" s="1058"/>
      <c r="LN113" s="1155"/>
      <c r="MC113" s="1064"/>
    </row>
    <row r="114" spans="1:341" ht="14.25" customHeight="1">
      <c r="A114" s="1202"/>
      <c r="B114" s="1202"/>
      <c r="C114" s="2373"/>
      <c r="D114" s="2373"/>
      <c r="E114" s="1182"/>
      <c r="F114" s="1018"/>
      <c r="G114" s="1061"/>
      <c r="H114" s="1206" t="s">
        <v>29</v>
      </c>
      <c r="I114" s="1061"/>
      <c r="J114" s="1210">
        <f>SUM(J112:J113)+GP48</f>
        <v>0</v>
      </c>
      <c r="K114" s="1210">
        <f>SUM(K112:K113)+GQ48</f>
        <v>0</v>
      </c>
      <c r="L114" s="1210">
        <f>SUM(L112:L113)+GR48</f>
        <v>0</v>
      </c>
      <c r="M114" s="1210">
        <f>SUM(M112:M113)+GS48</f>
        <v>0</v>
      </c>
      <c r="N114" s="1210">
        <f>SUM(N112:N113)+GT48</f>
        <v>0</v>
      </c>
      <c r="O114" s="1210">
        <f t="shared" si="368"/>
        <v>0</v>
      </c>
      <c r="R114" s="2314"/>
      <c r="S114" s="2315"/>
      <c r="T114" s="2315"/>
      <c r="U114" s="2315"/>
      <c r="V114" s="2316"/>
      <c r="W114" s="1181"/>
      <c r="Z114" s="1167"/>
      <c r="AA114" s="1208"/>
      <c r="AB114" s="1181"/>
      <c r="AE114" s="1167"/>
      <c r="AF114" s="1208"/>
      <c r="AG114" s="1181"/>
      <c r="AJ114" s="1167"/>
      <c r="AK114" s="1208"/>
      <c r="AL114" s="1181"/>
      <c r="AO114" s="1167"/>
      <c r="AP114" s="1208"/>
      <c r="AQ114" s="305"/>
      <c r="AR114" s="305"/>
      <c r="AS114" s="305"/>
      <c r="AT114" s="305"/>
      <c r="AU114" s="305"/>
      <c r="AV114" s="305"/>
      <c r="AW114" s="1168"/>
      <c r="AX114" s="1058"/>
      <c r="BA114" s="305"/>
      <c r="BB114" s="1168"/>
      <c r="BC114" s="1058"/>
      <c r="LN114" s="1155"/>
      <c r="MC114" s="1064"/>
    </row>
    <row r="115" spans="1:341" ht="14.25" customHeight="1">
      <c r="A115" s="1202"/>
      <c r="B115" s="1202"/>
      <c r="C115" s="2373"/>
      <c r="D115" s="2373"/>
      <c r="E115" s="1196" t="s">
        <v>1903</v>
      </c>
      <c r="F115" s="1018"/>
      <c r="G115" s="1061"/>
      <c r="H115" s="1161" t="s">
        <v>1314</v>
      </c>
      <c r="I115" s="1061"/>
      <c r="J115" s="1162">
        <f>GU48</f>
        <v>0</v>
      </c>
      <c r="K115" s="1163">
        <f>GV48</f>
        <v>0</v>
      </c>
      <c r="L115" s="1163">
        <f>GW48</f>
        <v>0</v>
      </c>
      <c r="M115" s="1163">
        <f>GX48</f>
        <v>0</v>
      </c>
      <c r="N115" s="1164">
        <f>GY48</f>
        <v>0</v>
      </c>
      <c r="O115" s="1165">
        <f t="shared" si="368"/>
        <v>0</v>
      </c>
      <c r="R115" s="2314"/>
      <c r="S115" s="2315"/>
      <c r="T115" s="2315"/>
      <c r="U115" s="2315"/>
      <c r="V115" s="2316"/>
      <c r="W115" s="1167"/>
      <c r="Z115" s="1167"/>
      <c r="AA115" s="1168"/>
      <c r="AB115" s="1167"/>
      <c r="AE115" s="1167"/>
      <c r="AF115" s="1168"/>
      <c r="AG115" s="1167"/>
      <c r="AJ115" s="1167"/>
      <c r="AK115" s="1168"/>
      <c r="AL115" s="1167"/>
      <c r="AO115" s="1167"/>
      <c r="AP115" s="1168"/>
      <c r="AQ115" s="305"/>
      <c r="AR115" s="305"/>
      <c r="AS115" s="305"/>
      <c r="AT115" s="305"/>
      <c r="AU115" s="305"/>
      <c r="AV115" s="305"/>
      <c r="AW115" s="1154"/>
      <c r="BA115" s="305"/>
      <c r="BB115" s="1154"/>
      <c r="JV115" s="1064"/>
      <c r="KA115" s="1064"/>
      <c r="KB115" s="1064"/>
      <c r="KC115" s="1064"/>
      <c r="KD115" s="1064"/>
      <c r="KE115" s="1064"/>
      <c r="KF115" s="1064"/>
      <c r="KG115" s="1064"/>
      <c r="KH115" s="1064"/>
      <c r="KI115" s="1064"/>
      <c r="KJ115" s="1064"/>
      <c r="KK115" s="1064"/>
      <c r="KL115" s="1064"/>
      <c r="KM115" s="1064"/>
      <c r="KN115" s="1064"/>
      <c r="KO115" s="1064"/>
      <c r="KP115" s="1064"/>
      <c r="KQ115" s="1064"/>
      <c r="KR115" s="1064"/>
      <c r="KS115" s="1064"/>
      <c r="KT115" s="1064"/>
      <c r="KU115" s="1064"/>
      <c r="KV115" s="1064"/>
      <c r="KW115" s="1064"/>
      <c r="KX115" s="1064"/>
      <c r="KY115" s="1064"/>
      <c r="KZ115" s="1064"/>
      <c r="LA115" s="1064"/>
      <c r="LB115" s="1064"/>
      <c r="LC115" s="1064"/>
      <c r="LD115" s="1064"/>
      <c r="LE115" s="1064"/>
      <c r="LF115" s="1064"/>
      <c r="LN115" s="1155"/>
      <c r="MC115" s="1064"/>
    </row>
    <row r="116" spans="1:341" ht="14.25" customHeight="1">
      <c r="A116" s="1202"/>
      <c r="B116" s="1202"/>
      <c r="C116" s="2373"/>
      <c r="D116" s="2373"/>
      <c r="E116" s="1182"/>
      <c r="F116" s="1018"/>
      <c r="G116" s="1061"/>
      <c r="H116" s="1161" t="s">
        <v>282</v>
      </c>
      <c r="I116" s="1061"/>
      <c r="J116" s="1178">
        <f>GZ48</f>
        <v>0</v>
      </c>
      <c r="K116" s="1179">
        <f>HA48</f>
        <v>0</v>
      </c>
      <c r="L116" s="1179">
        <f>HB48</f>
        <v>0</v>
      </c>
      <c r="M116" s="1179">
        <f>HC48</f>
        <v>0</v>
      </c>
      <c r="N116" s="1180">
        <f>HD48</f>
        <v>0</v>
      </c>
      <c r="O116" s="1185">
        <f t="shared" si="368"/>
        <v>0</v>
      </c>
      <c r="R116" s="2314"/>
      <c r="S116" s="2315"/>
      <c r="T116" s="2315"/>
      <c r="U116" s="2315"/>
      <c r="V116" s="2316"/>
      <c r="W116" s="1167"/>
      <c r="Z116" s="1167"/>
      <c r="AA116" s="1168"/>
      <c r="AB116" s="1167"/>
      <c r="AE116" s="1167"/>
      <c r="AF116" s="1168"/>
      <c r="AG116" s="1167"/>
      <c r="AJ116" s="1167"/>
      <c r="AK116" s="1168"/>
      <c r="AL116" s="1167"/>
      <c r="AO116" s="1167"/>
      <c r="AP116" s="1168"/>
      <c r="AQ116" s="305"/>
      <c r="AR116" s="305"/>
      <c r="AS116" s="305"/>
      <c r="AT116" s="305"/>
      <c r="AU116" s="305"/>
      <c r="AV116" s="305"/>
      <c r="AW116" s="1186"/>
      <c r="AX116" s="1058"/>
      <c r="BA116" s="305"/>
      <c r="BB116" s="1186"/>
      <c r="BC116" s="1058"/>
      <c r="LN116" s="1155"/>
      <c r="MC116" s="1064"/>
    </row>
    <row r="117" spans="1:341" ht="14.25" customHeight="1">
      <c r="A117" s="1202"/>
      <c r="B117" s="1202"/>
      <c r="C117" s="2373"/>
      <c r="D117" s="2373"/>
      <c r="E117" s="1182"/>
      <c r="F117" s="1018"/>
      <c r="G117" s="1061"/>
      <c r="H117" s="1206" t="s">
        <v>29</v>
      </c>
      <c r="I117" s="1061"/>
      <c r="J117" s="1210">
        <f>SUM(J115:J116)+HE48</f>
        <v>0</v>
      </c>
      <c r="K117" s="1210">
        <f>SUM(K115:K116)+HF48</f>
        <v>0</v>
      </c>
      <c r="L117" s="1210">
        <f>SUM(L115:L116)+HG48</f>
        <v>0</v>
      </c>
      <c r="M117" s="1210">
        <f>SUM(M115:M116)+HH48</f>
        <v>0</v>
      </c>
      <c r="N117" s="1210">
        <f>SUM(N115:N116)+HI48</f>
        <v>0</v>
      </c>
      <c r="O117" s="1210">
        <f t="shared" si="368"/>
        <v>0</v>
      </c>
      <c r="R117" s="2314"/>
      <c r="S117" s="2315"/>
      <c r="T117" s="2315"/>
      <c r="U117" s="2315"/>
      <c r="V117" s="2316"/>
      <c r="W117" s="1181"/>
      <c r="Z117" s="1167"/>
      <c r="AA117" s="1208"/>
      <c r="AB117" s="1181"/>
      <c r="AE117" s="1167"/>
      <c r="AF117" s="1208"/>
      <c r="AG117" s="1181"/>
      <c r="AJ117" s="1167"/>
      <c r="AK117" s="1208"/>
      <c r="AL117" s="1181"/>
      <c r="AO117" s="1167"/>
      <c r="AP117" s="1208"/>
      <c r="AQ117" s="305"/>
      <c r="AR117" s="305"/>
      <c r="AS117" s="305"/>
      <c r="AT117" s="305"/>
      <c r="AU117" s="305"/>
      <c r="AV117" s="305"/>
      <c r="AW117" s="1168"/>
      <c r="AX117" s="1058"/>
      <c r="BA117" s="305"/>
      <c r="BB117" s="1168"/>
      <c r="BC117" s="1058"/>
      <c r="LN117" s="1155"/>
      <c r="MC117" s="1064"/>
    </row>
    <row r="118" spans="1:341" ht="14.25" customHeight="1">
      <c r="A118" s="1202"/>
      <c r="B118" s="1202"/>
      <c r="C118" s="1211"/>
      <c r="D118" s="1018"/>
      <c r="E118" s="2371" t="s">
        <v>1305</v>
      </c>
      <c r="F118" s="2371"/>
      <c r="G118" s="1061"/>
      <c r="H118" s="1161" t="s">
        <v>1314</v>
      </c>
      <c r="I118" s="1061"/>
      <c r="J118" s="1162">
        <f>HJ48</f>
        <v>0</v>
      </c>
      <c r="K118" s="1163">
        <f>HK48</f>
        <v>0</v>
      </c>
      <c r="L118" s="1163">
        <f>HL48</f>
        <v>0</v>
      </c>
      <c r="M118" s="1163">
        <f>HM48</f>
        <v>0</v>
      </c>
      <c r="N118" s="1164">
        <f>HN48</f>
        <v>0</v>
      </c>
      <c r="O118" s="1165">
        <f t="shared" si="368"/>
        <v>0</v>
      </c>
      <c r="R118" s="2314"/>
      <c r="S118" s="2315"/>
      <c r="T118" s="2315"/>
      <c r="U118" s="2315"/>
      <c r="V118" s="2316"/>
      <c r="W118" s="1167"/>
      <c r="Z118" s="1167"/>
      <c r="AA118" s="1168"/>
      <c r="AB118" s="1167"/>
      <c r="AE118" s="1167"/>
      <c r="AF118" s="1168"/>
      <c r="AG118" s="1167"/>
      <c r="AJ118" s="1167"/>
      <c r="AK118" s="1168"/>
      <c r="AL118" s="1167"/>
      <c r="AO118" s="1167"/>
      <c r="AP118" s="1168"/>
      <c r="AQ118" s="305"/>
      <c r="AR118" s="305"/>
      <c r="AS118" s="305"/>
      <c r="AT118" s="305"/>
      <c r="AU118" s="305"/>
      <c r="AV118" s="305"/>
      <c r="AW118" s="1154"/>
      <c r="BA118" s="305"/>
      <c r="BB118" s="1154"/>
      <c r="JV118" s="1064"/>
      <c r="KA118" s="1064"/>
      <c r="KB118" s="1064"/>
      <c r="KC118" s="1064"/>
      <c r="KD118" s="1064"/>
      <c r="KE118" s="1064"/>
      <c r="KF118" s="1064"/>
      <c r="KG118" s="1064"/>
      <c r="KH118" s="1064"/>
      <c r="KI118" s="1064"/>
      <c r="KJ118" s="1064"/>
      <c r="KK118" s="1064"/>
      <c r="KL118" s="1064"/>
      <c r="KM118" s="1064"/>
      <c r="KN118" s="1064"/>
      <c r="KO118" s="1064"/>
      <c r="KP118" s="1064"/>
      <c r="KQ118" s="1064"/>
      <c r="KR118" s="1064"/>
      <c r="KS118" s="1064"/>
      <c r="KT118" s="1064"/>
      <c r="KU118" s="1064"/>
      <c r="KV118" s="1064"/>
      <c r="KW118" s="1064"/>
      <c r="KX118" s="1064"/>
      <c r="KY118" s="1064"/>
      <c r="KZ118" s="1064"/>
      <c r="LA118" s="1064"/>
      <c r="LB118" s="1064"/>
      <c r="LC118" s="1064"/>
      <c r="LD118" s="1064"/>
      <c r="LE118" s="1064"/>
      <c r="LF118" s="1064"/>
      <c r="LN118" s="1155"/>
      <c r="MC118" s="1064"/>
    </row>
    <row r="119" spans="1:341" ht="14.25" customHeight="1">
      <c r="A119" s="1202"/>
      <c r="B119" s="1202"/>
      <c r="C119" s="1211"/>
      <c r="D119" s="1018"/>
      <c r="E119" s="2371"/>
      <c r="F119" s="2371"/>
      <c r="G119" s="1061"/>
      <c r="H119" s="1161" t="s">
        <v>282</v>
      </c>
      <c r="I119" s="1061"/>
      <c r="J119" s="1178">
        <f>HO48</f>
        <v>0</v>
      </c>
      <c r="K119" s="1179">
        <f>HP48</f>
        <v>0</v>
      </c>
      <c r="L119" s="1179">
        <f>HQ48</f>
        <v>0</v>
      </c>
      <c r="M119" s="1179">
        <f>HR48</f>
        <v>0</v>
      </c>
      <c r="N119" s="1180">
        <f>HS48</f>
        <v>0</v>
      </c>
      <c r="O119" s="1185">
        <f t="shared" si="368"/>
        <v>0</v>
      </c>
      <c r="R119" s="2314"/>
      <c r="S119" s="2315"/>
      <c r="T119" s="2315"/>
      <c r="U119" s="2315"/>
      <c r="V119" s="2316"/>
      <c r="W119" s="1167"/>
      <c r="Z119" s="1167"/>
      <c r="AA119" s="1168"/>
      <c r="AB119" s="1167"/>
      <c r="AE119" s="1167"/>
      <c r="AF119" s="1168"/>
      <c r="AG119" s="1167"/>
      <c r="AJ119" s="1167"/>
      <c r="AK119" s="1168"/>
      <c r="AL119" s="1167"/>
      <c r="AO119" s="1167"/>
      <c r="AP119" s="1168"/>
      <c r="AQ119" s="305"/>
      <c r="AR119" s="305"/>
      <c r="AS119" s="305"/>
      <c r="AT119" s="305"/>
      <c r="AU119" s="305"/>
      <c r="AV119" s="305"/>
      <c r="AW119" s="1186"/>
      <c r="AX119" s="1058"/>
      <c r="BA119" s="305"/>
      <c r="BB119" s="1186"/>
      <c r="BC119" s="1058"/>
      <c r="LN119" s="1155"/>
      <c r="MC119" s="1064"/>
    </row>
    <row r="120" spans="1:341" ht="14.25" customHeight="1">
      <c r="A120" s="1202"/>
      <c r="B120" s="1202"/>
      <c r="C120" s="1211"/>
      <c r="D120" s="1018"/>
      <c r="E120" s="1182"/>
      <c r="F120" s="1018"/>
      <c r="G120" s="1061"/>
      <c r="H120" s="1206" t="s">
        <v>29</v>
      </c>
      <c r="I120" s="1061"/>
      <c r="J120" s="1210">
        <f>SUM(J118:J119)+HT48</f>
        <v>0</v>
      </c>
      <c r="K120" s="1210">
        <f>SUM(K118:K119)+HU48</f>
        <v>0</v>
      </c>
      <c r="L120" s="1210">
        <f>SUM(L118:L119)+HV48</f>
        <v>0</v>
      </c>
      <c r="M120" s="1210">
        <f>SUM(M118:M119)+HW48</f>
        <v>0</v>
      </c>
      <c r="N120" s="1210">
        <f>SUM(N118:N119)+HX48</f>
        <v>0</v>
      </c>
      <c r="O120" s="1210">
        <f t="shared" si="368"/>
        <v>0</v>
      </c>
      <c r="R120" s="2314"/>
      <c r="S120" s="2315"/>
      <c r="T120" s="2315"/>
      <c r="U120" s="2315"/>
      <c r="V120" s="2316"/>
      <c r="W120" s="1181"/>
      <c r="Z120" s="1167"/>
      <c r="AA120" s="1208"/>
      <c r="AB120" s="1181"/>
      <c r="AE120" s="1167"/>
      <c r="AF120" s="1208"/>
      <c r="AG120" s="1181"/>
      <c r="AJ120" s="1167"/>
      <c r="AK120" s="1208"/>
      <c r="AL120" s="1181"/>
      <c r="AO120" s="1167"/>
      <c r="AP120" s="1208"/>
      <c r="AQ120" s="305"/>
      <c r="AR120" s="305"/>
      <c r="AS120" s="305"/>
      <c r="AT120" s="305"/>
      <c r="AU120" s="305"/>
      <c r="AV120" s="305"/>
      <c r="AW120" s="1168"/>
      <c r="AX120" s="1058"/>
      <c r="BA120" s="305"/>
      <c r="BB120" s="1168"/>
      <c r="BC120" s="1058"/>
      <c r="LN120" s="1155"/>
      <c r="MC120" s="1064"/>
    </row>
    <row r="121" spans="1:341" ht="14.25" customHeight="1">
      <c r="A121" s="1202"/>
      <c r="B121" s="1202"/>
      <c r="C121" s="1211"/>
      <c r="D121" s="1018"/>
      <c r="E121" s="1182" t="s">
        <v>343</v>
      </c>
      <c r="F121" s="1018"/>
      <c r="G121" s="1212"/>
      <c r="H121" s="1061"/>
      <c r="I121" s="1061"/>
      <c r="J121" s="1213"/>
      <c r="K121" s="1213"/>
      <c r="L121" s="1213"/>
      <c r="M121" s="1213"/>
      <c r="N121" s="1213"/>
      <c r="O121" s="514">
        <f t="shared" si="368"/>
        <v>0</v>
      </c>
      <c r="R121" s="2314"/>
      <c r="S121" s="2315"/>
      <c r="T121" s="2315"/>
      <c r="U121" s="2315"/>
      <c r="V121" s="2316"/>
      <c r="W121" s="1167"/>
      <c r="Z121" s="1167"/>
      <c r="AA121" s="1168"/>
      <c r="AB121" s="1167"/>
      <c r="AE121" s="1167"/>
      <c r="AF121" s="1168"/>
      <c r="AG121" s="1167"/>
      <c r="AJ121" s="1167"/>
      <c r="AK121" s="1168"/>
      <c r="AL121" s="1167"/>
      <c r="AO121" s="1167"/>
      <c r="AP121" s="1168"/>
      <c r="AQ121" s="305"/>
      <c r="AR121" s="305"/>
      <c r="AS121" s="305"/>
      <c r="AT121" s="305"/>
      <c r="AU121" s="305"/>
      <c r="AV121" s="305"/>
      <c r="AW121" s="1186"/>
      <c r="AX121" s="1058"/>
      <c r="BA121" s="305"/>
      <c r="BB121" s="1186"/>
      <c r="BC121" s="1058"/>
      <c r="LN121" s="1155"/>
      <c r="MC121" s="1064"/>
    </row>
    <row r="122" spans="1:341" ht="14.25" customHeight="1">
      <c r="A122" s="2372"/>
      <c r="B122" s="2372"/>
      <c r="C122" s="2372"/>
      <c r="D122" s="2372"/>
      <c r="E122" s="1214" t="s">
        <v>2970</v>
      </c>
      <c r="F122" s="1018"/>
      <c r="G122" s="1212"/>
      <c r="H122" s="1061"/>
      <c r="I122" s="1061"/>
      <c r="J122" s="1215"/>
      <c r="K122" s="1215"/>
      <c r="L122" s="1215"/>
      <c r="M122" s="1215"/>
      <c r="N122" s="1215"/>
      <c r="O122" s="516">
        <f t="shared" si="368"/>
        <v>0</v>
      </c>
      <c r="R122" s="2314"/>
      <c r="S122" s="2315"/>
      <c r="T122" s="2315"/>
      <c r="U122" s="2315"/>
      <c r="V122" s="2316"/>
      <c r="W122" s="1167"/>
      <c r="Z122" s="1167"/>
      <c r="AA122" s="1168"/>
      <c r="AB122" s="1167"/>
      <c r="AE122" s="1167"/>
      <c r="AF122" s="1168"/>
      <c r="AG122" s="1167"/>
      <c r="AJ122" s="1167"/>
      <c r="AK122" s="1168"/>
      <c r="AL122" s="1167"/>
      <c r="AO122" s="1167"/>
      <c r="AP122" s="1168"/>
      <c r="AQ122" s="305"/>
      <c r="AR122" s="305"/>
      <c r="AS122" s="305"/>
      <c r="AT122" s="305"/>
      <c r="AU122" s="305"/>
      <c r="AV122" s="305"/>
      <c r="AW122" s="1186"/>
      <c r="AX122" s="1058"/>
      <c r="BA122" s="305"/>
      <c r="BB122" s="1186"/>
      <c r="BC122" s="1058"/>
      <c r="LN122" s="1155"/>
      <c r="MC122" s="1064"/>
    </row>
    <row r="123" spans="1:341" ht="9" customHeight="1">
      <c r="A123" s="1216"/>
      <c r="B123" s="1216"/>
      <c r="C123" s="1216"/>
      <c r="D123" s="1216"/>
      <c r="E123" s="1214"/>
      <c r="F123" s="1018"/>
      <c r="G123" s="1212"/>
      <c r="H123" s="1061"/>
      <c r="I123" s="1061"/>
      <c r="J123" s="1161"/>
      <c r="K123" s="1161"/>
      <c r="L123" s="1161"/>
      <c r="M123" s="1161"/>
      <c r="N123" s="1161"/>
      <c r="O123" s="1161"/>
      <c r="R123" s="2314"/>
      <c r="S123" s="2315"/>
      <c r="T123" s="2315"/>
      <c r="U123" s="2315"/>
      <c r="V123" s="2316"/>
      <c r="W123" s="1167"/>
      <c r="Z123" s="1167"/>
      <c r="AA123" s="1168"/>
      <c r="AB123" s="1167"/>
      <c r="AE123" s="1167"/>
      <c r="AF123" s="1168"/>
      <c r="AG123" s="1167"/>
      <c r="AJ123" s="1167"/>
      <c r="AK123" s="1168"/>
      <c r="AL123" s="1167"/>
      <c r="AO123" s="1167"/>
      <c r="AP123" s="1168"/>
      <c r="AQ123" s="305"/>
      <c r="AR123" s="305"/>
      <c r="AS123" s="305"/>
      <c r="AT123" s="305"/>
      <c r="AU123" s="305"/>
      <c r="AV123" s="305"/>
      <c r="AW123" s="1186"/>
      <c r="AX123" s="1058"/>
      <c r="BA123" s="305"/>
      <c r="BB123" s="1186"/>
      <c r="BC123" s="1058"/>
      <c r="LN123" s="1155"/>
      <c r="MC123" s="1064"/>
    </row>
    <row r="124" spans="1:341" ht="14.25" customHeight="1">
      <c r="A124" s="1216"/>
      <c r="B124" s="1216"/>
      <c r="C124" s="1216"/>
      <c r="D124" s="1216"/>
      <c r="E124" s="1182" t="s">
        <v>2940</v>
      </c>
      <c r="F124" s="1018"/>
      <c r="G124" s="1212"/>
      <c r="H124" s="1061"/>
      <c r="I124" s="1061"/>
      <c r="J124" s="1217">
        <f>J128+J130+J132+J134+J136+J138+J140+J142</f>
        <v>0</v>
      </c>
      <c r="K124" s="1218">
        <f>K128+K130+K132+K134+K136+K138+K140+K142</f>
        <v>0</v>
      </c>
      <c r="L124" s="1218">
        <f>L128+L130+L132+L134+L136+L138+L140+L142</f>
        <v>0</v>
      </c>
      <c r="M124" s="1218">
        <f>M128+M130+M132+M134+M136+M138+M140+M142</f>
        <v>0</v>
      </c>
      <c r="N124" s="1219">
        <f>N128+N130+N132+N134+N136+N138+N140+N142</f>
        <v>0</v>
      </c>
      <c r="O124" s="1220">
        <f>SUM(J124:N124)</f>
        <v>0</v>
      </c>
      <c r="R124" s="2311"/>
      <c r="S124" s="2312"/>
      <c r="T124" s="2312"/>
      <c r="U124" s="2312"/>
      <c r="V124" s="2313"/>
      <c r="W124" s="1167"/>
      <c r="Z124" s="1167"/>
      <c r="AA124" s="1168"/>
      <c r="AB124" s="1167"/>
      <c r="AE124" s="1167"/>
      <c r="AF124" s="1168"/>
      <c r="AG124" s="1167"/>
      <c r="AJ124" s="1167"/>
      <c r="AK124" s="1168"/>
      <c r="AL124" s="1167"/>
      <c r="AO124" s="1167"/>
      <c r="AP124" s="1168"/>
      <c r="AQ124" s="305"/>
      <c r="AR124" s="305"/>
      <c r="AS124" s="305"/>
      <c r="AT124" s="305"/>
      <c r="AU124" s="305"/>
      <c r="AV124" s="305"/>
      <c r="AW124" s="1186"/>
      <c r="AX124" s="1058"/>
      <c r="BA124" s="305"/>
      <c r="BB124" s="1186"/>
      <c r="BC124" s="1058"/>
      <c r="LN124" s="1155"/>
      <c r="MC124" s="1064"/>
    </row>
    <row r="125" spans="1:341" ht="9.75" customHeight="1">
      <c r="D125" s="1018"/>
      <c r="E125" s="1182"/>
      <c r="F125" s="1018"/>
      <c r="G125" s="1212"/>
      <c r="H125" s="1061"/>
      <c r="I125" s="1061"/>
      <c r="J125" s="1193"/>
      <c r="K125" s="1193"/>
      <c r="L125" s="1193"/>
      <c r="M125" s="1193"/>
      <c r="N125" s="1193"/>
      <c r="O125" s="1193"/>
      <c r="R125" s="1221" t="str">
        <f>C126</f>
        <v>Building Type: (for Utility Allowance, Monitoring Fees and other purposes)</v>
      </c>
      <c r="S125" s="1194"/>
      <c r="T125" s="1195"/>
      <c r="W125" s="1058"/>
      <c r="Z125" s="1058"/>
      <c r="AA125" s="1168"/>
      <c r="AB125" s="1058"/>
      <c r="AE125" s="1058"/>
      <c r="AF125" s="1168"/>
      <c r="AG125" s="1058"/>
      <c r="AJ125" s="1058"/>
      <c r="AK125" s="1168"/>
      <c r="AL125" s="1058"/>
      <c r="AO125" s="1058"/>
      <c r="AP125" s="1168"/>
      <c r="AQ125" s="1167"/>
      <c r="AR125" s="1167"/>
      <c r="AS125" s="1167"/>
      <c r="AT125" s="1167"/>
      <c r="AU125" s="1167"/>
      <c r="AV125" s="1167"/>
      <c r="AW125" s="1154"/>
      <c r="AX125" s="1058"/>
      <c r="BA125" s="1167"/>
      <c r="BB125" s="1154"/>
      <c r="BC125" s="1058"/>
      <c r="LN125" s="1155"/>
      <c r="MC125" s="1064"/>
    </row>
    <row r="126" spans="1:341" ht="14.25" customHeight="1">
      <c r="C126" s="2365" t="s">
        <v>3395</v>
      </c>
      <c r="D126" s="2365"/>
      <c r="E126" s="1222" t="s">
        <v>34</v>
      </c>
      <c r="F126" s="1223"/>
      <c r="G126" s="1224"/>
      <c r="H126" s="1225"/>
      <c r="I126" s="1226"/>
      <c r="J126" s="1227">
        <f t="shared" ref="J126:O126" si="369">SUM(J127:J134)</f>
        <v>0</v>
      </c>
      <c r="K126" s="1228">
        <f t="shared" si="369"/>
        <v>0</v>
      </c>
      <c r="L126" s="1228">
        <f t="shared" si="369"/>
        <v>0</v>
      </c>
      <c r="M126" s="1228">
        <f t="shared" si="369"/>
        <v>0</v>
      </c>
      <c r="N126" s="1229">
        <f t="shared" si="369"/>
        <v>0</v>
      </c>
      <c r="O126" s="1230">
        <f t="shared" si="369"/>
        <v>0</v>
      </c>
      <c r="R126" s="2355"/>
      <c r="S126" s="2356"/>
      <c r="T126" s="2356"/>
      <c r="U126" s="2356"/>
      <c r="V126" s="2357"/>
      <c r="W126" s="1058"/>
      <c r="Z126" s="1058"/>
      <c r="AA126" s="1168"/>
      <c r="AB126" s="1058"/>
      <c r="AE126" s="1058"/>
      <c r="AF126" s="1168"/>
      <c r="AG126" s="1058"/>
      <c r="AJ126" s="1058"/>
      <c r="AK126" s="1168"/>
      <c r="AL126" s="1058"/>
      <c r="AO126" s="1058"/>
      <c r="AP126" s="1168"/>
      <c r="AQ126" s="305"/>
      <c r="AR126" s="305"/>
      <c r="AS126" s="305"/>
      <c r="AT126" s="305"/>
      <c r="AU126" s="305"/>
      <c r="AV126" s="305"/>
      <c r="AW126" s="1154"/>
      <c r="BA126" s="305"/>
      <c r="BB126" s="1154"/>
      <c r="JV126" s="1064"/>
      <c r="KA126" s="1064"/>
      <c r="KB126" s="1064"/>
      <c r="KC126" s="1064"/>
      <c r="KD126" s="1064"/>
      <c r="KE126" s="1064"/>
      <c r="KF126" s="1064"/>
      <c r="KG126" s="1064"/>
      <c r="KH126" s="1064"/>
      <c r="KI126" s="1064"/>
      <c r="KJ126" s="1064"/>
      <c r="KK126" s="1064"/>
      <c r="KL126" s="1064"/>
      <c r="KM126" s="1064"/>
      <c r="KN126" s="1064"/>
      <c r="KO126" s="1064"/>
      <c r="KP126" s="1064"/>
      <c r="KQ126" s="1064"/>
      <c r="KR126" s="1064"/>
      <c r="KS126" s="1064"/>
      <c r="KT126" s="1064"/>
      <c r="KU126" s="1064"/>
      <c r="KV126" s="1064"/>
      <c r="KW126" s="1064"/>
      <c r="KX126" s="1064"/>
      <c r="KY126" s="1064"/>
      <c r="KZ126" s="1064"/>
      <c r="LA126" s="1064"/>
      <c r="LB126" s="1064"/>
      <c r="LC126" s="1064"/>
      <c r="LD126" s="1064"/>
      <c r="LE126" s="1064"/>
      <c r="LF126" s="1064"/>
      <c r="LN126" s="1155"/>
      <c r="MC126" s="1064"/>
    </row>
    <row r="127" spans="1:341" ht="14.25" customHeight="1">
      <c r="C127" s="2366"/>
      <c r="D127" s="2366"/>
      <c r="E127" s="1196"/>
      <c r="F127" s="1141"/>
      <c r="G127" s="1194"/>
      <c r="H127" s="1231" t="s">
        <v>2313</v>
      </c>
      <c r="I127" s="1174"/>
      <c r="J127" s="1169">
        <f>JR48</f>
        <v>0</v>
      </c>
      <c r="K127" s="1170">
        <f>JS48</f>
        <v>0</v>
      </c>
      <c r="L127" s="1170">
        <f>JT48</f>
        <v>0</v>
      </c>
      <c r="M127" s="1170">
        <f>JU48</f>
        <v>0</v>
      </c>
      <c r="N127" s="1171">
        <f>JV48</f>
        <v>0</v>
      </c>
      <c r="O127" s="1172">
        <f t="shared" ref="O127:O142" si="370">SUM(J127:N127)</f>
        <v>0</v>
      </c>
      <c r="R127" s="2314"/>
      <c r="S127" s="2315"/>
      <c r="T127" s="2315"/>
      <c r="U127" s="2315"/>
      <c r="V127" s="2316"/>
      <c r="W127" s="1058"/>
      <c r="Z127" s="1058"/>
      <c r="AA127" s="1168"/>
      <c r="AB127" s="1058"/>
      <c r="AE127" s="1058"/>
      <c r="AF127" s="1168"/>
      <c r="AG127" s="1058"/>
      <c r="AJ127" s="1058"/>
      <c r="AK127" s="1168"/>
      <c r="AL127" s="1058"/>
      <c r="AO127" s="1058"/>
      <c r="AP127" s="1168"/>
      <c r="AQ127" s="305"/>
      <c r="AR127" s="305"/>
      <c r="AS127" s="305"/>
      <c r="AT127" s="305"/>
      <c r="AU127" s="305"/>
      <c r="AV127" s="305"/>
      <c r="AW127" s="1154"/>
      <c r="BA127" s="305"/>
      <c r="BB127" s="1154"/>
      <c r="JV127" s="1064"/>
      <c r="KA127" s="1064"/>
      <c r="KB127" s="1064"/>
      <c r="KC127" s="1064"/>
      <c r="KD127" s="1064"/>
      <c r="KE127" s="1064"/>
      <c r="KF127" s="1064"/>
      <c r="KG127" s="1064"/>
      <c r="KH127" s="1064"/>
      <c r="KI127" s="1064"/>
      <c r="KJ127" s="1064"/>
      <c r="KK127" s="1064"/>
      <c r="KL127" s="1064"/>
      <c r="KM127" s="1064"/>
      <c r="KN127" s="1064"/>
      <c r="KO127" s="1064"/>
      <c r="KP127" s="1064"/>
      <c r="KQ127" s="1064"/>
      <c r="KR127" s="1064"/>
      <c r="KS127" s="1064"/>
      <c r="KT127" s="1064"/>
      <c r="KU127" s="1064"/>
      <c r="KV127" s="1064"/>
      <c r="KW127" s="1064"/>
      <c r="KX127" s="1064"/>
      <c r="KY127" s="1064"/>
      <c r="KZ127" s="1064"/>
      <c r="LA127" s="1064"/>
      <c r="LB127" s="1064"/>
      <c r="LC127" s="1064"/>
      <c r="LD127" s="1064"/>
      <c r="LE127" s="1064"/>
      <c r="LF127" s="1064"/>
      <c r="LN127" s="1155"/>
      <c r="MC127" s="1064"/>
    </row>
    <row r="128" spans="1:341" ht="14.25" customHeight="1">
      <c r="C128" s="2366"/>
      <c r="D128" s="2366"/>
      <c r="E128" s="1196"/>
      <c r="F128" s="1141"/>
      <c r="G128" s="1194"/>
      <c r="H128" s="1232" t="s">
        <v>2940</v>
      </c>
      <c r="I128" s="1174"/>
      <c r="J128" s="1175">
        <f>JW48</f>
        <v>0</v>
      </c>
      <c r="K128" s="1176">
        <f>JX48</f>
        <v>0</v>
      </c>
      <c r="L128" s="1176">
        <f>JY48</f>
        <v>0</v>
      </c>
      <c r="M128" s="1176">
        <f>JZ48</f>
        <v>0</v>
      </c>
      <c r="N128" s="1177">
        <f>KA48</f>
        <v>0</v>
      </c>
      <c r="O128" s="515">
        <f t="shared" si="370"/>
        <v>0</v>
      </c>
      <c r="R128" s="2314"/>
      <c r="S128" s="2315"/>
      <c r="T128" s="2315"/>
      <c r="U128" s="2315"/>
      <c r="V128" s="2316"/>
      <c r="W128" s="1058"/>
      <c r="Z128" s="1058"/>
      <c r="AA128" s="1168"/>
      <c r="AB128" s="1058"/>
      <c r="AE128" s="1058"/>
      <c r="AF128" s="1168"/>
      <c r="AG128" s="1058"/>
      <c r="AJ128" s="1058"/>
      <c r="AK128" s="1168"/>
      <c r="AL128" s="1058"/>
      <c r="AO128" s="1058"/>
      <c r="AP128" s="1168"/>
      <c r="AQ128" s="305"/>
      <c r="AR128" s="305"/>
      <c r="AS128" s="305"/>
      <c r="AT128" s="305"/>
      <c r="AU128" s="305"/>
      <c r="AV128" s="305"/>
      <c r="AW128" s="1154"/>
      <c r="BA128" s="305"/>
      <c r="BB128" s="1154"/>
      <c r="JV128" s="1064"/>
      <c r="KA128" s="1064"/>
      <c r="KB128" s="1064"/>
      <c r="KC128" s="1064"/>
      <c r="KD128" s="1064"/>
      <c r="KE128" s="1064"/>
      <c r="KF128" s="1064"/>
      <c r="KG128" s="1064"/>
      <c r="KH128" s="1064"/>
      <c r="KI128" s="1064"/>
      <c r="KJ128" s="1064"/>
      <c r="KK128" s="1064"/>
      <c r="KL128" s="1064"/>
      <c r="KM128" s="1064"/>
      <c r="KN128" s="1064"/>
      <c r="KO128" s="1064"/>
      <c r="KP128" s="1064"/>
      <c r="KQ128" s="1064"/>
      <c r="KR128" s="1064"/>
      <c r="KS128" s="1064"/>
      <c r="KT128" s="1064"/>
      <c r="KU128" s="1064"/>
      <c r="KV128" s="1064"/>
      <c r="KW128" s="1064"/>
      <c r="KX128" s="1064"/>
      <c r="KY128" s="1064"/>
      <c r="KZ128" s="1064"/>
      <c r="LA128" s="1064"/>
      <c r="LB128" s="1064"/>
      <c r="LC128" s="1064"/>
      <c r="LD128" s="1064"/>
      <c r="LE128" s="1064"/>
      <c r="LF128" s="1064"/>
      <c r="LN128" s="1155"/>
      <c r="MC128" s="1064"/>
    </row>
    <row r="129" spans="1:341" ht="14.25" customHeight="1">
      <c r="C129" s="2366"/>
      <c r="D129" s="2366"/>
      <c r="E129" s="1196"/>
      <c r="F129" s="1141"/>
      <c r="G129" s="1194"/>
      <c r="H129" s="1231" t="s">
        <v>2314</v>
      </c>
      <c r="I129" s="1174"/>
      <c r="J129" s="1169">
        <f>KB48</f>
        <v>0</v>
      </c>
      <c r="K129" s="1170">
        <f>KC48</f>
        <v>0</v>
      </c>
      <c r="L129" s="1170">
        <f>KD48</f>
        <v>0</v>
      </c>
      <c r="M129" s="1170">
        <f>KE48</f>
        <v>0</v>
      </c>
      <c r="N129" s="1171">
        <f>KF48</f>
        <v>0</v>
      </c>
      <c r="O129" s="1233">
        <f t="shared" si="370"/>
        <v>0</v>
      </c>
      <c r="R129" s="2314"/>
      <c r="S129" s="2315"/>
      <c r="T129" s="2315"/>
      <c r="U129" s="2315"/>
      <c r="V129" s="2316"/>
      <c r="W129" s="1058"/>
      <c r="Z129" s="1058"/>
      <c r="AA129" s="1168"/>
      <c r="AB129" s="1058"/>
      <c r="AE129" s="1058"/>
      <c r="AF129" s="1168"/>
      <c r="AG129" s="1058"/>
      <c r="AJ129" s="1058"/>
      <c r="AK129" s="1168"/>
      <c r="AL129" s="1058"/>
      <c r="AO129" s="1058"/>
      <c r="AP129" s="1168"/>
      <c r="AQ129" s="305"/>
      <c r="AR129" s="305"/>
      <c r="AS129" s="305"/>
      <c r="AT129" s="305"/>
      <c r="AU129" s="305"/>
      <c r="AV129" s="305"/>
      <c r="AW129" s="1154"/>
      <c r="BA129" s="305"/>
      <c r="BB129" s="1154"/>
      <c r="JV129" s="1064"/>
      <c r="KA129" s="1064"/>
      <c r="KB129" s="1064"/>
      <c r="KC129" s="1064"/>
      <c r="KD129" s="1064"/>
      <c r="KE129" s="1064"/>
      <c r="KF129" s="1064"/>
      <c r="KG129" s="1064"/>
      <c r="KH129" s="1064"/>
      <c r="KI129" s="1064"/>
      <c r="KJ129" s="1064"/>
      <c r="KK129" s="1064"/>
      <c r="KL129" s="1064"/>
      <c r="KM129" s="1064"/>
      <c r="KN129" s="1064"/>
      <c r="KO129" s="1064"/>
      <c r="KP129" s="1064"/>
      <c r="KQ129" s="1064"/>
      <c r="KR129" s="1064"/>
      <c r="KS129" s="1064"/>
      <c r="KT129" s="1064"/>
      <c r="KU129" s="1064"/>
      <c r="KV129" s="1064"/>
      <c r="KW129" s="1064"/>
      <c r="KX129" s="1064"/>
      <c r="KY129" s="1064"/>
      <c r="KZ129" s="1064"/>
      <c r="LA129" s="1064"/>
      <c r="LB129" s="1064"/>
      <c r="LC129" s="1064"/>
      <c r="LD129" s="1064"/>
      <c r="LE129" s="1064"/>
      <c r="LF129" s="1064"/>
      <c r="LN129" s="1155"/>
      <c r="MC129" s="1064"/>
    </row>
    <row r="130" spans="1:341" ht="14.25" customHeight="1">
      <c r="C130" s="2366"/>
      <c r="D130" s="2366"/>
      <c r="E130" s="1196"/>
      <c r="F130" s="1141"/>
      <c r="G130" s="1194"/>
      <c r="H130" s="1232" t="s">
        <v>2940</v>
      </c>
      <c r="I130" s="1174"/>
      <c r="J130" s="1175">
        <f>KG48</f>
        <v>0</v>
      </c>
      <c r="K130" s="1176">
        <f>KH48</f>
        <v>0</v>
      </c>
      <c r="L130" s="1176">
        <f>KI48</f>
        <v>0</v>
      </c>
      <c r="M130" s="1176">
        <f>KJ48</f>
        <v>0</v>
      </c>
      <c r="N130" s="1177">
        <f>KK48</f>
        <v>0</v>
      </c>
      <c r="O130" s="515">
        <f t="shared" si="370"/>
        <v>0</v>
      </c>
      <c r="R130" s="2314"/>
      <c r="S130" s="2315"/>
      <c r="T130" s="2315"/>
      <c r="U130" s="2315"/>
      <c r="V130" s="2316"/>
      <c r="W130" s="1058"/>
      <c r="Z130" s="1058"/>
      <c r="AA130" s="1168"/>
      <c r="AB130" s="1058"/>
      <c r="AE130" s="1058"/>
      <c r="AF130" s="1168"/>
      <c r="AG130" s="1058"/>
      <c r="AJ130" s="1058"/>
      <c r="AK130" s="1168"/>
      <c r="AL130" s="1058"/>
      <c r="AO130" s="1058"/>
      <c r="AP130" s="1168"/>
      <c r="AQ130" s="305"/>
      <c r="AR130" s="305"/>
      <c r="AS130" s="305"/>
      <c r="AT130" s="305"/>
      <c r="AU130" s="305"/>
      <c r="AV130" s="305"/>
      <c r="AW130" s="1154"/>
      <c r="BA130" s="305"/>
      <c r="BB130" s="1154"/>
      <c r="JV130" s="1064"/>
      <c r="KA130" s="1064"/>
      <c r="KB130" s="1064"/>
      <c r="KC130" s="1064"/>
      <c r="KD130" s="1064"/>
      <c r="KE130" s="1064"/>
      <c r="KF130" s="1064"/>
      <c r="KG130" s="1064"/>
      <c r="KH130" s="1064"/>
      <c r="KI130" s="1064"/>
      <c r="KJ130" s="1064"/>
      <c r="KK130" s="1064"/>
      <c r="KL130" s="1064"/>
      <c r="KM130" s="1064"/>
      <c r="KN130" s="1064"/>
      <c r="KO130" s="1064"/>
      <c r="KP130" s="1064"/>
      <c r="KQ130" s="1064"/>
      <c r="KR130" s="1064"/>
      <c r="KS130" s="1064"/>
      <c r="KT130" s="1064"/>
      <c r="KU130" s="1064"/>
      <c r="KV130" s="1064"/>
      <c r="KW130" s="1064"/>
      <c r="KX130" s="1064"/>
      <c r="KY130" s="1064"/>
      <c r="KZ130" s="1064"/>
      <c r="LA130" s="1064"/>
      <c r="LB130" s="1064"/>
      <c r="LC130" s="1064"/>
      <c r="LD130" s="1064"/>
      <c r="LE130" s="1064"/>
      <c r="LF130" s="1064"/>
      <c r="LN130" s="1155"/>
      <c r="MC130" s="1064"/>
    </row>
    <row r="131" spans="1:341" ht="14.25" customHeight="1">
      <c r="C131" s="2366"/>
      <c r="D131" s="2366"/>
      <c r="E131" s="1196"/>
      <c r="F131" s="1141"/>
      <c r="G131" s="1194"/>
      <c r="H131" s="1231" t="s">
        <v>2316</v>
      </c>
      <c r="I131" s="1174"/>
      <c r="J131" s="1169">
        <f>KL48</f>
        <v>0</v>
      </c>
      <c r="K131" s="1170">
        <f>KM48</f>
        <v>0</v>
      </c>
      <c r="L131" s="1170">
        <f>KN48</f>
        <v>0</v>
      </c>
      <c r="M131" s="1170">
        <f>KO48</f>
        <v>0</v>
      </c>
      <c r="N131" s="1171">
        <f>KP48</f>
        <v>0</v>
      </c>
      <c r="O131" s="1233">
        <f t="shared" si="370"/>
        <v>0</v>
      </c>
      <c r="R131" s="2314"/>
      <c r="S131" s="2315"/>
      <c r="T131" s="2315"/>
      <c r="U131" s="2315"/>
      <c r="V131" s="2316"/>
      <c r="W131" s="1058"/>
      <c r="Z131" s="1058"/>
      <c r="AA131" s="1168"/>
      <c r="AB131" s="1058"/>
      <c r="AE131" s="1058"/>
      <c r="AF131" s="1168"/>
      <c r="AG131" s="1058"/>
      <c r="AJ131" s="1058"/>
      <c r="AK131" s="1168"/>
      <c r="AL131" s="1058"/>
      <c r="AO131" s="1058"/>
      <c r="AP131" s="1168"/>
      <c r="AQ131" s="305"/>
      <c r="AR131" s="305"/>
      <c r="AS131" s="305"/>
      <c r="AT131" s="305"/>
      <c r="AU131" s="305"/>
      <c r="AV131" s="305"/>
      <c r="AW131" s="1154"/>
      <c r="BA131" s="305"/>
      <c r="BB131" s="1154"/>
      <c r="JV131" s="1064"/>
      <c r="KA131" s="1064"/>
      <c r="KB131" s="1064"/>
      <c r="KC131" s="1064"/>
      <c r="KD131" s="1064"/>
      <c r="KE131" s="1064"/>
      <c r="KF131" s="1064"/>
      <c r="KG131" s="1064"/>
      <c r="KH131" s="1064"/>
      <c r="KI131" s="1064"/>
      <c r="KJ131" s="1064"/>
      <c r="KK131" s="1064"/>
      <c r="KL131" s="1064"/>
      <c r="KM131" s="1064"/>
      <c r="KN131" s="1064"/>
      <c r="KO131" s="1064"/>
      <c r="KP131" s="1064"/>
      <c r="KQ131" s="1064"/>
      <c r="KR131" s="1064"/>
      <c r="KS131" s="1064"/>
      <c r="KT131" s="1064"/>
      <c r="KU131" s="1064"/>
      <c r="KV131" s="1064"/>
      <c r="KW131" s="1064"/>
      <c r="KX131" s="1064"/>
      <c r="KY131" s="1064"/>
      <c r="KZ131" s="1064"/>
      <c r="LA131" s="1064"/>
      <c r="LB131" s="1064"/>
      <c r="LC131" s="1064"/>
      <c r="LD131" s="1064"/>
      <c r="LE131" s="1064"/>
      <c r="LF131" s="1064"/>
      <c r="LN131" s="1155"/>
      <c r="MC131" s="1064"/>
    </row>
    <row r="132" spans="1:341" ht="14.25" customHeight="1">
      <c r="C132" s="2366"/>
      <c r="D132" s="2366"/>
      <c r="E132" s="1196"/>
      <c r="F132" s="1141"/>
      <c r="G132" s="1194"/>
      <c r="H132" s="1232" t="s">
        <v>2940</v>
      </c>
      <c r="I132" s="1174"/>
      <c r="J132" s="1175">
        <f>KQ48</f>
        <v>0</v>
      </c>
      <c r="K132" s="1176">
        <f>KR48</f>
        <v>0</v>
      </c>
      <c r="L132" s="1176">
        <f>KS48</f>
        <v>0</v>
      </c>
      <c r="M132" s="1176">
        <f>KT48</f>
        <v>0</v>
      </c>
      <c r="N132" s="1177">
        <f>KU48</f>
        <v>0</v>
      </c>
      <c r="O132" s="515">
        <f t="shared" si="370"/>
        <v>0</v>
      </c>
      <c r="R132" s="2314"/>
      <c r="S132" s="2315"/>
      <c r="T132" s="2315"/>
      <c r="U132" s="2315"/>
      <c r="V132" s="2316"/>
      <c r="W132" s="1058"/>
      <c r="Z132" s="1058"/>
      <c r="AA132" s="1168"/>
      <c r="AB132" s="1058"/>
      <c r="AE132" s="1058"/>
      <c r="AF132" s="1168"/>
      <c r="AG132" s="1058"/>
      <c r="AJ132" s="1058"/>
      <c r="AK132" s="1168"/>
      <c r="AL132" s="1058"/>
      <c r="AO132" s="1058"/>
      <c r="AP132" s="1168"/>
      <c r="AQ132" s="305"/>
      <c r="AR132" s="305"/>
      <c r="AS132" s="305"/>
      <c r="AT132" s="305"/>
      <c r="AU132" s="305"/>
      <c r="AV132" s="305"/>
      <c r="AW132" s="1154"/>
      <c r="BA132" s="305"/>
      <c r="BB132" s="1154"/>
      <c r="JV132" s="1064"/>
      <c r="KA132" s="1064"/>
      <c r="KB132" s="1064"/>
      <c r="KC132" s="1064"/>
      <c r="KD132" s="1064"/>
      <c r="KE132" s="1064"/>
      <c r="KF132" s="1064"/>
      <c r="KG132" s="1064"/>
      <c r="KH132" s="1064"/>
      <c r="KI132" s="1064"/>
      <c r="KJ132" s="1064"/>
      <c r="KK132" s="1064"/>
      <c r="KL132" s="1064"/>
      <c r="KM132" s="1064"/>
      <c r="KN132" s="1064"/>
      <c r="KO132" s="1064"/>
      <c r="KP132" s="1064"/>
      <c r="KQ132" s="1064"/>
      <c r="KR132" s="1064"/>
      <c r="KS132" s="1064"/>
      <c r="KT132" s="1064"/>
      <c r="KU132" s="1064"/>
      <c r="KV132" s="1064"/>
      <c r="KW132" s="1064"/>
      <c r="KX132" s="1064"/>
      <c r="KY132" s="1064"/>
      <c r="KZ132" s="1064"/>
      <c r="LA132" s="1064"/>
      <c r="LB132" s="1064"/>
      <c r="LC132" s="1064"/>
      <c r="LD132" s="1064"/>
      <c r="LE132" s="1064"/>
      <c r="LF132" s="1064"/>
      <c r="LN132" s="1155"/>
      <c r="MC132" s="1064"/>
    </row>
    <row r="133" spans="1:341" ht="14.25" customHeight="1">
      <c r="C133" s="2366"/>
      <c r="D133" s="2366"/>
      <c r="E133" s="1196"/>
      <c r="F133" s="1018"/>
      <c r="G133" s="1061"/>
      <c r="H133" s="1234" t="s">
        <v>2315</v>
      </c>
      <c r="I133" s="1061"/>
      <c r="J133" s="1169">
        <f>KV48</f>
        <v>0</v>
      </c>
      <c r="K133" s="1170">
        <f>KW48</f>
        <v>0</v>
      </c>
      <c r="L133" s="1170">
        <f>KX48</f>
        <v>0</v>
      </c>
      <c r="M133" s="1170">
        <f>KY48</f>
        <v>0</v>
      </c>
      <c r="N133" s="1171">
        <f>KZ48</f>
        <v>0</v>
      </c>
      <c r="O133" s="1233">
        <f t="shared" si="370"/>
        <v>0</v>
      </c>
      <c r="R133" s="2314"/>
      <c r="S133" s="2315"/>
      <c r="T133" s="2315"/>
      <c r="U133" s="2315"/>
      <c r="V133" s="2316"/>
      <c r="W133" s="1058"/>
      <c r="Z133" s="1058"/>
      <c r="AA133" s="1168"/>
      <c r="AB133" s="1058"/>
      <c r="AE133" s="1058"/>
      <c r="AF133" s="1168"/>
      <c r="AG133" s="1058"/>
      <c r="AJ133" s="1058"/>
      <c r="AK133" s="1168"/>
      <c r="AL133" s="1058"/>
      <c r="AO133" s="1058"/>
      <c r="AP133" s="1168"/>
      <c r="AQ133" s="305"/>
      <c r="AR133" s="305"/>
      <c r="AS133" s="305"/>
      <c r="AT133" s="305"/>
      <c r="AU133" s="305"/>
      <c r="AV133" s="305"/>
      <c r="AW133" s="1154"/>
      <c r="BA133" s="305"/>
      <c r="BB133" s="1154"/>
      <c r="JV133" s="1064"/>
      <c r="KA133" s="1064"/>
      <c r="KB133" s="1064"/>
      <c r="KC133" s="1064"/>
      <c r="KD133" s="1064"/>
      <c r="KE133" s="1064"/>
      <c r="KF133" s="1064"/>
      <c r="KG133" s="1064"/>
      <c r="KH133" s="1064"/>
      <c r="KI133" s="1064"/>
      <c r="KJ133" s="1064"/>
      <c r="KK133" s="1064"/>
      <c r="KL133" s="1064"/>
      <c r="KM133" s="1064"/>
      <c r="KN133" s="1064"/>
      <c r="KO133" s="1064"/>
      <c r="KP133" s="1064"/>
      <c r="KQ133" s="1064"/>
      <c r="KR133" s="1064"/>
      <c r="KS133" s="1064"/>
      <c r="KT133" s="1064"/>
      <c r="KU133" s="1064"/>
      <c r="KV133" s="1064"/>
      <c r="KW133" s="1064"/>
      <c r="KX133" s="1064"/>
      <c r="KY133" s="1064"/>
      <c r="KZ133" s="1064"/>
      <c r="LA133" s="1064"/>
      <c r="LB133" s="1064"/>
      <c r="LC133" s="1064"/>
      <c r="LD133" s="1064"/>
      <c r="LE133" s="1064"/>
      <c r="LF133" s="1064"/>
      <c r="LN133" s="1155"/>
      <c r="MC133" s="1064"/>
    </row>
    <row r="134" spans="1:341" ht="14.25" customHeight="1">
      <c r="C134" s="2366"/>
      <c r="D134" s="2366"/>
      <c r="E134" s="1196"/>
      <c r="F134" s="1018"/>
      <c r="G134" s="1061"/>
      <c r="H134" s="1235" t="s">
        <v>2940</v>
      </c>
      <c r="I134" s="1061"/>
      <c r="J134" s="1169">
        <f>LA48</f>
        <v>0</v>
      </c>
      <c r="K134" s="1170">
        <f>LB48</f>
        <v>0</v>
      </c>
      <c r="L134" s="1170">
        <f>LC48</f>
        <v>0</v>
      </c>
      <c r="M134" s="1170">
        <f>LD48</f>
        <v>0</v>
      </c>
      <c r="N134" s="1171">
        <f>LE48</f>
        <v>0</v>
      </c>
      <c r="O134" s="1172">
        <f t="shared" si="370"/>
        <v>0</v>
      </c>
      <c r="R134" s="2314"/>
      <c r="S134" s="2315"/>
      <c r="T134" s="2315"/>
      <c r="U134" s="2315"/>
      <c r="V134" s="2316"/>
      <c r="W134" s="1058"/>
      <c r="Z134" s="1058"/>
      <c r="AA134" s="1168"/>
      <c r="AB134" s="1058"/>
      <c r="AE134" s="1058"/>
      <c r="AF134" s="1168"/>
      <c r="AG134" s="1058"/>
      <c r="AJ134" s="1058"/>
      <c r="AK134" s="1168"/>
      <c r="AL134" s="1058"/>
      <c r="AO134" s="1058"/>
      <c r="AP134" s="1168"/>
      <c r="AQ134" s="305"/>
      <c r="AR134" s="305"/>
      <c r="AS134" s="305"/>
      <c r="AT134" s="305"/>
      <c r="AU134" s="305"/>
      <c r="AV134" s="305"/>
      <c r="AW134" s="1154"/>
      <c r="BA134" s="305"/>
      <c r="BB134" s="1154"/>
      <c r="JV134" s="1064"/>
      <c r="KA134" s="1064"/>
      <c r="KB134" s="1064"/>
      <c r="KC134" s="1064"/>
      <c r="KD134" s="1064"/>
      <c r="KE134" s="1064"/>
      <c r="KF134" s="1064"/>
      <c r="KG134" s="1064"/>
      <c r="KH134" s="1064"/>
      <c r="KI134" s="1064"/>
      <c r="KJ134" s="1064"/>
      <c r="KK134" s="1064"/>
      <c r="KL134" s="1064"/>
      <c r="KM134" s="1064"/>
      <c r="KN134" s="1064"/>
      <c r="KO134" s="1064"/>
      <c r="KP134" s="1064"/>
      <c r="KQ134" s="1064"/>
      <c r="KR134" s="1064"/>
      <c r="KS134" s="1064"/>
      <c r="KT134" s="1064"/>
      <c r="KU134" s="1064"/>
      <c r="KV134" s="1064"/>
      <c r="KW134" s="1064"/>
      <c r="KX134" s="1064"/>
      <c r="KY134" s="1064"/>
      <c r="KZ134" s="1064"/>
      <c r="LA134" s="1064"/>
      <c r="LB134" s="1064"/>
      <c r="LC134" s="1064"/>
      <c r="LD134" s="1064"/>
      <c r="LE134" s="1064"/>
      <c r="LF134" s="1064"/>
      <c r="LN134" s="1155"/>
      <c r="MC134" s="1064"/>
    </row>
    <row r="135" spans="1:341" ht="14.25" customHeight="1">
      <c r="E135" s="1196" t="s">
        <v>35</v>
      </c>
      <c r="F135" s="1018"/>
      <c r="G135" s="1061"/>
      <c r="H135" s="1234"/>
      <c r="I135" s="1061"/>
      <c r="J135" s="1162">
        <f>ID48</f>
        <v>0</v>
      </c>
      <c r="K135" s="1163">
        <f>IE48</f>
        <v>0</v>
      </c>
      <c r="L135" s="1163">
        <f>IF48</f>
        <v>0</v>
      </c>
      <c r="M135" s="1163">
        <f>IG48</f>
        <v>0</v>
      </c>
      <c r="N135" s="1164">
        <f>IH48</f>
        <v>0</v>
      </c>
      <c r="O135" s="1165">
        <f t="shared" si="370"/>
        <v>0</v>
      </c>
      <c r="R135" s="2314"/>
      <c r="S135" s="2315"/>
      <c r="T135" s="2315"/>
      <c r="U135" s="2315"/>
      <c r="V135" s="2316"/>
      <c r="W135" s="1058"/>
      <c r="Z135" s="1058"/>
      <c r="AA135" s="1168"/>
      <c r="AB135" s="1058"/>
      <c r="AE135" s="1058"/>
      <c r="AF135" s="1168"/>
      <c r="AG135" s="1058"/>
      <c r="AJ135" s="1058"/>
      <c r="AK135" s="1168"/>
      <c r="AL135" s="1058"/>
      <c r="AO135" s="1058"/>
      <c r="AP135" s="1168"/>
      <c r="AQ135" s="305"/>
      <c r="AR135" s="305"/>
      <c r="AS135" s="305"/>
      <c r="AT135" s="305"/>
      <c r="AU135" s="305"/>
      <c r="AV135" s="305"/>
      <c r="AW135" s="1186"/>
      <c r="AX135" s="1058"/>
      <c r="BA135" s="305"/>
      <c r="BB135" s="1186"/>
      <c r="BC135" s="1058"/>
      <c r="LN135" s="1155"/>
      <c r="MC135" s="1064"/>
    </row>
    <row r="136" spans="1:341" ht="14.25" customHeight="1">
      <c r="E136" s="1196"/>
      <c r="F136" s="1018"/>
      <c r="G136" s="1061"/>
      <c r="H136" s="1235" t="s">
        <v>2940</v>
      </c>
      <c r="I136" s="1061"/>
      <c r="J136" s="1175">
        <f>II48</f>
        <v>0</v>
      </c>
      <c r="K136" s="1176">
        <f>IJ48</f>
        <v>0</v>
      </c>
      <c r="L136" s="1176">
        <f>IK48</f>
        <v>0</v>
      </c>
      <c r="M136" s="1176">
        <f>IL48</f>
        <v>0</v>
      </c>
      <c r="N136" s="1177">
        <f>IM48</f>
        <v>0</v>
      </c>
      <c r="O136" s="515">
        <f t="shared" si="370"/>
        <v>0</v>
      </c>
      <c r="R136" s="2314"/>
      <c r="S136" s="2315"/>
      <c r="T136" s="2315"/>
      <c r="U136" s="2315"/>
      <c r="V136" s="2316"/>
      <c r="W136" s="1058"/>
      <c r="Z136" s="1058"/>
      <c r="AA136" s="1168"/>
      <c r="AB136" s="1058"/>
      <c r="AE136" s="1058"/>
      <c r="AF136" s="1168"/>
      <c r="AG136" s="1058"/>
      <c r="AJ136" s="1058"/>
      <c r="AK136" s="1168"/>
      <c r="AL136" s="1058"/>
      <c r="AO136" s="1058"/>
      <c r="AP136" s="1168"/>
      <c r="AQ136" s="305"/>
      <c r="AR136" s="305"/>
      <c r="AS136" s="305"/>
      <c r="AT136" s="305"/>
      <c r="AU136" s="305"/>
      <c r="AV136" s="305"/>
      <c r="AW136" s="1186"/>
      <c r="AX136" s="1058"/>
      <c r="BA136" s="305"/>
      <c r="BB136" s="1186"/>
      <c r="BC136" s="1058"/>
      <c r="LN136" s="1155"/>
      <c r="MC136" s="1064"/>
    </row>
    <row r="137" spans="1:341" ht="14.25" customHeight="1">
      <c r="C137" s="1018"/>
      <c r="D137" s="1018"/>
      <c r="E137" s="1196" t="s">
        <v>36</v>
      </c>
      <c r="F137" s="1018"/>
      <c r="G137" s="1061"/>
      <c r="H137" s="1234"/>
      <c r="I137" s="1061"/>
      <c r="J137" s="1236">
        <f>JH48</f>
        <v>0</v>
      </c>
      <c r="K137" s="1237">
        <f>JI48</f>
        <v>0</v>
      </c>
      <c r="L137" s="1237">
        <f>JJ48</f>
        <v>0</v>
      </c>
      <c r="M137" s="1237">
        <f>JK48</f>
        <v>0</v>
      </c>
      <c r="N137" s="1238">
        <f>JL48</f>
        <v>0</v>
      </c>
      <c r="O137" s="1233">
        <f t="shared" si="370"/>
        <v>0</v>
      </c>
      <c r="R137" s="2314"/>
      <c r="S137" s="2315"/>
      <c r="T137" s="2315"/>
      <c r="U137" s="2315"/>
      <c r="V137" s="2316"/>
      <c r="W137" s="1058"/>
      <c r="Z137" s="1058"/>
      <c r="AA137" s="1168"/>
      <c r="AB137" s="1058"/>
      <c r="AE137" s="1058"/>
      <c r="AF137" s="1168"/>
      <c r="AG137" s="1058"/>
      <c r="AJ137" s="1058"/>
      <c r="AK137" s="1168"/>
      <c r="AL137" s="1058"/>
      <c r="AO137" s="1058"/>
      <c r="AP137" s="1168"/>
      <c r="AQ137" s="305"/>
      <c r="AR137" s="305"/>
      <c r="AS137" s="305"/>
      <c r="AT137" s="305"/>
      <c r="AU137" s="305"/>
      <c r="AV137" s="305"/>
      <c r="AW137" s="1154"/>
      <c r="BA137" s="305"/>
      <c r="BB137" s="1154"/>
      <c r="JV137" s="1064"/>
      <c r="KA137" s="1064"/>
      <c r="KB137" s="1064"/>
      <c r="KC137" s="1064"/>
      <c r="KD137" s="1064"/>
      <c r="KE137" s="1064"/>
      <c r="KF137" s="1064"/>
      <c r="KG137" s="1064"/>
      <c r="KH137" s="1064"/>
      <c r="KI137" s="1064"/>
      <c r="KJ137" s="1064"/>
      <c r="KK137" s="1064"/>
      <c r="KL137" s="1064"/>
      <c r="KM137" s="1064"/>
      <c r="KN137" s="1064"/>
      <c r="KO137" s="1064"/>
      <c r="KP137" s="1064"/>
      <c r="KQ137" s="1064"/>
      <c r="KR137" s="1064"/>
      <c r="KS137" s="1064"/>
      <c r="KT137" s="1064"/>
      <c r="KU137" s="1064"/>
      <c r="KV137" s="1064"/>
      <c r="KW137" s="1064"/>
      <c r="KX137" s="1064"/>
      <c r="KY137" s="1064"/>
      <c r="KZ137" s="1064"/>
      <c r="LA137" s="1064"/>
      <c r="LB137" s="1064"/>
      <c r="LC137" s="1064"/>
      <c r="LD137" s="1064"/>
      <c r="LE137" s="1064"/>
      <c r="LF137" s="1064"/>
      <c r="LN137" s="1155"/>
      <c r="MC137" s="1064"/>
    </row>
    <row r="138" spans="1:341" ht="14.25" customHeight="1">
      <c r="C138" s="1018"/>
      <c r="D138" s="1018"/>
      <c r="E138" s="1196"/>
      <c r="F138" s="1018"/>
      <c r="G138" s="1061"/>
      <c r="H138" s="1235" t="s">
        <v>2940</v>
      </c>
      <c r="I138" s="1061"/>
      <c r="J138" s="1175">
        <f>JM48</f>
        <v>0</v>
      </c>
      <c r="K138" s="1176">
        <f>JN48</f>
        <v>0</v>
      </c>
      <c r="L138" s="1176">
        <f>JO48</f>
        <v>0</v>
      </c>
      <c r="M138" s="1176">
        <f>JP48</f>
        <v>0</v>
      </c>
      <c r="N138" s="1177">
        <f>JQ48</f>
        <v>0</v>
      </c>
      <c r="O138" s="515">
        <f t="shared" si="370"/>
        <v>0</v>
      </c>
      <c r="R138" s="2314"/>
      <c r="S138" s="2315"/>
      <c r="T138" s="2315"/>
      <c r="U138" s="2315"/>
      <c r="V138" s="2316"/>
      <c r="W138" s="1058"/>
      <c r="Z138" s="1058"/>
      <c r="AA138" s="1168"/>
      <c r="AB138" s="1058"/>
      <c r="AE138" s="1058"/>
      <c r="AF138" s="1168"/>
      <c r="AG138" s="1058"/>
      <c r="AJ138" s="1058"/>
      <c r="AK138" s="1168"/>
      <c r="AL138" s="1058"/>
      <c r="AO138" s="1058"/>
      <c r="AP138" s="1168"/>
      <c r="AQ138" s="305"/>
      <c r="AR138" s="305"/>
      <c r="AS138" s="305"/>
      <c r="AT138" s="305"/>
      <c r="AU138" s="305"/>
      <c r="AV138" s="305"/>
      <c r="AW138" s="1154"/>
      <c r="BA138" s="305"/>
      <c r="BB138" s="1154"/>
      <c r="JV138" s="1064"/>
      <c r="KA138" s="1064"/>
      <c r="KB138" s="1064"/>
      <c r="KC138" s="1064"/>
      <c r="KD138" s="1064"/>
      <c r="KE138" s="1064"/>
      <c r="KF138" s="1064"/>
      <c r="KG138" s="1064"/>
      <c r="KH138" s="1064"/>
      <c r="KI138" s="1064"/>
      <c r="KJ138" s="1064"/>
      <c r="KK138" s="1064"/>
      <c r="KL138" s="1064"/>
      <c r="KM138" s="1064"/>
      <c r="KN138" s="1064"/>
      <c r="KO138" s="1064"/>
      <c r="KP138" s="1064"/>
      <c r="KQ138" s="1064"/>
      <c r="KR138" s="1064"/>
      <c r="KS138" s="1064"/>
      <c r="KT138" s="1064"/>
      <c r="KU138" s="1064"/>
      <c r="KV138" s="1064"/>
      <c r="KW138" s="1064"/>
      <c r="KX138" s="1064"/>
      <c r="KY138" s="1064"/>
      <c r="KZ138" s="1064"/>
      <c r="LA138" s="1064"/>
      <c r="LB138" s="1064"/>
      <c r="LC138" s="1064"/>
      <c r="LD138" s="1064"/>
      <c r="LE138" s="1064"/>
      <c r="LF138" s="1064"/>
      <c r="LN138" s="1155"/>
      <c r="MC138" s="1064"/>
    </row>
    <row r="139" spans="1:341" ht="14.25" customHeight="1">
      <c r="C139" s="1018"/>
      <c r="D139" s="1018"/>
      <c r="E139" s="1182" t="s">
        <v>525</v>
      </c>
      <c r="F139" s="1018"/>
      <c r="G139" s="1061"/>
      <c r="H139" s="1234"/>
      <c r="I139" s="1061"/>
      <c r="J139" s="1236">
        <f>IX48</f>
        <v>0</v>
      </c>
      <c r="K139" s="1237">
        <f>IY48</f>
        <v>0</v>
      </c>
      <c r="L139" s="1237">
        <f>IZ48</f>
        <v>0</v>
      </c>
      <c r="M139" s="1237">
        <f>JA48</f>
        <v>0</v>
      </c>
      <c r="N139" s="1238">
        <f>JB48</f>
        <v>0</v>
      </c>
      <c r="O139" s="1233">
        <f t="shared" si="370"/>
        <v>0</v>
      </c>
      <c r="R139" s="2314"/>
      <c r="S139" s="2315"/>
      <c r="T139" s="2315"/>
      <c r="U139" s="2315"/>
      <c r="V139" s="2316"/>
      <c r="W139" s="1058"/>
      <c r="Z139" s="1058"/>
      <c r="AA139" s="1168"/>
      <c r="AB139" s="1058"/>
      <c r="AE139" s="1058"/>
      <c r="AF139" s="1168"/>
      <c r="AG139" s="1058"/>
      <c r="AJ139" s="1058"/>
      <c r="AK139" s="1168"/>
      <c r="AL139" s="1058"/>
      <c r="AO139" s="1058"/>
      <c r="AP139" s="1168"/>
      <c r="AQ139" s="305"/>
      <c r="AR139" s="305"/>
      <c r="AS139" s="305"/>
      <c r="AT139" s="305"/>
      <c r="AU139" s="305"/>
      <c r="AV139" s="305"/>
      <c r="AW139" s="1186"/>
      <c r="AX139" s="1058"/>
      <c r="BA139" s="305"/>
      <c r="BB139" s="1186"/>
      <c r="BC139" s="1058"/>
      <c r="LN139" s="1155"/>
      <c r="MC139" s="1064"/>
    </row>
    <row r="140" spans="1:341" ht="14.25" customHeight="1">
      <c r="C140" s="1018"/>
      <c r="D140" s="1018"/>
      <c r="E140" s="1182"/>
      <c r="F140" s="1018"/>
      <c r="G140" s="1061"/>
      <c r="H140" s="1235" t="s">
        <v>2940</v>
      </c>
      <c r="I140" s="1061"/>
      <c r="J140" s="1169">
        <f>JC48</f>
        <v>0</v>
      </c>
      <c r="K140" s="1170">
        <f>JD48</f>
        <v>0</v>
      </c>
      <c r="L140" s="1170">
        <f>JE48</f>
        <v>0</v>
      </c>
      <c r="M140" s="1170">
        <f>JF48</f>
        <v>0</v>
      </c>
      <c r="N140" s="1171">
        <f>JG48</f>
        <v>0</v>
      </c>
      <c r="O140" s="515">
        <f t="shared" si="370"/>
        <v>0</v>
      </c>
      <c r="R140" s="2314"/>
      <c r="S140" s="2315"/>
      <c r="T140" s="2315"/>
      <c r="U140" s="2315"/>
      <c r="V140" s="2316"/>
      <c r="W140" s="1058"/>
      <c r="Z140" s="1058"/>
      <c r="AA140" s="1168"/>
      <c r="AB140" s="1058"/>
      <c r="AE140" s="1058"/>
      <c r="AF140" s="1168"/>
      <c r="AG140" s="1058"/>
      <c r="AJ140" s="1058"/>
      <c r="AK140" s="1168"/>
      <c r="AL140" s="1058"/>
      <c r="AO140" s="1058"/>
      <c r="AP140" s="1168"/>
      <c r="AQ140" s="305"/>
      <c r="AR140" s="305"/>
      <c r="AS140" s="305"/>
      <c r="AT140" s="305"/>
      <c r="AU140" s="305"/>
      <c r="AV140" s="305"/>
      <c r="AW140" s="1186"/>
      <c r="AX140" s="1058"/>
      <c r="BA140" s="305"/>
      <c r="BB140" s="1186"/>
      <c r="BC140" s="1058"/>
      <c r="LN140" s="1155"/>
      <c r="MC140" s="1064"/>
    </row>
    <row r="141" spans="1:341" ht="14.25" customHeight="1">
      <c r="C141" s="1018"/>
      <c r="D141" s="1018"/>
      <c r="E141" s="849" t="s">
        <v>526</v>
      </c>
      <c r="F141" s="1018"/>
      <c r="G141" s="1061"/>
      <c r="H141" s="1234"/>
      <c r="I141" s="1061"/>
      <c r="J141" s="1236">
        <f>IN48</f>
        <v>0</v>
      </c>
      <c r="K141" s="1237">
        <f>IO48</f>
        <v>0</v>
      </c>
      <c r="L141" s="1237">
        <f>IP48</f>
        <v>0</v>
      </c>
      <c r="M141" s="1237">
        <f>IQ48</f>
        <v>0</v>
      </c>
      <c r="N141" s="1238">
        <f>IR48</f>
        <v>0</v>
      </c>
      <c r="O141" s="1233">
        <f t="shared" si="370"/>
        <v>0</v>
      </c>
      <c r="R141" s="2314"/>
      <c r="S141" s="2315"/>
      <c r="T141" s="2315"/>
      <c r="U141" s="2315"/>
      <c r="V141" s="2316"/>
      <c r="W141" s="1058"/>
      <c r="Z141" s="1058"/>
      <c r="AA141" s="1168"/>
      <c r="AB141" s="1058"/>
      <c r="AE141" s="1058"/>
      <c r="AF141" s="1168"/>
      <c r="AG141" s="1058"/>
      <c r="AJ141" s="1058"/>
      <c r="AK141" s="1168"/>
      <c r="AL141" s="1058"/>
      <c r="AO141" s="1058"/>
      <c r="AP141" s="1168"/>
      <c r="AQ141" s="305"/>
      <c r="AR141" s="305"/>
      <c r="AS141" s="305"/>
      <c r="AT141" s="305"/>
      <c r="AU141" s="305"/>
      <c r="AV141" s="305"/>
      <c r="AW141" s="1154"/>
      <c r="BA141" s="305"/>
      <c r="BB141" s="1154"/>
      <c r="JV141" s="1064"/>
      <c r="KA141" s="1064"/>
      <c r="KB141" s="1064"/>
      <c r="KC141" s="1064"/>
      <c r="KD141" s="1064"/>
      <c r="KE141" s="1064"/>
      <c r="KF141" s="1064"/>
      <c r="KG141" s="1064"/>
      <c r="KH141" s="1064"/>
      <c r="KI141" s="1064"/>
      <c r="KJ141" s="1064"/>
      <c r="KK141" s="1064"/>
      <c r="KL141" s="1064"/>
      <c r="KM141" s="1064"/>
      <c r="KN141" s="1064"/>
      <c r="KO141" s="1064"/>
      <c r="KP141" s="1064"/>
      <c r="KQ141" s="1064"/>
      <c r="KR141" s="1064"/>
      <c r="KS141" s="1064"/>
      <c r="KT141" s="1064"/>
      <c r="KU141" s="1064"/>
      <c r="KV141" s="1064"/>
      <c r="KW141" s="1064"/>
      <c r="KX141" s="1064"/>
      <c r="KY141" s="1064"/>
      <c r="KZ141" s="1064"/>
      <c r="LA141" s="1064"/>
      <c r="LB141" s="1064"/>
      <c r="LC141" s="1064"/>
      <c r="LD141" s="1064"/>
      <c r="LE141" s="1064"/>
      <c r="LF141" s="1064"/>
      <c r="LN141" s="1155"/>
      <c r="MC141" s="1064"/>
    </row>
    <row r="142" spans="1:341" ht="14.25" customHeight="1">
      <c r="C142" s="1018"/>
      <c r="D142" s="1018"/>
      <c r="E142" s="849"/>
      <c r="F142" s="1018"/>
      <c r="G142" s="1061"/>
      <c r="H142" s="1235" t="s">
        <v>2940</v>
      </c>
      <c r="I142" s="1061"/>
      <c r="J142" s="1178">
        <f>IS48</f>
        <v>0</v>
      </c>
      <c r="K142" s="1179">
        <f>IT48</f>
        <v>0</v>
      </c>
      <c r="L142" s="1179">
        <f>IU48</f>
        <v>0</v>
      </c>
      <c r="M142" s="1179">
        <f>IV48</f>
        <v>0</v>
      </c>
      <c r="N142" s="1180">
        <f>IW48</f>
        <v>0</v>
      </c>
      <c r="O142" s="1185">
        <f t="shared" si="370"/>
        <v>0</v>
      </c>
      <c r="R142" s="2311"/>
      <c r="S142" s="2312"/>
      <c r="T142" s="2312"/>
      <c r="U142" s="2312"/>
      <c r="V142" s="2313"/>
      <c r="W142" s="1058"/>
      <c r="Z142" s="1058"/>
      <c r="AA142" s="1168"/>
      <c r="AB142" s="1058"/>
      <c r="AE142" s="1058"/>
      <c r="AF142" s="1168"/>
      <c r="AG142" s="1058"/>
      <c r="AJ142" s="1058"/>
      <c r="AK142" s="1168"/>
      <c r="AL142" s="1058"/>
      <c r="AO142" s="1058"/>
      <c r="AP142" s="1168"/>
      <c r="AQ142" s="305"/>
      <c r="AR142" s="305"/>
      <c r="AS142" s="305"/>
      <c r="AT142" s="305"/>
      <c r="AU142" s="305"/>
      <c r="AV142" s="305"/>
      <c r="AW142" s="1154"/>
      <c r="BA142" s="305"/>
      <c r="BB142" s="1154"/>
      <c r="JV142" s="1064"/>
      <c r="KA142" s="1064"/>
      <c r="KB142" s="1064"/>
      <c r="KC142" s="1064"/>
      <c r="KD142" s="1064"/>
      <c r="KE142" s="1064"/>
      <c r="KF142" s="1064"/>
      <c r="KG142" s="1064"/>
      <c r="KH142" s="1064"/>
      <c r="KI142" s="1064"/>
      <c r="KJ142" s="1064"/>
      <c r="KK142" s="1064"/>
      <c r="KL142" s="1064"/>
      <c r="KM142" s="1064"/>
      <c r="KN142" s="1064"/>
      <c r="KO142" s="1064"/>
      <c r="KP142" s="1064"/>
      <c r="KQ142" s="1064"/>
      <c r="KR142" s="1064"/>
      <c r="KS142" s="1064"/>
      <c r="KT142" s="1064"/>
      <c r="KU142" s="1064"/>
      <c r="KV142" s="1064"/>
      <c r="KW142" s="1064"/>
      <c r="KX142" s="1064"/>
      <c r="KY142" s="1064"/>
      <c r="KZ142" s="1064"/>
      <c r="LA142" s="1064"/>
      <c r="LB142" s="1064"/>
      <c r="LC142" s="1064"/>
      <c r="LD142" s="1064"/>
      <c r="LE142" s="1064"/>
      <c r="LF142" s="1064"/>
      <c r="LN142" s="1155"/>
      <c r="MC142" s="1064"/>
    </row>
    <row r="143" spans="1:341" ht="10.5" customHeight="1" thickBot="1">
      <c r="C143" s="1018"/>
      <c r="G143" s="1061"/>
      <c r="H143" s="1239"/>
      <c r="I143" s="1061"/>
      <c r="J143" s="1240"/>
      <c r="K143" s="1240"/>
      <c r="L143" s="1240"/>
      <c r="M143" s="1240"/>
      <c r="N143" s="1240"/>
      <c r="O143" s="1240"/>
    </row>
    <row r="144" spans="1:341" ht="14.45" customHeight="1" thickBot="1">
      <c r="A144" s="885" t="s">
        <v>685</v>
      </c>
      <c r="B144" s="885" t="s">
        <v>3394</v>
      </c>
      <c r="K144" s="2367" t="str">
        <f>$K$53</f>
        <v>&lt;&lt; Select LIHTC Election &gt;&gt;</v>
      </c>
      <c r="L144" s="2368"/>
      <c r="M144" s="2368"/>
      <c r="N144" s="2369"/>
      <c r="O144" s="1061"/>
      <c r="R144" s="2370" t="str">
        <f>B144</f>
        <v>UNIT SUMMARY (Continued)</v>
      </c>
      <c r="S144" s="2370"/>
      <c r="T144" s="2370"/>
      <c r="U144" s="2370"/>
      <c r="W144" s="1154"/>
      <c r="Z144" s="1154"/>
      <c r="AA144" s="1154"/>
      <c r="AB144" s="1154"/>
      <c r="AE144" s="1154"/>
      <c r="AF144" s="1154"/>
      <c r="AG144" s="1154"/>
      <c r="AJ144" s="1154"/>
      <c r="AK144" s="1154"/>
      <c r="AL144" s="1154"/>
      <c r="AO144" s="1154"/>
      <c r="AP144" s="1154"/>
      <c r="AQ144" s="1154"/>
      <c r="AR144" s="1154"/>
      <c r="AS144" s="1154"/>
      <c r="AT144" s="1154"/>
      <c r="AU144" s="1154"/>
      <c r="AV144" s="1154"/>
      <c r="AW144" s="1154"/>
      <c r="AX144" s="1058"/>
      <c r="BA144" s="1154"/>
      <c r="BB144" s="1154"/>
      <c r="BC144" s="1058"/>
      <c r="LN144" s="1155"/>
      <c r="MC144" s="1064"/>
    </row>
    <row r="145" spans="1:341" ht="9" customHeight="1">
      <c r="A145" s="885"/>
      <c r="B145" s="885"/>
      <c r="O145" s="1061"/>
      <c r="P145" s="1209"/>
      <c r="R145" s="1241" t="str">
        <f>C146</f>
        <v>Building Type:
(for Cost Limit purposes only - see Application Instructions for further detail)</v>
      </c>
      <c r="S145" s="1157"/>
      <c r="T145" s="1242"/>
      <c r="W145" s="1154"/>
      <c r="Z145" s="1154"/>
      <c r="AA145" s="1154"/>
      <c r="AB145" s="1154"/>
      <c r="AE145" s="1154"/>
      <c r="AF145" s="1154"/>
      <c r="AG145" s="1154"/>
      <c r="AJ145" s="1154"/>
      <c r="AK145" s="1154"/>
      <c r="AL145" s="1154"/>
      <c r="AO145" s="1154"/>
      <c r="AP145" s="1154"/>
      <c r="AQ145" s="1154"/>
      <c r="AR145" s="1154"/>
      <c r="AS145" s="1154"/>
      <c r="AT145" s="1154"/>
      <c r="AU145" s="1154"/>
      <c r="AV145" s="1154"/>
      <c r="AW145" s="1154"/>
      <c r="AX145" s="1058"/>
      <c r="BA145" s="1154"/>
      <c r="BB145" s="1154"/>
      <c r="BC145" s="1058"/>
      <c r="LN145" s="1155"/>
      <c r="MC145" s="1064"/>
    </row>
    <row r="146" spans="1:341" ht="14.25" customHeight="1">
      <c r="C146" s="2365" t="s">
        <v>3396</v>
      </c>
      <c r="D146" s="2365"/>
      <c r="E146" s="1222" t="s">
        <v>2935</v>
      </c>
      <c r="F146" s="1224"/>
      <c r="G146" s="1225"/>
      <c r="H146" s="1243"/>
      <c r="I146" s="1226"/>
      <c r="J146" s="1162">
        <f t="shared" ref="J146:N147" si="371">J135+J139+J141</f>
        <v>0</v>
      </c>
      <c r="K146" s="1163">
        <f t="shared" si="371"/>
        <v>0</v>
      </c>
      <c r="L146" s="1163">
        <f t="shared" si="371"/>
        <v>0</v>
      </c>
      <c r="M146" s="1163">
        <f t="shared" si="371"/>
        <v>0</v>
      </c>
      <c r="N146" s="1164">
        <f t="shared" si="371"/>
        <v>0</v>
      </c>
      <c r="O146" s="1165">
        <f t="shared" ref="O146:O153" si="372">SUM(J146:N146)</f>
        <v>0</v>
      </c>
      <c r="R146" s="2355"/>
      <c r="S146" s="2356"/>
      <c r="T146" s="2356"/>
      <c r="U146" s="2356"/>
      <c r="V146" s="2357"/>
      <c r="W146" s="1058"/>
      <c r="Z146" s="1058"/>
      <c r="AA146" s="1168"/>
      <c r="AB146" s="1058"/>
      <c r="AE146" s="1058"/>
      <c r="AF146" s="1168"/>
      <c r="AG146" s="1058"/>
      <c r="AJ146" s="1058"/>
      <c r="AK146" s="1168"/>
      <c r="AL146" s="1058"/>
      <c r="AO146" s="1058"/>
      <c r="AP146" s="1168"/>
      <c r="AQ146" s="305"/>
      <c r="AR146" s="305"/>
      <c r="AS146" s="305"/>
      <c r="AT146" s="305"/>
      <c r="AU146" s="305"/>
      <c r="AV146" s="305"/>
      <c r="AW146" s="1154"/>
      <c r="BA146" s="305"/>
      <c r="BB146" s="1154"/>
      <c r="JV146" s="1064"/>
      <c r="KA146" s="1064"/>
      <c r="KB146" s="1064"/>
      <c r="KC146" s="1064"/>
      <c r="KD146" s="1064"/>
      <c r="KE146" s="1064"/>
      <c r="KF146" s="1064"/>
      <c r="KG146" s="1064"/>
      <c r="KH146" s="1064"/>
      <c r="KI146" s="1064"/>
      <c r="KJ146" s="1064"/>
      <c r="KK146" s="1064"/>
      <c r="KL146" s="1064"/>
      <c r="KM146" s="1064"/>
      <c r="KN146" s="1064"/>
      <c r="KO146" s="1064"/>
      <c r="KP146" s="1064"/>
      <c r="KQ146" s="1064"/>
      <c r="KR146" s="1064"/>
      <c r="KS146" s="1064"/>
      <c r="KT146" s="1064"/>
      <c r="KU146" s="1064"/>
      <c r="KV146" s="1064"/>
      <c r="KW146" s="1064"/>
      <c r="KX146" s="1064"/>
      <c r="KY146" s="1064"/>
      <c r="KZ146" s="1064"/>
      <c r="LA146" s="1064"/>
      <c r="LB146" s="1064"/>
      <c r="LC146" s="1064"/>
      <c r="LD146" s="1064"/>
      <c r="LE146" s="1064"/>
      <c r="LF146" s="1064"/>
      <c r="LN146" s="1155"/>
      <c r="MC146" s="1064"/>
    </row>
    <row r="147" spans="1:341" ht="14.25" customHeight="1">
      <c r="C147" s="2366"/>
      <c r="D147" s="2366"/>
      <c r="E147" s="1196"/>
      <c r="F147" s="879"/>
      <c r="G147" s="1194"/>
      <c r="H147" s="1232" t="s">
        <v>2940</v>
      </c>
      <c r="I147" s="1174"/>
      <c r="J147" s="1175">
        <f t="shared" si="371"/>
        <v>0</v>
      </c>
      <c r="K147" s="1176">
        <f t="shared" si="371"/>
        <v>0</v>
      </c>
      <c r="L147" s="1176">
        <f t="shared" si="371"/>
        <v>0</v>
      </c>
      <c r="M147" s="1176">
        <f t="shared" si="371"/>
        <v>0</v>
      </c>
      <c r="N147" s="1177">
        <f t="shared" si="371"/>
        <v>0</v>
      </c>
      <c r="O147" s="515">
        <f t="shared" si="372"/>
        <v>0</v>
      </c>
      <c r="R147" s="2314"/>
      <c r="S147" s="2315"/>
      <c r="T147" s="2315"/>
      <c r="U147" s="2315"/>
      <c r="V147" s="2316"/>
      <c r="W147" s="1058"/>
      <c r="Z147" s="1058"/>
      <c r="AA147" s="1168"/>
      <c r="AB147" s="1058"/>
      <c r="AE147" s="1058"/>
      <c r="AF147" s="1168"/>
      <c r="AG147" s="1058"/>
      <c r="AJ147" s="1058"/>
      <c r="AK147" s="1168"/>
      <c r="AL147" s="1058"/>
      <c r="AO147" s="1058"/>
      <c r="AP147" s="1168"/>
      <c r="AQ147" s="305"/>
      <c r="AR147" s="305"/>
      <c r="AS147" s="305"/>
      <c r="AT147" s="305"/>
      <c r="AU147" s="305"/>
      <c r="AV147" s="305"/>
      <c r="AW147" s="1154"/>
      <c r="BA147" s="305"/>
      <c r="BB147" s="1154"/>
      <c r="JV147" s="1064"/>
      <c r="KA147" s="1064"/>
      <c r="KB147" s="1064"/>
      <c r="KC147" s="1064"/>
      <c r="KD147" s="1064"/>
      <c r="KE147" s="1064"/>
      <c r="KF147" s="1064"/>
      <c r="KG147" s="1064"/>
      <c r="KH147" s="1064"/>
      <c r="KI147" s="1064"/>
      <c r="KJ147" s="1064"/>
      <c r="KK147" s="1064"/>
      <c r="KL147" s="1064"/>
      <c r="KM147" s="1064"/>
      <c r="KN147" s="1064"/>
      <c r="KO147" s="1064"/>
      <c r="KP147" s="1064"/>
      <c r="KQ147" s="1064"/>
      <c r="KR147" s="1064"/>
      <c r="KS147" s="1064"/>
      <c r="KT147" s="1064"/>
      <c r="KU147" s="1064"/>
      <c r="KV147" s="1064"/>
      <c r="KW147" s="1064"/>
      <c r="KX147" s="1064"/>
      <c r="KY147" s="1064"/>
      <c r="KZ147" s="1064"/>
      <c r="LA147" s="1064"/>
      <c r="LB147" s="1064"/>
      <c r="LC147" s="1064"/>
      <c r="LD147" s="1064"/>
      <c r="LE147" s="1064"/>
      <c r="LF147" s="1064"/>
      <c r="LN147" s="1155"/>
      <c r="MC147" s="1064"/>
    </row>
    <row r="148" spans="1:341" ht="14.25" customHeight="1">
      <c r="C148" s="2366"/>
      <c r="D148" s="2366"/>
      <c r="E148" s="1196" t="s">
        <v>2936</v>
      </c>
      <c r="F148" s="879"/>
      <c r="G148" s="1194"/>
      <c r="H148" s="879"/>
      <c r="I148" s="1174"/>
      <c r="J148" s="1236">
        <f t="shared" ref="J148:N149" si="373">J127+J137</f>
        <v>0</v>
      </c>
      <c r="K148" s="1237">
        <f t="shared" si="373"/>
        <v>0</v>
      </c>
      <c r="L148" s="1237">
        <f t="shared" si="373"/>
        <v>0</v>
      </c>
      <c r="M148" s="1237">
        <f t="shared" si="373"/>
        <v>0</v>
      </c>
      <c r="N148" s="1238">
        <f t="shared" si="373"/>
        <v>0</v>
      </c>
      <c r="O148" s="1233">
        <f t="shared" si="372"/>
        <v>0</v>
      </c>
      <c r="R148" s="2314"/>
      <c r="S148" s="2315"/>
      <c r="T148" s="2315"/>
      <c r="U148" s="2315"/>
      <c r="V148" s="2316"/>
      <c r="W148" s="1058"/>
      <c r="Z148" s="1058"/>
      <c r="AA148" s="1168"/>
      <c r="AB148" s="1058"/>
      <c r="AE148" s="1058"/>
      <c r="AF148" s="1168"/>
      <c r="AG148" s="1058"/>
      <c r="AJ148" s="1058"/>
      <c r="AK148" s="1168"/>
      <c r="AL148" s="1058"/>
      <c r="AO148" s="1058"/>
      <c r="AP148" s="1168"/>
      <c r="AQ148" s="305"/>
      <c r="AR148" s="305"/>
      <c r="AS148" s="305"/>
      <c r="AT148" s="305"/>
      <c r="AU148" s="305"/>
      <c r="AV148" s="305"/>
      <c r="AW148" s="1154"/>
      <c r="BA148" s="305"/>
      <c r="BB148" s="1154"/>
      <c r="JV148" s="1064"/>
      <c r="KA148" s="1064"/>
      <c r="KB148" s="1064"/>
      <c r="KC148" s="1064"/>
      <c r="KD148" s="1064"/>
      <c r="KE148" s="1064"/>
      <c r="KF148" s="1064"/>
      <c r="KG148" s="1064"/>
      <c r="KH148" s="1064"/>
      <c r="KI148" s="1064"/>
      <c r="KJ148" s="1064"/>
      <c r="KK148" s="1064"/>
      <c r="KL148" s="1064"/>
      <c r="KM148" s="1064"/>
      <c r="KN148" s="1064"/>
      <c r="KO148" s="1064"/>
      <c r="KP148" s="1064"/>
      <c r="KQ148" s="1064"/>
      <c r="KR148" s="1064"/>
      <c r="KS148" s="1064"/>
      <c r="KT148" s="1064"/>
      <c r="KU148" s="1064"/>
      <c r="KV148" s="1064"/>
      <c r="KW148" s="1064"/>
      <c r="KX148" s="1064"/>
      <c r="KY148" s="1064"/>
      <c r="KZ148" s="1064"/>
      <c r="LA148" s="1064"/>
      <c r="LB148" s="1064"/>
      <c r="LC148" s="1064"/>
      <c r="LD148" s="1064"/>
      <c r="LE148" s="1064"/>
      <c r="LF148" s="1064"/>
      <c r="LN148" s="1155"/>
      <c r="MC148" s="1064"/>
    </row>
    <row r="149" spans="1:341" ht="14.25" customHeight="1">
      <c r="C149" s="2366"/>
      <c r="D149" s="2366"/>
      <c r="E149" s="1196"/>
      <c r="F149" s="879"/>
      <c r="G149" s="1194"/>
      <c r="H149" s="1232" t="s">
        <v>2940</v>
      </c>
      <c r="I149" s="1174"/>
      <c r="J149" s="1175">
        <f t="shared" si="373"/>
        <v>0</v>
      </c>
      <c r="K149" s="1176">
        <f t="shared" si="373"/>
        <v>0</v>
      </c>
      <c r="L149" s="1176">
        <f t="shared" si="373"/>
        <v>0</v>
      </c>
      <c r="M149" s="1176">
        <f t="shared" si="373"/>
        <v>0</v>
      </c>
      <c r="N149" s="1177">
        <f t="shared" si="373"/>
        <v>0</v>
      </c>
      <c r="O149" s="515">
        <f t="shared" si="372"/>
        <v>0</v>
      </c>
      <c r="R149" s="2314"/>
      <c r="S149" s="2315"/>
      <c r="T149" s="2315"/>
      <c r="U149" s="2315"/>
      <c r="V149" s="2316"/>
      <c r="W149" s="1058"/>
      <c r="Z149" s="1058"/>
      <c r="AA149" s="1168"/>
      <c r="AB149" s="1058"/>
      <c r="AE149" s="1058"/>
      <c r="AF149" s="1168"/>
      <c r="AG149" s="1058"/>
      <c r="AJ149" s="1058"/>
      <c r="AK149" s="1168"/>
      <c r="AL149" s="1058"/>
      <c r="AO149" s="1058"/>
      <c r="AP149" s="1168"/>
      <c r="AQ149" s="305"/>
      <c r="AR149" s="305"/>
      <c r="AS149" s="305"/>
      <c r="AT149" s="305"/>
      <c r="AU149" s="305"/>
      <c r="AV149" s="305"/>
      <c r="AW149" s="1154"/>
      <c r="BA149" s="305"/>
      <c r="BB149" s="1154"/>
      <c r="JV149" s="1064"/>
      <c r="KA149" s="1064"/>
      <c r="KB149" s="1064"/>
      <c r="KC149" s="1064"/>
      <c r="KD149" s="1064"/>
      <c r="KE149" s="1064"/>
      <c r="KF149" s="1064"/>
      <c r="KG149" s="1064"/>
      <c r="KH149" s="1064"/>
      <c r="KI149" s="1064"/>
      <c r="KJ149" s="1064"/>
      <c r="KK149" s="1064"/>
      <c r="KL149" s="1064"/>
      <c r="KM149" s="1064"/>
      <c r="KN149" s="1064"/>
      <c r="KO149" s="1064"/>
      <c r="KP149" s="1064"/>
      <c r="KQ149" s="1064"/>
      <c r="KR149" s="1064"/>
      <c r="KS149" s="1064"/>
      <c r="KT149" s="1064"/>
      <c r="KU149" s="1064"/>
      <c r="KV149" s="1064"/>
      <c r="KW149" s="1064"/>
      <c r="KX149" s="1064"/>
      <c r="KY149" s="1064"/>
      <c r="KZ149" s="1064"/>
      <c r="LA149" s="1064"/>
      <c r="LB149" s="1064"/>
      <c r="LC149" s="1064"/>
      <c r="LD149" s="1064"/>
      <c r="LE149" s="1064"/>
      <c r="LF149" s="1064"/>
      <c r="LN149" s="1155"/>
      <c r="MC149" s="1064"/>
    </row>
    <row r="150" spans="1:341" ht="14.25" customHeight="1">
      <c r="C150" s="2366"/>
      <c r="D150" s="2366"/>
      <c r="E150" s="1196" t="s">
        <v>2937</v>
      </c>
      <c r="F150" s="879"/>
      <c r="G150" s="1194"/>
      <c r="H150" s="1231"/>
      <c r="I150" s="1174"/>
      <c r="J150" s="1236">
        <f t="shared" ref="J150:N151" si="374">J131</f>
        <v>0</v>
      </c>
      <c r="K150" s="1237">
        <f t="shared" si="374"/>
        <v>0</v>
      </c>
      <c r="L150" s="1237">
        <f t="shared" si="374"/>
        <v>0</v>
      </c>
      <c r="M150" s="1237">
        <f t="shared" si="374"/>
        <v>0</v>
      </c>
      <c r="N150" s="1238">
        <f t="shared" si="374"/>
        <v>0</v>
      </c>
      <c r="O150" s="1233">
        <f t="shared" si="372"/>
        <v>0</v>
      </c>
      <c r="R150" s="2314"/>
      <c r="S150" s="2315"/>
      <c r="T150" s="2315"/>
      <c r="U150" s="2315"/>
      <c r="V150" s="2316"/>
      <c r="W150" s="1058"/>
      <c r="Z150" s="1058"/>
      <c r="AA150" s="1168"/>
      <c r="AB150" s="1058"/>
      <c r="AE150" s="1058"/>
      <c r="AF150" s="1168"/>
      <c r="AG150" s="1058"/>
      <c r="AJ150" s="1058"/>
      <c r="AK150" s="1168"/>
      <c r="AL150" s="1058"/>
      <c r="AO150" s="1058"/>
      <c r="AP150" s="1168"/>
      <c r="AQ150" s="305"/>
      <c r="AR150" s="305"/>
      <c r="AS150" s="305"/>
      <c r="AT150" s="305"/>
      <c r="AU150" s="305"/>
      <c r="AV150" s="305"/>
      <c r="AW150" s="1154"/>
      <c r="BA150" s="305"/>
      <c r="BB150" s="1154"/>
      <c r="JV150" s="1064"/>
      <c r="KA150" s="1064"/>
      <c r="KB150" s="1064"/>
      <c r="KC150" s="1064"/>
      <c r="KD150" s="1064"/>
      <c r="KE150" s="1064"/>
      <c r="KF150" s="1064"/>
      <c r="KG150" s="1064"/>
      <c r="KH150" s="1064"/>
      <c r="KI150" s="1064"/>
      <c r="KJ150" s="1064"/>
      <c r="KK150" s="1064"/>
      <c r="KL150" s="1064"/>
      <c r="KM150" s="1064"/>
      <c r="KN150" s="1064"/>
      <c r="KO150" s="1064"/>
      <c r="KP150" s="1064"/>
      <c r="KQ150" s="1064"/>
      <c r="KR150" s="1064"/>
      <c r="KS150" s="1064"/>
      <c r="KT150" s="1064"/>
      <c r="KU150" s="1064"/>
      <c r="KV150" s="1064"/>
      <c r="KW150" s="1064"/>
      <c r="KX150" s="1064"/>
      <c r="KY150" s="1064"/>
      <c r="KZ150" s="1064"/>
      <c r="LA150" s="1064"/>
      <c r="LB150" s="1064"/>
      <c r="LC150" s="1064"/>
      <c r="LD150" s="1064"/>
      <c r="LE150" s="1064"/>
      <c r="LF150" s="1064"/>
      <c r="LN150" s="1155"/>
      <c r="MC150" s="1064"/>
    </row>
    <row r="151" spans="1:341" ht="14.25" customHeight="1">
      <c r="C151" s="2366"/>
      <c r="D151" s="2366"/>
      <c r="E151" s="1196"/>
      <c r="F151" s="879"/>
      <c r="G151" s="1194"/>
      <c r="H151" s="1232" t="s">
        <v>2940</v>
      </c>
      <c r="I151" s="1174"/>
      <c r="J151" s="1175">
        <f t="shared" si="374"/>
        <v>0</v>
      </c>
      <c r="K151" s="1176">
        <f t="shared" si="374"/>
        <v>0</v>
      </c>
      <c r="L151" s="1176">
        <f t="shared" si="374"/>
        <v>0</v>
      </c>
      <c r="M151" s="1176">
        <f t="shared" si="374"/>
        <v>0</v>
      </c>
      <c r="N151" s="1177">
        <f t="shared" si="374"/>
        <v>0</v>
      </c>
      <c r="O151" s="515">
        <f t="shared" si="372"/>
        <v>0</v>
      </c>
      <c r="R151" s="2314"/>
      <c r="S151" s="2315"/>
      <c r="T151" s="2315"/>
      <c r="U151" s="2315"/>
      <c r="V151" s="2316"/>
      <c r="W151" s="1058"/>
      <c r="Z151" s="1058"/>
      <c r="AA151" s="1168"/>
      <c r="AB151" s="1058"/>
      <c r="AE151" s="1058"/>
      <c r="AF151" s="1168"/>
      <c r="AG151" s="1058"/>
      <c r="AJ151" s="1058"/>
      <c r="AK151" s="1168"/>
      <c r="AL151" s="1058"/>
      <c r="AO151" s="1058"/>
      <c r="AP151" s="1168"/>
      <c r="AQ151" s="305"/>
      <c r="AR151" s="305"/>
      <c r="AS151" s="305"/>
      <c r="AT151" s="305"/>
      <c r="AU151" s="305"/>
      <c r="AV151" s="305"/>
      <c r="AW151" s="1154"/>
      <c r="BA151" s="305"/>
      <c r="BB151" s="1154"/>
      <c r="JV151" s="1064"/>
      <c r="KA151" s="1064"/>
      <c r="KB151" s="1064"/>
      <c r="KC151" s="1064"/>
      <c r="KD151" s="1064"/>
      <c r="KE151" s="1064"/>
      <c r="KF151" s="1064"/>
      <c r="KG151" s="1064"/>
      <c r="KH151" s="1064"/>
      <c r="KI151" s="1064"/>
      <c r="KJ151" s="1064"/>
      <c r="KK151" s="1064"/>
      <c r="KL151" s="1064"/>
      <c r="KM151" s="1064"/>
      <c r="KN151" s="1064"/>
      <c r="KO151" s="1064"/>
      <c r="KP151" s="1064"/>
      <c r="KQ151" s="1064"/>
      <c r="KR151" s="1064"/>
      <c r="KS151" s="1064"/>
      <c r="KT151" s="1064"/>
      <c r="KU151" s="1064"/>
      <c r="KV151" s="1064"/>
      <c r="KW151" s="1064"/>
      <c r="KX151" s="1064"/>
      <c r="KY151" s="1064"/>
      <c r="KZ151" s="1064"/>
      <c r="LA151" s="1064"/>
      <c r="LB151" s="1064"/>
      <c r="LC151" s="1064"/>
      <c r="LD151" s="1064"/>
      <c r="LE151" s="1064"/>
      <c r="LF151" s="1064"/>
      <c r="LN151" s="1155"/>
      <c r="MC151" s="1064"/>
    </row>
    <row r="152" spans="1:341" ht="14.25" customHeight="1">
      <c r="C152" s="2366"/>
      <c r="D152" s="2366"/>
      <c r="E152" s="1196" t="s">
        <v>2938</v>
      </c>
      <c r="F152" s="879"/>
      <c r="G152" s="1194"/>
      <c r="H152" s="1231"/>
      <c r="I152" s="1174"/>
      <c r="J152" s="1236">
        <f t="shared" ref="J152:N153" si="375">J129+J133</f>
        <v>0</v>
      </c>
      <c r="K152" s="1237">
        <f t="shared" si="375"/>
        <v>0</v>
      </c>
      <c r="L152" s="1237">
        <f t="shared" si="375"/>
        <v>0</v>
      </c>
      <c r="M152" s="1237">
        <f t="shared" si="375"/>
        <v>0</v>
      </c>
      <c r="N152" s="1238">
        <f t="shared" si="375"/>
        <v>0</v>
      </c>
      <c r="O152" s="1233">
        <f t="shared" si="372"/>
        <v>0</v>
      </c>
      <c r="R152" s="2314"/>
      <c r="S152" s="2315"/>
      <c r="T152" s="2315"/>
      <c r="U152" s="2315"/>
      <c r="V152" s="2316"/>
      <c r="W152" s="1058"/>
      <c r="Z152" s="1058"/>
      <c r="AA152" s="1168"/>
      <c r="AB152" s="1058"/>
      <c r="AE152" s="1058"/>
      <c r="AF152" s="1168"/>
      <c r="AG152" s="1058"/>
      <c r="AJ152" s="1058"/>
      <c r="AK152" s="1168"/>
      <c r="AL152" s="1058"/>
      <c r="AO152" s="1058"/>
      <c r="AP152" s="1168"/>
      <c r="AQ152" s="305"/>
      <c r="AR152" s="305"/>
      <c r="AS152" s="305"/>
      <c r="AT152" s="305"/>
      <c r="AU152" s="305"/>
      <c r="AV152" s="305"/>
      <c r="AW152" s="1154"/>
      <c r="BA152" s="305"/>
      <c r="BB152" s="1154"/>
      <c r="JV152" s="1064"/>
      <c r="KA152" s="1064"/>
      <c r="KB152" s="1064"/>
      <c r="KC152" s="1064"/>
      <c r="KD152" s="1064"/>
      <c r="KE152" s="1064"/>
      <c r="KF152" s="1064"/>
      <c r="KG152" s="1064"/>
      <c r="KH152" s="1064"/>
      <c r="KI152" s="1064"/>
      <c r="KJ152" s="1064"/>
      <c r="KK152" s="1064"/>
      <c r="KL152" s="1064"/>
      <c r="KM152" s="1064"/>
      <c r="KN152" s="1064"/>
      <c r="KO152" s="1064"/>
      <c r="KP152" s="1064"/>
      <c r="KQ152" s="1064"/>
      <c r="KR152" s="1064"/>
      <c r="KS152" s="1064"/>
      <c r="KT152" s="1064"/>
      <c r="KU152" s="1064"/>
      <c r="KV152" s="1064"/>
      <c r="KW152" s="1064"/>
      <c r="KX152" s="1064"/>
      <c r="KY152" s="1064"/>
      <c r="KZ152" s="1064"/>
      <c r="LA152" s="1064"/>
      <c r="LB152" s="1064"/>
      <c r="LC152" s="1064"/>
      <c r="LD152" s="1064"/>
      <c r="LE152" s="1064"/>
      <c r="LF152" s="1064"/>
      <c r="LN152" s="1155"/>
      <c r="MC152" s="1064"/>
    </row>
    <row r="153" spans="1:341" ht="14.25" customHeight="1">
      <c r="C153" s="1018"/>
      <c r="D153" s="1018"/>
      <c r="E153" s="1244"/>
      <c r="F153" s="1212"/>
      <c r="G153" s="1061"/>
      <c r="H153" s="1235" t="s">
        <v>2940</v>
      </c>
      <c r="I153" s="1061"/>
      <c r="J153" s="1178">
        <f t="shared" si="375"/>
        <v>0</v>
      </c>
      <c r="K153" s="1179">
        <f t="shared" si="375"/>
        <v>0</v>
      </c>
      <c r="L153" s="1179">
        <f t="shared" si="375"/>
        <v>0</v>
      </c>
      <c r="M153" s="1179">
        <f t="shared" si="375"/>
        <v>0</v>
      </c>
      <c r="N153" s="1180">
        <f t="shared" si="375"/>
        <v>0</v>
      </c>
      <c r="O153" s="1185">
        <f t="shared" si="372"/>
        <v>0</v>
      </c>
      <c r="P153" s="2363" t="s">
        <v>3397</v>
      </c>
      <c r="R153" s="2311"/>
      <c r="S153" s="2312"/>
      <c r="T153" s="2312"/>
      <c r="U153" s="2312"/>
      <c r="V153" s="2313"/>
      <c r="W153" s="1058"/>
      <c r="Z153" s="1058"/>
      <c r="AA153" s="1168"/>
      <c r="AB153" s="1058"/>
      <c r="AE153" s="1058"/>
      <c r="AF153" s="1168"/>
      <c r="AG153" s="1058"/>
      <c r="AJ153" s="1058"/>
      <c r="AK153" s="1168"/>
      <c r="AL153" s="1058"/>
      <c r="AO153" s="1058"/>
      <c r="AP153" s="1168"/>
      <c r="AQ153" s="305"/>
      <c r="AR153" s="305"/>
      <c r="AS153" s="305"/>
      <c r="AT153" s="305"/>
      <c r="AU153" s="305"/>
      <c r="AV153" s="305"/>
      <c r="AW153" s="1154"/>
      <c r="BA153" s="305"/>
      <c r="BB153" s="1154"/>
      <c r="JV153" s="1064"/>
      <c r="KA153" s="1064"/>
      <c r="KB153" s="1064"/>
      <c r="KC153" s="1064"/>
      <c r="KD153" s="1064"/>
      <c r="KE153" s="1064"/>
      <c r="KF153" s="1064"/>
      <c r="KG153" s="1064"/>
      <c r="KH153" s="1064"/>
      <c r="KI153" s="1064"/>
      <c r="KJ153" s="1064"/>
      <c r="KK153" s="1064"/>
      <c r="KL153" s="1064"/>
      <c r="KM153" s="1064"/>
      <c r="KN153" s="1064"/>
      <c r="KO153" s="1064"/>
      <c r="KP153" s="1064"/>
      <c r="KQ153" s="1064"/>
      <c r="KR153" s="1064"/>
      <c r="KS153" s="1064"/>
      <c r="KT153" s="1064"/>
      <c r="KU153" s="1064"/>
      <c r="KV153" s="1064"/>
      <c r="KW153" s="1064"/>
      <c r="KX153" s="1064"/>
      <c r="KY153" s="1064"/>
      <c r="KZ153" s="1064"/>
      <c r="LA153" s="1064"/>
      <c r="LB153" s="1064"/>
      <c r="LC153" s="1064"/>
      <c r="LD153" s="1064"/>
      <c r="LE153" s="1064"/>
      <c r="LF153" s="1064"/>
      <c r="LN153" s="1155"/>
      <c r="MC153" s="1064"/>
    </row>
    <row r="154" spans="1:341" ht="9" customHeight="1">
      <c r="A154" s="1202"/>
      <c r="B154" s="1202"/>
      <c r="D154" s="1209"/>
      <c r="E154" s="1182"/>
      <c r="F154" s="1018"/>
      <c r="G154" s="1061"/>
      <c r="H154" s="1161"/>
      <c r="I154" s="1061"/>
      <c r="J154" s="1193"/>
      <c r="K154" s="1193"/>
      <c r="L154" s="1193"/>
      <c r="M154" s="1193"/>
      <c r="N154" s="1193"/>
      <c r="O154" s="1193"/>
      <c r="P154" s="2363"/>
      <c r="R154" s="1198"/>
      <c r="S154" s="1194"/>
      <c r="T154" s="1195"/>
      <c r="W154" s="1167"/>
      <c r="Z154" s="1167"/>
      <c r="AA154" s="1168"/>
      <c r="AB154" s="1167"/>
      <c r="AE154" s="1167"/>
      <c r="AF154" s="1168"/>
      <c r="AG154" s="1167"/>
      <c r="AJ154" s="1167"/>
      <c r="AK154" s="1168"/>
      <c r="AL154" s="1167"/>
      <c r="AO154" s="1167"/>
      <c r="AP154" s="1168"/>
      <c r="AQ154" s="1167"/>
      <c r="AR154" s="1167"/>
      <c r="AS154" s="1167"/>
      <c r="AT154" s="1167"/>
      <c r="AU154" s="1167"/>
      <c r="AV154" s="1167"/>
      <c r="AW154" s="1154"/>
      <c r="AX154" s="1058"/>
      <c r="BA154" s="1167"/>
      <c r="BB154" s="1154"/>
      <c r="BC154" s="1058"/>
      <c r="LN154" s="1155"/>
      <c r="MC154" s="1064"/>
    </row>
    <row r="155" spans="1:341" ht="12" customHeight="1">
      <c r="A155" s="885"/>
      <c r="B155" s="885" t="s">
        <v>1928</v>
      </c>
      <c r="C155" s="1018"/>
      <c r="D155" s="1018"/>
      <c r="E155" s="1018"/>
      <c r="F155" s="1018"/>
      <c r="G155" s="1061"/>
      <c r="H155" s="1234"/>
      <c r="I155" s="1061"/>
      <c r="J155" s="1245"/>
      <c r="K155" s="1245"/>
      <c r="L155" s="1245"/>
      <c r="M155" s="1245"/>
      <c r="N155" s="1245"/>
      <c r="O155" s="1245"/>
      <c r="P155" s="2363"/>
      <c r="R155" s="2364" t="str">
        <f>B155</f>
        <v>Unit Square Footage:</v>
      </c>
      <c r="S155" s="2364"/>
      <c r="T155" s="2364"/>
      <c r="W155" s="1167"/>
      <c r="Z155" s="1167"/>
      <c r="AA155" s="1168"/>
      <c r="AB155" s="1167"/>
      <c r="AE155" s="1167"/>
      <c r="AF155" s="1168"/>
      <c r="AG155" s="1167"/>
      <c r="AJ155" s="1167"/>
      <c r="AK155" s="1168"/>
      <c r="AL155" s="1167"/>
      <c r="AO155" s="1167"/>
      <c r="AP155" s="1168"/>
      <c r="AQ155" s="1167"/>
      <c r="AR155" s="1167"/>
      <c r="AS155" s="1167"/>
      <c r="AT155" s="1167"/>
      <c r="AU155" s="1167"/>
      <c r="AV155" s="1167"/>
      <c r="AW155" s="1154"/>
      <c r="AX155" s="1058"/>
      <c r="BA155" s="1167"/>
      <c r="BB155" s="1154"/>
      <c r="BC155" s="1058"/>
      <c r="LN155" s="1155"/>
      <c r="MC155" s="1064"/>
    </row>
    <row r="156" spans="1:341" ht="14.25" customHeight="1">
      <c r="C156" s="1141" t="s">
        <v>1902</v>
      </c>
      <c r="D156" s="1018"/>
      <c r="E156" s="1018"/>
      <c r="F156" s="1018"/>
      <c r="G156" s="1061"/>
      <c r="H156" s="1183" t="s">
        <v>3383</v>
      </c>
      <c r="I156" s="1061"/>
      <c r="J156" s="1199">
        <f>EH48</f>
        <v>0</v>
      </c>
      <c r="K156" s="1200">
        <f>EI48</f>
        <v>0</v>
      </c>
      <c r="L156" s="1200">
        <f>EJ48</f>
        <v>0</v>
      </c>
      <c r="M156" s="1200">
        <f>EK48</f>
        <v>0</v>
      </c>
      <c r="N156" s="1201">
        <f>EL48</f>
        <v>0</v>
      </c>
      <c r="O156" s="1246">
        <f t="shared" ref="O156:O162" si="376">SUM(J156:N156)</f>
        <v>0</v>
      </c>
      <c r="P156" s="1247" t="str">
        <f t="shared" ref="P156:P162" si="377">IF(OR(O56=0,O56=""),"",O156/O56)</f>
        <v/>
      </c>
      <c r="R156" s="2355"/>
      <c r="S156" s="2356"/>
      <c r="T156" s="2356"/>
      <c r="U156" s="2356"/>
      <c r="V156" s="2357"/>
      <c r="W156" s="1167"/>
      <c r="Z156" s="1167"/>
      <c r="AA156" s="1168"/>
      <c r="AB156" s="1167"/>
      <c r="AE156" s="1167"/>
      <c r="AF156" s="1168"/>
      <c r="AG156" s="1167"/>
      <c r="AJ156" s="1167"/>
      <c r="AK156" s="1168"/>
      <c r="AL156" s="1167"/>
      <c r="AO156" s="1167"/>
      <c r="AP156" s="1168"/>
      <c r="AQ156" s="305"/>
      <c r="AR156" s="305"/>
      <c r="AS156" s="305"/>
      <c r="AT156" s="305"/>
      <c r="AU156" s="305"/>
      <c r="AV156" s="305"/>
      <c r="AW156" s="1154"/>
      <c r="AX156" s="1058"/>
      <c r="BA156" s="305"/>
      <c r="BB156" s="1154"/>
      <c r="BC156" s="1058"/>
      <c r="LN156" s="1155"/>
      <c r="MC156" s="1064"/>
    </row>
    <row r="157" spans="1:341" ht="14.25" customHeight="1">
      <c r="C157" s="1141"/>
      <c r="D157" s="1018"/>
      <c r="E157" s="1018"/>
      <c r="F157" s="1018"/>
      <c r="G157" s="1061"/>
      <c r="H157" s="1234" t="s">
        <v>3385</v>
      </c>
      <c r="I157" s="1061"/>
      <c r="J157" s="1248">
        <f>EM48</f>
        <v>0</v>
      </c>
      <c r="K157" s="1249">
        <f>EN48</f>
        <v>0</v>
      </c>
      <c r="L157" s="1249">
        <f>EO48</f>
        <v>0</v>
      </c>
      <c r="M157" s="1249">
        <f>EP48</f>
        <v>0</v>
      </c>
      <c r="N157" s="1250">
        <f>EQ48</f>
        <v>0</v>
      </c>
      <c r="O157" s="1251">
        <f t="shared" si="376"/>
        <v>0</v>
      </c>
      <c r="P157" s="1247" t="str">
        <f t="shared" si="377"/>
        <v/>
      </c>
      <c r="R157" s="2314"/>
      <c r="S157" s="2315"/>
      <c r="T157" s="2315"/>
      <c r="U157" s="2315"/>
      <c r="V157" s="2316"/>
      <c r="W157" s="1167"/>
      <c r="Z157" s="1167"/>
      <c r="AA157" s="1168"/>
      <c r="AB157" s="1167"/>
      <c r="AE157" s="1167"/>
      <c r="AF157" s="1168"/>
      <c r="AG157" s="1167"/>
      <c r="AJ157" s="1167"/>
      <c r="AK157" s="1168"/>
      <c r="AL157" s="1167"/>
      <c r="AO157" s="1167"/>
      <c r="AP157" s="1168"/>
      <c r="AQ157" s="305"/>
      <c r="AR157" s="305"/>
      <c r="AS157" s="305"/>
      <c r="AT157" s="305"/>
      <c r="AU157" s="305"/>
      <c r="AV157" s="305"/>
      <c r="AW157" s="1154"/>
      <c r="AX157" s="1058"/>
      <c r="BA157" s="305"/>
      <c r="BB157" s="1154"/>
      <c r="BC157" s="1058"/>
      <c r="LN157" s="1155"/>
      <c r="MC157" s="1064"/>
    </row>
    <row r="158" spans="1:341" ht="14.25" customHeight="1">
      <c r="C158" s="1141"/>
      <c r="D158" s="1018"/>
      <c r="E158" s="1018"/>
      <c r="F158" s="1018"/>
      <c r="G158" s="1061"/>
      <c r="H158" s="1234" t="s">
        <v>1065</v>
      </c>
      <c r="I158" s="1061"/>
      <c r="J158" s="1248">
        <f>ER48</f>
        <v>0</v>
      </c>
      <c r="K158" s="1249">
        <f>ES48</f>
        <v>0</v>
      </c>
      <c r="L158" s="1249">
        <f>ET48</f>
        <v>0</v>
      </c>
      <c r="M158" s="1249">
        <f>EU48</f>
        <v>0</v>
      </c>
      <c r="N158" s="1250">
        <f>EV48</f>
        <v>0</v>
      </c>
      <c r="O158" s="1251">
        <f t="shared" si="376"/>
        <v>0</v>
      </c>
      <c r="P158" s="1247" t="str">
        <f t="shared" si="377"/>
        <v/>
      </c>
      <c r="R158" s="2314"/>
      <c r="S158" s="2315"/>
      <c r="T158" s="2315"/>
      <c r="U158" s="2315"/>
      <c r="V158" s="2316"/>
      <c r="W158" s="1167"/>
      <c r="Z158" s="1167"/>
      <c r="AA158" s="1168"/>
      <c r="AB158" s="1167"/>
      <c r="AE158" s="1167"/>
      <c r="AF158" s="1168"/>
      <c r="AG158" s="1167"/>
      <c r="AJ158" s="1167"/>
      <c r="AK158" s="1168"/>
      <c r="AL158" s="1167"/>
      <c r="AO158" s="1167"/>
      <c r="AP158" s="1168"/>
      <c r="AQ158" s="305"/>
      <c r="AR158" s="305"/>
      <c r="AS158" s="305"/>
      <c r="AT158" s="305"/>
      <c r="AU158" s="305"/>
      <c r="AV158" s="305"/>
      <c r="AW158" s="1154"/>
      <c r="AX158" s="1058"/>
      <c r="BA158" s="305"/>
      <c r="BB158" s="1154"/>
      <c r="BC158" s="1058"/>
      <c r="LN158" s="1155"/>
      <c r="MC158" s="1064"/>
    </row>
    <row r="159" spans="1:341" ht="14.25" customHeight="1">
      <c r="C159" s="1141"/>
      <c r="D159" s="1018"/>
      <c r="E159" s="1018"/>
      <c r="F159" s="1018"/>
      <c r="G159" s="1061"/>
      <c r="H159" s="1231" t="s">
        <v>109</v>
      </c>
      <c r="I159" s="1174"/>
      <c r="J159" s="1252">
        <f>EW48</f>
        <v>0</v>
      </c>
      <c r="K159" s="1253">
        <f>EX48</f>
        <v>0</v>
      </c>
      <c r="L159" s="1253">
        <f>EY48</f>
        <v>0</v>
      </c>
      <c r="M159" s="1253">
        <f>EZ48</f>
        <v>0</v>
      </c>
      <c r="N159" s="1254">
        <f>FA48</f>
        <v>0</v>
      </c>
      <c r="O159" s="1255">
        <f t="shared" si="376"/>
        <v>0</v>
      </c>
      <c r="P159" s="1247" t="str">
        <f t="shared" si="377"/>
        <v/>
      </c>
      <c r="R159" s="2314"/>
      <c r="S159" s="2315"/>
      <c r="T159" s="2315"/>
      <c r="U159" s="2315"/>
      <c r="V159" s="2316"/>
      <c r="W159" s="1167"/>
      <c r="Z159" s="1167"/>
      <c r="AA159" s="1168"/>
      <c r="AB159" s="1167"/>
      <c r="AE159" s="1167"/>
      <c r="AF159" s="1168"/>
      <c r="AG159" s="1167"/>
      <c r="AJ159" s="1167"/>
      <c r="AK159" s="1168"/>
      <c r="AL159" s="1167"/>
      <c r="AO159" s="1167"/>
      <c r="AP159" s="1168"/>
      <c r="AQ159" s="305"/>
      <c r="AR159" s="305"/>
      <c r="AS159" s="305"/>
      <c r="AT159" s="305"/>
      <c r="AU159" s="305"/>
      <c r="AV159" s="305"/>
      <c r="AW159" s="1154"/>
      <c r="AX159" s="1058"/>
      <c r="BA159" s="305"/>
      <c r="BB159" s="1154"/>
      <c r="BC159" s="1058"/>
      <c r="LN159" s="1155"/>
      <c r="MC159" s="1064"/>
    </row>
    <row r="160" spans="1:341" ht="14.25" customHeight="1">
      <c r="C160" s="1141"/>
      <c r="D160" s="1018"/>
      <c r="E160" s="1018"/>
      <c r="F160" s="1018"/>
      <c r="G160" s="1061"/>
      <c r="H160" s="1231" t="s">
        <v>3386</v>
      </c>
      <c r="I160" s="1174"/>
      <c r="J160" s="1248">
        <f>FB48</f>
        <v>0</v>
      </c>
      <c r="K160" s="1249">
        <f>FC48</f>
        <v>0</v>
      </c>
      <c r="L160" s="1249">
        <f>FD48</f>
        <v>0</v>
      </c>
      <c r="M160" s="1249">
        <f>FE48</f>
        <v>0</v>
      </c>
      <c r="N160" s="1250">
        <f>FF48</f>
        <v>0</v>
      </c>
      <c r="O160" s="1251">
        <f t="shared" si="376"/>
        <v>0</v>
      </c>
      <c r="P160" s="1247" t="str">
        <f t="shared" si="377"/>
        <v/>
      </c>
      <c r="R160" s="2314"/>
      <c r="S160" s="2315"/>
      <c r="T160" s="2315"/>
      <c r="U160" s="2315"/>
      <c r="V160" s="2316"/>
      <c r="W160" s="1167"/>
      <c r="Z160" s="1167"/>
      <c r="AA160" s="1168"/>
      <c r="AB160" s="1167"/>
      <c r="AE160" s="1167"/>
      <c r="AF160" s="1168"/>
      <c r="AG160" s="1167"/>
      <c r="AJ160" s="1167"/>
      <c r="AK160" s="1168"/>
      <c r="AL160" s="1167"/>
      <c r="AO160" s="1167"/>
      <c r="AP160" s="1168"/>
      <c r="AQ160" s="305"/>
      <c r="AR160" s="305"/>
      <c r="AS160" s="305"/>
      <c r="AT160" s="305"/>
      <c r="AU160" s="305"/>
      <c r="AV160" s="305"/>
      <c r="AW160" s="1154"/>
      <c r="AX160" s="1058"/>
      <c r="BA160" s="305"/>
      <c r="BB160" s="1154"/>
      <c r="BC160" s="1058"/>
      <c r="LN160" s="1155"/>
      <c r="MC160" s="1064"/>
    </row>
    <row r="161" spans="1:492" ht="14.25" customHeight="1">
      <c r="C161" s="1141"/>
      <c r="D161" s="1018"/>
      <c r="E161" s="1018"/>
      <c r="F161" s="1018"/>
      <c r="G161" s="1061"/>
      <c r="H161" s="1234" t="s">
        <v>3387</v>
      </c>
      <c r="I161" s="1061"/>
      <c r="J161" s="1248">
        <f>FG48</f>
        <v>0</v>
      </c>
      <c r="K161" s="1249">
        <f>FH48</f>
        <v>0</v>
      </c>
      <c r="L161" s="1249">
        <f>FI48</f>
        <v>0</v>
      </c>
      <c r="M161" s="1249">
        <f>FJ48</f>
        <v>0</v>
      </c>
      <c r="N161" s="1250">
        <f>FK48</f>
        <v>0</v>
      </c>
      <c r="O161" s="1251">
        <f t="shared" si="376"/>
        <v>0</v>
      </c>
      <c r="P161" s="1247" t="str">
        <f t="shared" si="377"/>
        <v/>
      </c>
      <c r="R161" s="2314"/>
      <c r="S161" s="2315"/>
      <c r="T161" s="2315"/>
      <c r="U161" s="2315"/>
      <c r="V161" s="2316"/>
      <c r="W161" s="1167"/>
      <c r="Z161" s="1167"/>
      <c r="AA161" s="1168"/>
      <c r="AB161" s="1167"/>
      <c r="AE161" s="1167"/>
      <c r="AF161" s="1168"/>
      <c r="AG161" s="1167"/>
      <c r="AJ161" s="1167"/>
      <c r="AK161" s="1168"/>
      <c r="AL161" s="1167"/>
      <c r="AO161" s="1167"/>
      <c r="AP161" s="1168"/>
      <c r="AQ161" s="305"/>
      <c r="AR161" s="305"/>
      <c r="AS161" s="305"/>
      <c r="AT161" s="305"/>
      <c r="AU161" s="305"/>
      <c r="AV161" s="305"/>
      <c r="AW161" s="1154"/>
      <c r="AX161" s="1058"/>
      <c r="BA161" s="305"/>
      <c r="BB161" s="1154"/>
      <c r="BC161" s="1058"/>
      <c r="LN161" s="1155"/>
      <c r="MC161" s="1064"/>
    </row>
    <row r="162" spans="1:492" ht="14.25" customHeight="1">
      <c r="C162" s="1015"/>
      <c r="D162" s="1018"/>
      <c r="E162" s="1018"/>
      <c r="F162" s="1018"/>
      <c r="G162" s="1061"/>
      <c r="H162" s="1183" t="s">
        <v>3388</v>
      </c>
      <c r="I162" s="1061"/>
      <c r="J162" s="1203">
        <f>FL48</f>
        <v>0</v>
      </c>
      <c r="K162" s="1204">
        <f>FM48</f>
        <v>0</v>
      </c>
      <c r="L162" s="1204">
        <f>FN48</f>
        <v>0</v>
      </c>
      <c r="M162" s="1204">
        <f>FO48</f>
        <v>0</v>
      </c>
      <c r="N162" s="1205">
        <f>FP48</f>
        <v>0</v>
      </c>
      <c r="O162" s="1256">
        <f t="shared" si="376"/>
        <v>0</v>
      </c>
      <c r="P162" s="1247" t="str">
        <f t="shared" si="377"/>
        <v/>
      </c>
      <c r="R162" s="2314"/>
      <c r="S162" s="2315"/>
      <c r="T162" s="2315"/>
      <c r="U162" s="2315"/>
      <c r="V162" s="2316"/>
      <c r="W162" s="1181"/>
      <c r="Z162" s="1167"/>
      <c r="AA162" s="1168"/>
      <c r="AB162" s="1181"/>
      <c r="AE162" s="1167"/>
      <c r="AF162" s="1168"/>
      <c r="AG162" s="1181"/>
      <c r="AJ162" s="1167"/>
      <c r="AK162" s="1168"/>
      <c r="AL162" s="1181"/>
      <c r="AO162" s="1167"/>
      <c r="AP162" s="1168"/>
      <c r="AQ162" s="305"/>
      <c r="AR162" s="305"/>
      <c r="AS162" s="305"/>
      <c r="AT162" s="305"/>
      <c r="AU162" s="305"/>
      <c r="AV162" s="305"/>
      <c r="AW162" s="1167"/>
      <c r="AX162" s="1058"/>
      <c r="BA162" s="305"/>
      <c r="BB162" s="1167"/>
      <c r="BC162" s="1058"/>
      <c r="LN162" s="1155"/>
      <c r="MC162" s="1064"/>
    </row>
    <row r="163" spans="1:492" ht="14.25" customHeight="1">
      <c r="C163" s="1015"/>
      <c r="D163" s="1018"/>
      <c r="E163" s="1018"/>
      <c r="F163" s="1018"/>
      <c r="G163" s="1061"/>
      <c r="H163" s="1234" t="s">
        <v>3398</v>
      </c>
      <c r="I163" s="1061"/>
      <c r="J163" s="1257">
        <f>SUM(J156:J162)</f>
        <v>0</v>
      </c>
      <c r="K163" s="1257">
        <f>SUM(K156:K162)</f>
        <v>0</v>
      </c>
      <c r="L163" s="1257">
        <f>SUM(L156:L162)</f>
        <v>0</v>
      </c>
      <c r="M163" s="1257">
        <f>SUM(M156:M162)</f>
        <v>0</v>
      </c>
      <c r="N163" s="1257">
        <f>SUM(N156:N162)</f>
        <v>0</v>
      </c>
      <c r="O163" s="1257">
        <f>SUM(J163:N163)</f>
        <v>0</v>
      </c>
      <c r="R163" s="2314"/>
      <c r="S163" s="2315"/>
      <c r="T163" s="2315"/>
      <c r="U163" s="2315"/>
      <c r="V163" s="2316"/>
      <c r="W163" s="1181"/>
      <c r="Z163" s="1167"/>
      <c r="AA163" s="1168"/>
      <c r="AB163" s="1181"/>
      <c r="AE163" s="1167"/>
      <c r="AF163" s="1168"/>
      <c r="AG163" s="1181"/>
      <c r="AJ163" s="1167"/>
      <c r="AK163" s="1168"/>
      <c r="AL163" s="1181"/>
      <c r="AO163" s="1167"/>
      <c r="AP163" s="1168"/>
      <c r="AQ163" s="305"/>
      <c r="AR163" s="305"/>
      <c r="AS163" s="305"/>
      <c r="AT163" s="305"/>
      <c r="AU163" s="305"/>
      <c r="AV163" s="305"/>
      <c r="AW163" s="1167"/>
      <c r="AX163" s="1058"/>
      <c r="BA163" s="305"/>
      <c r="BB163" s="1167"/>
      <c r="BC163" s="1058"/>
      <c r="LN163" s="1155"/>
      <c r="MC163" s="1064"/>
    </row>
    <row r="164" spans="1:492" ht="14.25" customHeight="1">
      <c r="C164" s="1018" t="s">
        <v>282</v>
      </c>
      <c r="D164" s="1018"/>
      <c r="E164" s="1018"/>
      <c r="F164" s="1018"/>
      <c r="G164" s="1018"/>
      <c r="H164" s="1061"/>
      <c r="I164" s="1061"/>
      <c r="J164" s="1258">
        <f>FQ48</f>
        <v>0</v>
      </c>
      <c r="K164" s="1259">
        <f>FR48</f>
        <v>0</v>
      </c>
      <c r="L164" s="1259">
        <f>FS48</f>
        <v>0</v>
      </c>
      <c r="M164" s="1259">
        <f>FT48</f>
        <v>0</v>
      </c>
      <c r="N164" s="1260">
        <f>FU48</f>
        <v>0</v>
      </c>
      <c r="O164" s="1256">
        <f>SUM(J164:N164)</f>
        <v>0</v>
      </c>
      <c r="P164" s="1261" t="str">
        <f>IF(OR(O64=0,O64=""),"",O164/O64)</f>
        <v/>
      </c>
      <c r="R164" s="2314"/>
      <c r="S164" s="2315"/>
      <c r="T164" s="2315"/>
      <c r="U164" s="2315"/>
      <c r="V164" s="2316"/>
      <c r="W164" s="1058"/>
      <c r="Z164" s="1167"/>
      <c r="AA164" s="1167"/>
      <c r="AB164" s="1058"/>
      <c r="AE164" s="1167"/>
      <c r="AF164" s="1167"/>
      <c r="AG164" s="1058"/>
      <c r="AJ164" s="1167"/>
      <c r="AK164" s="1167"/>
      <c r="AL164" s="1058"/>
      <c r="AO164" s="1167"/>
      <c r="AP164" s="1167"/>
      <c r="AQ164" s="305"/>
      <c r="AR164" s="305"/>
      <c r="AS164" s="305"/>
      <c r="AT164" s="305"/>
      <c r="AU164" s="305"/>
      <c r="AV164" s="305"/>
      <c r="AW164" s="1154"/>
      <c r="AX164" s="1058"/>
      <c r="BA164" s="305"/>
      <c r="BB164" s="1154"/>
      <c r="BC164" s="1058"/>
      <c r="LN164" s="1155"/>
      <c r="MC164" s="1064"/>
    </row>
    <row r="165" spans="1:492" ht="14.25" customHeight="1">
      <c r="C165" s="1141" t="s">
        <v>1054</v>
      </c>
      <c r="D165" s="1018"/>
      <c r="E165" s="1018"/>
      <c r="F165" s="1018"/>
      <c r="G165" s="1018"/>
      <c r="H165" s="1061"/>
      <c r="I165" s="1061"/>
      <c r="J165" s="1257">
        <f>SUM(J163:J164)</f>
        <v>0</v>
      </c>
      <c r="K165" s="1257">
        <f>SUM(K163:K164)</f>
        <v>0</v>
      </c>
      <c r="L165" s="1257">
        <f>SUM(L163:L164)</f>
        <v>0</v>
      </c>
      <c r="M165" s="1257">
        <f>SUM(M163:M164)</f>
        <v>0</v>
      </c>
      <c r="N165" s="1257">
        <f>SUM(N163:N164)</f>
        <v>0</v>
      </c>
      <c r="O165" s="1257">
        <f>SUM(J165:N165)</f>
        <v>0</v>
      </c>
      <c r="R165" s="2314"/>
      <c r="S165" s="2315"/>
      <c r="T165" s="2315"/>
      <c r="U165" s="2315"/>
      <c r="V165" s="2316"/>
      <c r="W165" s="1167"/>
      <c r="Z165" s="1167"/>
      <c r="AA165" s="1167"/>
      <c r="AB165" s="1167"/>
      <c r="AE165" s="1167"/>
      <c r="AF165" s="1167"/>
      <c r="AG165" s="1167"/>
      <c r="AJ165" s="1167"/>
      <c r="AK165" s="1167"/>
      <c r="AL165" s="1167"/>
      <c r="AO165" s="1167"/>
      <c r="AP165" s="1167"/>
      <c r="AQ165" s="305"/>
      <c r="AR165" s="305"/>
      <c r="AS165" s="305"/>
      <c r="AT165" s="305"/>
      <c r="AU165" s="305"/>
      <c r="AV165" s="305"/>
      <c r="AW165" s="1154"/>
      <c r="AX165" s="1058"/>
      <c r="BA165" s="305"/>
      <c r="BB165" s="1154"/>
      <c r="BC165" s="1058"/>
      <c r="LN165" s="1155"/>
      <c r="MC165" s="1064"/>
    </row>
    <row r="166" spans="1:492" ht="14.25" customHeight="1">
      <c r="C166" s="1141" t="s">
        <v>2224</v>
      </c>
      <c r="D166" s="1018"/>
      <c r="E166" s="1018"/>
      <c r="F166" s="1018"/>
      <c r="G166" s="1018"/>
      <c r="H166" s="1061"/>
      <c r="I166" s="1061"/>
      <c r="J166" s="1258">
        <f>GA48</f>
        <v>0</v>
      </c>
      <c r="K166" s="1259">
        <f>GB48</f>
        <v>0</v>
      </c>
      <c r="L166" s="1259">
        <f>GC48</f>
        <v>0</v>
      </c>
      <c r="M166" s="1259">
        <f>GD48</f>
        <v>0</v>
      </c>
      <c r="N166" s="1260">
        <f>GE48</f>
        <v>0</v>
      </c>
      <c r="O166" s="1256">
        <f>SUM(J166:N166)</f>
        <v>0</v>
      </c>
      <c r="P166" s="1261" t="str">
        <f>IF(OR(O66=0,O66=""),"",O166/O66)</f>
        <v/>
      </c>
      <c r="R166" s="2314"/>
      <c r="S166" s="2315"/>
      <c r="T166" s="2315"/>
      <c r="U166" s="2315"/>
      <c r="V166" s="2316"/>
      <c r="W166" s="1167"/>
      <c r="Z166" s="1167"/>
      <c r="AA166" s="1167"/>
      <c r="AB166" s="1167"/>
      <c r="AE166" s="1167"/>
      <c r="AF166" s="1167"/>
      <c r="AG166" s="1167"/>
      <c r="AJ166" s="1167"/>
      <c r="AK166" s="1167"/>
      <c r="AL166" s="1167"/>
      <c r="AO166" s="1167"/>
      <c r="AP166" s="1167"/>
      <c r="AQ166" s="305"/>
      <c r="AR166" s="305"/>
      <c r="AS166" s="305"/>
      <c r="AT166" s="305"/>
      <c r="AU166" s="305"/>
      <c r="AV166" s="305"/>
      <c r="AW166" s="1154"/>
      <c r="AX166" s="1058"/>
      <c r="BA166" s="305"/>
      <c r="BB166" s="1154"/>
      <c r="BC166" s="1058"/>
      <c r="LN166" s="1155"/>
      <c r="MC166" s="1064"/>
    </row>
    <row r="167" spans="1:492" ht="14.25" customHeight="1">
      <c r="C167" s="1141" t="s">
        <v>503</v>
      </c>
      <c r="D167" s="1018"/>
      <c r="E167" s="1018"/>
      <c r="F167" s="1018"/>
      <c r="G167" s="1018"/>
      <c r="H167" s="1061"/>
      <c r="I167" s="1061"/>
      <c r="J167" s="1262">
        <f>SUM(J165:J166)</f>
        <v>0</v>
      </c>
      <c r="K167" s="1262">
        <f>SUM(K165:K166)</f>
        <v>0</v>
      </c>
      <c r="L167" s="1262">
        <f>SUM(L165:L166)</f>
        <v>0</v>
      </c>
      <c r="M167" s="1262">
        <f>SUM(M165:M166)</f>
        <v>0</v>
      </c>
      <c r="N167" s="1262">
        <f>SUM(N165:N166)</f>
        <v>0</v>
      </c>
      <c r="O167" s="1262">
        <f>SUM(J167:N167)</f>
        <v>0</v>
      </c>
      <c r="R167" s="2311"/>
      <c r="S167" s="2312"/>
      <c r="T167" s="2312"/>
      <c r="U167" s="2312"/>
      <c r="V167" s="2313"/>
      <c r="W167" s="1167"/>
      <c r="Z167" s="1167"/>
      <c r="AA167" s="1167"/>
      <c r="AB167" s="1167"/>
      <c r="AE167" s="1167"/>
      <c r="AF167" s="1167"/>
      <c r="AG167" s="1167"/>
      <c r="AJ167" s="1167"/>
      <c r="AK167" s="1167"/>
      <c r="AL167" s="1167"/>
      <c r="AO167" s="1167"/>
      <c r="AP167" s="1167"/>
      <c r="AQ167" s="305"/>
      <c r="AR167" s="305"/>
      <c r="AS167" s="305"/>
      <c r="AT167" s="305"/>
      <c r="AU167" s="305"/>
      <c r="AV167" s="305"/>
      <c r="AW167" s="1154"/>
      <c r="AX167" s="1058"/>
      <c r="BA167" s="305"/>
      <c r="BB167" s="1154"/>
      <c r="BC167" s="1058"/>
      <c r="LN167" s="1155"/>
      <c r="MC167" s="1064"/>
    </row>
    <row r="168" spans="1:492" ht="14.1" customHeight="1"/>
    <row r="169" spans="1:492" s="1057" customFormat="1" ht="14.1" customHeight="1">
      <c r="A169" s="1018"/>
      <c r="B169" s="1018"/>
      <c r="C169" s="1018"/>
      <c r="D169" s="1018"/>
      <c r="E169" s="1018"/>
      <c r="F169" s="1018"/>
      <c r="G169" s="1018"/>
      <c r="I169" s="1018"/>
      <c r="J169" s="1018"/>
      <c r="K169" s="1018"/>
      <c r="L169" s="1018"/>
      <c r="M169" s="1018"/>
      <c r="N169" s="1018"/>
      <c r="O169" s="1018"/>
      <c r="W169" s="1058"/>
      <c r="X169" s="1058"/>
      <c r="Y169" s="1058"/>
      <c r="Z169" s="1058"/>
      <c r="AA169" s="1058"/>
      <c r="AB169" s="1058"/>
      <c r="AC169" s="1058"/>
      <c r="AD169" s="1058"/>
      <c r="AE169" s="1058"/>
      <c r="AF169" s="1058"/>
      <c r="AG169" s="1058"/>
      <c r="AH169" s="1058"/>
      <c r="AI169" s="1058"/>
      <c r="AJ169" s="1058"/>
      <c r="AK169" s="1058"/>
      <c r="AL169" s="1058"/>
      <c r="AM169" s="1058"/>
      <c r="AN169" s="1058"/>
      <c r="AO169" s="1058"/>
      <c r="AP169" s="1058"/>
      <c r="AQ169" s="1058"/>
      <c r="AR169" s="1058"/>
      <c r="AS169" s="1058"/>
      <c r="AT169" s="1058"/>
      <c r="AU169" s="1058"/>
      <c r="AV169" s="1058"/>
      <c r="AW169" s="1058"/>
      <c r="AX169" s="1058"/>
      <c r="AY169" s="1058"/>
      <c r="AZ169" s="1058"/>
      <c r="BA169" s="1058"/>
      <c r="BB169" s="1058"/>
      <c r="BC169" s="1058"/>
      <c r="BD169" s="1058"/>
      <c r="BE169" s="1058"/>
      <c r="BF169" s="1058"/>
      <c r="BG169" s="1058"/>
      <c r="BH169" s="1058"/>
      <c r="BI169" s="1058"/>
      <c r="BJ169" s="1058"/>
      <c r="BK169" s="1058"/>
      <c r="BL169" s="1058"/>
      <c r="BM169" s="1058"/>
      <c r="BN169" s="1058"/>
      <c r="BO169" s="1058"/>
      <c r="BP169" s="1058"/>
      <c r="BQ169" s="1058"/>
      <c r="BR169" s="1058"/>
      <c r="BS169" s="1058"/>
      <c r="BT169" s="1058"/>
      <c r="BU169" s="1058"/>
      <c r="BV169" s="1058"/>
      <c r="BW169" s="1058"/>
      <c r="BX169" s="1058"/>
      <c r="BY169" s="1058"/>
      <c r="BZ169" s="1058"/>
      <c r="CA169" s="1058"/>
      <c r="CB169" s="1058"/>
      <c r="CC169" s="1058"/>
      <c r="CD169" s="1058"/>
      <c r="CE169" s="1058"/>
      <c r="CF169" s="1058"/>
      <c r="CG169" s="1058"/>
      <c r="CH169" s="1058"/>
      <c r="CI169" s="1058"/>
      <c r="CJ169" s="1058"/>
      <c r="CK169" s="1058"/>
      <c r="CL169" s="1058"/>
      <c r="CM169" s="1058"/>
      <c r="CN169" s="1058"/>
      <c r="CO169" s="1058"/>
      <c r="CP169" s="1058"/>
      <c r="CQ169" s="1058"/>
      <c r="CR169" s="1058"/>
      <c r="CS169" s="1058"/>
      <c r="CT169" s="1058"/>
      <c r="CU169" s="1058"/>
      <c r="CV169" s="1058"/>
      <c r="CW169" s="1058"/>
      <c r="CX169" s="1058"/>
      <c r="CY169" s="1058"/>
      <c r="CZ169" s="1058"/>
      <c r="DA169" s="1058"/>
      <c r="DB169" s="1058"/>
      <c r="DC169" s="1058"/>
      <c r="DD169" s="1058"/>
      <c r="DE169" s="1058"/>
      <c r="DF169" s="1058"/>
      <c r="DG169" s="1058"/>
      <c r="DH169" s="1058"/>
      <c r="DI169" s="1058"/>
      <c r="DJ169" s="1058"/>
      <c r="DK169" s="1058"/>
      <c r="DL169" s="1058"/>
      <c r="DM169" s="1058"/>
      <c r="DN169" s="1058"/>
      <c r="DO169" s="1058"/>
      <c r="DP169" s="1058"/>
      <c r="DQ169" s="1058"/>
      <c r="DR169" s="1058"/>
      <c r="DS169" s="1058"/>
      <c r="DT169" s="1058"/>
      <c r="DU169" s="1058"/>
      <c r="DV169" s="1058"/>
      <c r="DW169" s="1058"/>
      <c r="DX169" s="1058"/>
      <c r="DY169" s="1058"/>
      <c r="DZ169" s="1058"/>
      <c r="EA169" s="1058"/>
      <c r="EB169" s="1058"/>
      <c r="EC169" s="1058"/>
      <c r="ED169" s="1058"/>
      <c r="EE169" s="1058"/>
      <c r="EF169" s="1058"/>
      <c r="EG169" s="1058"/>
      <c r="EH169" s="1058"/>
      <c r="EI169" s="1058"/>
      <c r="EJ169" s="1058"/>
      <c r="EK169" s="1058"/>
      <c r="EL169" s="1058"/>
      <c r="EM169" s="1058"/>
      <c r="EN169" s="1058"/>
      <c r="EO169" s="1058"/>
      <c r="EP169" s="1058"/>
      <c r="EQ169" s="1058"/>
      <c r="ER169" s="1058"/>
      <c r="ES169" s="1058"/>
      <c r="ET169" s="1058"/>
      <c r="EU169" s="1058"/>
      <c r="EV169" s="1058"/>
      <c r="EW169" s="1058"/>
      <c r="EX169" s="1058"/>
      <c r="EY169" s="1058"/>
      <c r="EZ169" s="1058"/>
      <c r="FA169" s="1058"/>
      <c r="FB169" s="1058"/>
      <c r="FC169" s="1058"/>
      <c r="FD169" s="1058"/>
      <c r="FE169" s="1058"/>
      <c r="FF169" s="1058"/>
      <c r="FG169" s="1058"/>
      <c r="FH169" s="1058"/>
      <c r="FI169" s="1058"/>
      <c r="FJ169" s="1058"/>
      <c r="FK169" s="1058"/>
      <c r="FL169" s="1058"/>
      <c r="FM169" s="1058"/>
      <c r="FN169" s="1058"/>
      <c r="FO169" s="1058"/>
      <c r="FP169" s="1058"/>
      <c r="FQ169" s="1058"/>
      <c r="FR169" s="1058"/>
      <c r="FS169" s="1058"/>
      <c r="FT169" s="1058"/>
      <c r="FU169" s="1058"/>
      <c r="FV169" s="1058"/>
      <c r="FW169" s="1058"/>
      <c r="FX169" s="1058"/>
      <c r="FY169" s="1058"/>
      <c r="FZ169" s="1058"/>
      <c r="GA169" s="1058"/>
      <c r="GB169" s="1058"/>
      <c r="GC169" s="1058"/>
      <c r="GD169" s="1058"/>
      <c r="GE169" s="1058"/>
      <c r="GF169" s="1058"/>
      <c r="GG169" s="1058"/>
      <c r="GH169" s="1058"/>
      <c r="GI169" s="1058"/>
      <c r="GJ169" s="1058"/>
      <c r="GK169" s="1058"/>
      <c r="GL169" s="1058"/>
      <c r="GM169" s="1058"/>
      <c r="GN169" s="1058"/>
      <c r="GO169" s="1058"/>
      <c r="GP169" s="1058"/>
      <c r="GQ169" s="1058"/>
      <c r="GR169" s="1058"/>
      <c r="GS169" s="1058"/>
      <c r="GT169" s="1058"/>
      <c r="GU169" s="1058"/>
      <c r="GV169" s="1058"/>
      <c r="GW169" s="1058"/>
      <c r="GX169" s="1058"/>
      <c r="GY169" s="1058"/>
      <c r="GZ169" s="1058"/>
      <c r="HA169" s="1058"/>
      <c r="HB169" s="1058"/>
      <c r="HC169" s="1058"/>
      <c r="HD169" s="1058"/>
      <c r="HE169" s="1058"/>
      <c r="HF169" s="1058"/>
      <c r="HG169" s="1058"/>
      <c r="HH169" s="1058"/>
      <c r="HI169" s="1058"/>
      <c r="HJ169" s="1058"/>
      <c r="HK169" s="1058"/>
      <c r="HL169" s="1058"/>
      <c r="HM169" s="1058"/>
      <c r="HN169" s="1058"/>
      <c r="HO169" s="1058"/>
      <c r="HP169" s="1058"/>
      <c r="HQ169" s="1058"/>
      <c r="HR169" s="1058"/>
      <c r="HS169" s="1058"/>
      <c r="HT169" s="1058"/>
      <c r="HU169" s="1058"/>
      <c r="HV169" s="1058"/>
      <c r="HW169" s="1058"/>
      <c r="HX169" s="1058"/>
      <c r="HY169" s="1058"/>
      <c r="HZ169" s="1058"/>
      <c r="IA169" s="1058"/>
      <c r="IB169" s="1058"/>
      <c r="IC169" s="1058"/>
      <c r="ID169" s="1058"/>
      <c r="IE169" s="1058"/>
      <c r="IF169" s="1058"/>
      <c r="IG169" s="1058"/>
      <c r="IH169" s="1058"/>
      <c r="II169" s="1058"/>
      <c r="IJ169" s="1058"/>
      <c r="IK169" s="1058"/>
      <c r="IL169" s="1058"/>
      <c r="IM169" s="1058"/>
      <c r="IN169" s="1058"/>
      <c r="IO169" s="1058"/>
      <c r="IP169" s="1058"/>
      <c r="IQ169" s="1058"/>
      <c r="IR169" s="1058"/>
      <c r="IS169" s="1058"/>
      <c r="IT169" s="1058"/>
      <c r="IU169" s="1058"/>
      <c r="IV169" s="1058"/>
      <c r="IW169" s="1058"/>
      <c r="IX169" s="1058"/>
      <c r="IY169" s="1058"/>
      <c r="IZ169" s="1058"/>
      <c r="JA169" s="1058"/>
      <c r="JB169" s="1058"/>
      <c r="JC169" s="1058"/>
      <c r="JD169" s="1058"/>
      <c r="JE169" s="1058"/>
      <c r="JF169" s="1058"/>
      <c r="JG169" s="1058"/>
      <c r="JH169" s="1058"/>
      <c r="JI169" s="1058"/>
      <c r="JJ169" s="1058"/>
      <c r="JK169" s="1058"/>
      <c r="JL169" s="1058"/>
      <c r="JM169" s="1058"/>
      <c r="JN169" s="1058"/>
      <c r="JO169" s="1058"/>
      <c r="JP169" s="1058"/>
      <c r="JQ169" s="1058"/>
      <c r="JR169" s="1058"/>
      <c r="JS169" s="1058"/>
      <c r="JT169" s="1058"/>
      <c r="JU169" s="1058"/>
      <c r="JV169" s="1059"/>
      <c r="JW169" s="1058"/>
      <c r="JX169" s="1058"/>
      <c r="JY169" s="1058"/>
      <c r="JZ169" s="1058"/>
      <c r="KA169" s="1059"/>
      <c r="KB169" s="1059"/>
      <c r="KC169" s="1059"/>
      <c r="KD169" s="1059"/>
      <c r="KE169" s="1059"/>
      <c r="KF169" s="1059"/>
      <c r="KG169" s="1059"/>
      <c r="KH169" s="1059"/>
      <c r="KI169" s="1059"/>
      <c r="KJ169" s="1059"/>
      <c r="KK169" s="1059"/>
      <c r="KL169" s="1059"/>
      <c r="KM169" s="1059"/>
      <c r="KN169" s="1059"/>
      <c r="KO169" s="1059"/>
      <c r="KP169" s="1059"/>
      <c r="KQ169" s="1059"/>
      <c r="KR169" s="1059"/>
      <c r="KS169" s="1059"/>
      <c r="KT169" s="1059"/>
      <c r="KU169" s="1059"/>
      <c r="KV169" s="1059"/>
      <c r="KW169" s="1059"/>
      <c r="KX169" s="1059"/>
      <c r="KY169" s="1059"/>
      <c r="KZ169" s="1059"/>
      <c r="LA169" s="1059"/>
      <c r="LB169" s="1059"/>
      <c r="LC169" s="1059"/>
      <c r="LD169" s="1059"/>
      <c r="LE169" s="1059"/>
      <c r="LF169" s="1059"/>
      <c r="LG169" s="1058"/>
      <c r="LH169" s="1058"/>
      <c r="LI169" s="1058"/>
      <c r="LJ169" s="1058"/>
      <c r="LK169" s="1058"/>
      <c r="LL169" s="1058"/>
      <c r="LM169" s="1060"/>
      <c r="LN169" s="1058"/>
      <c r="LO169" s="1058"/>
      <c r="LP169" s="1058"/>
      <c r="LQ169" s="1058"/>
      <c r="LR169" s="1058"/>
      <c r="LS169" s="1058"/>
      <c r="LT169" s="1058"/>
      <c r="LU169" s="1058"/>
      <c r="LV169" s="1058"/>
      <c r="LW169" s="1058"/>
      <c r="LX169" s="1058"/>
      <c r="LY169" s="1058"/>
      <c r="LZ169" s="1058"/>
      <c r="MA169" s="1058"/>
      <c r="MB169" s="1058"/>
      <c r="MC169" s="1060"/>
      <c r="MD169" s="1060"/>
      <c r="ME169" s="1058"/>
      <c r="MF169" s="1058"/>
      <c r="MG169" s="1058"/>
      <c r="MH169" s="1058"/>
      <c r="MI169" s="1058"/>
      <c r="MJ169" s="1058"/>
      <c r="MK169" s="1058"/>
      <c r="ML169" s="1058"/>
      <c r="MM169" s="1058"/>
      <c r="MN169" s="1058"/>
      <c r="MO169" s="1058"/>
      <c r="MP169" s="1058"/>
      <c r="MQ169" s="1058"/>
      <c r="MR169" s="1058"/>
      <c r="MS169" s="1058"/>
      <c r="MT169" s="1058"/>
      <c r="MU169" s="1058"/>
      <c r="MV169" s="1058"/>
      <c r="MW169" s="1058"/>
      <c r="MX169" s="1058"/>
      <c r="MY169" s="1058"/>
      <c r="MZ169" s="1058"/>
      <c r="NA169" s="1058"/>
      <c r="NB169" s="1058"/>
      <c r="NC169" s="1058"/>
      <c r="ND169" s="1058"/>
      <c r="NE169" s="1058"/>
      <c r="NF169" s="1058"/>
      <c r="NG169" s="1058"/>
      <c r="NH169" s="1058"/>
      <c r="NI169" s="1058"/>
      <c r="NJ169" s="1058"/>
      <c r="NK169" s="1058"/>
      <c r="NL169" s="1058"/>
      <c r="NM169" s="1058"/>
      <c r="NN169" s="1058"/>
      <c r="NO169" s="1058"/>
      <c r="NP169" s="1058"/>
      <c r="NQ169" s="1058"/>
      <c r="NR169" s="1058"/>
      <c r="NS169" s="1058"/>
      <c r="NT169" s="1058"/>
      <c r="NU169" s="1058"/>
      <c r="NV169" s="1058"/>
      <c r="NW169" s="1058"/>
      <c r="NX169" s="1058"/>
      <c r="NY169" s="1058"/>
      <c r="NZ169" s="1058"/>
      <c r="OA169" s="1058"/>
      <c r="OB169" s="1058"/>
      <c r="OC169" s="1058"/>
      <c r="OD169" s="1018"/>
      <c r="OE169" s="1018"/>
      <c r="OF169" s="1018"/>
      <c r="OG169" s="1018"/>
      <c r="OH169" s="1018"/>
      <c r="OI169" s="1018"/>
      <c r="OJ169" s="1018"/>
      <c r="OK169" s="1018"/>
      <c r="OL169" s="1018"/>
      <c r="OM169" s="1018"/>
      <c r="ON169" s="1018"/>
      <c r="OO169" s="1018"/>
      <c r="OP169" s="1018"/>
      <c r="OQ169" s="1018"/>
      <c r="OR169" s="1018"/>
      <c r="OS169" s="1018"/>
      <c r="OT169" s="1018"/>
      <c r="OU169" s="1018"/>
      <c r="OV169" s="1018"/>
      <c r="OW169" s="1018"/>
      <c r="OX169" s="1018"/>
      <c r="OY169" s="1018"/>
      <c r="OZ169" s="1018"/>
      <c r="PA169" s="1018"/>
      <c r="PB169" s="1018"/>
      <c r="PC169" s="1018"/>
      <c r="PD169" s="1018"/>
      <c r="PE169" s="1018"/>
      <c r="PF169" s="1018"/>
      <c r="PG169" s="1018"/>
      <c r="PH169" s="1018"/>
      <c r="PI169" s="1018"/>
      <c r="PJ169" s="1018"/>
      <c r="PK169" s="1018"/>
      <c r="PL169" s="1018"/>
      <c r="PM169" s="1018"/>
      <c r="PN169" s="1018"/>
      <c r="PO169" s="1018"/>
      <c r="PP169" s="1018"/>
      <c r="PQ169" s="1018"/>
      <c r="PR169" s="1018"/>
      <c r="PS169" s="1018"/>
      <c r="PT169" s="1018"/>
      <c r="PU169" s="1018"/>
      <c r="PV169" s="1018"/>
      <c r="PW169" s="1018"/>
      <c r="PX169" s="1018"/>
      <c r="PY169" s="1018"/>
      <c r="PZ169" s="1018"/>
      <c r="QA169" s="1018"/>
      <c r="QB169" s="1018"/>
      <c r="QC169" s="1018"/>
      <c r="QD169" s="1018"/>
      <c r="QE169" s="1018"/>
      <c r="QF169" s="1018"/>
      <c r="QG169" s="1018"/>
      <c r="QH169" s="1018"/>
      <c r="QI169" s="1018"/>
      <c r="QJ169" s="1018"/>
      <c r="QK169" s="1018"/>
      <c r="QL169" s="1018"/>
      <c r="QM169" s="1018"/>
      <c r="QN169" s="1018"/>
      <c r="QO169" s="1018"/>
      <c r="QP169" s="1018"/>
      <c r="QQ169" s="1018"/>
      <c r="QR169" s="1018"/>
      <c r="QS169" s="1018"/>
      <c r="QT169" s="1018"/>
      <c r="QU169" s="1018"/>
      <c r="QV169" s="1018"/>
      <c r="QW169" s="1018"/>
      <c r="QX169" s="1018"/>
      <c r="QY169" s="1018"/>
      <c r="QZ169" s="1018"/>
      <c r="RA169" s="1018"/>
      <c r="RB169" s="1018"/>
      <c r="RC169" s="1018"/>
      <c r="RD169" s="1018"/>
      <c r="RE169" s="1018"/>
      <c r="RF169" s="1018"/>
      <c r="RG169" s="1018"/>
      <c r="RH169" s="1018"/>
      <c r="RI169" s="1018"/>
      <c r="RJ169" s="1018"/>
      <c r="RK169" s="1018"/>
      <c r="RL169" s="1018"/>
      <c r="RM169" s="1018"/>
      <c r="RN169" s="1018"/>
      <c r="RO169" s="1018"/>
      <c r="RP169" s="1018"/>
      <c r="RQ169" s="1018"/>
      <c r="RR169" s="1018"/>
      <c r="RS169" s="1018"/>
      <c r="RT169" s="1018"/>
      <c r="RU169" s="1018"/>
      <c r="RV169" s="1018"/>
      <c r="RW169" s="1018"/>
      <c r="RX169" s="1018"/>
    </row>
    <row r="170" spans="1:492" s="1057" customFormat="1" ht="14.25" customHeight="1">
      <c r="A170" s="1018"/>
      <c r="B170" s="1018"/>
      <c r="C170" s="1018" t="s">
        <v>3399</v>
      </c>
      <c r="D170" s="1018"/>
      <c r="E170" s="1018"/>
      <c r="F170" s="1018"/>
      <c r="G170" s="1018"/>
      <c r="H170" s="1018"/>
      <c r="I170" s="1018"/>
      <c r="J170" s="1263" t="str">
        <f>IF(OR(J67="",J67=0),"",J167/J67)</f>
        <v/>
      </c>
      <c r="K170" s="1263" t="str">
        <f>IF(OR(K67="",K67=0),"",K167/K67)</f>
        <v/>
      </c>
      <c r="L170" s="1263" t="str">
        <f>IF(OR(L67="",L67=0),"",L167/L67)</f>
        <v/>
      </c>
      <c r="M170" s="1263" t="str">
        <f>IF(OR(M67="",M67=0),"",M167/M67)</f>
        <v/>
      </c>
      <c r="N170" s="1263" t="str">
        <f>IF(OR(N67="",N67=0),"",N167/N67)</f>
        <v/>
      </c>
      <c r="O170" s="1264"/>
      <c r="W170" s="1058"/>
      <c r="X170" s="1058"/>
      <c r="Y170" s="1058"/>
      <c r="Z170" s="1058"/>
      <c r="AA170" s="1058"/>
      <c r="AB170" s="1058"/>
      <c r="AC170" s="1058"/>
      <c r="AD170" s="1058"/>
      <c r="AE170" s="1058"/>
      <c r="AF170" s="1058"/>
      <c r="AG170" s="1058"/>
      <c r="AH170" s="1058"/>
      <c r="AI170" s="1058"/>
      <c r="AJ170" s="1058"/>
      <c r="AK170" s="1058"/>
      <c r="AL170" s="1058"/>
      <c r="AM170" s="1058"/>
      <c r="AN170" s="1058"/>
      <c r="AO170" s="1058"/>
      <c r="AP170" s="1058"/>
      <c r="AQ170" s="1058"/>
      <c r="AR170" s="1058"/>
      <c r="AS170" s="1058"/>
      <c r="AT170" s="1058"/>
      <c r="AU170" s="1058"/>
      <c r="AV170" s="1058"/>
      <c r="AW170" s="1058"/>
      <c r="AX170" s="1058"/>
      <c r="AY170" s="1058"/>
      <c r="AZ170" s="1058"/>
      <c r="BA170" s="1058"/>
      <c r="BB170" s="1058"/>
      <c r="BC170" s="1058"/>
      <c r="BD170" s="1058"/>
      <c r="BE170" s="1058"/>
      <c r="BF170" s="1058"/>
      <c r="BG170" s="1058"/>
      <c r="BH170" s="1058"/>
      <c r="BI170" s="1058"/>
      <c r="BJ170" s="1058"/>
      <c r="BK170" s="1058"/>
      <c r="BL170" s="1058"/>
      <c r="BM170" s="1058"/>
      <c r="BN170" s="1058"/>
      <c r="BO170" s="1058"/>
      <c r="BP170" s="1058"/>
      <c r="BQ170" s="1058"/>
      <c r="BR170" s="1058"/>
      <c r="BS170" s="1058"/>
      <c r="BT170" s="1058"/>
      <c r="BU170" s="1058"/>
      <c r="BV170" s="1058"/>
      <c r="BW170" s="1058"/>
      <c r="BX170" s="1058"/>
      <c r="BY170" s="1058"/>
      <c r="BZ170" s="1058"/>
      <c r="CA170" s="1058"/>
      <c r="CB170" s="1058"/>
      <c r="CC170" s="1058"/>
      <c r="CD170" s="1058"/>
      <c r="CE170" s="1058"/>
      <c r="CF170" s="1058"/>
      <c r="CG170" s="1058"/>
      <c r="CH170" s="1058"/>
      <c r="CI170" s="1058"/>
      <c r="CJ170" s="1058"/>
      <c r="CK170" s="1058"/>
      <c r="CL170" s="1058"/>
      <c r="CM170" s="1058"/>
      <c r="CN170" s="1058"/>
      <c r="CO170" s="1058"/>
      <c r="CP170" s="1058"/>
      <c r="CQ170" s="1058"/>
      <c r="CR170" s="1058"/>
      <c r="CS170" s="1058"/>
      <c r="CT170" s="1058"/>
      <c r="CU170" s="1058"/>
      <c r="CV170" s="1058"/>
      <c r="CW170" s="1058"/>
      <c r="CX170" s="1058"/>
      <c r="CY170" s="1058"/>
      <c r="CZ170" s="1058"/>
      <c r="DA170" s="1058"/>
      <c r="DB170" s="1058"/>
      <c r="DC170" s="1058"/>
      <c r="DD170" s="1058"/>
      <c r="DE170" s="1058"/>
      <c r="DF170" s="1058"/>
      <c r="DG170" s="1058"/>
      <c r="DH170" s="1058"/>
      <c r="DI170" s="1058"/>
      <c r="DJ170" s="1058"/>
      <c r="DK170" s="1058"/>
      <c r="DL170" s="1058"/>
      <c r="DM170" s="1058"/>
      <c r="DN170" s="1058"/>
      <c r="DO170" s="1058"/>
      <c r="DP170" s="1058"/>
      <c r="DQ170" s="1058"/>
      <c r="DR170" s="1058"/>
      <c r="DS170" s="1058"/>
      <c r="DT170" s="1058"/>
      <c r="DU170" s="1058"/>
      <c r="DV170" s="1058"/>
      <c r="DW170" s="1058"/>
      <c r="DX170" s="1058"/>
      <c r="DY170" s="1058"/>
      <c r="DZ170" s="1058"/>
      <c r="EA170" s="1058"/>
      <c r="EB170" s="1058"/>
      <c r="EC170" s="1058"/>
      <c r="ED170" s="1058"/>
      <c r="EE170" s="1058"/>
      <c r="EF170" s="1058"/>
      <c r="EG170" s="1058"/>
      <c r="EH170" s="1058"/>
      <c r="EI170" s="1058"/>
      <c r="EJ170" s="1058"/>
      <c r="EK170" s="1058"/>
      <c r="EL170" s="1058"/>
      <c r="EM170" s="1058"/>
      <c r="EN170" s="1058"/>
      <c r="EO170" s="1058"/>
      <c r="EP170" s="1058"/>
      <c r="EQ170" s="1058"/>
      <c r="ER170" s="1058"/>
      <c r="ES170" s="1058"/>
      <c r="ET170" s="1058"/>
      <c r="EU170" s="1058"/>
      <c r="EV170" s="1058"/>
      <c r="EW170" s="1058"/>
      <c r="EX170" s="1058"/>
      <c r="EY170" s="1058"/>
      <c r="EZ170" s="1058"/>
      <c r="FA170" s="1058"/>
      <c r="FB170" s="1058"/>
      <c r="FC170" s="1058"/>
      <c r="FD170" s="1058"/>
      <c r="FE170" s="1058"/>
      <c r="FF170" s="1058"/>
      <c r="FG170" s="1058"/>
      <c r="FH170" s="1058"/>
      <c r="FI170" s="1058"/>
      <c r="FJ170" s="1058"/>
      <c r="FK170" s="1058"/>
      <c r="FL170" s="1058"/>
      <c r="FM170" s="1058"/>
      <c r="FN170" s="1058"/>
      <c r="FO170" s="1058"/>
      <c r="FP170" s="1058"/>
      <c r="FQ170" s="1058"/>
      <c r="FR170" s="1058"/>
      <c r="FS170" s="1058"/>
      <c r="FT170" s="1058"/>
      <c r="FU170" s="1058"/>
      <c r="FV170" s="1058"/>
      <c r="FW170" s="1058"/>
      <c r="FX170" s="1058"/>
      <c r="FY170" s="1058"/>
      <c r="FZ170" s="1058"/>
      <c r="GA170" s="1058"/>
      <c r="GB170" s="1058"/>
      <c r="GC170" s="1058"/>
      <c r="GD170" s="1058"/>
      <c r="GE170" s="1058"/>
      <c r="GF170" s="1058"/>
      <c r="GG170" s="1058"/>
      <c r="GH170" s="1058"/>
      <c r="GI170" s="1058"/>
      <c r="GJ170" s="1058"/>
      <c r="GK170" s="1058"/>
      <c r="GL170" s="1058"/>
      <c r="GM170" s="1058"/>
      <c r="GN170" s="1058"/>
      <c r="GO170" s="1058"/>
      <c r="GP170" s="1058"/>
      <c r="GQ170" s="1058"/>
      <c r="GR170" s="1058"/>
      <c r="GS170" s="1058"/>
      <c r="GT170" s="1058"/>
      <c r="GU170" s="1058"/>
      <c r="GV170" s="1058"/>
      <c r="GW170" s="1058"/>
      <c r="GX170" s="1058"/>
      <c r="GY170" s="1058"/>
      <c r="GZ170" s="1058"/>
      <c r="HA170" s="1058"/>
      <c r="HB170" s="1058"/>
      <c r="HC170" s="1058"/>
      <c r="HD170" s="1058"/>
      <c r="HE170" s="1058"/>
      <c r="HF170" s="1058"/>
      <c r="HG170" s="1058"/>
      <c r="HH170" s="1058"/>
      <c r="HI170" s="1058"/>
      <c r="HJ170" s="1058"/>
      <c r="HK170" s="1058"/>
      <c r="HL170" s="1058"/>
      <c r="HM170" s="1058"/>
      <c r="HN170" s="1058"/>
      <c r="HO170" s="1058"/>
      <c r="HP170" s="1058"/>
      <c r="HQ170" s="1058"/>
      <c r="HR170" s="1058"/>
      <c r="HS170" s="1058"/>
      <c r="HT170" s="1058"/>
      <c r="HU170" s="1058"/>
      <c r="HV170" s="1058"/>
      <c r="HW170" s="1058"/>
      <c r="HX170" s="1058"/>
      <c r="HY170" s="1058"/>
      <c r="HZ170" s="1058"/>
      <c r="IA170" s="1058"/>
      <c r="IB170" s="1058"/>
      <c r="IC170" s="1058"/>
      <c r="ID170" s="1058"/>
      <c r="IE170" s="1058"/>
      <c r="IF170" s="1058"/>
      <c r="IG170" s="1058"/>
      <c r="IH170" s="1058"/>
      <c r="II170" s="1058"/>
      <c r="IJ170" s="1058"/>
      <c r="IK170" s="1058"/>
      <c r="IL170" s="1058"/>
      <c r="IM170" s="1058"/>
      <c r="IN170" s="1058"/>
      <c r="IO170" s="1058"/>
      <c r="IP170" s="1058"/>
      <c r="IQ170" s="1058"/>
      <c r="IR170" s="1058"/>
      <c r="IS170" s="1058"/>
      <c r="IT170" s="1058"/>
      <c r="IU170" s="1058"/>
      <c r="IV170" s="1058"/>
      <c r="IW170" s="1058"/>
      <c r="IX170" s="1058"/>
      <c r="IY170" s="1058"/>
      <c r="IZ170" s="1058"/>
      <c r="JA170" s="1058"/>
      <c r="JB170" s="1058"/>
      <c r="JC170" s="1058"/>
      <c r="JD170" s="1058"/>
      <c r="JE170" s="1058"/>
      <c r="JF170" s="1058"/>
      <c r="JG170" s="1058"/>
      <c r="JH170" s="1058"/>
      <c r="JI170" s="1058"/>
      <c r="JJ170" s="1058"/>
      <c r="JK170" s="1058"/>
      <c r="JL170" s="1058"/>
      <c r="JM170" s="1058"/>
      <c r="JN170" s="1058"/>
      <c r="JO170" s="1058"/>
      <c r="JP170" s="1058"/>
      <c r="JQ170" s="1058"/>
      <c r="JR170" s="1058"/>
      <c r="JS170" s="1058"/>
      <c r="JT170" s="1058"/>
      <c r="JU170" s="1058"/>
      <c r="JV170" s="1059"/>
      <c r="JW170" s="1058"/>
      <c r="JX170" s="1058"/>
      <c r="JY170" s="1058"/>
      <c r="JZ170" s="1058"/>
      <c r="KA170" s="1059"/>
      <c r="KB170" s="1059"/>
      <c r="KC170" s="1059"/>
      <c r="KD170" s="1059"/>
      <c r="KE170" s="1059"/>
      <c r="KF170" s="1059"/>
      <c r="KG170" s="1059"/>
      <c r="KH170" s="1059"/>
      <c r="KI170" s="1059"/>
      <c r="KJ170" s="1059"/>
      <c r="KK170" s="1059"/>
      <c r="KL170" s="1059"/>
      <c r="KM170" s="1059"/>
      <c r="KN170" s="1059"/>
      <c r="KO170" s="1059"/>
      <c r="KP170" s="1059"/>
      <c r="KQ170" s="1059"/>
      <c r="KR170" s="1059"/>
      <c r="KS170" s="1059"/>
      <c r="KT170" s="1059"/>
      <c r="KU170" s="1059"/>
      <c r="KV170" s="1059"/>
      <c r="KW170" s="1059"/>
      <c r="KX170" s="1059"/>
      <c r="KY170" s="1059"/>
      <c r="KZ170" s="1059"/>
      <c r="LA170" s="1059"/>
      <c r="LB170" s="1059"/>
      <c r="LC170" s="1059"/>
      <c r="LD170" s="1059"/>
      <c r="LE170" s="1059"/>
      <c r="LF170" s="1059"/>
      <c r="LG170" s="1058"/>
      <c r="LH170" s="1058"/>
      <c r="LI170" s="1058"/>
      <c r="LJ170" s="1058"/>
      <c r="LK170" s="1058"/>
      <c r="LL170" s="1058"/>
      <c r="LM170" s="1060"/>
      <c r="LN170" s="1058"/>
      <c r="LO170" s="1058"/>
      <c r="LP170" s="1058"/>
      <c r="LQ170" s="1058"/>
      <c r="LR170" s="1058"/>
      <c r="LS170" s="1058"/>
      <c r="LT170" s="1058"/>
      <c r="LU170" s="1058"/>
      <c r="LV170" s="1058"/>
      <c r="LW170" s="1058"/>
      <c r="LX170" s="1058"/>
      <c r="LY170" s="1058"/>
      <c r="LZ170" s="1058"/>
      <c r="MA170" s="1058"/>
      <c r="MB170" s="1058"/>
      <c r="MC170" s="1060"/>
      <c r="MD170" s="1060"/>
      <c r="ME170" s="1058"/>
      <c r="MF170" s="1058"/>
      <c r="MG170" s="1058"/>
      <c r="MH170" s="1058"/>
      <c r="MI170" s="1058"/>
      <c r="MJ170" s="1058"/>
      <c r="MK170" s="1058"/>
      <c r="ML170" s="1058"/>
      <c r="MM170" s="1058"/>
      <c r="MN170" s="1058"/>
      <c r="MO170" s="1058"/>
      <c r="MP170" s="1058"/>
      <c r="MQ170" s="1058"/>
      <c r="MR170" s="1058"/>
      <c r="MS170" s="1058"/>
      <c r="MT170" s="1058"/>
      <c r="MU170" s="1058"/>
      <c r="MV170" s="1058"/>
      <c r="MW170" s="1058"/>
      <c r="MX170" s="1058"/>
      <c r="MY170" s="1058"/>
      <c r="MZ170" s="1058"/>
      <c r="NA170" s="1058"/>
      <c r="NB170" s="1058"/>
      <c r="NC170" s="1058"/>
      <c r="ND170" s="1058"/>
      <c r="NE170" s="1058"/>
      <c r="NF170" s="1058"/>
      <c r="NG170" s="1058"/>
      <c r="NH170" s="1058"/>
      <c r="NI170" s="1058"/>
      <c r="NJ170" s="1058"/>
      <c r="NK170" s="1058"/>
      <c r="NL170" s="1058"/>
      <c r="NM170" s="1058"/>
      <c r="NN170" s="1058"/>
      <c r="NO170" s="1058"/>
      <c r="NP170" s="1058"/>
      <c r="NQ170" s="1058"/>
      <c r="NR170" s="1058"/>
      <c r="NS170" s="1058"/>
      <c r="NT170" s="1058"/>
      <c r="NU170" s="1058"/>
      <c r="NV170" s="1058"/>
      <c r="NW170" s="1058"/>
      <c r="NX170" s="1058"/>
      <c r="NY170" s="1058"/>
      <c r="NZ170" s="1058"/>
      <c r="OA170" s="1058"/>
      <c r="OB170" s="1058"/>
      <c r="OC170" s="1058"/>
      <c r="OD170" s="1018"/>
      <c r="OE170" s="1018"/>
      <c r="OF170" s="1018"/>
      <c r="OG170" s="1018"/>
      <c r="OH170" s="1018"/>
      <c r="OI170" s="1018"/>
      <c r="OJ170" s="1018"/>
      <c r="OK170" s="1018"/>
      <c r="OL170" s="1018"/>
      <c r="OM170" s="1018"/>
      <c r="ON170" s="1018"/>
      <c r="OO170" s="1018"/>
      <c r="OP170" s="1018"/>
      <c r="OQ170" s="1018"/>
      <c r="OR170" s="1018"/>
      <c r="OS170" s="1018"/>
      <c r="OT170" s="1018"/>
      <c r="OU170" s="1018"/>
      <c r="OV170" s="1018"/>
      <c r="OW170" s="1018"/>
      <c r="OX170" s="1018"/>
      <c r="OY170" s="1018"/>
      <c r="OZ170" s="1018"/>
      <c r="PA170" s="1018"/>
      <c r="PB170" s="1018"/>
      <c r="PC170" s="1018"/>
      <c r="PD170" s="1018"/>
      <c r="PE170" s="1018"/>
      <c r="PF170" s="1018"/>
      <c r="PG170" s="1018"/>
      <c r="PH170" s="1018"/>
      <c r="PI170" s="1018"/>
      <c r="PJ170" s="1018"/>
      <c r="PK170" s="1018"/>
      <c r="PL170" s="1018"/>
      <c r="PM170" s="1018"/>
      <c r="PN170" s="1018"/>
      <c r="PO170" s="1018"/>
      <c r="PP170" s="1018"/>
      <c r="PQ170" s="1018"/>
      <c r="PR170" s="1018"/>
      <c r="PS170" s="1018"/>
      <c r="PT170" s="1018"/>
      <c r="PU170" s="1018"/>
      <c r="PV170" s="1018"/>
      <c r="PW170" s="1018"/>
      <c r="PX170" s="1018"/>
      <c r="PY170" s="1018"/>
      <c r="PZ170" s="1018"/>
      <c r="QA170" s="1018"/>
      <c r="QB170" s="1018"/>
      <c r="QC170" s="1018"/>
      <c r="QD170" s="1018"/>
      <c r="QE170" s="1018"/>
      <c r="QF170" s="1018"/>
      <c r="QG170" s="1018"/>
      <c r="QH170" s="1018"/>
      <c r="QI170" s="1018"/>
      <c r="QJ170" s="1018"/>
      <c r="QK170" s="1018"/>
      <c r="QL170" s="1018"/>
      <c r="QM170" s="1018"/>
      <c r="QN170" s="1018"/>
      <c r="QO170" s="1018"/>
      <c r="QP170" s="1018"/>
      <c r="QQ170" s="1018"/>
      <c r="QR170" s="1018"/>
      <c r="QS170" s="1018"/>
      <c r="QT170" s="1018"/>
      <c r="QU170" s="1018"/>
      <c r="QV170" s="1018"/>
      <c r="QW170" s="1018"/>
      <c r="QX170" s="1018"/>
      <c r="QY170" s="1018"/>
      <c r="QZ170" s="1018"/>
      <c r="RA170" s="1018"/>
      <c r="RB170" s="1018"/>
      <c r="RC170" s="1018"/>
      <c r="RD170" s="1018"/>
      <c r="RE170" s="1018"/>
      <c r="RF170" s="1018"/>
      <c r="RG170" s="1018"/>
      <c r="RH170" s="1018"/>
      <c r="RI170" s="1018"/>
      <c r="RJ170" s="1018"/>
      <c r="RK170" s="1018"/>
      <c r="RL170" s="1018"/>
      <c r="RM170" s="1018"/>
      <c r="RN170" s="1018"/>
      <c r="RO170" s="1018"/>
      <c r="RP170" s="1018"/>
      <c r="RQ170" s="1018"/>
      <c r="RR170" s="1018"/>
      <c r="RS170" s="1018"/>
      <c r="RT170" s="1018"/>
      <c r="RU170" s="1018"/>
      <c r="RV170" s="1018"/>
      <c r="RW170" s="1018"/>
      <c r="RX170" s="1018"/>
    </row>
    <row r="171" spans="1:492" s="1057" customFormat="1" ht="14.1" customHeight="1">
      <c r="A171" s="1018"/>
      <c r="B171" s="1018"/>
      <c r="C171" s="1018"/>
      <c r="D171" s="1018"/>
      <c r="E171" s="1018"/>
      <c r="F171" s="1018"/>
      <c r="G171" s="1018"/>
      <c r="H171" s="1018"/>
      <c r="I171" s="1018"/>
      <c r="J171" s="1018"/>
      <c r="K171" s="1018"/>
      <c r="L171" s="1018"/>
      <c r="M171" s="1018"/>
      <c r="N171" s="1018"/>
      <c r="O171" s="1018"/>
      <c r="W171" s="1058"/>
      <c r="X171" s="1058"/>
      <c r="Y171" s="1058"/>
      <c r="Z171" s="1058"/>
      <c r="AA171" s="1058"/>
      <c r="AB171" s="1058"/>
      <c r="AC171" s="1058"/>
      <c r="AD171" s="1058"/>
      <c r="AE171" s="1058"/>
      <c r="AF171" s="1058"/>
      <c r="AG171" s="1058"/>
      <c r="AH171" s="1058"/>
      <c r="AI171" s="1058"/>
      <c r="AJ171" s="1058"/>
      <c r="AK171" s="1058"/>
      <c r="AL171" s="1058"/>
      <c r="AM171" s="1058"/>
      <c r="AN171" s="1058"/>
      <c r="AO171" s="1058"/>
      <c r="AP171" s="1058"/>
      <c r="AQ171" s="1058"/>
      <c r="AR171" s="1058"/>
      <c r="AS171" s="1058"/>
      <c r="AT171" s="1058"/>
      <c r="AU171" s="1058"/>
      <c r="AV171" s="1058"/>
      <c r="AW171" s="1058"/>
      <c r="AX171" s="1058"/>
      <c r="AY171" s="1058"/>
      <c r="AZ171" s="1058"/>
      <c r="BA171" s="1058"/>
      <c r="BB171" s="1058"/>
      <c r="BC171" s="1058"/>
      <c r="BD171" s="1058"/>
      <c r="BE171" s="1058"/>
      <c r="BF171" s="1058"/>
      <c r="BG171" s="1058"/>
      <c r="BH171" s="1058"/>
      <c r="BI171" s="1058"/>
      <c r="BJ171" s="1058"/>
      <c r="BK171" s="1058"/>
      <c r="BL171" s="1058"/>
      <c r="BM171" s="1058"/>
      <c r="BN171" s="1058"/>
      <c r="BO171" s="1058"/>
      <c r="BP171" s="1058"/>
      <c r="BQ171" s="1058"/>
      <c r="BR171" s="1058"/>
      <c r="BS171" s="1058"/>
      <c r="BT171" s="1058"/>
      <c r="BU171" s="1058"/>
      <c r="BV171" s="1058"/>
      <c r="BW171" s="1058"/>
      <c r="BX171" s="1058"/>
      <c r="BY171" s="1058"/>
      <c r="BZ171" s="1058"/>
      <c r="CA171" s="1058"/>
      <c r="CB171" s="1058"/>
      <c r="CC171" s="1058"/>
      <c r="CD171" s="1058"/>
      <c r="CE171" s="1058"/>
      <c r="CF171" s="1058"/>
      <c r="CG171" s="1058"/>
      <c r="CH171" s="1058"/>
      <c r="CI171" s="1058"/>
      <c r="CJ171" s="1058"/>
      <c r="CK171" s="1058"/>
      <c r="CL171" s="1058"/>
      <c r="CM171" s="1058"/>
      <c r="CN171" s="1058"/>
      <c r="CO171" s="1058"/>
      <c r="CP171" s="1058"/>
      <c r="CQ171" s="1058"/>
      <c r="CR171" s="1058"/>
      <c r="CS171" s="1058"/>
      <c r="CT171" s="1058"/>
      <c r="CU171" s="1058"/>
      <c r="CV171" s="1058"/>
      <c r="CW171" s="1058"/>
      <c r="CX171" s="1058"/>
      <c r="CY171" s="1058"/>
      <c r="CZ171" s="1058"/>
      <c r="DA171" s="1058"/>
      <c r="DB171" s="1058"/>
      <c r="DC171" s="1058"/>
      <c r="DD171" s="1058"/>
      <c r="DE171" s="1058"/>
      <c r="DF171" s="1058"/>
      <c r="DG171" s="1058"/>
      <c r="DH171" s="1058"/>
      <c r="DI171" s="1058"/>
      <c r="DJ171" s="1058"/>
      <c r="DK171" s="1058"/>
      <c r="DL171" s="1058"/>
      <c r="DM171" s="1058"/>
      <c r="DN171" s="1058"/>
      <c r="DO171" s="1058"/>
      <c r="DP171" s="1058"/>
      <c r="DQ171" s="1058"/>
      <c r="DR171" s="1058"/>
      <c r="DS171" s="1058"/>
      <c r="DT171" s="1058"/>
      <c r="DU171" s="1058"/>
      <c r="DV171" s="1058"/>
      <c r="DW171" s="1058"/>
      <c r="DX171" s="1058"/>
      <c r="DY171" s="1058"/>
      <c r="DZ171" s="1058"/>
      <c r="EA171" s="1058"/>
      <c r="EB171" s="1058"/>
      <c r="EC171" s="1058"/>
      <c r="ED171" s="1058"/>
      <c r="EE171" s="1058"/>
      <c r="EF171" s="1058"/>
      <c r="EG171" s="1058"/>
      <c r="EH171" s="1058"/>
      <c r="EI171" s="1058"/>
      <c r="EJ171" s="1058"/>
      <c r="EK171" s="1058"/>
      <c r="EL171" s="1058"/>
      <c r="EM171" s="1058"/>
      <c r="EN171" s="1058"/>
      <c r="EO171" s="1058"/>
      <c r="EP171" s="1058"/>
      <c r="EQ171" s="1058"/>
      <c r="ER171" s="1058"/>
      <c r="ES171" s="1058"/>
      <c r="ET171" s="1058"/>
      <c r="EU171" s="1058"/>
      <c r="EV171" s="1058"/>
      <c r="EW171" s="1058"/>
      <c r="EX171" s="1058"/>
      <c r="EY171" s="1058"/>
      <c r="EZ171" s="1058"/>
      <c r="FA171" s="1058"/>
      <c r="FB171" s="1058"/>
      <c r="FC171" s="1058"/>
      <c r="FD171" s="1058"/>
      <c r="FE171" s="1058"/>
      <c r="FF171" s="1058"/>
      <c r="FG171" s="1058"/>
      <c r="FH171" s="1058"/>
      <c r="FI171" s="1058"/>
      <c r="FJ171" s="1058"/>
      <c r="FK171" s="1058"/>
      <c r="FL171" s="1058"/>
      <c r="FM171" s="1058"/>
      <c r="FN171" s="1058"/>
      <c r="FO171" s="1058"/>
      <c r="FP171" s="1058"/>
      <c r="FQ171" s="1058"/>
      <c r="FR171" s="1058"/>
      <c r="FS171" s="1058"/>
      <c r="FT171" s="1058"/>
      <c r="FU171" s="1058"/>
      <c r="FV171" s="1058"/>
      <c r="FW171" s="1058"/>
      <c r="FX171" s="1058"/>
      <c r="FY171" s="1058"/>
      <c r="FZ171" s="1058"/>
      <c r="GA171" s="1058"/>
      <c r="GB171" s="1058"/>
      <c r="GC171" s="1058"/>
      <c r="GD171" s="1058"/>
      <c r="GE171" s="1058"/>
      <c r="GF171" s="1058"/>
      <c r="GG171" s="1058"/>
      <c r="GH171" s="1058"/>
      <c r="GI171" s="1058"/>
      <c r="GJ171" s="1058"/>
      <c r="GK171" s="1058"/>
      <c r="GL171" s="1058"/>
      <c r="GM171" s="1058"/>
      <c r="GN171" s="1058"/>
      <c r="GO171" s="1058"/>
      <c r="GP171" s="1058"/>
      <c r="GQ171" s="1058"/>
      <c r="GR171" s="1058"/>
      <c r="GS171" s="1058"/>
      <c r="GT171" s="1058"/>
      <c r="GU171" s="1058"/>
      <c r="GV171" s="1058"/>
      <c r="GW171" s="1058"/>
      <c r="GX171" s="1058"/>
      <c r="GY171" s="1058"/>
      <c r="GZ171" s="1058"/>
      <c r="HA171" s="1058"/>
      <c r="HB171" s="1058"/>
      <c r="HC171" s="1058"/>
      <c r="HD171" s="1058"/>
      <c r="HE171" s="1058"/>
      <c r="HF171" s="1058"/>
      <c r="HG171" s="1058"/>
      <c r="HH171" s="1058"/>
      <c r="HI171" s="1058"/>
      <c r="HJ171" s="1058"/>
      <c r="HK171" s="1058"/>
      <c r="HL171" s="1058"/>
      <c r="HM171" s="1058"/>
      <c r="HN171" s="1058"/>
      <c r="HO171" s="1058"/>
      <c r="HP171" s="1058"/>
      <c r="HQ171" s="1058"/>
      <c r="HR171" s="1058"/>
      <c r="HS171" s="1058"/>
      <c r="HT171" s="1058"/>
      <c r="HU171" s="1058"/>
      <c r="HV171" s="1058"/>
      <c r="HW171" s="1058"/>
      <c r="HX171" s="1058"/>
      <c r="HY171" s="1058"/>
      <c r="HZ171" s="1058"/>
      <c r="IA171" s="1058"/>
      <c r="IB171" s="1058"/>
      <c r="IC171" s="1058"/>
      <c r="ID171" s="1058"/>
      <c r="IE171" s="1058"/>
      <c r="IF171" s="1058"/>
      <c r="IG171" s="1058"/>
      <c r="IH171" s="1058"/>
      <c r="II171" s="1058"/>
      <c r="IJ171" s="1058"/>
      <c r="IK171" s="1058"/>
      <c r="IL171" s="1058"/>
      <c r="IM171" s="1058"/>
      <c r="IN171" s="1058"/>
      <c r="IO171" s="1058"/>
      <c r="IP171" s="1058"/>
      <c r="IQ171" s="1058"/>
      <c r="IR171" s="1058"/>
      <c r="IS171" s="1058"/>
      <c r="IT171" s="1058"/>
      <c r="IU171" s="1058"/>
      <c r="IV171" s="1058"/>
      <c r="IW171" s="1058"/>
      <c r="IX171" s="1058"/>
      <c r="IY171" s="1058"/>
      <c r="IZ171" s="1058"/>
      <c r="JA171" s="1058"/>
      <c r="JB171" s="1058"/>
      <c r="JC171" s="1058"/>
      <c r="JD171" s="1058"/>
      <c r="JE171" s="1058"/>
      <c r="JF171" s="1058"/>
      <c r="JG171" s="1058"/>
      <c r="JH171" s="1058"/>
      <c r="JI171" s="1058"/>
      <c r="JJ171" s="1058"/>
      <c r="JK171" s="1058"/>
      <c r="JL171" s="1058"/>
      <c r="JM171" s="1058"/>
      <c r="JN171" s="1058"/>
      <c r="JO171" s="1058"/>
      <c r="JP171" s="1058"/>
      <c r="JQ171" s="1058"/>
      <c r="JR171" s="1058"/>
      <c r="JS171" s="1058"/>
      <c r="JT171" s="1058"/>
      <c r="JU171" s="1058"/>
      <c r="JV171" s="1059"/>
      <c r="JW171" s="1058"/>
      <c r="JX171" s="1058"/>
      <c r="JY171" s="1058"/>
      <c r="JZ171" s="1058"/>
      <c r="KA171" s="1059"/>
      <c r="KB171" s="1059"/>
      <c r="KC171" s="1059"/>
      <c r="KD171" s="1059"/>
      <c r="KE171" s="1059"/>
      <c r="KF171" s="1059"/>
      <c r="KG171" s="1059"/>
      <c r="KH171" s="1059"/>
      <c r="KI171" s="1059"/>
      <c r="KJ171" s="1059"/>
      <c r="KK171" s="1059"/>
      <c r="KL171" s="1059"/>
      <c r="KM171" s="1059"/>
      <c r="KN171" s="1059"/>
      <c r="KO171" s="1059"/>
      <c r="KP171" s="1059"/>
      <c r="KQ171" s="1059"/>
      <c r="KR171" s="1059"/>
      <c r="KS171" s="1059"/>
      <c r="KT171" s="1059"/>
      <c r="KU171" s="1059"/>
      <c r="KV171" s="1059"/>
      <c r="KW171" s="1059"/>
      <c r="KX171" s="1059"/>
      <c r="KY171" s="1059"/>
      <c r="KZ171" s="1059"/>
      <c r="LA171" s="1059"/>
      <c r="LB171" s="1059"/>
      <c r="LC171" s="1059"/>
      <c r="LD171" s="1059"/>
      <c r="LE171" s="1059"/>
      <c r="LF171" s="1059"/>
      <c r="LG171" s="1058"/>
      <c r="LH171" s="1058"/>
      <c r="LI171" s="1058"/>
      <c r="LJ171" s="1058"/>
      <c r="LK171" s="1058"/>
      <c r="LL171" s="1058"/>
      <c r="LM171" s="1060"/>
      <c r="LN171" s="1058"/>
      <c r="LO171" s="1058"/>
      <c r="LP171" s="1058"/>
      <c r="LQ171" s="1058"/>
      <c r="LR171" s="1058"/>
      <c r="LS171" s="1058"/>
      <c r="LT171" s="1058"/>
      <c r="LU171" s="1058"/>
      <c r="LV171" s="1058"/>
      <c r="LW171" s="1058"/>
      <c r="LX171" s="1058"/>
      <c r="LY171" s="1058"/>
      <c r="LZ171" s="1058"/>
      <c r="MA171" s="1058"/>
      <c r="MB171" s="1058"/>
      <c r="MC171" s="1060"/>
      <c r="MD171" s="1060"/>
      <c r="ME171" s="1058"/>
      <c r="MF171" s="1058"/>
      <c r="MG171" s="1058"/>
      <c r="MH171" s="1058"/>
      <c r="MI171" s="1058"/>
      <c r="MJ171" s="1058"/>
      <c r="MK171" s="1058"/>
      <c r="ML171" s="1058"/>
      <c r="MM171" s="1058"/>
      <c r="MN171" s="1058"/>
      <c r="MO171" s="1058"/>
      <c r="MP171" s="1058"/>
      <c r="MQ171" s="1058"/>
      <c r="MR171" s="1058"/>
      <c r="MS171" s="1058"/>
      <c r="MT171" s="1058"/>
      <c r="MU171" s="1058"/>
      <c r="MV171" s="1058"/>
      <c r="MW171" s="1058"/>
      <c r="MX171" s="1058"/>
      <c r="MY171" s="1058"/>
      <c r="MZ171" s="1058"/>
      <c r="NA171" s="1058"/>
      <c r="NB171" s="1058"/>
      <c r="NC171" s="1058"/>
      <c r="ND171" s="1058"/>
      <c r="NE171" s="1058"/>
      <c r="NF171" s="1058"/>
      <c r="NG171" s="1058"/>
      <c r="NH171" s="1058"/>
      <c r="NI171" s="1058"/>
      <c r="NJ171" s="1058"/>
      <c r="NK171" s="1058"/>
      <c r="NL171" s="1058"/>
      <c r="NM171" s="1058"/>
      <c r="NN171" s="1058"/>
      <c r="NO171" s="1058"/>
      <c r="NP171" s="1058"/>
      <c r="NQ171" s="1058"/>
      <c r="NR171" s="1058"/>
      <c r="NS171" s="1058"/>
      <c r="NT171" s="1058"/>
      <c r="NU171" s="1058"/>
      <c r="NV171" s="1058"/>
      <c r="NW171" s="1058"/>
      <c r="NX171" s="1058"/>
      <c r="NY171" s="1058"/>
      <c r="NZ171" s="1058"/>
      <c r="OA171" s="1058"/>
      <c r="OB171" s="1058"/>
      <c r="OC171" s="1058"/>
      <c r="OD171" s="1018"/>
      <c r="OE171" s="1018"/>
      <c r="OF171" s="1018"/>
      <c r="OG171" s="1018"/>
      <c r="OH171" s="1018"/>
      <c r="OI171" s="1018"/>
      <c r="OJ171" s="1018"/>
      <c r="OK171" s="1018"/>
      <c r="OL171" s="1018"/>
      <c r="OM171" s="1018"/>
      <c r="ON171" s="1018"/>
      <c r="OO171" s="1018"/>
      <c r="OP171" s="1018"/>
      <c r="OQ171" s="1018"/>
      <c r="OR171" s="1018"/>
      <c r="OS171" s="1018"/>
      <c r="OT171" s="1018"/>
      <c r="OU171" s="1018"/>
      <c r="OV171" s="1018"/>
      <c r="OW171" s="1018"/>
      <c r="OX171" s="1018"/>
      <c r="OY171" s="1018"/>
      <c r="OZ171" s="1018"/>
      <c r="PA171" s="1018"/>
      <c r="PB171" s="1018"/>
      <c r="PC171" s="1018"/>
      <c r="PD171" s="1018"/>
      <c r="PE171" s="1018"/>
      <c r="PF171" s="1018"/>
      <c r="PG171" s="1018"/>
      <c r="PH171" s="1018"/>
      <c r="PI171" s="1018"/>
      <c r="PJ171" s="1018"/>
      <c r="PK171" s="1018"/>
      <c r="PL171" s="1018"/>
      <c r="PM171" s="1018"/>
      <c r="PN171" s="1018"/>
      <c r="PO171" s="1018"/>
      <c r="PP171" s="1018"/>
      <c r="PQ171" s="1018"/>
      <c r="PR171" s="1018"/>
      <c r="PS171" s="1018"/>
      <c r="PT171" s="1018"/>
      <c r="PU171" s="1018"/>
      <c r="PV171" s="1018"/>
      <c r="PW171" s="1018"/>
      <c r="PX171" s="1018"/>
      <c r="PY171" s="1018"/>
      <c r="PZ171" s="1018"/>
      <c r="QA171" s="1018"/>
      <c r="QB171" s="1018"/>
      <c r="QC171" s="1018"/>
      <c r="QD171" s="1018"/>
      <c r="QE171" s="1018"/>
      <c r="QF171" s="1018"/>
      <c r="QG171" s="1018"/>
      <c r="QH171" s="1018"/>
      <c r="QI171" s="1018"/>
      <c r="QJ171" s="1018"/>
      <c r="QK171" s="1018"/>
      <c r="QL171" s="1018"/>
      <c r="QM171" s="1018"/>
      <c r="QN171" s="1018"/>
      <c r="QO171" s="1018"/>
      <c r="QP171" s="1018"/>
      <c r="QQ171" s="1018"/>
      <c r="QR171" s="1018"/>
      <c r="QS171" s="1018"/>
      <c r="QT171" s="1018"/>
      <c r="QU171" s="1018"/>
      <c r="QV171" s="1018"/>
      <c r="QW171" s="1018"/>
      <c r="QX171" s="1018"/>
      <c r="QY171" s="1018"/>
      <c r="QZ171" s="1018"/>
      <c r="RA171" s="1018"/>
      <c r="RB171" s="1018"/>
      <c r="RC171" s="1018"/>
      <c r="RD171" s="1018"/>
      <c r="RE171" s="1018"/>
      <c r="RF171" s="1018"/>
      <c r="RG171" s="1018"/>
      <c r="RH171" s="1018"/>
      <c r="RI171" s="1018"/>
      <c r="RJ171" s="1018"/>
      <c r="RK171" s="1018"/>
      <c r="RL171" s="1018"/>
      <c r="RM171" s="1018"/>
      <c r="RN171" s="1018"/>
      <c r="RO171" s="1018"/>
      <c r="RP171" s="1018"/>
      <c r="RQ171" s="1018"/>
      <c r="RR171" s="1018"/>
      <c r="RS171" s="1018"/>
      <c r="RT171" s="1018"/>
      <c r="RU171" s="1018"/>
      <c r="RV171" s="1018"/>
      <c r="RW171" s="1018"/>
      <c r="RX171" s="1018"/>
    </row>
    <row r="172" spans="1:492" ht="14.1" customHeight="1">
      <c r="A172" s="885" t="s">
        <v>687</v>
      </c>
      <c r="B172" s="885" t="s">
        <v>207</v>
      </c>
      <c r="P172" s="886"/>
      <c r="Q172" s="886"/>
      <c r="R172" s="885" t="s">
        <v>1661</v>
      </c>
      <c r="T172" s="1266"/>
      <c r="JV172" s="1064"/>
      <c r="KA172" s="1064"/>
      <c r="LG172" s="1081"/>
      <c r="LM172" s="1064"/>
      <c r="LN172" s="1155"/>
      <c r="MC172" s="1064"/>
      <c r="ME172" s="1155"/>
    </row>
    <row r="173" spans="1:492" ht="2.25" customHeight="1">
      <c r="P173" s="1266"/>
      <c r="Q173" s="1266"/>
    </row>
    <row r="174" spans="1:492" ht="11.25" customHeight="1">
      <c r="B174" s="1267" t="s">
        <v>940</v>
      </c>
      <c r="C174" s="849"/>
      <c r="D174" s="1182"/>
      <c r="E174" s="849"/>
      <c r="F174" s="849"/>
      <c r="G174" s="849"/>
      <c r="H174" s="2361">
        <f>'Part VII-Pro Forma'!B9*L49</f>
        <v>0</v>
      </c>
      <c r="I174" s="2362"/>
      <c r="J174" s="849"/>
      <c r="K174" s="959" t="s">
        <v>2366</v>
      </c>
      <c r="L174" s="849"/>
      <c r="M174" s="849"/>
      <c r="N174" s="849"/>
      <c r="O174" s="1268" t="e">
        <f>H174/L49</f>
        <v>#DIV/0!</v>
      </c>
      <c r="P174" s="1269"/>
      <c r="Q174" s="1269"/>
      <c r="R174" s="1015" t="str">
        <f>B174</f>
        <v>Ancillary Income</v>
      </c>
    </row>
    <row r="175" spans="1:492" ht="2.25" customHeight="1">
      <c r="B175" s="1267"/>
      <c r="C175" s="849"/>
      <c r="D175" s="1182"/>
      <c r="E175" s="1270"/>
      <c r="F175" s="849"/>
      <c r="G175" s="849"/>
      <c r="H175" s="849"/>
      <c r="I175" s="1271"/>
      <c r="J175" s="849"/>
      <c r="K175" s="849"/>
      <c r="L175" s="849"/>
      <c r="M175" s="849"/>
      <c r="N175" s="849"/>
      <c r="O175" s="849"/>
      <c r="P175" s="1269"/>
      <c r="Q175" s="1269"/>
    </row>
    <row r="176" spans="1:492" ht="11.25" customHeight="1">
      <c r="B176" s="1267" t="s">
        <v>1327</v>
      </c>
      <c r="C176" s="849"/>
      <c r="D176" s="849"/>
      <c r="E176" s="849"/>
      <c r="F176" s="849"/>
      <c r="G176" s="849"/>
      <c r="H176" s="849"/>
      <c r="I176" s="1267"/>
      <c r="J176" s="849"/>
      <c r="K176" s="1272"/>
      <c r="L176" s="849"/>
      <c r="M176" s="849"/>
      <c r="N176" s="849"/>
      <c r="O176" s="849"/>
      <c r="P176" s="1085"/>
      <c r="R176" s="1074" t="str">
        <f>B176</f>
        <v>Other Income (OI) by Year:</v>
      </c>
    </row>
    <row r="177" spans="2:22" ht="11.25" customHeight="1">
      <c r="B177" s="1273" t="s">
        <v>2030</v>
      </c>
      <c r="C177" s="849"/>
      <c r="D177" s="849"/>
      <c r="E177" s="849"/>
      <c r="F177" s="849"/>
      <c r="G177" s="1274">
        <v>1</v>
      </c>
      <c r="H177" s="1274">
        <v>2</v>
      </c>
      <c r="I177" s="1274">
        <v>3</v>
      </c>
      <c r="J177" s="1274">
        <v>4</v>
      </c>
      <c r="K177" s="1275">
        <v>5</v>
      </c>
      <c r="L177" s="1274">
        <v>6</v>
      </c>
      <c r="M177" s="1274">
        <v>7</v>
      </c>
      <c r="N177" s="1274">
        <v>8</v>
      </c>
      <c r="O177" s="1274">
        <v>9</v>
      </c>
      <c r="P177" s="1274">
        <v>10</v>
      </c>
      <c r="Q177" s="541"/>
      <c r="R177" s="1018" t="str">
        <f>B177</f>
        <v>Included in Mgt Fee:</v>
      </c>
    </row>
    <row r="178" spans="2:22" ht="14.25" customHeight="1">
      <c r="B178" s="1182" t="s">
        <v>941</v>
      </c>
      <c r="C178" s="1182"/>
      <c r="D178" s="1182"/>
      <c r="E178" s="1182"/>
      <c r="F178" s="1182"/>
      <c r="G178" s="1276"/>
      <c r="H178" s="1276"/>
      <c r="I178" s="1276"/>
      <c r="J178" s="1276"/>
      <c r="K178" s="1276"/>
      <c r="L178" s="1276"/>
      <c r="M178" s="1276"/>
      <c r="N178" s="1276"/>
      <c r="O178" s="1276"/>
      <c r="P178" s="1276"/>
      <c r="Q178" s="1277"/>
      <c r="R178" s="2355"/>
      <c r="S178" s="2356"/>
      <c r="T178" s="2356"/>
      <c r="U178" s="2356"/>
      <c r="V178" s="2357"/>
    </row>
    <row r="179" spans="2:22" ht="14.25" customHeight="1">
      <c r="B179" s="1182" t="s">
        <v>686</v>
      </c>
      <c r="C179" s="2358"/>
      <c r="D179" s="2359"/>
      <c r="E179" s="2359"/>
      <c r="F179" s="2360"/>
      <c r="G179" s="1278"/>
      <c r="H179" s="1278"/>
      <c r="I179" s="1278"/>
      <c r="J179" s="1278"/>
      <c r="K179" s="1279"/>
      <c r="L179" s="1278"/>
      <c r="M179" s="1278"/>
      <c r="N179" s="1278"/>
      <c r="O179" s="1278"/>
      <c r="P179" s="1278"/>
      <c r="Q179" s="1277"/>
      <c r="R179" s="2314"/>
      <c r="S179" s="2315"/>
      <c r="T179" s="2315"/>
      <c r="U179" s="2315"/>
      <c r="V179" s="2316"/>
    </row>
    <row r="180" spans="2:22" ht="14.25" customHeight="1">
      <c r="B180" s="1182"/>
      <c r="C180" s="1182" t="s">
        <v>862</v>
      </c>
      <c r="D180" s="1182"/>
      <c r="E180" s="1182"/>
      <c r="F180" s="1182"/>
      <c r="G180" s="1280">
        <f t="shared" ref="G180:P180" si="378">SUM(G178:G179)</f>
        <v>0</v>
      </c>
      <c r="H180" s="1280">
        <f t="shared" si="378"/>
        <v>0</v>
      </c>
      <c r="I180" s="1280">
        <f t="shared" si="378"/>
        <v>0</v>
      </c>
      <c r="J180" s="1280">
        <f t="shared" si="378"/>
        <v>0</v>
      </c>
      <c r="K180" s="1280">
        <f t="shared" si="378"/>
        <v>0</v>
      </c>
      <c r="L180" s="1280">
        <f t="shared" si="378"/>
        <v>0</v>
      </c>
      <c r="M180" s="1280">
        <f t="shared" si="378"/>
        <v>0</v>
      </c>
      <c r="N180" s="1280">
        <f t="shared" si="378"/>
        <v>0</v>
      </c>
      <c r="O180" s="1280">
        <f t="shared" si="378"/>
        <v>0</v>
      </c>
      <c r="P180" s="1280">
        <f t="shared" si="378"/>
        <v>0</v>
      </c>
      <c r="Q180" s="504"/>
      <c r="R180" s="2311"/>
      <c r="S180" s="2312"/>
      <c r="T180" s="2312"/>
      <c r="U180" s="2312"/>
      <c r="V180" s="2313"/>
    </row>
    <row r="181" spans="2:22" ht="13.5" customHeight="1">
      <c r="B181" s="1281" t="s">
        <v>3400</v>
      </c>
      <c r="C181" s="849"/>
      <c r="D181" s="849"/>
      <c r="E181" s="849"/>
      <c r="F181" s="849"/>
      <c r="G181" s="1282"/>
      <c r="H181" s="849"/>
      <c r="I181" s="849"/>
      <c r="J181" s="849"/>
      <c r="K181" s="849"/>
      <c r="L181" s="849"/>
      <c r="M181" s="849"/>
      <c r="N181" s="849"/>
      <c r="O181" s="849"/>
      <c r="P181" s="849"/>
      <c r="Q181" s="886"/>
      <c r="R181" s="1018" t="str">
        <f>B181</f>
        <v>NOT Included in Mgt Fee:</v>
      </c>
    </row>
    <row r="182" spans="2:22" ht="14.25" customHeight="1">
      <c r="B182" s="1182" t="s">
        <v>497</v>
      </c>
      <c r="C182" s="1182"/>
      <c r="D182" s="1182"/>
      <c r="E182" s="1182"/>
      <c r="F182" s="1182"/>
      <c r="G182" s="1276"/>
      <c r="H182" s="1276"/>
      <c r="I182" s="1276"/>
      <c r="J182" s="1276"/>
      <c r="K182" s="1276"/>
      <c r="L182" s="1276"/>
      <c r="M182" s="1276"/>
      <c r="N182" s="1276"/>
      <c r="O182" s="1276"/>
      <c r="P182" s="1276"/>
      <c r="Q182" s="1277"/>
      <c r="R182" s="2355"/>
      <c r="S182" s="2356"/>
      <c r="T182" s="2356"/>
      <c r="U182" s="2356"/>
      <c r="V182" s="2357"/>
    </row>
    <row r="183" spans="2:22" ht="14.25" customHeight="1">
      <c r="B183" s="1182" t="s">
        <v>686</v>
      </c>
      <c r="C183" s="2358"/>
      <c r="D183" s="2359"/>
      <c r="E183" s="2359"/>
      <c r="F183" s="2360"/>
      <c r="G183" s="1278"/>
      <c r="H183" s="1278"/>
      <c r="I183" s="1278"/>
      <c r="J183" s="1278"/>
      <c r="K183" s="1279"/>
      <c r="L183" s="1278"/>
      <c r="M183" s="1278"/>
      <c r="N183" s="1278"/>
      <c r="O183" s="1278"/>
      <c r="P183" s="1278"/>
      <c r="Q183" s="1277"/>
      <c r="R183" s="2314"/>
      <c r="S183" s="2315"/>
      <c r="T183" s="2315"/>
      <c r="U183" s="2315"/>
      <c r="V183" s="2316"/>
    </row>
    <row r="184" spans="2:22" ht="14.25" customHeight="1">
      <c r="B184" s="1182"/>
      <c r="C184" s="1182" t="s">
        <v>172</v>
      </c>
      <c r="D184" s="1182"/>
      <c r="E184" s="1182"/>
      <c r="F184" s="1182"/>
      <c r="G184" s="1280">
        <f t="shared" ref="G184:P184" si="379">SUM(G182:G183)</f>
        <v>0</v>
      </c>
      <c r="H184" s="1280">
        <f t="shared" si="379"/>
        <v>0</v>
      </c>
      <c r="I184" s="1280">
        <f t="shared" si="379"/>
        <v>0</v>
      </c>
      <c r="J184" s="1280">
        <f t="shared" si="379"/>
        <v>0</v>
      </c>
      <c r="K184" s="1280">
        <f t="shared" si="379"/>
        <v>0</v>
      </c>
      <c r="L184" s="1280">
        <f t="shared" si="379"/>
        <v>0</v>
      </c>
      <c r="M184" s="1280">
        <f t="shared" si="379"/>
        <v>0</v>
      </c>
      <c r="N184" s="1280">
        <f t="shared" si="379"/>
        <v>0</v>
      </c>
      <c r="O184" s="1280">
        <f t="shared" si="379"/>
        <v>0</v>
      </c>
      <c r="P184" s="1280">
        <f t="shared" si="379"/>
        <v>0</v>
      </c>
      <c r="Q184" s="504"/>
      <c r="R184" s="2311"/>
      <c r="S184" s="2312"/>
      <c r="T184" s="2312"/>
      <c r="U184" s="2312"/>
      <c r="V184" s="2313"/>
    </row>
    <row r="185" spans="2:22" ht="13.5" customHeight="1">
      <c r="B185" s="1267"/>
      <c r="C185" s="849"/>
      <c r="D185" s="849"/>
      <c r="E185" s="849"/>
      <c r="F185" s="849"/>
      <c r="G185" s="1282"/>
      <c r="H185" s="849"/>
      <c r="I185" s="849"/>
      <c r="J185" s="849"/>
      <c r="K185" s="849"/>
      <c r="L185" s="849"/>
      <c r="M185" s="849"/>
      <c r="N185" s="849"/>
      <c r="O185" s="849"/>
      <c r="P185" s="849"/>
      <c r="Q185" s="886"/>
    </row>
    <row r="186" spans="2:22" ht="13.5" customHeight="1">
      <c r="B186" s="1273" t="s">
        <v>2030</v>
      </c>
      <c r="C186" s="849"/>
      <c r="D186" s="849"/>
      <c r="E186" s="849"/>
      <c r="F186" s="849"/>
      <c r="G186" s="1274">
        <v>11</v>
      </c>
      <c r="H186" s="1274">
        <v>12</v>
      </c>
      <c r="I186" s="1274">
        <v>13</v>
      </c>
      <c r="J186" s="1274">
        <v>14</v>
      </c>
      <c r="K186" s="1274">
        <v>15</v>
      </c>
      <c r="L186" s="1274">
        <v>16</v>
      </c>
      <c r="M186" s="1274">
        <v>17</v>
      </c>
      <c r="N186" s="1274">
        <v>18</v>
      </c>
      <c r="O186" s="1274">
        <v>19</v>
      </c>
      <c r="P186" s="1274">
        <v>20</v>
      </c>
      <c r="R186" s="1133" t="s">
        <v>2330</v>
      </c>
      <c r="S186" s="1018" t="str">
        <f>B186</f>
        <v>Included in Mgt Fee:</v>
      </c>
    </row>
    <row r="187" spans="2:22" ht="14.25" customHeight="1">
      <c r="B187" s="1182" t="s">
        <v>941</v>
      </c>
      <c r="C187" s="1182"/>
      <c r="D187" s="1182"/>
      <c r="E187" s="1182"/>
      <c r="F187" s="1182"/>
      <c r="G187" s="1276"/>
      <c r="H187" s="1276"/>
      <c r="I187" s="1276"/>
      <c r="J187" s="1276"/>
      <c r="K187" s="1283"/>
      <c r="L187" s="1276"/>
      <c r="M187" s="1276"/>
      <c r="N187" s="1276"/>
      <c r="O187" s="1276"/>
      <c r="P187" s="1276"/>
      <c r="Q187" s="1277"/>
      <c r="R187" s="2355"/>
      <c r="S187" s="2356"/>
      <c r="T187" s="2356"/>
      <c r="U187" s="2356"/>
      <c r="V187" s="2357"/>
    </row>
    <row r="188" spans="2:22" ht="14.25" customHeight="1">
      <c r="B188" s="1182" t="s">
        <v>686</v>
      </c>
      <c r="C188" s="2358"/>
      <c r="D188" s="2359"/>
      <c r="E188" s="2359"/>
      <c r="F188" s="2360"/>
      <c r="G188" s="1278"/>
      <c r="H188" s="1278"/>
      <c r="I188" s="1278"/>
      <c r="J188" s="1278"/>
      <c r="K188" s="1279"/>
      <c r="L188" s="1278"/>
      <c r="M188" s="1278"/>
      <c r="N188" s="1278"/>
      <c r="O188" s="1278"/>
      <c r="P188" s="1278"/>
      <c r="Q188" s="1277"/>
      <c r="R188" s="2314"/>
      <c r="S188" s="2315"/>
      <c r="T188" s="2315"/>
      <c r="U188" s="2315"/>
      <c r="V188" s="2316"/>
    </row>
    <row r="189" spans="2:22" ht="14.25" customHeight="1">
      <c r="B189" s="1182"/>
      <c r="C189" s="1182" t="s">
        <v>862</v>
      </c>
      <c r="D189" s="1182"/>
      <c r="E189" s="1182"/>
      <c r="F189" s="1182"/>
      <c r="G189" s="1280">
        <f t="shared" ref="G189:P189" si="380">SUM(G187:G188)</f>
        <v>0</v>
      </c>
      <c r="H189" s="1280">
        <f t="shared" si="380"/>
        <v>0</v>
      </c>
      <c r="I189" s="1280">
        <f t="shared" si="380"/>
        <v>0</v>
      </c>
      <c r="J189" s="1280">
        <f t="shared" si="380"/>
        <v>0</v>
      </c>
      <c r="K189" s="1280">
        <f t="shared" si="380"/>
        <v>0</v>
      </c>
      <c r="L189" s="1280">
        <f t="shared" si="380"/>
        <v>0</v>
      </c>
      <c r="M189" s="1280">
        <f t="shared" si="380"/>
        <v>0</v>
      </c>
      <c r="N189" s="1280">
        <f t="shared" si="380"/>
        <v>0</v>
      </c>
      <c r="O189" s="1280">
        <f t="shared" si="380"/>
        <v>0</v>
      </c>
      <c r="P189" s="1280">
        <f t="shared" si="380"/>
        <v>0</v>
      </c>
      <c r="Q189" s="504"/>
      <c r="R189" s="2311"/>
      <c r="S189" s="2312"/>
      <c r="T189" s="2312"/>
      <c r="U189" s="2312"/>
      <c r="V189" s="2313"/>
    </row>
    <row r="190" spans="2:22" ht="13.5" customHeight="1">
      <c r="B190" s="1281" t="s">
        <v>3400</v>
      </c>
      <c r="C190" s="849"/>
      <c r="D190" s="849"/>
      <c r="E190" s="849"/>
      <c r="F190" s="849"/>
      <c r="G190" s="1282"/>
      <c r="H190" s="849"/>
      <c r="I190" s="849"/>
      <c r="J190" s="849"/>
      <c r="K190" s="849"/>
      <c r="L190" s="849"/>
      <c r="M190" s="849"/>
      <c r="N190" s="849"/>
      <c r="O190" s="849"/>
      <c r="P190" s="849"/>
      <c r="Q190" s="886"/>
      <c r="R190" s="1018" t="str">
        <f>B190</f>
        <v>NOT Included in Mgt Fee:</v>
      </c>
    </row>
    <row r="191" spans="2:22" ht="14.25" customHeight="1">
      <c r="B191" s="1182" t="s">
        <v>497</v>
      </c>
      <c r="C191" s="1182"/>
      <c r="D191" s="1182"/>
      <c r="E191" s="1182"/>
      <c r="F191" s="1182"/>
      <c r="G191" s="1276"/>
      <c r="H191" s="1276"/>
      <c r="I191" s="1276"/>
      <c r="J191" s="1276"/>
      <c r="K191" s="1283"/>
      <c r="L191" s="1276"/>
      <c r="M191" s="1276"/>
      <c r="N191" s="1276"/>
      <c r="O191" s="1276"/>
      <c r="P191" s="1276"/>
      <c r="Q191" s="1277"/>
      <c r="R191" s="2355"/>
      <c r="S191" s="2356"/>
      <c r="T191" s="2356"/>
      <c r="U191" s="2356"/>
      <c r="V191" s="2357"/>
    </row>
    <row r="192" spans="2:22" ht="14.25" customHeight="1">
      <c r="B192" s="1182" t="s">
        <v>686</v>
      </c>
      <c r="C192" s="2358"/>
      <c r="D192" s="2359"/>
      <c r="E192" s="2359"/>
      <c r="F192" s="2360"/>
      <c r="G192" s="1278"/>
      <c r="H192" s="1278"/>
      <c r="I192" s="1278"/>
      <c r="J192" s="1278"/>
      <c r="K192" s="1279"/>
      <c r="L192" s="1278"/>
      <c r="M192" s="1278"/>
      <c r="N192" s="1278"/>
      <c r="O192" s="1278"/>
      <c r="P192" s="1278"/>
      <c r="Q192" s="1277"/>
      <c r="R192" s="2314"/>
      <c r="S192" s="2315"/>
      <c r="T192" s="2315"/>
      <c r="U192" s="2315"/>
      <c r="V192" s="2316"/>
    </row>
    <row r="193" spans="2:22" ht="14.25" customHeight="1">
      <c r="B193" s="1182"/>
      <c r="C193" s="1182" t="s">
        <v>172</v>
      </c>
      <c r="D193" s="1182"/>
      <c r="E193" s="1182"/>
      <c r="F193" s="1182"/>
      <c r="G193" s="1280">
        <f t="shared" ref="G193:P193" si="381">SUM(G191:G192)</f>
        <v>0</v>
      </c>
      <c r="H193" s="1280">
        <f t="shared" si="381"/>
        <v>0</v>
      </c>
      <c r="I193" s="1280">
        <f t="shared" si="381"/>
        <v>0</v>
      </c>
      <c r="J193" s="1280">
        <f t="shared" si="381"/>
        <v>0</v>
      </c>
      <c r="K193" s="1280">
        <f t="shared" si="381"/>
        <v>0</v>
      </c>
      <c r="L193" s="1280">
        <f t="shared" si="381"/>
        <v>0</v>
      </c>
      <c r="M193" s="1280">
        <f t="shared" si="381"/>
        <v>0</v>
      </c>
      <c r="N193" s="1280">
        <f t="shared" si="381"/>
        <v>0</v>
      </c>
      <c r="O193" s="1280">
        <f t="shared" si="381"/>
        <v>0</v>
      </c>
      <c r="P193" s="1280">
        <f t="shared" si="381"/>
        <v>0</v>
      </c>
      <c r="Q193" s="504"/>
      <c r="R193" s="2311"/>
      <c r="S193" s="2312"/>
      <c r="T193" s="2312"/>
      <c r="U193" s="2312"/>
      <c r="V193" s="2313"/>
    </row>
    <row r="194" spans="2:22" ht="13.5" customHeight="1">
      <c r="B194" s="1267"/>
      <c r="C194" s="849"/>
      <c r="D194" s="849"/>
      <c r="E194" s="849"/>
      <c r="F194" s="849"/>
      <c r="G194" s="1282"/>
      <c r="H194" s="849"/>
      <c r="I194" s="849"/>
      <c r="J194" s="849"/>
      <c r="K194" s="849"/>
      <c r="L194" s="849"/>
      <c r="M194" s="849"/>
      <c r="N194" s="849"/>
      <c r="O194" s="849"/>
      <c r="P194" s="849"/>
      <c r="Q194" s="886"/>
    </row>
    <row r="195" spans="2:22" ht="13.5" customHeight="1">
      <c r="B195" s="1273" t="s">
        <v>2030</v>
      </c>
      <c r="C195" s="849"/>
      <c r="D195" s="849"/>
      <c r="E195" s="849"/>
      <c r="F195" s="849"/>
      <c r="G195" s="1274">
        <v>21</v>
      </c>
      <c r="H195" s="1274">
        <v>22</v>
      </c>
      <c r="I195" s="1274">
        <v>23</v>
      </c>
      <c r="J195" s="1274">
        <v>24</v>
      </c>
      <c r="K195" s="1274">
        <v>25</v>
      </c>
      <c r="L195" s="1274">
        <v>26</v>
      </c>
      <c r="M195" s="1274">
        <v>27</v>
      </c>
      <c r="N195" s="1274">
        <v>28</v>
      </c>
      <c r="O195" s="1274">
        <v>29</v>
      </c>
      <c r="P195" s="1274">
        <v>30</v>
      </c>
      <c r="Q195" s="541"/>
      <c r="R195" s="1133" t="s">
        <v>2331</v>
      </c>
      <c r="S195" s="1018" t="str">
        <f>B195</f>
        <v>Included in Mgt Fee:</v>
      </c>
    </row>
    <row r="196" spans="2:22" ht="14.25" customHeight="1">
      <c r="B196" s="1182" t="s">
        <v>941</v>
      </c>
      <c r="C196" s="1182"/>
      <c r="D196" s="1182"/>
      <c r="E196" s="1182"/>
      <c r="F196" s="1182"/>
      <c r="G196" s="1276"/>
      <c r="H196" s="1276"/>
      <c r="I196" s="1276"/>
      <c r="J196" s="1276"/>
      <c r="K196" s="1283"/>
      <c r="L196" s="1276"/>
      <c r="M196" s="1276"/>
      <c r="N196" s="1276"/>
      <c r="O196" s="1276"/>
      <c r="P196" s="1276"/>
      <c r="Q196" s="1277"/>
      <c r="R196" s="2355"/>
      <c r="S196" s="2356"/>
      <c r="T196" s="2356"/>
      <c r="U196" s="2356"/>
      <c r="V196" s="2357"/>
    </row>
    <row r="197" spans="2:22" ht="14.25" customHeight="1">
      <c r="B197" s="1182" t="s">
        <v>686</v>
      </c>
      <c r="C197" s="2358"/>
      <c r="D197" s="2359"/>
      <c r="E197" s="2359"/>
      <c r="F197" s="2360"/>
      <c r="G197" s="1278"/>
      <c r="H197" s="1278"/>
      <c r="I197" s="1278"/>
      <c r="J197" s="1278"/>
      <c r="K197" s="1279"/>
      <c r="L197" s="1278"/>
      <c r="M197" s="1278"/>
      <c r="N197" s="1278"/>
      <c r="O197" s="1278"/>
      <c r="P197" s="1278"/>
      <c r="Q197" s="1277"/>
      <c r="R197" s="2314"/>
      <c r="S197" s="2315"/>
      <c r="T197" s="2315"/>
      <c r="U197" s="2315"/>
      <c r="V197" s="2316"/>
    </row>
    <row r="198" spans="2:22" ht="14.25" customHeight="1">
      <c r="B198" s="1182"/>
      <c r="C198" s="1182" t="s">
        <v>862</v>
      </c>
      <c r="D198" s="1182"/>
      <c r="E198" s="1182"/>
      <c r="F198" s="1182"/>
      <c r="G198" s="1280">
        <f t="shared" ref="G198:P198" si="382">SUM(G196:G197)</f>
        <v>0</v>
      </c>
      <c r="H198" s="1280">
        <f t="shared" si="382"/>
        <v>0</v>
      </c>
      <c r="I198" s="1280">
        <f t="shared" si="382"/>
        <v>0</v>
      </c>
      <c r="J198" s="1280">
        <f t="shared" si="382"/>
        <v>0</v>
      </c>
      <c r="K198" s="1280">
        <f t="shared" si="382"/>
        <v>0</v>
      </c>
      <c r="L198" s="1280">
        <f t="shared" si="382"/>
        <v>0</v>
      </c>
      <c r="M198" s="1280">
        <f t="shared" si="382"/>
        <v>0</v>
      </c>
      <c r="N198" s="1280">
        <f t="shared" si="382"/>
        <v>0</v>
      </c>
      <c r="O198" s="1280">
        <f t="shared" si="382"/>
        <v>0</v>
      </c>
      <c r="P198" s="1280">
        <f t="shared" si="382"/>
        <v>0</v>
      </c>
      <c r="Q198" s="504"/>
      <c r="R198" s="2311"/>
      <c r="S198" s="2312"/>
      <c r="T198" s="2312"/>
      <c r="U198" s="2312"/>
      <c r="V198" s="2313"/>
    </row>
    <row r="199" spans="2:22" ht="13.5" customHeight="1">
      <c r="B199" s="1281" t="s">
        <v>3400</v>
      </c>
      <c r="C199" s="849"/>
      <c r="D199" s="849"/>
      <c r="E199" s="849"/>
      <c r="F199" s="849"/>
      <c r="G199" s="1282"/>
      <c r="H199" s="849"/>
      <c r="I199" s="849"/>
      <c r="J199" s="849"/>
      <c r="K199" s="849"/>
      <c r="L199" s="849"/>
      <c r="M199" s="849"/>
      <c r="N199" s="849"/>
      <c r="O199" s="849"/>
      <c r="P199" s="849"/>
      <c r="Q199" s="886"/>
      <c r="R199" s="1018" t="str">
        <f>B199</f>
        <v>NOT Included in Mgt Fee:</v>
      </c>
    </row>
    <row r="200" spans="2:22" ht="14.25" customHeight="1">
      <c r="B200" s="1182" t="s">
        <v>497</v>
      </c>
      <c r="C200" s="1182"/>
      <c r="D200" s="1182"/>
      <c r="E200" s="1182"/>
      <c r="F200" s="1182"/>
      <c r="G200" s="1276"/>
      <c r="H200" s="1276"/>
      <c r="I200" s="1276"/>
      <c r="J200" s="1276"/>
      <c r="K200" s="1283"/>
      <c r="L200" s="1276"/>
      <c r="M200" s="1276"/>
      <c r="N200" s="1276"/>
      <c r="O200" s="1276"/>
      <c r="P200" s="1276"/>
      <c r="Q200" s="1277"/>
      <c r="R200" s="2355"/>
      <c r="S200" s="2356"/>
      <c r="T200" s="2356"/>
      <c r="U200" s="2356"/>
      <c r="V200" s="2357"/>
    </row>
    <row r="201" spans="2:22" ht="14.25" customHeight="1">
      <c r="B201" s="1182" t="s">
        <v>686</v>
      </c>
      <c r="C201" s="2358"/>
      <c r="D201" s="2359"/>
      <c r="E201" s="2359"/>
      <c r="F201" s="2360"/>
      <c r="G201" s="1278"/>
      <c r="H201" s="1278"/>
      <c r="I201" s="1278"/>
      <c r="J201" s="1278"/>
      <c r="K201" s="1279"/>
      <c r="L201" s="1278"/>
      <c r="M201" s="1278"/>
      <c r="N201" s="1278"/>
      <c r="O201" s="1278"/>
      <c r="P201" s="1278"/>
      <c r="Q201" s="1277"/>
      <c r="R201" s="2314"/>
      <c r="S201" s="2315"/>
      <c r="T201" s="2315"/>
      <c r="U201" s="2315"/>
      <c r="V201" s="2316"/>
    </row>
    <row r="202" spans="2:22" ht="14.25" customHeight="1">
      <c r="B202" s="1182"/>
      <c r="C202" s="1182" t="s">
        <v>172</v>
      </c>
      <c r="D202" s="1182"/>
      <c r="E202" s="1182"/>
      <c r="F202" s="1182"/>
      <c r="G202" s="1280">
        <f t="shared" ref="G202:P202" si="383">SUM(G200:G201)</f>
        <v>0</v>
      </c>
      <c r="H202" s="1280">
        <f t="shared" si="383"/>
        <v>0</v>
      </c>
      <c r="I202" s="1280">
        <f t="shared" si="383"/>
        <v>0</v>
      </c>
      <c r="J202" s="1280">
        <f t="shared" si="383"/>
        <v>0</v>
      </c>
      <c r="K202" s="1280">
        <f t="shared" si="383"/>
        <v>0</v>
      </c>
      <c r="L202" s="1280">
        <f t="shared" si="383"/>
        <v>0</v>
      </c>
      <c r="M202" s="1280">
        <f t="shared" si="383"/>
        <v>0</v>
      </c>
      <c r="N202" s="1280">
        <f t="shared" si="383"/>
        <v>0</v>
      </c>
      <c r="O202" s="1280">
        <f t="shared" si="383"/>
        <v>0</v>
      </c>
      <c r="P202" s="1280">
        <f t="shared" si="383"/>
        <v>0</v>
      </c>
      <c r="Q202" s="504"/>
      <c r="R202" s="2311"/>
      <c r="S202" s="2312"/>
      <c r="T202" s="2312"/>
      <c r="U202" s="2312"/>
      <c r="V202" s="2313"/>
    </row>
    <row r="203" spans="2:22" ht="13.5" customHeight="1">
      <c r="B203" s="1267"/>
      <c r="C203" s="849"/>
      <c r="D203" s="849"/>
      <c r="E203" s="849"/>
      <c r="F203" s="849"/>
      <c r="G203" s="1282"/>
      <c r="H203" s="849"/>
      <c r="I203" s="849"/>
      <c r="J203" s="849"/>
      <c r="K203" s="849"/>
      <c r="L203" s="849"/>
      <c r="M203" s="849"/>
      <c r="N203" s="849"/>
      <c r="O203" s="849"/>
      <c r="P203" s="849"/>
      <c r="Q203" s="886"/>
    </row>
    <row r="204" spans="2:22" ht="13.5" customHeight="1">
      <c r="B204" s="1273" t="s">
        <v>2030</v>
      </c>
      <c r="C204" s="849"/>
      <c r="D204" s="849"/>
      <c r="E204" s="849"/>
      <c r="F204" s="849"/>
      <c r="G204" s="1274">
        <v>31</v>
      </c>
      <c r="H204" s="1274">
        <v>32</v>
      </c>
      <c r="I204" s="1274">
        <v>33</v>
      </c>
      <c r="J204" s="1274">
        <v>34</v>
      </c>
      <c r="K204" s="1274">
        <v>35</v>
      </c>
      <c r="L204" s="849"/>
      <c r="M204" s="849"/>
      <c r="N204" s="849"/>
      <c r="O204" s="849"/>
      <c r="P204" s="849"/>
      <c r="R204" s="1133" t="s">
        <v>2331</v>
      </c>
      <c r="S204" s="1018" t="str">
        <f>B204</f>
        <v>Included in Mgt Fee:</v>
      </c>
    </row>
    <row r="205" spans="2:22" ht="14.25" customHeight="1">
      <c r="B205" s="1182" t="s">
        <v>941</v>
      </c>
      <c r="C205" s="1182"/>
      <c r="D205" s="1182"/>
      <c r="E205" s="1182"/>
      <c r="F205" s="1182"/>
      <c r="G205" s="1276"/>
      <c r="H205" s="1276"/>
      <c r="I205" s="1276"/>
      <c r="J205" s="1276"/>
      <c r="K205" s="1283"/>
      <c r="L205" s="849"/>
      <c r="M205" s="849"/>
      <c r="N205" s="849"/>
      <c r="O205" s="849"/>
      <c r="P205" s="849"/>
      <c r="Q205" s="886"/>
      <c r="R205" s="2355"/>
      <c r="S205" s="2356"/>
      <c r="T205" s="2356"/>
      <c r="U205" s="2356"/>
      <c r="V205" s="2357"/>
    </row>
    <row r="206" spans="2:22" ht="14.25" customHeight="1">
      <c r="B206" s="1182" t="s">
        <v>686</v>
      </c>
      <c r="C206" s="2358"/>
      <c r="D206" s="2359"/>
      <c r="E206" s="2359"/>
      <c r="F206" s="2360"/>
      <c r="G206" s="1278"/>
      <c r="H206" s="1278"/>
      <c r="I206" s="1278"/>
      <c r="J206" s="1278"/>
      <c r="K206" s="1279"/>
      <c r="L206" s="849"/>
      <c r="M206" s="849"/>
      <c r="N206" s="849"/>
      <c r="O206" s="849"/>
      <c r="P206" s="849"/>
      <c r="Q206" s="886"/>
      <c r="R206" s="2314"/>
      <c r="S206" s="2315"/>
      <c r="T206" s="2315"/>
      <c r="U206" s="2315"/>
      <c r="V206" s="2316"/>
    </row>
    <row r="207" spans="2:22" ht="14.25" customHeight="1">
      <c r="B207" s="1182"/>
      <c r="C207" s="1182" t="s">
        <v>862</v>
      </c>
      <c r="D207" s="1182"/>
      <c r="E207" s="1182"/>
      <c r="F207" s="1182"/>
      <c r="G207" s="1280">
        <f>SUM(G205:G206)</f>
        <v>0</v>
      </c>
      <c r="H207" s="1280">
        <f>SUM(H205:H206)</f>
        <v>0</v>
      </c>
      <c r="I207" s="1280">
        <f>SUM(I205:I206)</f>
        <v>0</v>
      </c>
      <c r="J207" s="1280">
        <f>SUM(J205:J206)</f>
        <v>0</v>
      </c>
      <c r="K207" s="1280">
        <f>SUM(K205:K206)</f>
        <v>0</v>
      </c>
      <c r="L207" s="849"/>
      <c r="M207" s="849"/>
      <c r="N207" s="849"/>
      <c r="O207" s="849"/>
      <c r="P207" s="849"/>
      <c r="Q207" s="886"/>
      <c r="R207" s="2311"/>
      <c r="S207" s="2312"/>
      <c r="T207" s="2312"/>
      <c r="U207" s="2312"/>
      <c r="V207" s="2313"/>
    </row>
    <row r="208" spans="2:22" ht="13.5" customHeight="1">
      <c r="B208" s="1281" t="s">
        <v>3400</v>
      </c>
      <c r="C208" s="849"/>
      <c r="D208" s="849"/>
      <c r="E208" s="849"/>
      <c r="F208" s="849"/>
      <c r="G208" s="1282"/>
      <c r="H208" s="849"/>
      <c r="I208" s="849"/>
      <c r="J208" s="849"/>
      <c r="K208" s="849"/>
      <c r="L208" s="849"/>
      <c r="M208" s="849"/>
      <c r="N208" s="849"/>
      <c r="O208" s="849"/>
      <c r="P208" s="849"/>
      <c r="Q208" s="886"/>
      <c r="R208" s="1018" t="str">
        <f>B208</f>
        <v>NOT Included in Mgt Fee:</v>
      </c>
    </row>
    <row r="209" spans="1:492" ht="14.25" customHeight="1">
      <c r="B209" s="1182" t="s">
        <v>497</v>
      </c>
      <c r="C209" s="1182"/>
      <c r="D209" s="1182"/>
      <c r="E209" s="1182"/>
      <c r="F209" s="1182"/>
      <c r="G209" s="1276"/>
      <c r="H209" s="1276"/>
      <c r="I209" s="1276"/>
      <c r="J209" s="1276"/>
      <c r="K209" s="1283"/>
      <c r="L209" s="849"/>
      <c r="M209" s="849"/>
      <c r="N209" s="849"/>
      <c r="O209" s="849"/>
      <c r="P209" s="849"/>
      <c r="Q209" s="886"/>
      <c r="R209" s="2355"/>
      <c r="S209" s="2356"/>
      <c r="T209" s="2356"/>
      <c r="U209" s="2356"/>
      <c r="V209" s="2357"/>
    </row>
    <row r="210" spans="1:492" ht="14.25" customHeight="1">
      <c r="B210" s="1182" t="s">
        <v>686</v>
      </c>
      <c r="C210" s="2358"/>
      <c r="D210" s="2359"/>
      <c r="E210" s="2359"/>
      <c r="F210" s="2360"/>
      <c r="G210" s="1278"/>
      <c r="H210" s="1278"/>
      <c r="I210" s="1278"/>
      <c r="J210" s="1278"/>
      <c r="K210" s="1279"/>
      <c r="L210" s="849"/>
      <c r="M210" s="849"/>
      <c r="N210" s="849"/>
      <c r="O210" s="849"/>
      <c r="P210" s="849"/>
      <c r="Q210" s="886"/>
      <c r="R210" s="2314"/>
      <c r="S210" s="2315"/>
      <c r="T210" s="2315"/>
      <c r="U210" s="2315"/>
      <c r="V210" s="2316"/>
    </row>
    <row r="211" spans="1:492" ht="14.25" customHeight="1">
      <c r="B211" s="1182"/>
      <c r="C211" s="1182" t="s">
        <v>172</v>
      </c>
      <c r="D211" s="1182"/>
      <c r="E211" s="1182"/>
      <c r="F211" s="1182"/>
      <c r="G211" s="1280">
        <f>SUM(G209:G210)</f>
        <v>0</v>
      </c>
      <c r="H211" s="1280">
        <f>SUM(H209:H210)</f>
        <v>0</v>
      </c>
      <c r="I211" s="1280">
        <f>SUM(I209:I210)</f>
        <v>0</v>
      </c>
      <c r="J211" s="1280">
        <f>SUM(J209:J210)</f>
        <v>0</v>
      </c>
      <c r="K211" s="1280">
        <f>SUM(K209:K210)</f>
        <v>0</v>
      </c>
      <c r="L211" s="849"/>
      <c r="M211" s="849"/>
      <c r="N211" s="849"/>
      <c r="O211" s="849"/>
      <c r="P211" s="849"/>
      <c r="Q211" s="886"/>
      <c r="R211" s="2311"/>
      <c r="S211" s="2312"/>
      <c r="T211" s="2312"/>
      <c r="U211" s="2312"/>
      <c r="V211" s="2313"/>
    </row>
    <row r="212" spans="1:492" ht="2.25" customHeight="1">
      <c r="B212" s="885"/>
      <c r="F212" s="1284"/>
      <c r="G212" s="1284"/>
      <c r="J212" s="1014"/>
      <c r="P212" s="886"/>
      <c r="Q212" s="886"/>
    </row>
    <row r="213" spans="1:492" s="1057" customFormat="1" ht="11.25" customHeight="1">
      <c r="A213" s="1015" t="s">
        <v>1614</v>
      </c>
      <c r="B213" s="958" t="s">
        <v>943</v>
      </c>
      <c r="C213" s="958"/>
      <c r="D213" s="958"/>
      <c r="E213" s="958"/>
      <c r="F213" s="958"/>
      <c r="G213" s="958"/>
      <c r="H213" s="958"/>
      <c r="I213" s="958"/>
      <c r="J213" s="958"/>
      <c r="K213" s="958"/>
      <c r="L213" s="1018"/>
      <c r="M213" s="1151"/>
      <c r="N213" s="1019"/>
      <c r="O213" s="1019"/>
      <c r="P213" s="1018"/>
      <c r="Q213" s="1018"/>
      <c r="R213" s="1015" t="str">
        <f>B213</f>
        <v>ANNUAL OPERATING EXPENSE BUDGET</v>
      </c>
      <c r="S213" s="1061"/>
      <c r="W213" s="1064"/>
      <c r="X213" s="1058"/>
      <c r="Y213" s="1058"/>
      <c r="Z213" s="1058"/>
      <c r="AA213" s="1058"/>
      <c r="AB213" s="1064"/>
      <c r="AC213" s="1058"/>
      <c r="AD213" s="1058"/>
      <c r="AE213" s="1058"/>
      <c r="AF213" s="1058"/>
      <c r="AG213" s="1064"/>
      <c r="AH213" s="1058"/>
      <c r="AI213" s="1058"/>
      <c r="AJ213" s="1058"/>
      <c r="AK213" s="1058"/>
      <c r="AL213" s="1064"/>
      <c r="AM213" s="1058"/>
      <c r="AN213" s="1058"/>
      <c r="AO213" s="1058"/>
      <c r="AP213" s="1058"/>
      <c r="AQ213" s="1058"/>
      <c r="AR213" s="1058"/>
      <c r="AS213" s="1058"/>
      <c r="AT213" s="1058"/>
      <c r="AU213" s="1058"/>
      <c r="AV213" s="1058"/>
      <c r="AW213" s="1058"/>
      <c r="AX213" s="1058"/>
      <c r="AY213" s="1058"/>
      <c r="AZ213" s="1058"/>
      <c r="BA213" s="1058"/>
      <c r="BB213" s="1058"/>
      <c r="BC213" s="1058"/>
      <c r="BD213" s="1058"/>
      <c r="BE213" s="1058"/>
      <c r="BF213" s="1058"/>
      <c r="BG213" s="1058"/>
      <c r="BH213" s="1058"/>
      <c r="BI213" s="1058"/>
      <c r="BJ213" s="1058"/>
      <c r="BK213" s="1058"/>
      <c r="BL213" s="1058"/>
      <c r="BM213" s="1058"/>
      <c r="BN213" s="1058"/>
      <c r="BO213" s="1058"/>
      <c r="BP213" s="1058"/>
      <c r="BQ213" s="1058"/>
      <c r="BR213" s="1058"/>
      <c r="BS213" s="1058"/>
      <c r="BT213" s="1058"/>
      <c r="BU213" s="1058"/>
      <c r="BV213" s="1058"/>
      <c r="BW213" s="1058"/>
      <c r="BX213" s="1058"/>
      <c r="BY213" s="1058"/>
      <c r="BZ213" s="1058"/>
      <c r="CA213" s="1058"/>
      <c r="CB213" s="1058"/>
      <c r="CC213" s="1058"/>
      <c r="CD213" s="1058"/>
      <c r="CE213" s="1058"/>
      <c r="CF213" s="1058"/>
      <c r="CG213" s="1058"/>
      <c r="CH213" s="1058"/>
      <c r="CI213" s="1058"/>
      <c r="CJ213" s="1058"/>
      <c r="CK213" s="1058"/>
      <c r="CL213" s="1058"/>
      <c r="CM213" s="1058"/>
      <c r="CN213" s="1058"/>
      <c r="CO213" s="1058"/>
      <c r="CP213" s="1058"/>
      <c r="CQ213" s="1058"/>
      <c r="CR213" s="1058"/>
      <c r="CS213" s="1058"/>
      <c r="CT213" s="1058"/>
      <c r="CU213" s="1058"/>
      <c r="CV213" s="1058"/>
      <c r="CW213" s="1058"/>
      <c r="CX213" s="1058"/>
      <c r="CY213" s="1058"/>
      <c r="CZ213" s="1058"/>
      <c r="DA213" s="1058"/>
      <c r="DB213" s="1058"/>
      <c r="DC213" s="1058"/>
      <c r="DD213" s="1058"/>
      <c r="DE213" s="1058"/>
      <c r="DF213" s="1058"/>
      <c r="DG213" s="1058"/>
      <c r="DH213" s="1058"/>
      <c r="DI213" s="1058"/>
      <c r="DJ213" s="1058"/>
      <c r="DK213" s="1058"/>
      <c r="DL213" s="1058"/>
      <c r="DM213" s="1058"/>
      <c r="DN213" s="1058"/>
      <c r="DO213" s="1058"/>
      <c r="DP213" s="1058"/>
      <c r="DQ213" s="1058"/>
      <c r="DR213" s="1058"/>
      <c r="DS213" s="1058"/>
      <c r="DT213" s="1058"/>
      <c r="DU213" s="1058"/>
      <c r="DV213" s="1058"/>
      <c r="DW213" s="1058"/>
      <c r="DX213" s="1058"/>
      <c r="DY213" s="1058"/>
      <c r="DZ213" s="1058"/>
      <c r="EA213" s="1058"/>
      <c r="EB213" s="1058"/>
      <c r="EC213" s="1058"/>
      <c r="ED213" s="1058"/>
      <c r="EE213" s="1058"/>
      <c r="EF213" s="1058"/>
      <c r="EG213" s="1058"/>
      <c r="EH213" s="1058"/>
      <c r="EI213" s="1058"/>
      <c r="EJ213" s="1058"/>
      <c r="EK213" s="1058"/>
      <c r="EL213" s="1058"/>
      <c r="EM213" s="1058"/>
      <c r="EN213" s="1058"/>
      <c r="EO213" s="1058"/>
      <c r="EP213" s="1058"/>
      <c r="EQ213" s="1058"/>
      <c r="ER213" s="1058"/>
      <c r="ES213" s="1058"/>
      <c r="ET213" s="1058"/>
      <c r="EU213" s="1058"/>
      <c r="EV213" s="1058"/>
      <c r="EW213" s="1058"/>
      <c r="EX213" s="1058"/>
      <c r="EY213" s="1058"/>
      <c r="EZ213" s="1058"/>
      <c r="FA213" s="1058"/>
      <c r="FB213" s="1058"/>
      <c r="FC213" s="1058"/>
      <c r="FD213" s="1058"/>
      <c r="FE213" s="1058"/>
      <c r="FF213" s="1058"/>
      <c r="FG213" s="1058"/>
      <c r="FH213" s="1058"/>
      <c r="FI213" s="1058"/>
      <c r="FJ213" s="1058"/>
      <c r="FK213" s="1058"/>
      <c r="FL213" s="1058"/>
      <c r="FM213" s="1058"/>
      <c r="FN213" s="1058"/>
      <c r="FO213" s="1058"/>
      <c r="FP213" s="1058"/>
      <c r="FQ213" s="1058"/>
      <c r="FR213" s="1058"/>
      <c r="FS213" s="1058"/>
      <c r="FT213" s="1058"/>
      <c r="FU213" s="1058"/>
      <c r="FV213" s="1058"/>
      <c r="FW213" s="1058"/>
      <c r="FX213" s="1058"/>
      <c r="FY213" s="1058"/>
      <c r="FZ213" s="1058"/>
      <c r="GA213" s="1058"/>
      <c r="GB213" s="1058"/>
      <c r="GC213" s="1058"/>
      <c r="GD213" s="1058"/>
      <c r="GE213" s="1058"/>
      <c r="GF213" s="1058"/>
      <c r="GG213" s="1058"/>
      <c r="GH213" s="1058"/>
      <c r="GI213" s="1058"/>
      <c r="GJ213" s="1058"/>
      <c r="GK213" s="1058"/>
      <c r="GL213" s="1058"/>
      <c r="GM213" s="1058"/>
      <c r="GN213" s="1058"/>
      <c r="GO213" s="1058"/>
      <c r="GP213" s="1058"/>
      <c r="GQ213" s="1058"/>
      <c r="GR213" s="1058"/>
      <c r="GS213" s="1058"/>
      <c r="GT213" s="1058"/>
      <c r="GU213" s="1058"/>
      <c r="GV213" s="1058"/>
      <c r="GW213" s="1058"/>
      <c r="GX213" s="1058"/>
      <c r="GY213" s="1058"/>
      <c r="GZ213" s="1058"/>
      <c r="HA213" s="1058"/>
      <c r="HB213" s="1058"/>
      <c r="HC213" s="1058"/>
      <c r="HD213" s="1058"/>
      <c r="HE213" s="1058"/>
      <c r="HF213" s="1058"/>
      <c r="HG213" s="1058"/>
      <c r="HH213" s="1058"/>
      <c r="HI213" s="1058"/>
      <c r="HJ213" s="1058"/>
      <c r="HK213" s="1058"/>
      <c r="HL213" s="1058"/>
      <c r="HM213" s="1058"/>
      <c r="HN213" s="1058"/>
      <c r="HO213" s="1058"/>
      <c r="HP213" s="1058"/>
      <c r="HQ213" s="1058"/>
      <c r="HR213" s="1058"/>
      <c r="HS213" s="1058"/>
      <c r="HT213" s="1058"/>
      <c r="HU213" s="1058"/>
      <c r="HV213" s="1058"/>
      <c r="HW213" s="1058"/>
      <c r="HX213" s="1058"/>
      <c r="HY213" s="1058"/>
      <c r="HZ213" s="1058"/>
      <c r="IA213" s="1058"/>
      <c r="IB213" s="1058"/>
      <c r="IC213" s="1058"/>
      <c r="ID213" s="1058"/>
      <c r="IE213" s="1058"/>
      <c r="IF213" s="1058"/>
      <c r="IG213" s="1058"/>
      <c r="IH213" s="1058"/>
      <c r="II213" s="1058"/>
      <c r="IJ213" s="1058"/>
      <c r="IK213" s="1058"/>
      <c r="IL213" s="1058"/>
      <c r="IM213" s="1058"/>
      <c r="IN213" s="1058"/>
      <c r="IO213" s="1058"/>
      <c r="IP213" s="1058"/>
      <c r="IQ213" s="1058"/>
      <c r="IR213" s="1058"/>
      <c r="IS213" s="1058"/>
      <c r="IT213" s="1058"/>
      <c r="IU213" s="1058"/>
      <c r="IV213" s="1058"/>
      <c r="IW213" s="1058"/>
      <c r="IX213" s="1058"/>
      <c r="IY213" s="1058"/>
      <c r="IZ213" s="1058"/>
      <c r="JA213" s="1058"/>
      <c r="JB213" s="1058"/>
      <c r="JC213" s="1058"/>
      <c r="JD213" s="1058"/>
      <c r="JE213" s="1058"/>
      <c r="JF213" s="1058"/>
      <c r="JG213" s="1058"/>
      <c r="JH213" s="1058"/>
      <c r="JI213" s="1058"/>
      <c r="JJ213" s="1058"/>
      <c r="JK213" s="1058"/>
      <c r="JL213" s="1058"/>
      <c r="JM213" s="1058"/>
      <c r="JN213" s="1058"/>
      <c r="JO213" s="1058"/>
      <c r="JP213" s="1058"/>
      <c r="JQ213" s="1058"/>
      <c r="JR213" s="1058"/>
      <c r="JS213" s="1058"/>
      <c r="JT213" s="1058"/>
      <c r="JU213" s="1058"/>
      <c r="JV213" s="1059"/>
      <c r="JW213" s="1058"/>
      <c r="JX213" s="1058"/>
      <c r="JY213" s="1058"/>
      <c r="JZ213" s="1058"/>
      <c r="KA213" s="1059"/>
      <c r="KB213" s="1059"/>
      <c r="KC213" s="1059"/>
      <c r="KD213" s="1059"/>
      <c r="KE213" s="1059"/>
      <c r="KF213" s="1059"/>
      <c r="KG213" s="1059"/>
      <c r="KH213" s="1059"/>
      <c r="KI213" s="1059"/>
      <c r="KJ213" s="1059"/>
      <c r="KK213" s="1059"/>
      <c r="KL213" s="1059"/>
      <c r="KM213" s="1059"/>
      <c r="KN213" s="1059"/>
      <c r="KO213" s="1059"/>
      <c r="KP213" s="1059"/>
      <c r="KQ213" s="1059"/>
      <c r="KR213" s="1059"/>
      <c r="KS213" s="1059"/>
      <c r="KT213" s="1059"/>
      <c r="KU213" s="1059"/>
      <c r="KV213" s="1059"/>
      <c r="KW213" s="1059"/>
      <c r="KX213" s="1059"/>
      <c r="KY213" s="1059"/>
      <c r="KZ213" s="1059"/>
      <c r="LA213" s="1059"/>
      <c r="LB213" s="1059"/>
      <c r="LC213" s="1059"/>
      <c r="LD213" s="1059"/>
      <c r="LE213" s="1059"/>
      <c r="LF213" s="1059"/>
      <c r="LG213" s="1058"/>
      <c r="LH213" s="1058"/>
      <c r="LI213" s="1058"/>
      <c r="LJ213" s="1058"/>
      <c r="LK213" s="1058"/>
      <c r="LL213" s="1058"/>
      <c r="LM213" s="1060"/>
      <c r="LN213" s="1058"/>
      <c r="LO213" s="1058"/>
      <c r="LP213" s="1058"/>
      <c r="LQ213" s="1058"/>
      <c r="LR213" s="1058"/>
      <c r="LS213" s="1058"/>
      <c r="LT213" s="1058"/>
      <c r="LU213" s="1058"/>
      <c r="LV213" s="1058"/>
      <c r="LW213" s="1058"/>
      <c r="LX213" s="1058"/>
      <c r="LY213" s="1058"/>
      <c r="LZ213" s="1058"/>
      <c r="MA213" s="1058"/>
      <c r="MB213" s="1058"/>
      <c r="MC213" s="1060"/>
      <c r="MD213" s="1060"/>
      <c r="ME213" s="1058"/>
      <c r="MF213" s="1058"/>
      <c r="MG213" s="1058"/>
      <c r="MH213" s="1058"/>
      <c r="MI213" s="1058"/>
      <c r="MJ213" s="1058"/>
      <c r="MK213" s="1058"/>
      <c r="ML213" s="1058"/>
      <c r="MM213" s="1058"/>
      <c r="MN213" s="1058"/>
      <c r="MO213" s="1058"/>
      <c r="MP213" s="1058"/>
      <c r="MQ213" s="1058"/>
      <c r="MR213" s="1058"/>
      <c r="MS213" s="1058"/>
      <c r="MT213" s="1058"/>
      <c r="MU213" s="1058"/>
      <c r="MV213" s="1058"/>
      <c r="MW213" s="1058"/>
      <c r="MX213" s="1058"/>
      <c r="MY213" s="1058"/>
      <c r="MZ213" s="1058"/>
      <c r="NA213" s="1058"/>
      <c r="NB213" s="1058"/>
      <c r="NC213" s="1058"/>
      <c r="ND213" s="1058"/>
      <c r="NE213" s="1058"/>
      <c r="NF213" s="1058"/>
      <c r="NG213" s="1058"/>
      <c r="NH213" s="1058"/>
      <c r="NI213" s="1058"/>
      <c r="NJ213" s="1058"/>
      <c r="NK213" s="1058"/>
      <c r="NL213" s="1058"/>
      <c r="NM213" s="1058"/>
      <c r="NN213" s="1058"/>
      <c r="NO213" s="1058"/>
      <c r="NP213" s="1058"/>
      <c r="NQ213" s="1058"/>
      <c r="NR213" s="1058"/>
      <c r="NS213" s="1058"/>
      <c r="NT213" s="1058"/>
      <c r="NU213" s="1058"/>
      <c r="NV213" s="1058"/>
      <c r="NW213" s="1058"/>
      <c r="NX213" s="1058"/>
      <c r="NY213" s="1058"/>
      <c r="NZ213" s="1058"/>
      <c r="OA213" s="1058"/>
      <c r="OB213" s="1058"/>
      <c r="OC213" s="1058"/>
      <c r="OD213" s="1018"/>
      <c r="OE213" s="1018"/>
      <c r="OF213" s="1018"/>
      <c r="OG213" s="1018"/>
      <c r="OH213" s="1018"/>
      <c r="OI213" s="1018"/>
      <c r="OJ213" s="1018"/>
      <c r="OK213" s="1018"/>
      <c r="OL213" s="1018"/>
      <c r="OM213" s="1018"/>
      <c r="ON213" s="1018"/>
      <c r="OO213" s="1018"/>
      <c r="OP213" s="1018"/>
      <c r="OQ213" s="1018"/>
      <c r="OR213" s="1018"/>
      <c r="OS213" s="1018"/>
      <c r="OT213" s="1018"/>
      <c r="OU213" s="1018"/>
      <c r="OV213" s="1018"/>
      <c r="OW213" s="1018"/>
      <c r="OX213" s="1018"/>
      <c r="OY213" s="1018"/>
      <c r="OZ213" s="1018"/>
      <c r="PA213" s="1018"/>
      <c r="PB213" s="1018"/>
      <c r="PC213" s="1018"/>
      <c r="PD213" s="1018"/>
      <c r="PE213" s="1018"/>
      <c r="PF213" s="1018"/>
      <c r="PG213" s="1018"/>
      <c r="PH213" s="1018"/>
      <c r="PI213" s="1018"/>
      <c r="PJ213" s="1018"/>
      <c r="PK213" s="1018"/>
      <c r="PL213" s="1018"/>
      <c r="PM213" s="1018"/>
      <c r="PN213" s="1018"/>
      <c r="PO213" s="1018"/>
      <c r="PP213" s="1018"/>
      <c r="PQ213" s="1018"/>
      <c r="PR213" s="1018"/>
      <c r="PS213" s="1018"/>
      <c r="PT213" s="1018"/>
      <c r="PU213" s="1018"/>
      <c r="PV213" s="1018"/>
      <c r="PW213" s="1018"/>
      <c r="PX213" s="1018"/>
      <c r="PY213" s="1018"/>
      <c r="PZ213" s="1018"/>
      <c r="QA213" s="1018"/>
      <c r="QB213" s="1018"/>
      <c r="QC213" s="1018"/>
      <c r="QD213" s="1018"/>
      <c r="QE213" s="1018"/>
      <c r="QF213" s="1018"/>
      <c r="QG213" s="1018"/>
      <c r="QH213" s="1018"/>
      <c r="QI213" s="1018"/>
      <c r="QJ213" s="1018"/>
      <c r="QK213" s="1018"/>
      <c r="QL213" s="1018"/>
      <c r="QM213" s="1018"/>
      <c r="QN213" s="1018"/>
      <c r="QO213" s="1018"/>
      <c r="QP213" s="1018"/>
      <c r="QQ213" s="1018"/>
      <c r="QR213" s="1018"/>
      <c r="QS213" s="1018"/>
      <c r="QT213" s="1018"/>
      <c r="QU213" s="1018"/>
      <c r="QV213" s="1018"/>
      <c r="QW213" s="1018"/>
      <c r="QX213" s="1018"/>
      <c r="QY213" s="1018"/>
      <c r="QZ213" s="1018"/>
      <c r="RA213" s="1018"/>
      <c r="RB213" s="1018"/>
      <c r="RC213" s="1018"/>
      <c r="RD213" s="1018"/>
      <c r="RE213" s="1018"/>
      <c r="RF213" s="1018"/>
      <c r="RG213" s="1018"/>
      <c r="RH213" s="1018"/>
      <c r="RI213" s="1018"/>
      <c r="RJ213" s="1018"/>
      <c r="RK213" s="1018"/>
      <c r="RL213" s="1018"/>
      <c r="RM213" s="1018"/>
      <c r="RN213" s="1018"/>
      <c r="RO213" s="1018"/>
      <c r="RP213" s="1018"/>
      <c r="RQ213" s="1018"/>
      <c r="RR213" s="1018"/>
      <c r="RS213" s="1018"/>
      <c r="RT213" s="1018"/>
      <c r="RU213" s="1018"/>
      <c r="RV213" s="1018"/>
      <c r="RW213" s="1018"/>
      <c r="RX213" s="1018"/>
    </row>
    <row r="214" spans="1:492" s="1057" customFormat="1" ht="11.25" customHeight="1">
      <c r="A214" s="1018"/>
      <c r="B214" s="958"/>
      <c r="C214" s="958"/>
      <c r="D214" s="958"/>
      <c r="E214" s="958"/>
      <c r="F214" s="958"/>
      <c r="G214" s="958"/>
      <c r="H214" s="958"/>
      <c r="I214" s="958"/>
      <c r="J214" s="958"/>
      <c r="K214" s="1018"/>
      <c r="L214" s="1018"/>
      <c r="M214" s="1018"/>
      <c r="N214" s="1018"/>
      <c r="O214" s="1018"/>
      <c r="P214" s="1018"/>
      <c r="Q214" s="1018"/>
      <c r="R214" s="1285" t="s">
        <v>1661</v>
      </c>
      <c r="S214" s="1285"/>
      <c r="W214" s="1058"/>
      <c r="X214" s="1058"/>
      <c r="Y214" s="1058"/>
      <c r="Z214" s="1058"/>
      <c r="AA214" s="1058"/>
      <c r="AB214" s="1058"/>
      <c r="AC214" s="1058"/>
      <c r="AD214" s="1058"/>
      <c r="AE214" s="1058"/>
      <c r="AF214" s="1058"/>
      <c r="AG214" s="1058"/>
      <c r="AH214" s="1058"/>
      <c r="AI214" s="1058"/>
      <c r="AJ214" s="1058"/>
      <c r="AK214" s="1058"/>
      <c r="AL214" s="1058"/>
      <c r="AM214" s="1058"/>
      <c r="AN214" s="1058"/>
      <c r="AO214" s="1058"/>
      <c r="AP214" s="1058"/>
      <c r="AQ214" s="1058"/>
      <c r="AR214" s="1058"/>
      <c r="AS214" s="1058"/>
      <c r="AT214" s="1058"/>
      <c r="AU214" s="1058"/>
      <c r="AV214" s="1058"/>
      <c r="AW214" s="1058"/>
      <c r="AX214" s="1058"/>
      <c r="AY214" s="1058"/>
      <c r="AZ214" s="1058"/>
      <c r="BA214" s="1058"/>
      <c r="BB214" s="1058"/>
      <c r="BC214" s="1058"/>
      <c r="BD214" s="1058"/>
      <c r="BE214" s="1058"/>
      <c r="BF214" s="1058"/>
      <c r="BG214" s="1058"/>
      <c r="BH214" s="1058"/>
      <c r="BI214" s="1058"/>
      <c r="BJ214" s="1058"/>
      <c r="BK214" s="1058"/>
      <c r="BL214" s="1058"/>
      <c r="BM214" s="1058"/>
      <c r="BN214" s="1058"/>
      <c r="BO214" s="1058"/>
      <c r="BP214" s="1058"/>
      <c r="BQ214" s="1058"/>
      <c r="BR214" s="1058"/>
      <c r="BS214" s="1058"/>
      <c r="BT214" s="1058"/>
      <c r="BU214" s="1058"/>
      <c r="BV214" s="1058"/>
      <c r="BW214" s="1058"/>
      <c r="BX214" s="1058"/>
      <c r="BY214" s="1058"/>
      <c r="BZ214" s="1058"/>
      <c r="CA214" s="1058"/>
      <c r="CB214" s="1058"/>
      <c r="CC214" s="1058"/>
      <c r="CD214" s="1058"/>
      <c r="CE214" s="1058"/>
      <c r="CF214" s="1058"/>
      <c r="CG214" s="1058"/>
      <c r="CH214" s="1058"/>
      <c r="CI214" s="1058"/>
      <c r="CJ214" s="1058"/>
      <c r="CK214" s="1058"/>
      <c r="CL214" s="1058"/>
      <c r="CM214" s="1058"/>
      <c r="CN214" s="1058"/>
      <c r="CO214" s="1058"/>
      <c r="CP214" s="1058"/>
      <c r="CQ214" s="1058"/>
      <c r="CR214" s="1058"/>
      <c r="CS214" s="1058"/>
      <c r="CT214" s="1058"/>
      <c r="CU214" s="1058"/>
      <c r="CV214" s="1058"/>
      <c r="CW214" s="1058"/>
      <c r="CX214" s="1058"/>
      <c r="CY214" s="1058"/>
      <c r="CZ214" s="1058"/>
      <c r="DA214" s="1058"/>
      <c r="DB214" s="1058"/>
      <c r="DC214" s="1058"/>
      <c r="DD214" s="1058"/>
      <c r="DE214" s="1058"/>
      <c r="DF214" s="1058"/>
      <c r="DG214" s="1058"/>
      <c r="DH214" s="1058"/>
      <c r="DI214" s="1058"/>
      <c r="DJ214" s="1058"/>
      <c r="DK214" s="1058"/>
      <c r="DL214" s="1058"/>
      <c r="DM214" s="1058"/>
      <c r="DN214" s="1058"/>
      <c r="DO214" s="1058"/>
      <c r="DP214" s="1058"/>
      <c r="DQ214" s="1058"/>
      <c r="DR214" s="1058"/>
      <c r="DS214" s="1058"/>
      <c r="DT214" s="1058"/>
      <c r="DU214" s="1058"/>
      <c r="DV214" s="1058"/>
      <c r="DW214" s="1058"/>
      <c r="DX214" s="1058"/>
      <c r="DY214" s="1058"/>
      <c r="DZ214" s="1058"/>
      <c r="EA214" s="1058"/>
      <c r="EB214" s="1058"/>
      <c r="EC214" s="1058"/>
      <c r="ED214" s="1058"/>
      <c r="EE214" s="1058"/>
      <c r="EF214" s="1058"/>
      <c r="EG214" s="1058"/>
      <c r="EH214" s="1058"/>
      <c r="EI214" s="1058"/>
      <c r="EJ214" s="1058"/>
      <c r="EK214" s="1058"/>
      <c r="EL214" s="1058"/>
      <c r="EM214" s="1058"/>
      <c r="EN214" s="1058"/>
      <c r="EO214" s="1058"/>
      <c r="EP214" s="1058"/>
      <c r="EQ214" s="1058"/>
      <c r="ER214" s="1058"/>
      <c r="ES214" s="1058"/>
      <c r="ET214" s="1058"/>
      <c r="EU214" s="1058"/>
      <c r="EV214" s="1058"/>
      <c r="EW214" s="1058"/>
      <c r="EX214" s="1058"/>
      <c r="EY214" s="1058"/>
      <c r="EZ214" s="1058"/>
      <c r="FA214" s="1058"/>
      <c r="FB214" s="1058"/>
      <c r="FC214" s="1058"/>
      <c r="FD214" s="1058"/>
      <c r="FE214" s="1058"/>
      <c r="FF214" s="1058"/>
      <c r="FG214" s="1058"/>
      <c r="FH214" s="1058"/>
      <c r="FI214" s="1058"/>
      <c r="FJ214" s="1058"/>
      <c r="FK214" s="1058"/>
      <c r="FL214" s="1058"/>
      <c r="FM214" s="1058"/>
      <c r="FN214" s="1058"/>
      <c r="FO214" s="1058"/>
      <c r="FP214" s="1058"/>
      <c r="FQ214" s="1058"/>
      <c r="FR214" s="1058"/>
      <c r="FS214" s="1058"/>
      <c r="FT214" s="1058"/>
      <c r="FU214" s="1058"/>
      <c r="FV214" s="1058"/>
      <c r="FW214" s="1058"/>
      <c r="FX214" s="1058"/>
      <c r="FY214" s="1058"/>
      <c r="FZ214" s="1058"/>
      <c r="GA214" s="1058"/>
      <c r="GB214" s="1058"/>
      <c r="GC214" s="1058"/>
      <c r="GD214" s="1058"/>
      <c r="GE214" s="1058"/>
      <c r="GF214" s="1058"/>
      <c r="GG214" s="1058"/>
      <c r="GH214" s="1058"/>
      <c r="GI214" s="1058"/>
      <c r="GJ214" s="1058"/>
      <c r="GK214" s="1058"/>
      <c r="GL214" s="1058"/>
      <c r="GM214" s="1058"/>
      <c r="GN214" s="1058"/>
      <c r="GO214" s="1058"/>
      <c r="GP214" s="1058"/>
      <c r="GQ214" s="1058"/>
      <c r="GR214" s="1058"/>
      <c r="GS214" s="1058"/>
      <c r="GT214" s="1058"/>
      <c r="GU214" s="1058"/>
      <c r="GV214" s="1058"/>
      <c r="GW214" s="1058"/>
      <c r="GX214" s="1058"/>
      <c r="GY214" s="1058"/>
      <c r="GZ214" s="1058"/>
      <c r="HA214" s="1058"/>
      <c r="HB214" s="1058"/>
      <c r="HC214" s="1058"/>
      <c r="HD214" s="1058"/>
      <c r="HE214" s="1058"/>
      <c r="HF214" s="1058"/>
      <c r="HG214" s="1058"/>
      <c r="HH214" s="1058"/>
      <c r="HI214" s="1058"/>
      <c r="HJ214" s="1058"/>
      <c r="HK214" s="1058"/>
      <c r="HL214" s="1058"/>
      <c r="HM214" s="1058"/>
      <c r="HN214" s="1058"/>
      <c r="HO214" s="1058"/>
      <c r="HP214" s="1058"/>
      <c r="HQ214" s="1058"/>
      <c r="HR214" s="1058"/>
      <c r="HS214" s="1058"/>
      <c r="HT214" s="1058"/>
      <c r="HU214" s="1058"/>
      <c r="HV214" s="1058"/>
      <c r="HW214" s="1058"/>
      <c r="HX214" s="1058"/>
      <c r="HY214" s="1058"/>
      <c r="HZ214" s="1058"/>
      <c r="IA214" s="1058"/>
      <c r="IB214" s="1058"/>
      <c r="IC214" s="1058"/>
      <c r="ID214" s="1058"/>
      <c r="IE214" s="1058"/>
      <c r="IF214" s="1058"/>
      <c r="IG214" s="1058"/>
      <c r="IH214" s="1058"/>
      <c r="II214" s="1058"/>
      <c r="IJ214" s="1058"/>
      <c r="IK214" s="1058"/>
      <c r="IL214" s="1058"/>
      <c r="IM214" s="1058"/>
      <c r="IN214" s="1058"/>
      <c r="IO214" s="1058"/>
      <c r="IP214" s="1058"/>
      <c r="IQ214" s="1058"/>
      <c r="IR214" s="1058"/>
      <c r="IS214" s="1058"/>
      <c r="IT214" s="1058"/>
      <c r="IU214" s="1058"/>
      <c r="IV214" s="1058"/>
      <c r="IW214" s="1058"/>
      <c r="IX214" s="1058"/>
      <c r="IY214" s="1058"/>
      <c r="IZ214" s="1058"/>
      <c r="JA214" s="1058"/>
      <c r="JB214" s="1058"/>
      <c r="JC214" s="1058"/>
      <c r="JD214" s="1058"/>
      <c r="JE214" s="1058"/>
      <c r="JF214" s="1058"/>
      <c r="JG214" s="1058"/>
      <c r="JH214" s="1058"/>
      <c r="JI214" s="1058"/>
      <c r="JJ214" s="1058"/>
      <c r="JK214" s="1058"/>
      <c r="JL214" s="1058"/>
      <c r="JM214" s="1058"/>
      <c r="JN214" s="1058"/>
      <c r="JO214" s="1058"/>
      <c r="JP214" s="1058"/>
      <c r="JQ214" s="1058"/>
      <c r="JR214" s="1058"/>
      <c r="JS214" s="1058"/>
      <c r="JT214" s="1058"/>
      <c r="JU214" s="1058"/>
      <c r="JV214" s="1059"/>
      <c r="JW214" s="1058"/>
      <c r="JX214" s="1058"/>
      <c r="JY214" s="1058"/>
      <c r="JZ214" s="1058"/>
      <c r="KA214" s="1059"/>
      <c r="KB214" s="1059"/>
      <c r="KC214" s="1059"/>
      <c r="KD214" s="1059"/>
      <c r="KE214" s="1059"/>
      <c r="KF214" s="1059"/>
      <c r="KG214" s="1059"/>
      <c r="KH214" s="1059"/>
      <c r="KI214" s="1059"/>
      <c r="KJ214" s="1059"/>
      <c r="KK214" s="1059"/>
      <c r="KL214" s="1059"/>
      <c r="KM214" s="1059"/>
      <c r="KN214" s="1059"/>
      <c r="KO214" s="1059"/>
      <c r="KP214" s="1059"/>
      <c r="KQ214" s="1059"/>
      <c r="KR214" s="1059"/>
      <c r="KS214" s="1059"/>
      <c r="KT214" s="1059"/>
      <c r="KU214" s="1059"/>
      <c r="KV214" s="1059"/>
      <c r="KW214" s="1059"/>
      <c r="KX214" s="1059"/>
      <c r="KY214" s="1059"/>
      <c r="KZ214" s="1059"/>
      <c r="LA214" s="1059"/>
      <c r="LB214" s="1059"/>
      <c r="LC214" s="1059"/>
      <c r="LD214" s="1059"/>
      <c r="LE214" s="1059"/>
      <c r="LF214" s="1059"/>
      <c r="LG214" s="1058"/>
      <c r="LH214" s="1058"/>
      <c r="LI214" s="1058"/>
      <c r="LJ214" s="1058"/>
      <c r="LK214" s="1058"/>
      <c r="LL214" s="1058"/>
      <c r="LM214" s="1060"/>
      <c r="LN214" s="1058"/>
      <c r="LO214" s="1058"/>
      <c r="LP214" s="1058"/>
      <c r="LQ214" s="1058"/>
      <c r="LR214" s="1058"/>
      <c r="LS214" s="1058"/>
      <c r="LT214" s="1058"/>
      <c r="LU214" s="1058"/>
      <c r="LV214" s="1058"/>
      <c r="LW214" s="1058"/>
      <c r="LX214" s="1058"/>
      <c r="LY214" s="1058"/>
      <c r="LZ214" s="1058"/>
      <c r="MA214" s="1058"/>
      <c r="MB214" s="1058"/>
      <c r="MC214" s="1060"/>
      <c r="MD214" s="1060"/>
      <c r="ME214" s="1058"/>
      <c r="MF214" s="1058"/>
      <c r="MG214" s="1058"/>
      <c r="MH214" s="1058"/>
      <c r="MI214" s="1058"/>
      <c r="MJ214" s="1058"/>
      <c r="MK214" s="1058"/>
      <c r="ML214" s="1058"/>
      <c r="MM214" s="1058"/>
      <c r="MN214" s="1058"/>
      <c r="MO214" s="1058"/>
      <c r="MP214" s="1058"/>
      <c r="MQ214" s="1058"/>
      <c r="MR214" s="1058"/>
      <c r="MS214" s="1058"/>
      <c r="MT214" s="1058"/>
      <c r="MU214" s="1058"/>
      <c r="MV214" s="1058"/>
      <c r="MW214" s="1058"/>
      <c r="MX214" s="1058"/>
      <c r="MY214" s="1058"/>
      <c r="MZ214" s="1058"/>
      <c r="NA214" s="1058"/>
      <c r="NB214" s="1058"/>
      <c r="NC214" s="1058"/>
      <c r="ND214" s="1058"/>
      <c r="NE214" s="1058"/>
      <c r="NF214" s="1058"/>
      <c r="NG214" s="1058"/>
      <c r="NH214" s="1058"/>
      <c r="NI214" s="1058"/>
      <c r="NJ214" s="1058"/>
      <c r="NK214" s="1058"/>
      <c r="NL214" s="1058"/>
      <c r="NM214" s="1058"/>
      <c r="NN214" s="1058"/>
      <c r="NO214" s="1058"/>
      <c r="NP214" s="1058"/>
      <c r="NQ214" s="1058"/>
      <c r="NR214" s="1058"/>
      <c r="NS214" s="1058"/>
      <c r="NT214" s="1058"/>
      <c r="NU214" s="1058"/>
      <c r="NV214" s="1058"/>
      <c r="NW214" s="1058"/>
      <c r="NX214" s="1058"/>
      <c r="NY214" s="1058"/>
      <c r="NZ214" s="1058"/>
      <c r="OA214" s="1058"/>
      <c r="OB214" s="1058"/>
      <c r="OC214" s="1058"/>
      <c r="OD214" s="1018"/>
      <c r="OE214" s="1018"/>
      <c r="OF214" s="1018"/>
      <c r="OG214" s="1018"/>
      <c r="OH214" s="1018"/>
      <c r="OI214" s="1018"/>
      <c r="OJ214" s="1018"/>
      <c r="OK214" s="1018"/>
      <c r="OL214" s="1018"/>
      <c r="OM214" s="1018"/>
      <c r="ON214" s="1018"/>
      <c r="OO214" s="1018"/>
      <c r="OP214" s="1018"/>
      <c r="OQ214" s="1018"/>
      <c r="OR214" s="1018"/>
      <c r="OS214" s="1018"/>
      <c r="OT214" s="1018"/>
      <c r="OU214" s="1018"/>
      <c r="OV214" s="1018"/>
      <c r="OW214" s="1018"/>
      <c r="OX214" s="1018"/>
      <c r="OY214" s="1018"/>
      <c r="OZ214" s="1018"/>
      <c r="PA214" s="1018"/>
      <c r="PB214" s="1018"/>
      <c r="PC214" s="1018"/>
      <c r="PD214" s="1018"/>
      <c r="PE214" s="1018"/>
      <c r="PF214" s="1018"/>
      <c r="PG214" s="1018"/>
      <c r="PH214" s="1018"/>
      <c r="PI214" s="1018"/>
      <c r="PJ214" s="1018"/>
      <c r="PK214" s="1018"/>
      <c r="PL214" s="1018"/>
      <c r="PM214" s="1018"/>
      <c r="PN214" s="1018"/>
      <c r="PO214" s="1018"/>
      <c r="PP214" s="1018"/>
      <c r="PQ214" s="1018"/>
      <c r="PR214" s="1018"/>
      <c r="PS214" s="1018"/>
      <c r="PT214" s="1018"/>
      <c r="PU214" s="1018"/>
      <c r="PV214" s="1018"/>
      <c r="PW214" s="1018"/>
      <c r="PX214" s="1018"/>
      <c r="PY214" s="1018"/>
      <c r="PZ214" s="1018"/>
      <c r="QA214" s="1018"/>
      <c r="QB214" s="1018"/>
      <c r="QC214" s="1018"/>
      <c r="QD214" s="1018"/>
      <c r="QE214" s="1018"/>
      <c r="QF214" s="1018"/>
      <c r="QG214" s="1018"/>
      <c r="QH214" s="1018"/>
      <c r="QI214" s="1018"/>
      <c r="QJ214" s="1018"/>
      <c r="QK214" s="1018"/>
      <c r="QL214" s="1018"/>
      <c r="QM214" s="1018"/>
      <c r="QN214" s="1018"/>
      <c r="QO214" s="1018"/>
      <c r="QP214" s="1018"/>
      <c r="QQ214" s="1018"/>
      <c r="QR214" s="1018"/>
      <c r="QS214" s="1018"/>
      <c r="QT214" s="1018"/>
      <c r="QU214" s="1018"/>
      <c r="QV214" s="1018"/>
      <c r="QW214" s="1018"/>
      <c r="QX214" s="1018"/>
      <c r="QY214" s="1018"/>
      <c r="QZ214" s="1018"/>
      <c r="RA214" s="1018"/>
      <c r="RB214" s="1018"/>
      <c r="RC214" s="1018"/>
      <c r="RD214" s="1018"/>
      <c r="RE214" s="1018"/>
      <c r="RF214" s="1018"/>
      <c r="RG214" s="1018"/>
      <c r="RH214" s="1018"/>
      <c r="RI214" s="1018"/>
      <c r="RJ214" s="1018"/>
      <c r="RK214" s="1018"/>
      <c r="RL214" s="1018"/>
      <c r="RM214" s="1018"/>
      <c r="RN214" s="1018"/>
      <c r="RO214" s="1018"/>
      <c r="RP214" s="1018"/>
      <c r="RQ214" s="1018"/>
      <c r="RR214" s="1018"/>
      <c r="RS214" s="1018"/>
      <c r="RT214" s="1018"/>
      <c r="RU214" s="1018"/>
      <c r="RV214" s="1018"/>
      <c r="RW214" s="1018"/>
      <c r="RX214" s="1018"/>
    </row>
    <row r="215" spans="1:492" s="1057" customFormat="1" ht="13.35" customHeight="1">
      <c r="A215" s="1018"/>
      <c r="B215" s="1013" t="s">
        <v>1192</v>
      </c>
      <c r="C215" s="1018"/>
      <c r="D215" s="1018"/>
      <c r="E215" s="1018"/>
      <c r="F215" s="853"/>
      <c r="G215" s="853"/>
      <c r="H215" s="1018"/>
      <c r="I215" s="1013" t="s">
        <v>1276</v>
      </c>
      <c r="J215" s="1018"/>
      <c r="K215" s="1018"/>
      <c r="L215" s="1018"/>
      <c r="M215" s="1018"/>
      <c r="N215" s="1013" t="s">
        <v>1275</v>
      </c>
      <c r="O215" s="1018"/>
      <c r="P215" s="1018"/>
      <c r="Q215" s="1018"/>
      <c r="R215" s="2355"/>
      <c r="S215" s="2356"/>
      <c r="T215" s="2356"/>
      <c r="U215" s="2356"/>
      <c r="V215" s="2357"/>
      <c r="W215" s="1064"/>
      <c r="X215" s="1058"/>
      <c r="Y215" s="1058"/>
      <c r="Z215" s="1058"/>
      <c r="AA215" s="1058"/>
      <c r="AB215" s="1064"/>
      <c r="AC215" s="1058"/>
      <c r="AD215" s="1058"/>
      <c r="AE215" s="1058"/>
      <c r="AF215" s="1058"/>
      <c r="AG215" s="1064"/>
      <c r="AH215" s="1058"/>
      <c r="AI215" s="1058"/>
      <c r="AJ215" s="1058"/>
      <c r="AK215" s="1058"/>
      <c r="AL215" s="1064"/>
      <c r="AM215" s="1058"/>
      <c r="AN215" s="1058"/>
      <c r="AO215" s="1058"/>
      <c r="AP215" s="1058"/>
      <c r="AQ215" s="1058"/>
      <c r="AR215" s="1058"/>
      <c r="AS215" s="1058"/>
      <c r="AT215" s="1058"/>
      <c r="AU215" s="1058"/>
      <c r="AV215" s="1058"/>
      <c r="AW215" s="1058"/>
      <c r="AX215" s="1058"/>
      <c r="AY215" s="1058"/>
      <c r="AZ215" s="1058"/>
      <c r="BA215" s="1058"/>
      <c r="BB215" s="1058"/>
      <c r="BC215" s="1058"/>
      <c r="BD215" s="1058"/>
      <c r="BE215" s="1058"/>
      <c r="BF215" s="1058"/>
      <c r="BG215" s="1058"/>
      <c r="BH215" s="1058"/>
      <c r="BI215" s="1058"/>
      <c r="BJ215" s="1058"/>
      <c r="BK215" s="1058"/>
      <c r="BL215" s="1058"/>
      <c r="BM215" s="1058"/>
      <c r="BN215" s="1058"/>
      <c r="BO215" s="1058"/>
      <c r="BP215" s="1058"/>
      <c r="BQ215" s="1058"/>
      <c r="BR215" s="1058"/>
      <c r="BS215" s="1058"/>
      <c r="BT215" s="1058"/>
      <c r="BU215" s="1058"/>
      <c r="BV215" s="1058"/>
      <c r="BW215" s="1058"/>
      <c r="BX215" s="1058"/>
      <c r="BY215" s="1058"/>
      <c r="BZ215" s="1058"/>
      <c r="CA215" s="1058"/>
      <c r="CB215" s="1058"/>
      <c r="CC215" s="1058"/>
      <c r="CD215" s="1058"/>
      <c r="CE215" s="1058"/>
      <c r="CF215" s="1058"/>
      <c r="CG215" s="1058"/>
      <c r="CH215" s="1058"/>
      <c r="CI215" s="1058"/>
      <c r="CJ215" s="1058"/>
      <c r="CK215" s="1058"/>
      <c r="CL215" s="1058"/>
      <c r="CM215" s="1058"/>
      <c r="CN215" s="1058"/>
      <c r="CO215" s="1058"/>
      <c r="CP215" s="1058"/>
      <c r="CQ215" s="1058"/>
      <c r="CR215" s="1058"/>
      <c r="CS215" s="1058"/>
      <c r="CT215" s="1058"/>
      <c r="CU215" s="1058"/>
      <c r="CV215" s="1058"/>
      <c r="CW215" s="1058"/>
      <c r="CX215" s="1058"/>
      <c r="CY215" s="1058"/>
      <c r="CZ215" s="1058"/>
      <c r="DA215" s="1058"/>
      <c r="DB215" s="1058"/>
      <c r="DC215" s="1058"/>
      <c r="DD215" s="1058"/>
      <c r="DE215" s="1058"/>
      <c r="DF215" s="1058"/>
      <c r="DG215" s="1058"/>
      <c r="DH215" s="1058"/>
      <c r="DI215" s="1058"/>
      <c r="DJ215" s="1058"/>
      <c r="DK215" s="1058"/>
      <c r="DL215" s="1058"/>
      <c r="DM215" s="1058"/>
      <c r="DN215" s="1058"/>
      <c r="DO215" s="1058"/>
      <c r="DP215" s="1058"/>
      <c r="DQ215" s="1058"/>
      <c r="DR215" s="1058"/>
      <c r="DS215" s="1058"/>
      <c r="DT215" s="1058"/>
      <c r="DU215" s="1058"/>
      <c r="DV215" s="1058"/>
      <c r="DW215" s="1058"/>
      <c r="DX215" s="1058"/>
      <c r="DY215" s="1058"/>
      <c r="DZ215" s="1058"/>
      <c r="EA215" s="1058"/>
      <c r="EB215" s="1058"/>
      <c r="EC215" s="1058"/>
      <c r="ED215" s="1058"/>
      <c r="EE215" s="1058"/>
      <c r="EF215" s="1058"/>
      <c r="EG215" s="1058"/>
      <c r="EH215" s="1058"/>
      <c r="EI215" s="1058"/>
      <c r="EJ215" s="1058"/>
      <c r="EK215" s="1058"/>
      <c r="EL215" s="1058"/>
      <c r="EM215" s="1058"/>
      <c r="EN215" s="1058"/>
      <c r="EO215" s="1058"/>
      <c r="EP215" s="1058"/>
      <c r="EQ215" s="1058"/>
      <c r="ER215" s="1058"/>
      <c r="ES215" s="1058"/>
      <c r="ET215" s="1058"/>
      <c r="EU215" s="1058"/>
      <c r="EV215" s="1058"/>
      <c r="EW215" s="1058"/>
      <c r="EX215" s="1058"/>
      <c r="EY215" s="1058"/>
      <c r="EZ215" s="1058"/>
      <c r="FA215" s="1058"/>
      <c r="FB215" s="1058"/>
      <c r="FC215" s="1058"/>
      <c r="FD215" s="1058"/>
      <c r="FE215" s="1058"/>
      <c r="FF215" s="1058"/>
      <c r="FG215" s="1058"/>
      <c r="FH215" s="1058"/>
      <c r="FI215" s="1058"/>
      <c r="FJ215" s="1058"/>
      <c r="FK215" s="1058"/>
      <c r="FL215" s="1058"/>
      <c r="FM215" s="1058"/>
      <c r="FN215" s="1058"/>
      <c r="FO215" s="1058"/>
      <c r="FP215" s="1058"/>
      <c r="FQ215" s="1058"/>
      <c r="FR215" s="1058"/>
      <c r="FS215" s="1058"/>
      <c r="FT215" s="1058"/>
      <c r="FU215" s="1058"/>
      <c r="FV215" s="1058"/>
      <c r="FW215" s="1058"/>
      <c r="FX215" s="1058"/>
      <c r="FY215" s="1058"/>
      <c r="FZ215" s="1058"/>
      <c r="GA215" s="1058"/>
      <c r="GB215" s="1058"/>
      <c r="GC215" s="1058"/>
      <c r="GD215" s="1058"/>
      <c r="GE215" s="1058"/>
      <c r="GF215" s="1058"/>
      <c r="GG215" s="1058"/>
      <c r="GH215" s="1058"/>
      <c r="GI215" s="1058"/>
      <c r="GJ215" s="1058"/>
      <c r="GK215" s="1058"/>
      <c r="GL215" s="1058"/>
      <c r="GM215" s="1058"/>
      <c r="GN215" s="1058"/>
      <c r="GO215" s="1058"/>
      <c r="GP215" s="1058"/>
      <c r="GQ215" s="1058"/>
      <c r="GR215" s="1058"/>
      <c r="GS215" s="1058"/>
      <c r="GT215" s="1058"/>
      <c r="GU215" s="1058"/>
      <c r="GV215" s="1058"/>
      <c r="GW215" s="1058"/>
      <c r="GX215" s="1058"/>
      <c r="GY215" s="1058"/>
      <c r="GZ215" s="1058"/>
      <c r="HA215" s="1058"/>
      <c r="HB215" s="1058"/>
      <c r="HC215" s="1058"/>
      <c r="HD215" s="1058"/>
      <c r="HE215" s="1058"/>
      <c r="HF215" s="1058"/>
      <c r="HG215" s="1058"/>
      <c r="HH215" s="1058"/>
      <c r="HI215" s="1058"/>
      <c r="HJ215" s="1058"/>
      <c r="HK215" s="1058"/>
      <c r="HL215" s="1058"/>
      <c r="HM215" s="1058"/>
      <c r="HN215" s="1058"/>
      <c r="HO215" s="1058"/>
      <c r="HP215" s="1058"/>
      <c r="HQ215" s="1058"/>
      <c r="HR215" s="1058"/>
      <c r="HS215" s="1058"/>
      <c r="HT215" s="1058"/>
      <c r="HU215" s="1058"/>
      <c r="HV215" s="1058"/>
      <c r="HW215" s="1058"/>
      <c r="HX215" s="1058"/>
      <c r="HY215" s="1058"/>
      <c r="HZ215" s="1058"/>
      <c r="IA215" s="1058"/>
      <c r="IB215" s="1058"/>
      <c r="IC215" s="1058"/>
      <c r="ID215" s="1058"/>
      <c r="IE215" s="1058"/>
      <c r="IF215" s="1058"/>
      <c r="IG215" s="1058"/>
      <c r="IH215" s="1058"/>
      <c r="II215" s="1058"/>
      <c r="IJ215" s="1058"/>
      <c r="IK215" s="1058"/>
      <c r="IL215" s="1058"/>
      <c r="IM215" s="1058"/>
      <c r="IN215" s="1058"/>
      <c r="IO215" s="1058"/>
      <c r="IP215" s="1058"/>
      <c r="IQ215" s="1058"/>
      <c r="IR215" s="1058"/>
      <c r="IS215" s="1058"/>
      <c r="IT215" s="1058"/>
      <c r="IU215" s="1058"/>
      <c r="IV215" s="1058"/>
      <c r="IW215" s="1058"/>
      <c r="IX215" s="1058"/>
      <c r="IY215" s="1058"/>
      <c r="IZ215" s="1058"/>
      <c r="JA215" s="1058"/>
      <c r="JB215" s="1058"/>
      <c r="JC215" s="1058"/>
      <c r="JD215" s="1058"/>
      <c r="JE215" s="1058"/>
      <c r="JF215" s="1058"/>
      <c r="JG215" s="1058"/>
      <c r="JH215" s="1058"/>
      <c r="JI215" s="1058"/>
      <c r="JJ215" s="1058"/>
      <c r="JK215" s="1058"/>
      <c r="JL215" s="1058"/>
      <c r="JM215" s="1058"/>
      <c r="JN215" s="1058"/>
      <c r="JO215" s="1058"/>
      <c r="JP215" s="1058"/>
      <c r="JQ215" s="1058"/>
      <c r="JR215" s="1058"/>
      <c r="JS215" s="1058"/>
      <c r="JT215" s="1058"/>
      <c r="JU215" s="1058"/>
      <c r="JV215" s="1059"/>
      <c r="JW215" s="1058"/>
      <c r="JX215" s="1058"/>
      <c r="JY215" s="1058"/>
      <c r="JZ215" s="1058"/>
      <c r="KA215" s="1059"/>
      <c r="KB215" s="1059"/>
      <c r="KC215" s="1059"/>
      <c r="KD215" s="1059"/>
      <c r="KE215" s="1059"/>
      <c r="KF215" s="1059"/>
      <c r="KG215" s="1059"/>
      <c r="KH215" s="1059"/>
      <c r="KI215" s="1059"/>
      <c r="KJ215" s="1059"/>
      <c r="KK215" s="1059"/>
      <c r="KL215" s="1059"/>
      <c r="KM215" s="1059"/>
      <c r="KN215" s="1059"/>
      <c r="KO215" s="1059"/>
      <c r="KP215" s="1059"/>
      <c r="KQ215" s="1059"/>
      <c r="KR215" s="1059"/>
      <c r="KS215" s="1059"/>
      <c r="KT215" s="1059"/>
      <c r="KU215" s="1059"/>
      <c r="KV215" s="1059"/>
      <c r="KW215" s="1059"/>
      <c r="KX215" s="1059"/>
      <c r="KY215" s="1059"/>
      <c r="KZ215" s="1059"/>
      <c r="LA215" s="1059"/>
      <c r="LB215" s="1059"/>
      <c r="LC215" s="1059"/>
      <c r="LD215" s="1059"/>
      <c r="LE215" s="1059"/>
      <c r="LF215" s="1059"/>
      <c r="LG215" s="1058"/>
      <c r="LH215" s="1058"/>
      <c r="LI215" s="1058"/>
      <c r="LJ215" s="1058"/>
      <c r="LK215" s="1058"/>
      <c r="LL215" s="1058"/>
      <c r="LM215" s="1060"/>
      <c r="LN215" s="1058"/>
      <c r="LO215" s="1058"/>
      <c r="LP215" s="1058"/>
      <c r="LQ215" s="1058"/>
      <c r="LR215" s="1058"/>
      <c r="LS215" s="1058"/>
      <c r="LT215" s="1058"/>
      <c r="LU215" s="1058"/>
      <c r="LV215" s="1058"/>
      <c r="LW215" s="1058"/>
      <c r="LX215" s="1058"/>
      <c r="LY215" s="1058"/>
      <c r="LZ215" s="1058"/>
      <c r="MA215" s="1058"/>
      <c r="MB215" s="1058"/>
      <c r="MC215" s="1060"/>
      <c r="MD215" s="1060"/>
      <c r="ME215" s="1058"/>
      <c r="MF215" s="1058"/>
      <c r="MG215" s="1058"/>
      <c r="MH215" s="1058"/>
      <c r="MI215" s="1058"/>
      <c r="MJ215" s="1058"/>
      <c r="MK215" s="1058"/>
      <c r="ML215" s="1058"/>
      <c r="MM215" s="1058"/>
      <c r="MN215" s="1058"/>
      <c r="MO215" s="1058"/>
      <c r="MP215" s="1058"/>
      <c r="MQ215" s="1058"/>
      <c r="MR215" s="1058"/>
      <c r="MS215" s="1058"/>
      <c r="MT215" s="1058"/>
      <c r="MU215" s="1058"/>
      <c r="MV215" s="1058"/>
      <c r="MW215" s="1058"/>
      <c r="MX215" s="1058"/>
      <c r="MY215" s="1058"/>
      <c r="MZ215" s="1058"/>
      <c r="NA215" s="1058"/>
      <c r="NB215" s="1058"/>
      <c r="NC215" s="1058"/>
      <c r="ND215" s="1058"/>
      <c r="NE215" s="1058"/>
      <c r="NF215" s="1058"/>
      <c r="NG215" s="1058"/>
      <c r="NH215" s="1058"/>
      <c r="NI215" s="1058"/>
      <c r="NJ215" s="1058"/>
      <c r="NK215" s="1058"/>
      <c r="NL215" s="1058"/>
      <c r="NM215" s="1058"/>
      <c r="NN215" s="1058"/>
      <c r="NO215" s="1058"/>
      <c r="NP215" s="1058"/>
      <c r="NQ215" s="1058"/>
      <c r="NR215" s="1058"/>
      <c r="NS215" s="1058"/>
      <c r="NT215" s="1058"/>
      <c r="NU215" s="1058"/>
      <c r="NV215" s="1058"/>
      <c r="NW215" s="1058"/>
      <c r="NX215" s="1058"/>
      <c r="NY215" s="1058"/>
      <c r="NZ215" s="1058"/>
      <c r="OA215" s="1058"/>
      <c r="OB215" s="1058"/>
      <c r="OC215" s="1058"/>
      <c r="OD215" s="1018"/>
      <c r="OE215" s="1018"/>
      <c r="OF215" s="1018"/>
      <c r="OG215" s="1018"/>
      <c r="OH215" s="1018"/>
      <c r="OI215" s="1018"/>
      <c r="OJ215" s="1018"/>
      <c r="OK215" s="1018"/>
      <c r="OL215" s="1018"/>
      <c r="OM215" s="1018"/>
      <c r="ON215" s="1018"/>
      <c r="OO215" s="1018"/>
      <c r="OP215" s="1018"/>
      <c r="OQ215" s="1018"/>
      <c r="OR215" s="1018"/>
      <c r="OS215" s="1018"/>
      <c r="OT215" s="1018"/>
      <c r="OU215" s="1018"/>
      <c r="OV215" s="1018"/>
      <c r="OW215" s="1018"/>
      <c r="OX215" s="1018"/>
      <c r="OY215" s="1018"/>
      <c r="OZ215" s="1018"/>
      <c r="PA215" s="1018"/>
      <c r="PB215" s="1018"/>
      <c r="PC215" s="1018"/>
      <c r="PD215" s="1018"/>
      <c r="PE215" s="1018"/>
      <c r="PF215" s="1018"/>
      <c r="PG215" s="1018"/>
      <c r="PH215" s="1018"/>
      <c r="PI215" s="1018"/>
      <c r="PJ215" s="1018"/>
      <c r="PK215" s="1018"/>
      <c r="PL215" s="1018"/>
      <c r="PM215" s="1018"/>
      <c r="PN215" s="1018"/>
      <c r="PO215" s="1018"/>
      <c r="PP215" s="1018"/>
      <c r="PQ215" s="1018"/>
      <c r="PR215" s="1018"/>
      <c r="PS215" s="1018"/>
      <c r="PT215" s="1018"/>
      <c r="PU215" s="1018"/>
      <c r="PV215" s="1018"/>
      <c r="PW215" s="1018"/>
      <c r="PX215" s="1018"/>
      <c r="PY215" s="1018"/>
      <c r="PZ215" s="1018"/>
      <c r="QA215" s="1018"/>
      <c r="QB215" s="1018"/>
      <c r="QC215" s="1018"/>
      <c r="QD215" s="1018"/>
      <c r="QE215" s="1018"/>
      <c r="QF215" s="1018"/>
      <c r="QG215" s="1018"/>
      <c r="QH215" s="1018"/>
      <c r="QI215" s="1018"/>
      <c r="QJ215" s="1018"/>
      <c r="QK215" s="1018"/>
      <c r="QL215" s="1018"/>
      <c r="QM215" s="1018"/>
      <c r="QN215" s="1018"/>
      <c r="QO215" s="1018"/>
      <c r="QP215" s="1018"/>
      <c r="QQ215" s="1018"/>
      <c r="QR215" s="1018"/>
      <c r="QS215" s="1018"/>
      <c r="QT215" s="1018"/>
      <c r="QU215" s="1018"/>
      <c r="QV215" s="1018"/>
      <c r="QW215" s="1018"/>
      <c r="QX215" s="1018"/>
      <c r="QY215" s="1018"/>
      <c r="QZ215" s="1018"/>
      <c r="RA215" s="1018"/>
      <c r="RB215" s="1018"/>
      <c r="RC215" s="1018"/>
      <c r="RD215" s="1018"/>
      <c r="RE215" s="1018"/>
      <c r="RF215" s="1018"/>
      <c r="RG215" s="1018"/>
      <c r="RH215" s="1018"/>
      <c r="RI215" s="1018"/>
      <c r="RJ215" s="1018"/>
      <c r="RK215" s="1018"/>
      <c r="RL215" s="1018"/>
      <c r="RM215" s="1018"/>
      <c r="RN215" s="1018"/>
      <c r="RO215" s="1018"/>
      <c r="RP215" s="1018"/>
      <c r="RQ215" s="1018"/>
      <c r="RR215" s="1018"/>
      <c r="RS215" s="1018"/>
      <c r="RT215" s="1018"/>
      <c r="RU215" s="1018"/>
      <c r="RV215" s="1018"/>
      <c r="RW215" s="1018"/>
      <c r="RX215" s="1018"/>
    </row>
    <row r="216" spans="1:492" s="1057" customFormat="1" ht="15.6" customHeight="1">
      <c r="A216" s="1018"/>
      <c r="B216" s="1018" t="s">
        <v>1958</v>
      </c>
      <c r="C216" s="1018"/>
      <c r="D216" s="1018"/>
      <c r="E216" s="1018"/>
      <c r="F216" s="2353"/>
      <c r="G216" s="2354"/>
      <c r="H216" s="1018"/>
      <c r="I216" s="1018" t="s">
        <v>1277</v>
      </c>
      <c r="J216" s="1018"/>
      <c r="K216" s="2353"/>
      <c r="L216" s="2354"/>
      <c r="M216" s="1018"/>
      <c r="N216" s="1018" t="s">
        <v>863</v>
      </c>
      <c r="O216" s="1018"/>
      <c r="P216" s="1286"/>
      <c r="Q216" s="1277"/>
      <c r="R216" s="2314"/>
      <c r="S216" s="2315"/>
      <c r="T216" s="2315"/>
      <c r="U216" s="2315"/>
      <c r="V216" s="2316"/>
      <c r="W216" s="1064"/>
      <c r="X216" s="1058"/>
      <c r="Y216" s="1058"/>
      <c r="Z216" s="1058"/>
      <c r="AA216" s="1058"/>
      <c r="AB216" s="1064"/>
      <c r="AC216" s="1058"/>
      <c r="AD216" s="1058"/>
      <c r="AE216" s="1058"/>
      <c r="AF216" s="1058"/>
      <c r="AG216" s="1064"/>
      <c r="AH216" s="1058"/>
      <c r="AI216" s="1058"/>
      <c r="AJ216" s="1058"/>
      <c r="AK216" s="1058"/>
      <c r="AL216" s="1064"/>
      <c r="AM216" s="1058"/>
      <c r="AN216" s="1058"/>
      <c r="AO216" s="1058"/>
      <c r="AP216" s="1058"/>
      <c r="AQ216" s="1058"/>
      <c r="AR216" s="1058"/>
      <c r="AS216" s="1058"/>
      <c r="AT216" s="1058"/>
      <c r="AU216" s="1058"/>
      <c r="AV216" s="1058"/>
      <c r="AW216" s="1058"/>
      <c r="AX216" s="1058"/>
      <c r="AY216" s="1058"/>
      <c r="AZ216" s="1058"/>
      <c r="BA216" s="1058"/>
      <c r="BB216" s="1058"/>
      <c r="BC216" s="1058"/>
      <c r="BD216" s="1058"/>
      <c r="BE216" s="1058"/>
      <c r="BF216" s="1058"/>
      <c r="BG216" s="1058"/>
      <c r="BH216" s="1058"/>
      <c r="BI216" s="1058"/>
      <c r="BJ216" s="1058"/>
      <c r="BK216" s="1058"/>
      <c r="BL216" s="1058"/>
      <c r="BM216" s="1058"/>
      <c r="BN216" s="1058"/>
      <c r="BO216" s="1058"/>
      <c r="BP216" s="1058"/>
      <c r="BQ216" s="1058"/>
      <c r="BR216" s="1058"/>
      <c r="BS216" s="1058"/>
      <c r="BT216" s="1058"/>
      <c r="BU216" s="1058"/>
      <c r="BV216" s="1058"/>
      <c r="BW216" s="1058"/>
      <c r="BX216" s="1058"/>
      <c r="BY216" s="1058"/>
      <c r="BZ216" s="1058"/>
      <c r="CA216" s="1058"/>
      <c r="CB216" s="1058"/>
      <c r="CC216" s="1058"/>
      <c r="CD216" s="1058"/>
      <c r="CE216" s="1058"/>
      <c r="CF216" s="1058"/>
      <c r="CG216" s="1058"/>
      <c r="CH216" s="1058"/>
      <c r="CI216" s="1058"/>
      <c r="CJ216" s="1058"/>
      <c r="CK216" s="1058"/>
      <c r="CL216" s="1058"/>
      <c r="CM216" s="1058"/>
      <c r="CN216" s="1058"/>
      <c r="CO216" s="1058"/>
      <c r="CP216" s="1058"/>
      <c r="CQ216" s="1058"/>
      <c r="CR216" s="1058"/>
      <c r="CS216" s="1058"/>
      <c r="CT216" s="1058"/>
      <c r="CU216" s="1058"/>
      <c r="CV216" s="1058"/>
      <c r="CW216" s="1058"/>
      <c r="CX216" s="1058"/>
      <c r="CY216" s="1058"/>
      <c r="CZ216" s="1058"/>
      <c r="DA216" s="1058"/>
      <c r="DB216" s="1058"/>
      <c r="DC216" s="1058"/>
      <c r="DD216" s="1058"/>
      <c r="DE216" s="1058"/>
      <c r="DF216" s="1058"/>
      <c r="DG216" s="1058"/>
      <c r="DH216" s="1058"/>
      <c r="DI216" s="1058"/>
      <c r="DJ216" s="1058"/>
      <c r="DK216" s="1058"/>
      <c r="DL216" s="1058"/>
      <c r="DM216" s="1058"/>
      <c r="DN216" s="1058"/>
      <c r="DO216" s="1058"/>
      <c r="DP216" s="1058"/>
      <c r="DQ216" s="1058"/>
      <c r="DR216" s="1058"/>
      <c r="DS216" s="1058"/>
      <c r="DT216" s="1058"/>
      <c r="DU216" s="1058"/>
      <c r="DV216" s="1058"/>
      <c r="DW216" s="1058"/>
      <c r="DX216" s="1058"/>
      <c r="DY216" s="1058"/>
      <c r="DZ216" s="1058"/>
      <c r="EA216" s="1058"/>
      <c r="EB216" s="1058"/>
      <c r="EC216" s="1058"/>
      <c r="ED216" s="1058"/>
      <c r="EE216" s="1058"/>
      <c r="EF216" s="1058"/>
      <c r="EG216" s="1058"/>
      <c r="EH216" s="1058"/>
      <c r="EI216" s="1058"/>
      <c r="EJ216" s="1058"/>
      <c r="EK216" s="1058"/>
      <c r="EL216" s="1058"/>
      <c r="EM216" s="1058"/>
      <c r="EN216" s="1058"/>
      <c r="EO216" s="1058"/>
      <c r="EP216" s="1058"/>
      <c r="EQ216" s="1058"/>
      <c r="ER216" s="1058"/>
      <c r="ES216" s="1058"/>
      <c r="ET216" s="1058"/>
      <c r="EU216" s="1058"/>
      <c r="EV216" s="1058"/>
      <c r="EW216" s="1058"/>
      <c r="EX216" s="1058"/>
      <c r="EY216" s="1058"/>
      <c r="EZ216" s="1058"/>
      <c r="FA216" s="1058"/>
      <c r="FB216" s="1058"/>
      <c r="FC216" s="1058"/>
      <c r="FD216" s="1058"/>
      <c r="FE216" s="1058"/>
      <c r="FF216" s="1058"/>
      <c r="FG216" s="1058"/>
      <c r="FH216" s="1058"/>
      <c r="FI216" s="1058"/>
      <c r="FJ216" s="1058"/>
      <c r="FK216" s="1058"/>
      <c r="FL216" s="1058"/>
      <c r="FM216" s="1058"/>
      <c r="FN216" s="1058"/>
      <c r="FO216" s="1058"/>
      <c r="FP216" s="1058"/>
      <c r="FQ216" s="1058"/>
      <c r="FR216" s="1058"/>
      <c r="FS216" s="1058"/>
      <c r="FT216" s="1058"/>
      <c r="FU216" s="1058"/>
      <c r="FV216" s="1058"/>
      <c r="FW216" s="1058"/>
      <c r="FX216" s="1058"/>
      <c r="FY216" s="1058"/>
      <c r="FZ216" s="1058"/>
      <c r="GA216" s="1058"/>
      <c r="GB216" s="1058"/>
      <c r="GC216" s="1058"/>
      <c r="GD216" s="1058"/>
      <c r="GE216" s="1058"/>
      <c r="GF216" s="1058"/>
      <c r="GG216" s="1058"/>
      <c r="GH216" s="1058"/>
      <c r="GI216" s="1058"/>
      <c r="GJ216" s="1058"/>
      <c r="GK216" s="1058"/>
      <c r="GL216" s="1058"/>
      <c r="GM216" s="1058"/>
      <c r="GN216" s="1058"/>
      <c r="GO216" s="1058"/>
      <c r="GP216" s="1058"/>
      <c r="GQ216" s="1058"/>
      <c r="GR216" s="1058"/>
      <c r="GS216" s="1058"/>
      <c r="GT216" s="1058"/>
      <c r="GU216" s="1058"/>
      <c r="GV216" s="1058"/>
      <c r="GW216" s="1058"/>
      <c r="GX216" s="1058"/>
      <c r="GY216" s="1058"/>
      <c r="GZ216" s="1058"/>
      <c r="HA216" s="1058"/>
      <c r="HB216" s="1058"/>
      <c r="HC216" s="1058"/>
      <c r="HD216" s="1058"/>
      <c r="HE216" s="1058"/>
      <c r="HF216" s="1058"/>
      <c r="HG216" s="1058"/>
      <c r="HH216" s="1058"/>
      <c r="HI216" s="1058"/>
      <c r="HJ216" s="1058"/>
      <c r="HK216" s="1058"/>
      <c r="HL216" s="1058"/>
      <c r="HM216" s="1058"/>
      <c r="HN216" s="1058"/>
      <c r="HO216" s="1058"/>
      <c r="HP216" s="1058"/>
      <c r="HQ216" s="1058"/>
      <c r="HR216" s="1058"/>
      <c r="HS216" s="1058"/>
      <c r="HT216" s="1058"/>
      <c r="HU216" s="1058"/>
      <c r="HV216" s="1058"/>
      <c r="HW216" s="1058"/>
      <c r="HX216" s="1058"/>
      <c r="HY216" s="1058"/>
      <c r="HZ216" s="1058"/>
      <c r="IA216" s="1058"/>
      <c r="IB216" s="1058"/>
      <c r="IC216" s="1058"/>
      <c r="ID216" s="1058"/>
      <c r="IE216" s="1058"/>
      <c r="IF216" s="1058"/>
      <c r="IG216" s="1058"/>
      <c r="IH216" s="1058"/>
      <c r="II216" s="1058"/>
      <c r="IJ216" s="1058"/>
      <c r="IK216" s="1058"/>
      <c r="IL216" s="1058"/>
      <c r="IM216" s="1058"/>
      <c r="IN216" s="1058"/>
      <c r="IO216" s="1058"/>
      <c r="IP216" s="1058"/>
      <c r="IQ216" s="1058"/>
      <c r="IR216" s="1058"/>
      <c r="IS216" s="1058"/>
      <c r="IT216" s="1058"/>
      <c r="IU216" s="1058"/>
      <c r="IV216" s="1058"/>
      <c r="IW216" s="1058"/>
      <c r="IX216" s="1058"/>
      <c r="IY216" s="1058"/>
      <c r="IZ216" s="1058"/>
      <c r="JA216" s="1058"/>
      <c r="JB216" s="1058"/>
      <c r="JC216" s="1058"/>
      <c r="JD216" s="1058"/>
      <c r="JE216" s="1058"/>
      <c r="JF216" s="1058"/>
      <c r="JG216" s="1058"/>
      <c r="JH216" s="1058"/>
      <c r="JI216" s="1058"/>
      <c r="JJ216" s="1058"/>
      <c r="JK216" s="1058"/>
      <c r="JL216" s="1058"/>
      <c r="JM216" s="1058"/>
      <c r="JN216" s="1058"/>
      <c r="JO216" s="1058"/>
      <c r="JP216" s="1058"/>
      <c r="JQ216" s="1058"/>
      <c r="JR216" s="1058"/>
      <c r="JS216" s="1058"/>
      <c r="JT216" s="1058"/>
      <c r="JU216" s="1058"/>
      <c r="JV216" s="1059"/>
      <c r="JW216" s="1058"/>
      <c r="JX216" s="1058"/>
      <c r="JY216" s="1058"/>
      <c r="JZ216" s="1058"/>
      <c r="KA216" s="1059"/>
      <c r="KB216" s="1059"/>
      <c r="KC216" s="1059"/>
      <c r="KD216" s="1059"/>
      <c r="KE216" s="1059"/>
      <c r="KF216" s="1059"/>
      <c r="KG216" s="1059"/>
      <c r="KH216" s="1059"/>
      <c r="KI216" s="1059"/>
      <c r="KJ216" s="1059"/>
      <c r="KK216" s="1059"/>
      <c r="KL216" s="1059"/>
      <c r="KM216" s="1059"/>
      <c r="KN216" s="1059"/>
      <c r="KO216" s="1059"/>
      <c r="KP216" s="1059"/>
      <c r="KQ216" s="1059"/>
      <c r="KR216" s="1059"/>
      <c r="KS216" s="1059"/>
      <c r="KT216" s="1059"/>
      <c r="KU216" s="1059"/>
      <c r="KV216" s="1059"/>
      <c r="KW216" s="1059"/>
      <c r="KX216" s="1059"/>
      <c r="KY216" s="1059"/>
      <c r="KZ216" s="1059"/>
      <c r="LA216" s="1059"/>
      <c r="LB216" s="1059"/>
      <c r="LC216" s="1059"/>
      <c r="LD216" s="1059"/>
      <c r="LE216" s="1059"/>
      <c r="LF216" s="1059"/>
      <c r="LG216" s="1058"/>
      <c r="LH216" s="1058"/>
      <c r="LI216" s="1058"/>
      <c r="LJ216" s="1058"/>
      <c r="LK216" s="1058"/>
      <c r="LL216" s="1058"/>
      <c r="LM216" s="1060"/>
      <c r="LN216" s="1058"/>
      <c r="LO216" s="1058"/>
      <c r="LP216" s="1058"/>
      <c r="LQ216" s="1058"/>
      <c r="LR216" s="1058"/>
      <c r="LS216" s="1058"/>
      <c r="LT216" s="1058"/>
      <c r="LU216" s="1058"/>
      <c r="LV216" s="1058"/>
      <c r="LW216" s="1058"/>
      <c r="LX216" s="1058"/>
      <c r="LY216" s="1058"/>
      <c r="LZ216" s="1058"/>
      <c r="MA216" s="1058"/>
      <c r="MB216" s="1058"/>
      <c r="MC216" s="1060"/>
      <c r="MD216" s="1060"/>
      <c r="ME216" s="1058"/>
      <c r="MF216" s="1058"/>
      <c r="MG216" s="1058"/>
      <c r="MH216" s="1058"/>
      <c r="MI216" s="1058"/>
      <c r="MJ216" s="1058"/>
      <c r="MK216" s="1058"/>
      <c r="ML216" s="1058"/>
      <c r="MM216" s="1058"/>
      <c r="MN216" s="1058"/>
      <c r="MO216" s="1058"/>
      <c r="MP216" s="1058"/>
      <c r="MQ216" s="1058"/>
      <c r="MR216" s="1058"/>
      <c r="MS216" s="1058"/>
      <c r="MT216" s="1058"/>
      <c r="MU216" s="1058"/>
      <c r="MV216" s="1058"/>
      <c r="MW216" s="1058"/>
      <c r="MX216" s="1058"/>
      <c r="MY216" s="1058"/>
      <c r="MZ216" s="1058"/>
      <c r="NA216" s="1058"/>
      <c r="NB216" s="1058"/>
      <c r="NC216" s="1058"/>
      <c r="ND216" s="1058"/>
      <c r="NE216" s="1058"/>
      <c r="NF216" s="1058"/>
      <c r="NG216" s="1058"/>
      <c r="NH216" s="1058"/>
      <c r="NI216" s="1058"/>
      <c r="NJ216" s="1058"/>
      <c r="NK216" s="1058"/>
      <c r="NL216" s="1058"/>
      <c r="NM216" s="1058"/>
      <c r="NN216" s="1058"/>
      <c r="NO216" s="1058"/>
      <c r="NP216" s="1058"/>
      <c r="NQ216" s="1058"/>
      <c r="NR216" s="1058"/>
      <c r="NS216" s="1058"/>
      <c r="NT216" s="1058"/>
      <c r="NU216" s="1058"/>
      <c r="NV216" s="1058"/>
      <c r="NW216" s="1058"/>
      <c r="NX216" s="1058"/>
      <c r="NY216" s="1058"/>
      <c r="NZ216" s="1058"/>
      <c r="OA216" s="1058"/>
      <c r="OB216" s="1058"/>
      <c r="OC216" s="1058"/>
      <c r="OD216" s="1018"/>
      <c r="OE216" s="1018"/>
      <c r="OF216" s="1018"/>
      <c r="OG216" s="1018"/>
      <c r="OH216" s="1018"/>
      <c r="OI216" s="1018"/>
      <c r="OJ216" s="1018"/>
      <c r="OK216" s="1018"/>
      <c r="OL216" s="1018"/>
      <c r="OM216" s="1018"/>
      <c r="ON216" s="1018"/>
      <c r="OO216" s="1018"/>
      <c r="OP216" s="1018"/>
      <c r="OQ216" s="1018"/>
      <c r="OR216" s="1018"/>
      <c r="OS216" s="1018"/>
      <c r="OT216" s="1018"/>
      <c r="OU216" s="1018"/>
      <c r="OV216" s="1018"/>
      <c r="OW216" s="1018"/>
      <c r="OX216" s="1018"/>
      <c r="OY216" s="1018"/>
      <c r="OZ216" s="1018"/>
      <c r="PA216" s="1018"/>
      <c r="PB216" s="1018"/>
      <c r="PC216" s="1018"/>
      <c r="PD216" s="1018"/>
      <c r="PE216" s="1018"/>
      <c r="PF216" s="1018"/>
      <c r="PG216" s="1018"/>
      <c r="PH216" s="1018"/>
      <c r="PI216" s="1018"/>
      <c r="PJ216" s="1018"/>
      <c r="PK216" s="1018"/>
      <c r="PL216" s="1018"/>
      <c r="PM216" s="1018"/>
      <c r="PN216" s="1018"/>
      <c r="PO216" s="1018"/>
      <c r="PP216" s="1018"/>
      <c r="PQ216" s="1018"/>
      <c r="PR216" s="1018"/>
      <c r="PS216" s="1018"/>
      <c r="PT216" s="1018"/>
      <c r="PU216" s="1018"/>
      <c r="PV216" s="1018"/>
      <c r="PW216" s="1018"/>
      <c r="PX216" s="1018"/>
      <c r="PY216" s="1018"/>
      <c r="PZ216" s="1018"/>
      <c r="QA216" s="1018"/>
      <c r="QB216" s="1018"/>
      <c r="QC216" s="1018"/>
      <c r="QD216" s="1018"/>
      <c r="QE216" s="1018"/>
      <c r="QF216" s="1018"/>
      <c r="QG216" s="1018"/>
      <c r="QH216" s="1018"/>
      <c r="QI216" s="1018"/>
      <c r="QJ216" s="1018"/>
      <c r="QK216" s="1018"/>
      <c r="QL216" s="1018"/>
      <c r="QM216" s="1018"/>
      <c r="QN216" s="1018"/>
      <c r="QO216" s="1018"/>
      <c r="QP216" s="1018"/>
      <c r="QQ216" s="1018"/>
      <c r="QR216" s="1018"/>
      <c r="QS216" s="1018"/>
      <c r="QT216" s="1018"/>
      <c r="QU216" s="1018"/>
      <c r="QV216" s="1018"/>
      <c r="QW216" s="1018"/>
      <c r="QX216" s="1018"/>
      <c r="QY216" s="1018"/>
      <c r="QZ216" s="1018"/>
      <c r="RA216" s="1018"/>
      <c r="RB216" s="1018"/>
      <c r="RC216" s="1018"/>
      <c r="RD216" s="1018"/>
      <c r="RE216" s="1018"/>
      <c r="RF216" s="1018"/>
      <c r="RG216" s="1018"/>
      <c r="RH216" s="1018"/>
      <c r="RI216" s="1018"/>
      <c r="RJ216" s="1018"/>
      <c r="RK216" s="1018"/>
      <c r="RL216" s="1018"/>
      <c r="RM216" s="1018"/>
      <c r="RN216" s="1018"/>
      <c r="RO216" s="1018"/>
      <c r="RP216" s="1018"/>
      <c r="RQ216" s="1018"/>
      <c r="RR216" s="1018"/>
      <c r="RS216" s="1018"/>
      <c r="RT216" s="1018"/>
      <c r="RU216" s="1018"/>
      <c r="RV216" s="1018"/>
      <c r="RW216" s="1018"/>
      <c r="RX216" s="1018"/>
    </row>
    <row r="217" spans="1:492" s="1057" customFormat="1" ht="15.6" customHeight="1" thickBot="1">
      <c r="A217" s="1018"/>
      <c r="B217" s="1018" t="s">
        <v>1266</v>
      </c>
      <c r="C217" s="1018"/>
      <c r="D217" s="1018"/>
      <c r="E217" s="1018"/>
      <c r="F217" s="2323"/>
      <c r="G217" s="2324"/>
      <c r="H217" s="1018"/>
      <c r="I217" s="1018" t="s">
        <v>1278</v>
      </c>
      <c r="J217" s="1018"/>
      <c r="K217" s="2332"/>
      <c r="L217" s="2333"/>
      <c r="M217" s="1018"/>
      <c r="N217" s="1018" t="s">
        <v>133</v>
      </c>
      <c r="O217" s="1018"/>
      <c r="P217" s="1287"/>
      <c r="Q217" s="1277"/>
      <c r="R217" s="2314"/>
      <c r="S217" s="2315"/>
      <c r="T217" s="2315"/>
      <c r="U217" s="2315"/>
      <c r="V217" s="2316"/>
      <c r="W217" s="1064"/>
      <c r="X217" s="1058"/>
      <c r="Y217" s="1058"/>
      <c r="Z217" s="1058"/>
      <c r="AA217" s="1058"/>
      <c r="AB217" s="1064"/>
      <c r="AC217" s="1058"/>
      <c r="AD217" s="1058"/>
      <c r="AE217" s="1058"/>
      <c r="AF217" s="1058"/>
      <c r="AG217" s="1064"/>
      <c r="AH217" s="1058"/>
      <c r="AI217" s="1058"/>
      <c r="AJ217" s="1058"/>
      <c r="AK217" s="1058"/>
      <c r="AL217" s="1064"/>
      <c r="AM217" s="1058"/>
      <c r="AN217" s="1058"/>
      <c r="AO217" s="1058"/>
      <c r="AP217" s="1058"/>
      <c r="AQ217" s="1058"/>
      <c r="AR217" s="1058"/>
      <c r="AS217" s="1058"/>
      <c r="AT217" s="1058"/>
      <c r="AU217" s="1058"/>
      <c r="AV217" s="1058"/>
      <c r="AW217" s="1058"/>
      <c r="AX217" s="1058"/>
      <c r="AY217" s="1058"/>
      <c r="AZ217" s="1058"/>
      <c r="BA217" s="1058"/>
      <c r="BB217" s="1058"/>
      <c r="BC217" s="1058"/>
      <c r="BD217" s="1058"/>
      <c r="BE217" s="1058"/>
      <c r="BF217" s="1058"/>
      <c r="BG217" s="1058"/>
      <c r="BH217" s="1058"/>
      <c r="BI217" s="1058"/>
      <c r="BJ217" s="1058"/>
      <c r="BK217" s="1058"/>
      <c r="BL217" s="1058"/>
      <c r="BM217" s="1058"/>
      <c r="BN217" s="1058"/>
      <c r="BO217" s="1058"/>
      <c r="BP217" s="1058"/>
      <c r="BQ217" s="1058"/>
      <c r="BR217" s="1058"/>
      <c r="BS217" s="1058"/>
      <c r="BT217" s="1058"/>
      <c r="BU217" s="1058"/>
      <c r="BV217" s="1058"/>
      <c r="BW217" s="1058"/>
      <c r="BX217" s="1058"/>
      <c r="BY217" s="1058"/>
      <c r="BZ217" s="1058"/>
      <c r="CA217" s="1058"/>
      <c r="CB217" s="1058"/>
      <c r="CC217" s="1058"/>
      <c r="CD217" s="1058"/>
      <c r="CE217" s="1058"/>
      <c r="CF217" s="1058"/>
      <c r="CG217" s="1058"/>
      <c r="CH217" s="1058"/>
      <c r="CI217" s="1058"/>
      <c r="CJ217" s="1058"/>
      <c r="CK217" s="1058"/>
      <c r="CL217" s="1058"/>
      <c r="CM217" s="1058"/>
      <c r="CN217" s="1058"/>
      <c r="CO217" s="1058"/>
      <c r="CP217" s="1058"/>
      <c r="CQ217" s="1058"/>
      <c r="CR217" s="1058"/>
      <c r="CS217" s="1058"/>
      <c r="CT217" s="1058"/>
      <c r="CU217" s="1058"/>
      <c r="CV217" s="1058"/>
      <c r="CW217" s="1058"/>
      <c r="CX217" s="1058"/>
      <c r="CY217" s="1058"/>
      <c r="CZ217" s="1058"/>
      <c r="DA217" s="1058"/>
      <c r="DB217" s="1058"/>
      <c r="DC217" s="1058"/>
      <c r="DD217" s="1058"/>
      <c r="DE217" s="1058"/>
      <c r="DF217" s="1058"/>
      <c r="DG217" s="1058"/>
      <c r="DH217" s="1058"/>
      <c r="DI217" s="1058"/>
      <c r="DJ217" s="1058"/>
      <c r="DK217" s="1058"/>
      <c r="DL217" s="1058"/>
      <c r="DM217" s="1058"/>
      <c r="DN217" s="1058"/>
      <c r="DO217" s="1058"/>
      <c r="DP217" s="1058"/>
      <c r="DQ217" s="1058"/>
      <c r="DR217" s="1058"/>
      <c r="DS217" s="1058"/>
      <c r="DT217" s="1058"/>
      <c r="DU217" s="1058"/>
      <c r="DV217" s="1058"/>
      <c r="DW217" s="1058"/>
      <c r="DX217" s="1058"/>
      <c r="DY217" s="1058"/>
      <c r="DZ217" s="1058"/>
      <c r="EA217" s="1058"/>
      <c r="EB217" s="1058"/>
      <c r="EC217" s="1058"/>
      <c r="ED217" s="1058"/>
      <c r="EE217" s="1058"/>
      <c r="EF217" s="1058"/>
      <c r="EG217" s="1058"/>
      <c r="EH217" s="1058"/>
      <c r="EI217" s="1058"/>
      <c r="EJ217" s="1058"/>
      <c r="EK217" s="1058"/>
      <c r="EL217" s="1058"/>
      <c r="EM217" s="1058"/>
      <c r="EN217" s="1058"/>
      <c r="EO217" s="1058"/>
      <c r="EP217" s="1058"/>
      <c r="EQ217" s="1058"/>
      <c r="ER217" s="1058"/>
      <c r="ES217" s="1058"/>
      <c r="ET217" s="1058"/>
      <c r="EU217" s="1058"/>
      <c r="EV217" s="1058"/>
      <c r="EW217" s="1058"/>
      <c r="EX217" s="1058"/>
      <c r="EY217" s="1058"/>
      <c r="EZ217" s="1058"/>
      <c r="FA217" s="1058"/>
      <c r="FB217" s="1058"/>
      <c r="FC217" s="1058"/>
      <c r="FD217" s="1058"/>
      <c r="FE217" s="1058"/>
      <c r="FF217" s="1058"/>
      <c r="FG217" s="1058"/>
      <c r="FH217" s="1058"/>
      <c r="FI217" s="1058"/>
      <c r="FJ217" s="1058"/>
      <c r="FK217" s="1058"/>
      <c r="FL217" s="1058"/>
      <c r="FM217" s="1058"/>
      <c r="FN217" s="1058"/>
      <c r="FO217" s="1058"/>
      <c r="FP217" s="1058"/>
      <c r="FQ217" s="1058"/>
      <c r="FR217" s="1058"/>
      <c r="FS217" s="1058"/>
      <c r="FT217" s="1058"/>
      <c r="FU217" s="1058"/>
      <c r="FV217" s="1058"/>
      <c r="FW217" s="1058"/>
      <c r="FX217" s="1058"/>
      <c r="FY217" s="1058"/>
      <c r="FZ217" s="1058"/>
      <c r="GA217" s="1058"/>
      <c r="GB217" s="1058"/>
      <c r="GC217" s="1058"/>
      <c r="GD217" s="1058"/>
      <c r="GE217" s="1058"/>
      <c r="GF217" s="1058"/>
      <c r="GG217" s="1058"/>
      <c r="GH217" s="1058"/>
      <c r="GI217" s="1058"/>
      <c r="GJ217" s="1058"/>
      <c r="GK217" s="1058"/>
      <c r="GL217" s="1058"/>
      <c r="GM217" s="1058"/>
      <c r="GN217" s="1058"/>
      <c r="GO217" s="1058"/>
      <c r="GP217" s="1058"/>
      <c r="GQ217" s="1058"/>
      <c r="GR217" s="1058"/>
      <c r="GS217" s="1058"/>
      <c r="GT217" s="1058"/>
      <c r="GU217" s="1058"/>
      <c r="GV217" s="1058"/>
      <c r="GW217" s="1058"/>
      <c r="GX217" s="1058"/>
      <c r="GY217" s="1058"/>
      <c r="GZ217" s="1058"/>
      <c r="HA217" s="1058"/>
      <c r="HB217" s="1058"/>
      <c r="HC217" s="1058"/>
      <c r="HD217" s="1058"/>
      <c r="HE217" s="1058"/>
      <c r="HF217" s="1058"/>
      <c r="HG217" s="1058"/>
      <c r="HH217" s="1058"/>
      <c r="HI217" s="1058"/>
      <c r="HJ217" s="1058"/>
      <c r="HK217" s="1058"/>
      <c r="HL217" s="1058"/>
      <c r="HM217" s="1058"/>
      <c r="HN217" s="1058"/>
      <c r="HO217" s="1058"/>
      <c r="HP217" s="1058"/>
      <c r="HQ217" s="1058"/>
      <c r="HR217" s="1058"/>
      <c r="HS217" s="1058"/>
      <c r="HT217" s="1058"/>
      <c r="HU217" s="1058"/>
      <c r="HV217" s="1058"/>
      <c r="HW217" s="1058"/>
      <c r="HX217" s="1058"/>
      <c r="HY217" s="1058"/>
      <c r="HZ217" s="1058"/>
      <c r="IA217" s="1058"/>
      <c r="IB217" s="1058"/>
      <c r="IC217" s="1058"/>
      <c r="ID217" s="1058"/>
      <c r="IE217" s="1058"/>
      <c r="IF217" s="1058"/>
      <c r="IG217" s="1058"/>
      <c r="IH217" s="1058"/>
      <c r="II217" s="1058"/>
      <c r="IJ217" s="1058"/>
      <c r="IK217" s="1058"/>
      <c r="IL217" s="1058"/>
      <c r="IM217" s="1058"/>
      <c r="IN217" s="1058"/>
      <c r="IO217" s="1058"/>
      <c r="IP217" s="1058"/>
      <c r="IQ217" s="1058"/>
      <c r="IR217" s="1058"/>
      <c r="IS217" s="1058"/>
      <c r="IT217" s="1058"/>
      <c r="IU217" s="1058"/>
      <c r="IV217" s="1058"/>
      <c r="IW217" s="1058"/>
      <c r="IX217" s="1058"/>
      <c r="IY217" s="1058"/>
      <c r="IZ217" s="1058"/>
      <c r="JA217" s="1058"/>
      <c r="JB217" s="1058"/>
      <c r="JC217" s="1058"/>
      <c r="JD217" s="1058"/>
      <c r="JE217" s="1058"/>
      <c r="JF217" s="1058"/>
      <c r="JG217" s="1058"/>
      <c r="JH217" s="1058"/>
      <c r="JI217" s="1058"/>
      <c r="JJ217" s="1058"/>
      <c r="JK217" s="1058"/>
      <c r="JL217" s="1058"/>
      <c r="JM217" s="1058"/>
      <c r="JN217" s="1058"/>
      <c r="JO217" s="1058"/>
      <c r="JP217" s="1058"/>
      <c r="JQ217" s="1058"/>
      <c r="JR217" s="1058"/>
      <c r="JS217" s="1058"/>
      <c r="JT217" s="1058"/>
      <c r="JU217" s="1058"/>
      <c r="JV217" s="1059"/>
      <c r="JW217" s="1058"/>
      <c r="JX217" s="1058"/>
      <c r="JY217" s="1058"/>
      <c r="JZ217" s="1058"/>
      <c r="KA217" s="1059"/>
      <c r="KB217" s="1059"/>
      <c r="KC217" s="1059"/>
      <c r="KD217" s="1059"/>
      <c r="KE217" s="1059"/>
      <c r="KF217" s="1059"/>
      <c r="KG217" s="1059"/>
      <c r="KH217" s="1059"/>
      <c r="KI217" s="1059"/>
      <c r="KJ217" s="1059"/>
      <c r="KK217" s="1059"/>
      <c r="KL217" s="1059"/>
      <c r="KM217" s="1059"/>
      <c r="KN217" s="1059"/>
      <c r="KO217" s="1059"/>
      <c r="KP217" s="1059"/>
      <c r="KQ217" s="1059"/>
      <c r="KR217" s="1059"/>
      <c r="KS217" s="1059"/>
      <c r="KT217" s="1059"/>
      <c r="KU217" s="1059"/>
      <c r="KV217" s="1059"/>
      <c r="KW217" s="1059"/>
      <c r="KX217" s="1059"/>
      <c r="KY217" s="1059"/>
      <c r="KZ217" s="1059"/>
      <c r="LA217" s="1059"/>
      <c r="LB217" s="1059"/>
      <c r="LC217" s="1059"/>
      <c r="LD217" s="1059"/>
      <c r="LE217" s="1059"/>
      <c r="LF217" s="1059"/>
      <c r="LG217" s="1058"/>
      <c r="LH217" s="1058"/>
      <c r="LI217" s="1058"/>
      <c r="LJ217" s="1058"/>
      <c r="LK217" s="1058"/>
      <c r="LL217" s="1058"/>
      <c r="LM217" s="1060"/>
      <c r="LN217" s="1058"/>
      <c r="LO217" s="1058"/>
      <c r="LP217" s="1058"/>
      <c r="LQ217" s="1058"/>
      <c r="LR217" s="1058"/>
      <c r="LS217" s="1058"/>
      <c r="LT217" s="1058"/>
      <c r="LU217" s="1058"/>
      <c r="LV217" s="1058"/>
      <c r="LW217" s="1058"/>
      <c r="LX217" s="1058"/>
      <c r="LY217" s="1058"/>
      <c r="LZ217" s="1058"/>
      <c r="MA217" s="1058"/>
      <c r="MB217" s="1058"/>
      <c r="MC217" s="1060"/>
      <c r="MD217" s="1060"/>
      <c r="ME217" s="1058"/>
      <c r="MF217" s="1058"/>
      <c r="MG217" s="1058"/>
      <c r="MH217" s="1058"/>
      <c r="MI217" s="1058"/>
      <c r="MJ217" s="1058"/>
      <c r="MK217" s="1058"/>
      <c r="ML217" s="1058"/>
      <c r="MM217" s="1058"/>
      <c r="MN217" s="1058"/>
      <c r="MO217" s="1058"/>
      <c r="MP217" s="1058"/>
      <c r="MQ217" s="1058"/>
      <c r="MR217" s="1058"/>
      <c r="MS217" s="1058"/>
      <c r="MT217" s="1058"/>
      <c r="MU217" s="1058"/>
      <c r="MV217" s="1058"/>
      <c r="MW217" s="1058"/>
      <c r="MX217" s="1058"/>
      <c r="MY217" s="1058"/>
      <c r="MZ217" s="1058"/>
      <c r="NA217" s="1058"/>
      <c r="NB217" s="1058"/>
      <c r="NC217" s="1058"/>
      <c r="ND217" s="1058"/>
      <c r="NE217" s="1058"/>
      <c r="NF217" s="1058"/>
      <c r="NG217" s="1058"/>
      <c r="NH217" s="1058"/>
      <c r="NI217" s="1058"/>
      <c r="NJ217" s="1058"/>
      <c r="NK217" s="1058"/>
      <c r="NL217" s="1058"/>
      <c r="NM217" s="1058"/>
      <c r="NN217" s="1058"/>
      <c r="NO217" s="1058"/>
      <c r="NP217" s="1058"/>
      <c r="NQ217" s="1058"/>
      <c r="NR217" s="1058"/>
      <c r="NS217" s="1058"/>
      <c r="NT217" s="1058"/>
      <c r="NU217" s="1058"/>
      <c r="NV217" s="1058"/>
      <c r="NW217" s="1058"/>
      <c r="NX217" s="1058"/>
      <c r="NY217" s="1058"/>
      <c r="NZ217" s="1058"/>
      <c r="OA217" s="1058"/>
      <c r="OB217" s="1058"/>
      <c r="OC217" s="1058"/>
      <c r="OD217" s="1018"/>
      <c r="OE217" s="1018"/>
      <c r="OF217" s="1018"/>
      <c r="OG217" s="1018"/>
      <c r="OH217" s="1018"/>
      <c r="OI217" s="1018"/>
      <c r="OJ217" s="1018"/>
      <c r="OK217" s="1018"/>
      <c r="OL217" s="1018"/>
      <c r="OM217" s="1018"/>
      <c r="ON217" s="1018"/>
      <c r="OO217" s="1018"/>
      <c r="OP217" s="1018"/>
      <c r="OQ217" s="1018"/>
      <c r="OR217" s="1018"/>
      <c r="OS217" s="1018"/>
      <c r="OT217" s="1018"/>
      <c r="OU217" s="1018"/>
      <c r="OV217" s="1018"/>
      <c r="OW217" s="1018"/>
      <c r="OX217" s="1018"/>
      <c r="OY217" s="1018"/>
      <c r="OZ217" s="1018"/>
      <c r="PA217" s="1018"/>
      <c r="PB217" s="1018"/>
      <c r="PC217" s="1018"/>
      <c r="PD217" s="1018"/>
      <c r="PE217" s="1018"/>
      <c r="PF217" s="1018"/>
      <c r="PG217" s="1018"/>
      <c r="PH217" s="1018"/>
      <c r="PI217" s="1018"/>
      <c r="PJ217" s="1018"/>
      <c r="PK217" s="1018"/>
      <c r="PL217" s="1018"/>
      <c r="PM217" s="1018"/>
      <c r="PN217" s="1018"/>
      <c r="PO217" s="1018"/>
      <c r="PP217" s="1018"/>
      <c r="PQ217" s="1018"/>
      <c r="PR217" s="1018"/>
      <c r="PS217" s="1018"/>
      <c r="PT217" s="1018"/>
      <c r="PU217" s="1018"/>
      <c r="PV217" s="1018"/>
      <c r="PW217" s="1018"/>
      <c r="PX217" s="1018"/>
      <c r="PY217" s="1018"/>
      <c r="PZ217" s="1018"/>
      <c r="QA217" s="1018"/>
      <c r="QB217" s="1018"/>
      <c r="QC217" s="1018"/>
      <c r="QD217" s="1018"/>
      <c r="QE217" s="1018"/>
      <c r="QF217" s="1018"/>
      <c r="QG217" s="1018"/>
      <c r="QH217" s="1018"/>
      <c r="QI217" s="1018"/>
      <c r="QJ217" s="1018"/>
      <c r="QK217" s="1018"/>
      <c r="QL217" s="1018"/>
      <c r="QM217" s="1018"/>
      <c r="QN217" s="1018"/>
      <c r="QO217" s="1018"/>
      <c r="QP217" s="1018"/>
      <c r="QQ217" s="1018"/>
      <c r="QR217" s="1018"/>
      <c r="QS217" s="1018"/>
      <c r="QT217" s="1018"/>
      <c r="QU217" s="1018"/>
      <c r="QV217" s="1018"/>
      <c r="QW217" s="1018"/>
      <c r="QX217" s="1018"/>
      <c r="QY217" s="1018"/>
      <c r="QZ217" s="1018"/>
      <c r="RA217" s="1018"/>
      <c r="RB217" s="1018"/>
      <c r="RC217" s="1018"/>
      <c r="RD217" s="1018"/>
      <c r="RE217" s="1018"/>
      <c r="RF217" s="1018"/>
      <c r="RG217" s="1018"/>
      <c r="RH217" s="1018"/>
      <c r="RI217" s="1018"/>
      <c r="RJ217" s="1018"/>
      <c r="RK217" s="1018"/>
      <c r="RL217" s="1018"/>
      <c r="RM217" s="1018"/>
      <c r="RN217" s="1018"/>
      <c r="RO217" s="1018"/>
      <c r="RP217" s="1018"/>
      <c r="RQ217" s="1018"/>
      <c r="RR217" s="1018"/>
      <c r="RS217" s="1018"/>
      <c r="RT217" s="1018"/>
      <c r="RU217" s="1018"/>
      <c r="RV217" s="1018"/>
      <c r="RW217" s="1018"/>
      <c r="RX217" s="1018"/>
    </row>
    <row r="218" spans="1:492" s="1057" customFormat="1" ht="15.6" customHeight="1" thickTop="1" thickBot="1">
      <c r="A218" s="1018"/>
      <c r="B218" s="1018" t="s">
        <v>1146</v>
      </c>
      <c r="C218" s="1018"/>
      <c r="D218" s="1018"/>
      <c r="E218" s="1018"/>
      <c r="F218" s="2323"/>
      <c r="G218" s="2324"/>
      <c r="H218" s="1018"/>
      <c r="I218" s="1018"/>
      <c r="J218" s="1288" t="s">
        <v>171</v>
      </c>
      <c r="K218" s="2334">
        <f>SUM(K216:L217)</f>
        <v>0</v>
      </c>
      <c r="L218" s="2335"/>
      <c r="M218" s="1018"/>
      <c r="N218" s="2325" t="s">
        <v>46</v>
      </c>
      <c r="O218" s="2326"/>
      <c r="P218" s="1289"/>
      <c r="Q218" s="1277"/>
      <c r="R218" s="2314"/>
      <c r="S218" s="2315"/>
      <c r="T218" s="2315"/>
      <c r="U218" s="2315"/>
      <c r="V218" s="2316"/>
      <c r="W218" s="1064"/>
      <c r="X218" s="1058"/>
      <c r="Y218" s="1058"/>
      <c r="Z218" s="1058"/>
      <c r="AA218" s="1058"/>
      <c r="AB218" s="1064"/>
      <c r="AC218" s="1058"/>
      <c r="AD218" s="1058"/>
      <c r="AE218" s="1058"/>
      <c r="AF218" s="1058"/>
      <c r="AG218" s="1064"/>
      <c r="AH218" s="1058"/>
      <c r="AI218" s="1058"/>
      <c r="AJ218" s="1058"/>
      <c r="AK218" s="1058"/>
      <c r="AL218" s="1064"/>
      <c r="AM218" s="1058"/>
      <c r="AN218" s="1058"/>
      <c r="AO218" s="1058"/>
      <c r="AP218" s="1058"/>
      <c r="AQ218" s="1058"/>
      <c r="AR218" s="1058"/>
      <c r="AS218" s="1058"/>
      <c r="AT218" s="1058"/>
      <c r="AU218" s="1058"/>
      <c r="AV218" s="1058"/>
      <c r="AW218" s="1058"/>
      <c r="AX218" s="1058"/>
      <c r="AY218" s="1058"/>
      <c r="AZ218" s="1058"/>
      <c r="BA218" s="1058"/>
      <c r="BB218" s="1058"/>
      <c r="BC218" s="1058"/>
      <c r="BD218" s="1058"/>
      <c r="BE218" s="1058"/>
      <c r="BF218" s="1058"/>
      <c r="BG218" s="1058"/>
      <c r="BH218" s="1058"/>
      <c r="BI218" s="1058"/>
      <c r="BJ218" s="1058"/>
      <c r="BK218" s="1058"/>
      <c r="BL218" s="1058"/>
      <c r="BM218" s="1058"/>
      <c r="BN218" s="1058"/>
      <c r="BO218" s="1058"/>
      <c r="BP218" s="1058"/>
      <c r="BQ218" s="1058"/>
      <c r="BR218" s="1058"/>
      <c r="BS218" s="1058"/>
      <c r="BT218" s="1058"/>
      <c r="BU218" s="1058"/>
      <c r="BV218" s="1058"/>
      <c r="BW218" s="1058"/>
      <c r="BX218" s="1058"/>
      <c r="BY218" s="1058"/>
      <c r="BZ218" s="1058"/>
      <c r="CA218" s="1058"/>
      <c r="CB218" s="1058"/>
      <c r="CC218" s="1058"/>
      <c r="CD218" s="1058"/>
      <c r="CE218" s="1058"/>
      <c r="CF218" s="1058"/>
      <c r="CG218" s="1058"/>
      <c r="CH218" s="1058"/>
      <c r="CI218" s="1058"/>
      <c r="CJ218" s="1058"/>
      <c r="CK218" s="1058"/>
      <c r="CL218" s="1058"/>
      <c r="CM218" s="1058"/>
      <c r="CN218" s="1058"/>
      <c r="CO218" s="1058"/>
      <c r="CP218" s="1058"/>
      <c r="CQ218" s="1058"/>
      <c r="CR218" s="1058"/>
      <c r="CS218" s="1058"/>
      <c r="CT218" s="1058"/>
      <c r="CU218" s="1058"/>
      <c r="CV218" s="1058"/>
      <c r="CW218" s="1058"/>
      <c r="CX218" s="1058"/>
      <c r="CY218" s="1058"/>
      <c r="CZ218" s="1058"/>
      <c r="DA218" s="1058"/>
      <c r="DB218" s="1058"/>
      <c r="DC218" s="1058"/>
      <c r="DD218" s="1058"/>
      <c r="DE218" s="1058"/>
      <c r="DF218" s="1058"/>
      <c r="DG218" s="1058"/>
      <c r="DH218" s="1058"/>
      <c r="DI218" s="1058"/>
      <c r="DJ218" s="1058"/>
      <c r="DK218" s="1058"/>
      <c r="DL218" s="1058"/>
      <c r="DM218" s="1058"/>
      <c r="DN218" s="1058"/>
      <c r="DO218" s="1058"/>
      <c r="DP218" s="1058"/>
      <c r="DQ218" s="1058"/>
      <c r="DR218" s="1058"/>
      <c r="DS218" s="1058"/>
      <c r="DT218" s="1058"/>
      <c r="DU218" s="1058"/>
      <c r="DV218" s="1058"/>
      <c r="DW218" s="1058"/>
      <c r="DX218" s="1058"/>
      <c r="DY218" s="1058"/>
      <c r="DZ218" s="1058"/>
      <c r="EA218" s="1058"/>
      <c r="EB218" s="1058"/>
      <c r="EC218" s="1058"/>
      <c r="ED218" s="1058"/>
      <c r="EE218" s="1058"/>
      <c r="EF218" s="1058"/>
      <c r="EG218" s="1058"/>
      <c r="EH218" s="1058"/>
      <c r="EI218" s="1058"/>
      <c r="EJ218" s="1058"/>
      <c r="EK218" s="1058"/>
      <c r="EL218" s="1058"/>
      <c r="EM218" s="1058"/>
      <c r="EN218" s="1058"/>
      <c r="EO218" s="1058"/>
      <c r="EP218" s="1058"/>
      <c r="EQ218" s="1058"/>
      <c r="ER218" s="1058"/>
      <c r="ES218" s="1058"/>
      <c r="ET218" s="1058"/>
      <c r="EU218" s="1058"/>
      <c r="EV218" s="1058"/>
      <c r="EW218" s="1058"/>
      <c r="EX218" s="1058"/>
      <c r="EY218" s="1058"/>
      <c r="EZ218" s="1058"/>
      <c r="FA218" s="1058"/>
      <c r="FB218" s="1058"/>
      <c r="FC218" s="1058"/>
      <c r="FD218" s="1058"/>
      <c r="FE218" s="1058"/>
      <c r="FF218" s="1058"/>
      <c r="FG218" s="1058"/>
      <c r="FH218" s="1058"/>
      <c r="FI218" s="1058"/>
      <c r="FJ218" s="1058"/>
      <c r="FK218" s="1058"/>
      <c r="FL218" s="1058"/>
      <c r="FM218" s="1058"/>
      <c r="FN218" s="1058"/>
      <c r="FO218" s="1058"/>
      <c r="FP218" s="1058"/>
      <c r="FQ218" s="1058"/>
      <c r="FR218" s="1058"/>
      <c r="FS218" s="1058"/>
      <c r="FT218" s="1058"/>
      <c r="FU218" s="1058"/>
      <c r="FV218" s="1058"/>
      <c r="FW218" s="1058"/>
      <c r="FX218" s="1058"/>
      <c r="FY218" s="1058"/>
      <c r="FZ218" s="1058"/>
      <c r="GA218" s="1058"/>
      <c r="GB218" s="1058"/>
      <c r="GC218" s="1058"/>
      <c r="GD218" s="1058"/>
      <c r="GE218" s="1058"/>
      <c r="GF218" s="1058"/>
      <c r="GG218" s="1058"/>
      <c r="GH218" s="1058"/>
      <c r="GI218" s="1058"/>
      <c r="GJ218" s="1058"/>
      <c r="GK218" s="1058"/>
      <c r="GL218" s="1058"/>
      <c r="GM218" s="1058"/>
      <c r="GN218" s="1058"/>
      <c r="GO218" s="1058"/>
      <c r="GP218" s="1058"/>
      <c r="GQ218" s="1058"/>
      <c r="GR218" s="1058"/>
      <c r="GS218" s="1058"/>
      <c r="GT218" s="1058"/>
      <c r="GU218" s="1058"/>
      <c r="GV218" s="1058"/>
      <c r="GW218" s="1058"/>
      <c r="GX218" s="1058"/>
      <c r="GY218" s="1058"/>
      <c r="GZ218" s="1058"/>
      <c r="HA218" s="1058"/>
      <c r="HB218" s="1058"/>
      <c r="HC218" s="1058"/>
      <c r="HD218" s="1058"/>
      <c r="HE218" s="1058"/>
      <c r="HF218" s="1058"/>
      <c r="HG218" s="1058"/>
      <c r="HH218" s="1058"/>
      <c r="HI218" s="1058"/>
      <c r="HJ218" s="1058"/>
      <c r="HK218" s="1058"/>
      <c r="HL218" s="1058"/>
      <c r="HM218" s="1058"/>
      <c r="HN218" s="1058"/>
      <c r="HO218" s="1058"/>
      <c r="HP218" s="1058"/>
      <c r="HQ218" s="1058"/>
      <c r="HR218" s="1058"/>
      <c r="HS218" s="1058"/>
      <c r="HT218" s="1058"/>
      <c r="HU218" s="1058"/>
      <c r="HV218" s="1058"/>
      <c r="HW218" s="1058"/>
      <c r="HX218" s="1058"/>
      <c r="HY218" s="1058"/>
      <c r="HZ218" s="1058"/>
      <c r="IA218" s="1058"/>
      <c r="IB218" s="1058"/>
      <c r="IC218" s="1058"/>
      <c r="ID218" s="1058"/>
      <c r="IE218" s="1058"/>
      <c r="IF218" s="1058"/>
      <c r="IG218" s="1058"/>
      <c r="IH218" s="1058"/>
      <c r="II218" s="1058"/>
      <c r="IJ218" s="1058"/>
      <c r="IK218" s="1058"/>
      <c r="IL218" s="1058"/>
      <c r="IM218" s="1058"/>
      <c r="IN218" s="1058"/>
      <c r="IO218" s="1058"/>
      <c r="IP218" s="1058"/>
      <c r="IQ218" s="1058"/>
      <c r="IR218" s="1058"/>
      <c r="IS218" s="1058"/>
      <c r="IT218" s="1058"/>
      <c r="IU218" s="1058"/>
      <c r="IV218" s="1058"/>
      <c r="IW218" s="1058"/>
      <c r="IX218" s="1058"/>
      <c r="IY218" s="1058"/>
      <c r="IZ218" s="1058"/>
      <c r="JA218" s="1058"/>
      <c r="JB218" s="1058"/>
      <c r="JC218" s="1058"/>
      <c r="JD218" s="1058"/>
      <c r="JE218" s="1058"/>
      <c r="JF218" s="1058"/>
      <c r="JG218" s="1058"/>
      <c r="JH218" s="1058"/>
      <c r="JI218" s="1058"/>
      <c r="JJ218" s="1058"/>
      <c r="JK218" s="1058"/>
      <c r="JL218" s="1058"/>
      <c r="JM218" s="1058"/>
      <c r="JN218" s="1058"/>
      <c r="JO218" s="1058"/>
      <c r="JP218" s="1058"/>
      <c r="JQ218" s="1058"/>
      <c r="JR218" s="1058"/>
      <c r="JS218" s="1058"/>
      <c r="JT218" s="1058"/>
      <c r="JU218" s="1058"/>
      <c r="JV218" s="1059"/>
      <c r="JW218" s="1058"/>
      <c r="JX218" s="1058"/>
      <c r="JY218" s="1058"/>
      <c r="JZ218" s="1058"/>
      <c r="KA218" s="1059"/>
      <c r="KB218" s="1059"/>
      <c r="KC218" s="1059"/>
      <c r="KD218" s="1059"/>
      <c r="KE218" s="1059"/>
      <c r="KF218" s="1059"/>
      <c r="KG218" s="1059"/>
      <c r="KH218" s="1059"/>
      <c r="KI218" s="1059"/>
      <c r="KJ218" s="1059"/>
      <c r="KK218" s="1059"/>
      <c r="KL218" s="1059"/>
      <c r="KM218" s="1059"/>
      <c r="KN218" s="1059"/>
      <c r="KO218" s="1059"/>
      <c r="KP218" s="1059"/>
      <c r="KQ218" s="1059"/>
      <c r="KR218" s="1059"/>
      <c r="KS218" s="1059"/>
      <c r="KT218" s="1059"/>
      <c r="KU218" s="1059"/>
      <c r="KV218" s="1059"/>
      <c r="KW218" s="1059"/>
      <c r="KX218" s="1059"/>
      <c r="KY218" s="1059"/>
      <c r="KZ218" s="1059"/>
      <c r="LA218" s="1059"/>
      <c r="LB218" s="1059"/>
      <c r="LC218" s="1059"/>
      <c r="LD218" s="1059"/>
      <c r="LE218" s="1059"/>
      <c r="LF218" s="1059"/>
      <c r="LG218" s="1058"/>
      <c r="LH218" s="1058"/>
      <c r="LI218" s="1058"/>
      <c r="LJ218" s="1058"/>
      <c r="LK218" s="1058"/>
      <c r="LL218" s="1058"/>
      <c r="LM218" s="1060"/>
      <c r="LN218" s="1058"/>
      <c r="LO218" s="1058"/>
      <c r="LP218" s="1058"/>
      <c r="LQ218" s="1058"/>
      <c r="LR218" s="1058"/>
      <c r="LS218" s="1058"/>
      <c r="LT218" s="1058"/>
      <c r="LU218" s="1058"/>
      <c r="LV218" s="1058"/>
      <c r="LW218" s="1058"/>
      <c r="LX218" s="1058"/>
      <c r="LY218" s="1058"/>
      <c r="LZ218" s="1058"/>
      <c r="MA218" s="1058"/>
      <c r="MB218" s="1058"/>
      <c r="MC218" s="1060"/>
      <c r="MD218" s="1060"/>
      <c r="ME218" s="1058"/>
      <c r="MF218" s="1058"/>
      <c r="MG218" s="1058"/>
      <c r="MH218" s="1058"/>
      <c r="MI218" s="1058"/>
      <c r="MJ218" s="1058"/>
      <c r="MK218" s="1058"/>
      <c r="ML218" s="1058"/>
      <c r="MM218" s="1058"/>
      <c r="MN218" s="1058"/>
      <c r="MO218" s="1058"/>
      <c r="MP218" s="1058"/>
      <c r="MQ218" s="1058"/>
      <c r="MR218" s="1058"/>
      <c r="MS218" s="1058"/>
      <c r="MT218" s="1058"/>
      <c r="MU218" s="1058"/>
      <c r="MV218" s="1058"/>
      <c r="MW218" s="1058"/>
      <c r="MX218" s="1058"/>
      <c r="MY218" s="1058"/>
      <c r="MZ218" s="1058"/>
      <c r="NA218" s="1058"/>
      <c r="NB218" s="1058"/>
      <c r="NC218" s="1058"/>
      <c r="ND218" s="1058"/>
      <c r="NE218" s="1058"/>
      <c r="NF218" s="1058"/>
      <c r="NG218" s="1058"/>
      <c r="NH218" s="1058"/>
      <c r="NI218" s="1058"/>
      <c r="NJ218" s="1058"/>
      <c r="NK218" s="1058"/>
      <c r="NL218" s="1058"/>
      <c r="NM218" s="1058"/>
      <c r="NN218" s="1058"/>
      <c r="NO218" s="1058"/>
      <c r="NP218" s="1058"/>
      <c r="NQ218" s="1058"/>
      <c r="NR218" s="1058"/>
      <c r="NS218" s="1058"/>
      <c r="NT218" s="1058"/>
      <c r="NU218" s="1058"/>
      <c r="NV218" s="1058"/>
      <c r="NW218" s="1058"/>
      <c r="NX218" s="1058"/>
      <c r="NY218" s="1058"/>
      <c r="NZ218" s="1058"/>
      <c r="OA218" s="1058"/>
      <c r="OB218" s="1058"/>
      <c r="OC218" s="1058"/>
      <c r="OD218" s="1018"/>
      <c r="OE218" s="1018"/>
      <c r="OF218" s="1018"/>
      <c r="OG218" s="1018"/>
      <c r="OH218" s="1018"/>
      <c r="OI218" s="1018"/>
      <c r="OJ218" s="1018"/>
      <c r="OK218" s="1018"/>
      <c r="OL218" s="1018"/>
      <c r="OM218" s="1018"/>
      <c r="ON218" s="1018"/>
      <c r="OO218" s="1018"/>
      <c r="OP218" s="1018"/>
      <c r="OQ218" s="1018"/>
      <c r="OR218" s="1018"/>
      <c r="OS218" s="1018"/>
      <c r="OT218" s="1018"/>
      <c r="OU218" s="1018"/>
      <c r="OV218" s="1018"/>
      <c r="OW218" s="1018"/>
      <c r="OX218" s="1018"/>
      <c r="OY218" s="1018"/>
      <c r="OZ218" s="1018"/>
      <c r="PA218" s="1018"/>
      <c r="PB218" s="1018"/>
      <c r="PC218" s="1018"/>
      <c r="PD218" s="1018"/>
      <c r="PE218" s="1018"/>
      <c r="PF218" s="1018"/>
      <c r="PG218" s="1018"/>
      <c r="PH218" s="1018"/>
      <c r="PI218" s="1018"/>
      <c r="PJ218" s="1018"/>
      <c r="PK218" s="1018"/>
      <c r="PL218" s="1018"/>
      <c r="PM218" s="1018"/>
      <c r="PN218" s="1018"/>
      <c r="PO218" s="1018"/>
      <c r="PP218" s="1018"/>
      <c r="PQ218" s="1018"/>
      <c r="PR218" s="1018"/>
      <c r="PS218" s="1018"/>
      <c r="PT218" s="1018"/>
      <c r="PU218" s="1018"/>
      <c r="PV218" s="1018"/>
      <c r="PW218" s="1018"/>
      <c r="PX218" s="1018"/>
      <c r="PY218" s="1018"/>
      <c r="PZ218" s="1018"/>
      <c r="QA218" s="1018"/>
      <c r="QB218" s="1018"/>
      <c r="QC218" s="1018"/>
      <c r="QD218" s="1018"/>
      <c r="QE218" s="1018"/>
      <c r="QF218" s="1018"/>
      <c r="QG218" s="1018"/>
      <c r="QH218" s="1018"/>
      <c r="QI218" s="1018"/>
      <c r="QJ218" s="1018"/>
      <c r="QK218" s="1018"/>
      <c r="QL218" s="1018"/>
      <c r="QM218" s="1018"/>
      <c r="QN218" s="1018"/>
      <c r="QO218" s="1018"/>
      <c r="QP218" s="1018"/>
      <c r="QQ218" s="1018"/>
      <c r="QR218" s="1018"/>
      <c r="QS218" s="1018"/>
      <c r="QT218" s="1018"/>
      <c r="QU218" s="1018"/>
      <c r="QV218" s="1018"/>
      <c r="QW218" s="1018"/>
      <c r="QX218" s="1018"/>
      <c r="QY218" s="1018"/>
      <c r="QZ218" s="1018"/>
      <c r="RA218" s="1018"/>
      <c r="RB218" s="1018"/>
      <c r="RC218" s="1018"/>
      <c r="RD218" s="1018"/>
      <c r="RE218" s="1018"/>
      <c r="RF218" s="1018"/>
      <c r="RG218" s="1018"/>
      <c r="RH218" s="1018"/>
      <c r="RI218" s="1018"/>
      <c r="RJ218" s="1018"/>
      <c r="RK218" s="1018"/>
      <c r="RL218" s="1018"/>
      <c r="RM218" s="1018"/>
      <c r="RN218" s="1018"/>
      <c r="RO218" s="1018"/>
      <c r="RP218" s="1018"/>
      <c r="RQ218" s="1018"/>
      <c r="RR218" s="1018"/>
      <c r="RS218" s="1018"/>
      <c r="RT218" s="1018"/>
      <c r="RU218" s="1018"/>
      <c r="RV218" s="1018"/>
      <c r="RW218" s="1018"/>
      <c r="RX218" s="1018"/>
    </row>
    <row r="219" spans="1:492" s="1057" customFormat="1" ht="15.6" customHeight="1" thickTop="1" thickBot="1">
      <c r="A219" s="1018"/>
      <c r="B219" s="2329" t="s">
        <v>46</v>
      </c>
      <c r="C219" s="2330"/>
      <c r="D219" s="2330"/>
      <c r="E219" s="2331"/>
      <c r="F219" s="2332"/>
      <c r="G219" s="2333"/>
      <c r="H219" s="1018"/>
      <c r="I219" s="1018"/>
      <c r="J219" s="1018"/>
      <c r="K219" s="1018"/>
      <c r="L219" s="1018"/>
      <c r="M219" s="1018"/>
      <c r="N219" s="1290" t="s">
        <v>171</v>
      </c>
      <c r="O219" s="1018"/>
      <c r="P219" s="1291">
        <f>SUM(P216:P218)</f>
        <v>0</v>
      </c>
      <c r="Q219" s="1292"/>
      <c r="R219" s="2314"/>
      <c r="S219" s="2315"/>
      <c r="T219" s="2315"/>
      <c r="U219" s="2315"/>
      <c r="V219" s="2316"/>
      <c r="W219" s="1064"/>
      <c r="X219" s="1058"/>
      <c r="Y219" s="1058"/>
      <c r="Z219" s="1058"/>
      <c r="AA219" s="1058"/>
      <c r="AB219" s="1064"/>
      <c r="AC219" s="1058"/>
      <c r="AD219" s="1058"/>
      <c r="AE219" s="1058"/>
      <c r="AF219" s="1058"/>
      <c r="AG219" s="1064"/>
      <c r="AH219" s="1058"/>
      <c r="AI219" s="1058"/>
      <c r="AJ219" s="1058"/>
      <c r="AK219" s="1058"/>
      <c r="AL219" s="1064"/>
      <c r="AM219" s="1058"/>
      <c r="AN219" s="1058"/>
      <c r="AO219" s="1058"/>
      <c r="AP219" s="1058"/>
      <c r="AQ219" s="1058"/>
      <c r="AR219" s="1058"/>
      <c r="AS219" s="1058"/>
      <c r="AT219" s="1058"/>
      <c r="AU219" s="1058"/>
      <c r="AV219" s="1058"/>
      <c r="AW219" s="1058"/>
      <c r="AX219" s="1058"/>
      <c r="AY219" s="1058"/>
      <c r="AZ219" s="1058"/>
      <c r="BA219" s="1058"/>
      <c r="BB219" s="1058"/>
      <c r="BC219" s="1058"/>
      <c r="BD219" s="1058"/>
      <c r="BE219" s="1058"/>
      <c r="BF219" s="1058"/>
      <c r="BG219" s="1058"/>
      <c r="BH219" s="1058"/>
      <c r="BI219" s="1058"/>
      <c r="BJ219" s="1058"/>
      <c r="BK219" s="1058"/>
      <c r="BL219" s="1058"/>
      <c r="BM219" s="1058"/>
      <c r="BN219" s="1058"/>
      <c r="BO219" s="1058"/>
      <c r="BP219" s="1058"/>
      <c r="BQ219" s="1058"/>
      <c r="BR219" s="1058"/>
      <c r="BS219" s="1058"/>
      <c r="BT219" s="1058"/>
      <c r="BU219" s="1058"/>
      <c r="BV219" s="1058"/>
      <c r="BW219" s="1058"/>
      <c r="BX219" s="1058"/>
      <c r="BY219" s="1058"/>
      <c r="BZ219" s="1058"/>
      <c r="CA219" s="1058"/>
      <c r="CB219" s="1058"/>
      <c r="CC219" s="1058"/>
      <c r="CD219" s="1058"/>
      <c r="CE219" s="1058"/>
      <c r="CF219" s="1058"/>
      <c r="CG219" s="1058"/>
      <c r="CH219" s="1058"/>
      <c r="CI219" s="1058"/>
      <c r="CJ219" s="1058"/>
      <c r="CK219" s="1058"/>
      <c r="CL219" s="1058"/>
      <c r="CM219" s="1058"/>
      <c r="CN219" s="1058"/>
      <c r="CO219" s="1058"/>
      <c r="CP219" s="1058"/>
      <c r="CQ219" s="1058"/>
      <c r="CR219" s="1058"/>
      <c r="CS219" s="1058"/>
      <c r="CT219" s="1058"/>
      <c r="CU219" s="1058"/>
      <c r="CV219" s="1058"/>
      <c r="CW219" s="1058"/>
      <c r="CX219" s="1058"/>
      <c r="CY219" s="1058"/>
      <c r="CZ219" s="1058"/>
      <c r="DA219" s="1058"/>
      <c r="DB219" s="1058"/>
      <c r="DC219" s="1058"/>
      <c r="DD219" s="1058"/>
      <c r="DE219" s="1058"/>
      <c r="DF219" s="1058"/>
      <c r="DG219" s="1058"/>
      <c r="DH219" s="1058"/>
      <c r="DI219" s="1058"/>
      <c r="DJ219" s="1058"/>
      <c r="DK219" s="1058"/>
      <c r="DL219" s="1058"/>
      <c r="DM219" s="1058"/>
      <c r="DN219" s="1058"/>
      <c r="DO219" s="1058"/>
      <c r="DP219" s="1058"/>
      <c r="DQ219" s="1058"/>
      <c r="DR219" s="1058"/>
      <c r="DS219" s="1058"/>
      <c r="DT219" s="1058"/>
      <c r="DU219" s="1058"/>
      <c r="DV219" s="1058"/>
      <c r="DW219" s="1058"/>
      <c r="DX219" s="1058"/>
      <c r="DY219" s="1058"/>
      <c r="DZ219" s="1058"/>
      <c r="EA219" s="1058"/>
      <c r="EB219" s="1058"/>
      <c r="EC219" s="1058"/>
      <c r="ED219" s="1058"/>
      <c r="EE219" s="1058"/>
      <c r="EF219" s="1058"/>
      <c r="EG219" s="1058"/>
      <c r="EH219" s="1058"/>
      <c r="EI219" s="1058"/>
      <c r="EJ219" s="1058"/>
      <c r="EK219" s="1058"/>
      <c r="EL219" s="1058"/>
      <c r="EM219" s="1058"/>
      <c r="EN219" s="1058"/>
      <c r="EO219" s="1058"/>
      <c r="EP219" s="1058"/>
      <c r="EQ219" s="1058"/>
      <c r="ER219" s="1058"/>
      <c r="ES219" s="1058"/>
      <c r="ET219" s="1058"/>
      <c r="EU219" s="1058"/>
      <c r="EV219" s="1058"/>
      <c r="EW219" s="1058"/>
      <c r="EX219" s="1058"/>
      <c r="EY219" s="1058"/>
      <c r="EZ219" s="1058"/>
      <c r="FA219" s="1058"/>
      <c r="FB219" s="1058"/>
      <c r="FC219" s="1058"/>
      <c r="FD219" s="1058"/>
      <c r="FE219" s="1058"/>
      <c r="FF219" s="1058"/>
      <c r="FG219" s="1058"/>
      <c r="FH219" s="1058"/>
      <c r="FI219" s="1058"/>
      <c r="FJ219" s="1058"/>
      <c r="FK219" s="1058"/>
      <c r="FL219" s="1058"/>
      <c r="FM219" s="1058"/>
      <c r="FN219" s="1058"/>
      <c r="FO219" s="1058"/>
      <c r="FP219" s="1058"/>
      <c r="FQ219" s="1058"/>
      <c r="FR219" s="1058"/>
      <c r="FS219" s="1058"/>
      <c r="FT219" s="1058"/>
      <c r="FU219" s="1058"/>
      <c r="FV219" s="1058"/>
      <c r="FW219" s="1058"/>
      <c r="FX219" s="1058"/>
      <c r="FY219" s="1058"/>
      <c r="FZ219" s="1058"/>
      <c r="GA219" s="1058"/>
      <c r="GB219" s="1058"/>
      <c r="GC219" s="1058"/>
      <c r="GD219" s="1058"/>
      <c r="GE219" s="1058"/>
      <c r="GF219" s="1058"/>
      <c r="GG219" s="1058"/>
      <c r="GH219" s="1058"/>
      <c r="GI219" s="1058"/>
      <c r="GJ219" s="1058"/>
      <c r="GK219" s="1058"/>
      <c r="GL219" s="1058"/>
      <c r="GM219" s="1058"/>
      <c r="GN219" s="1058"/>
      <c r="GO219" s="1058"/>
      <c r="GP219" s="1058"/>
      <c r="GQ219" s="1058"/>
      <c r="GR219" s="1058"/>
      <c r="GS219" s="1058"/>
      <c r="GT219" s="1058"/>
      <c r="GU219" s="1058"/>
      <c r="GV219" s="1058"/>
      <c r="GW219" s="1058"/>
      <c r="GX219" s="1058"/>
      <c r="GY219" s="1058"/>
      <c r="GZ219" s="1058"/>
      <c r="HA219" s="1058"/>
      <c r="HB219" s="1058"/>
      <c r="HC219" s="1058"/>
      <c r="HD219" s="1058"/>
      <c r="HE219" s="1058"/>
      <c r="HF219" s="1058"/>
      <c r="HG219" s="1058"/>
      <c r="HH219" s="1058"/>
      <c r="HI219" s="1058"/>
      <c r="HJ219" s="1058"/>
      <c r="HK219" s="1058"/>
      <c r="HL219" s="1058"/>
      <c r="HM219" s="1058"/>
      <c r="HN219" s="1058"/>
      <c r="HO219" s="1058"/>
      <c r="HP219" s="1058"/>
      <c r="HQ219" s="1058"/>
      <c r="HR219" s="1058"/>
      <c r="HS219" s="1058"/>
      <c r="HT219" s="1058"/>
      <c r="HU219" s="1058"/>
      <c r="HV219" s="1058"/>
      <c r="HW219" s="1058"/>
      <c r="HX219" s="1058"/>
      <c r="HY219" s="1058"/>
      <c r="HZ219" s="1058"/>
      <c r="IA219" s="1058"/>
      <c r="IB219" s="1058"/>
      <c r="IC219" s="1058"/>
      <c r="ID219" s="1058"/>
      <c r="IE219" s="1058"/>
      <c r="IF219" s="1058"/>
      <c r="IG219" s="1058"/>
      <c r="IH219" s="1058"/>
      <c r="II219" s="1058"/>
      <c r="IJ219" s="1058"/>
      <c r="IK219" s="1058"/>
      <c r="IL219" s="1058"/>
      <c r="IM219" s="1058"/>
      <c r="IN219" s="1058"/>
      <c r="IO219" s="1058"/>
      <c r="IP219" s="1058"/>
      <c r="IQ219" s="1058"/>
      <c r="IR219" s="1058"/>
      <c r="IS219" s="1058"/>
      <c r="IT219" s="1058"/>
      <c r="IU219" s="1058"/>
      <c r="IV219" s="1058"/>
      <c r="IW219" s="1058"/>
      <c r="IX219" s="1058"/>
      <c r="IY219" s="1058"/>
      <c r="IZ219" s="1058"/>
      <c r="JA219" s="1058"/>
      <c r="JB219" s="1058"/>
      <c r="JC219" s="1058"/>
      <c r="JD219" s="1058"/>
      <c r="JE219" s="1058"/>
      <c r="JF219" s="1058"/>
      <c r="JG219" s="1058"/>
      <c r="JH219" s="1058"/>
      <c r="JI219" s="1058"/>
      <c r="JJ219" s="1058"/>
      <c r="JK219" s="1058"/>
      <c r="JL219" s="1058"/>
      <c r="JM219" s="1058"/>
      <c r="JN219" s="1058"/>
      <c r="JO219" s="1058"/>
      <c r="JP219" s="1058"/>
      <c r="JQ219" s="1058"/>
      <c r="JR219" s="1058"/>
      <c r="JS219" s="1058"/>
      <c r="JT219" s="1058"/>
      <c r="JU219" s="1058"/>
      <c r="JV219" s="1059"/>
      <c r="JW219" s="1058"/>
      <c r="JX219" s="1058"/>
      <c r="JY219" s="1058"/>
      <c r="JZ219" s="1058"/>
      <c r="KA219" s="1059"/>
      <c r="KB219" s="1059"/>
      <c r="KC219" s="1059"/>
      <c r="KD219" s="1059"/>
      <c r="KE219" s="1059"/>
      <c r="KF219" s="1059"/>
      <c r="KG219" s="1059"/>
      <c r="KH219" s="1059"/>
      <c r="KI219" s="1059"/>
      <c r="KJ219" s="1059"/>
      <c r="KK219" s="1059"/>
      <c r="KL219" s="1059"/>
      <c r="KM219" s="1059"/>
      <c r="KN219" s="1059"/>
      <c r="KO219" s="1059"/>
      <c r="KP219" s="1059"/>
      <c r="KQ219" s="1059"/>
      <c r="KR219" s="1059"/>
      <c r="KS219" s="1059"/>
      <c r="KT219" s="1059"/>
      <c r="KU219" s="1059"/>
      <c r="KV219" s="1059"/>
      <c r="KW219" s="1059"/>
      <c r="KX219" s="1059"/>
      <c r="KY219" s="1059"/>
      <c r="KZ219" s="1059"/>
      <c r="LA219" s="1059"/>
      <c r="LB219" s="1059"/>
      <c r="LC219" s="1059"/>
      <c r="LD219" s="1059"/>
      <c r="LE219" s="1059"/>
      <c r="LF219" s="1059"/>
      <c r="LG219" s="1058"/>
      <c r="LH219" s="1058"/>
      <c r="LI219" s="1058"/>
      <c r="LJ219" s="1058"/>
      <c r="LK219" s="1058"/>
      <c r="LL219" s="1058"/>
      <c r="LM219" s="1060"/>
      <c r="LN219" s="1058"/>
      <c r="LO219" s="1058"/>
      <c r="LP219" s="1058"/>
      <c r="LQ219" s="1058"/>
      <c r="LR219" s="1058"/>
      <c r="LS219" s="1058"/>
      <c r="LT219" s="1058"/>
      <c r="LU219" s="1058"/>
      <c r="LV219" s="1058"/>
      <c r="LW219" s="1058"/>
      <c r="LX219" s="1058"/>
      <c r="LY219" s="1058"/>
      <c r="LZ219" s="1058"/>
      <c r="MA219" s="1058"/>
      <c r="MB219" s="1058"/>
      <c r="MC219" s="1060"/>
      <c r="MD219" s="1060"/>
      <c r="ME219" s="1058"/>
      <c r="MF219" s="1058"/>
      <c r="MG219" s="1058"/>
      <c r="MH219" s="1058"/>
      <c r="MI219" s="1058"/>
      <c r="MJ219" s="1058"/>
      <c r="MK219" s="1058"/>
      <c r="ML219" s="1058"/>
      <c r="MM219" s="1058"/>
      <c r="MN219" s="1058"/>
      <c r="MO219" s="1058"/>
      <c r="MP219" s="1058"/>
      <c r="MQ219" s="1058"/>
      <c r="MR219" s="1058"/>
      <c r="MS219" s="1058"/>
      <c r="MT219" s="1058"/>
      <c r="MU219" s="1058"/>
      <c r="MV219" s="1058"/>
      <c r="MW219" s="1058"/>
      <c r="MX219" s="1058"/>
      <c r="MY219" s="1058"/>
      <c r="MZ219" s="1058"/>
      <c r="NA219" s="1058"/>
      <c r="NB219" s="1058"/>
      <c r="NC219" s="1058"/>
      <c r="ND219" s="1058"/>
      <c r="NE219" s="1058"/>
      <c r="NF219" s="1058"/>
      <c r="NG219" s="1058"/>
      <c r="NH219" s="1058"/>
      <c r="NI219" s="1058"/>
      <c r="NJ219" s="1058"/>
      <c r="NK219" s="1058"/>
      <c r="NL219" s="1058"/>
      <c r="NM219" s="1058"/>
      <c r="NN219" s="1058"/>
      <c r="NO219" s="1058"/>
      <c r="NP219" s="1058"/>
      <c r="NQ219" s="1058"/>
      <c r="NR219" s="1058"/>
      <c r="NS219" s="1058"/>
      <c r="NT219" s="1058"/>
      <c r="NU219" s="1058"/>
      <c r="NV219" s="1058"/>
      <c r="NW219" s="1058"/>
      <c r="NX219" s="1058"/>
      <c r="NY219" s="1058"/>
      <c r="NZ219" s="1058"/>
      <c r="OA219" s="1058"/>
      <c r="OB219" s="1058"/>
      <c r="OC219" s="1058"/>
      <c r="OD219" s="1018"/>
      <c r="OE219" s="1018"/>
      <c r="OF219" s="1018"/>
      <c r="OG219" s="1018"/>
      <c r="OH219" s="1018"/>
      <c r="OI219" s="1018"/>
      <c r="OJ219" s="1018"/>
      <c r="OK219" s="1018"/>
      <c r="OL219" s="1018"/>
      <c r="OM219" s="1018"/>
      <c r="ON219" s="1018"/>
      <c r="OO219" s="1018"/>
      <c r="OP219" s="1018"/>
      <c r="OQ219" s="1018"/>
      <c r="OR219" s="1018"/>
      <c r="OS219" s="1018"/>
      <c r="OT219" s="1018"/>
      <c r="OU219" s="1018"/>
      <c r="OV219" s="1018"/>
      <c r="OW219" s="1018"/>
      <c r="OX219" s="1018"/>
      <c r="OY219" s="1018"/>
      <c r="OZ219" s="1018"/>
      <c r="PA219" s="1018"/>
      <c r="PB219" s="1018"/>
      <c r="PC219" s="1018"/>
      <c r="PD219" s="1018"/>
      <c r="PE219" s="1018"/>
      <c r="PF219" s="1018"/>
      <c r="PG219" s="1018"/>
      <c r="PH219" s="1018"/>
      <c r="PI219" s="1018"/>
      <c r="PJ219" s="1018"/>
      <c r="PK219" s="1018"/>
      <c r="PL219" s="1018"/>
      <c r="PM219" s="1018"/>
      <c r="PN219" s="1018"/>
      <c r="PO219" s="1018"/>
      <c r="PP219" s="1018"/>
      <c r="PQ219" s="1018"/>
      <c r="PR219" s="1018"/>
      <c r="PS219" s="1018"/>
      <c r="PT219" s="1018"/>
      <c r="PU219" s="1018"/>
      <c r="PV219" s="1018"/>
      <c r="PW219" s="1018"/>
      <c r="PX219" s="1018"/>
      <c r="PY219" s="1018"/>
      <c r="PZ219" s="1018"/>
      <c r="QA219" s="1018"/>
      <c r="QB219" s="1018"/>
      <c r="QC219" s="1018"/>
      <c r="QD219" s="1018"/>
      <c r="QE219" s="1018"/>
      <c r="QF219" s="1018"/>
      <c r="QG219" s="1018"/>
      <c r="QH219" s="1018"/>
      <c r="QI219" s="1018"/>
      <c r="QJ219" s="1018"/>
      <c r="QK219" s="1018"/>
      <c r="QL219" s="1018"/>
      <c r="QM219" s="1018"/>
      <c r="QN219" s="1018"/>
      <c r="QO219" s="1018"/>
      <c r="QP219" s="1018"/>
      <c r="QQ219" s="1018"/>
      <c r="QR219" s="1018"/>
      <c r="QS219" s="1018"/>
      <c r="QT219" s="1018"/>
      <c r="QU219" s="1018"/>
      <c r="QV219" s="1018"/>
      <c r="QW219" s="1018"/>
      <c r="QX219" s="1018"/>
      <c r="QY219" s="1018"/>
      <c r="QZ219" s="1018"/>
      <c r="RA219" s="1018"/>
      <c r="RB219" s="1018"/>
      <c r="RC219" s="1018"/>
      <c r="RD219" s="1018"/>
      <c r="RE219" s="1018"/>
      <c r="RF219" s="1018"/>
      <c r="RG219" s="1018"/>
      <c r="RH219" s="1018"/>
      <c r="RI219" s="1018"/>
      <c r="RJ219" s="1018"/>
      <c r="RK219" s="1018"/>
      <c r="RL219" s="1018"/>
      <c r="RM219" s="1018"/>
      <c r="RN219" s="1018"/>
      <c r="RO219" s="1018"/>
      <c r="RP219" s="1018"/>
      <c r="RQ219" s="1018"/>
      <c r="RR219" s="1018"/>
      <c r="RS219" s="1018"/>
      <c r="RT219" s="1018"/>
      <c r="RU219" s="1018"/>
      <c r="RV219" s="1018"/>
      <c r="RW219" s="1018"/>
      <c r="RX219" s="1018"/>
    </row>
    <row r="220" spans="1:492" s="1057" customFormat="1" ht="15.6" customHeight="1" thickTop="1">
      <c r="A220" s="1018"/>
      <c r="B220" s="1018"/>
      <c r="C220" s="1290" t="s">
        <v>171</v>
      </c>
      <c r="D220" s="1018"/>
      <c r="E220" s="1018"/>
      <c r="F220" s="2334">
        <f>SUM(F216:G219)</f>
        <v>0</v>
      </c>
      <c r="G220" s="2335"/>
      <c r="H220" s="1018"/>
      <c r="I220" s="1018"/>
      <c r="J220" s="1293"/>
      <c r="K220" s="1018"/>
      <c r="L220" s="1018"/>
      <c r="M220" s="1018"/>
      <c r="N220" s="1018"/>
      <c r="O220" s="1018"/>
      <c r="P220" s="1018"/>
      <c r="Q220" s="1018"/>
      <c r="R220" s="2314"/>
      <c r="S220" s="2315"/>
      <c r="T220" s="2315"/>
      <c r="U220" s="2315"/>
      <c r="V220" s="2316"/>
      <c r="W220" s="1064"/>
      <c r="X220" s="1058"/>
      <c r="Y220" s="1058"/>
      <c r="Z220" s="1058"/>
      <c r="AA220" s="1058"/>
      <c r="AB220" s="1064"/>
      <c r="AC220" s="1058"/>
      <c r="AD220" s="1058"/>
      <c r="AE220" s="1058"/>
      <c r="AF220" s="1058"/>
      <c r="AG220" s="1064"/>
      <c r="AH220" s="1058"/>
      <c r="AI220" s="1058"/>
      <c r="AJ220" s="1058"/>
      <c r="AK220" s="1058"/>
      <c r="AL220" s="1064"/>
      <c r="AM220" s="1058"/>
      <c r="AN220" s="1058"/>
      <c r="AO220" s="1058"/>
      <c r="AP220" s="1058"/>
      <c r="AQ220" s="1058"/>
      <c r="AR220" s="1058"/>
      <c r="AS220" s="1058"/>
      <c r="AT220" s="1058"/>
      <c r="AU220" s="1058"/>
      <c r="AV220" s="1058"/>
      <c r="AW220" s="1058"/>
      <c r="AX220" s="1058"/>
      <c r="AY220" s="1058"/>
      <c r="AZ220" s="1058"/>
      <c r="BA220" s="1058"/>
      <c r="BB220" s="1058"/>
      <c r="BC220" s="1058"/>
      <c r="BD220" s="1058"/>
      <c r="BE220" s="1058"/>
      <c r="BF220" s="1058"/>
      <c r="BG220" s="1058"/>
      <c r="BH220" s="1058"/>
      <c r="BI220" s="1058"/>
      <c r="BJ220" s="1058"/>
      <c r="BK220" s="1058"/>
      <c r="BL220" s="1058"/>
      <c r="BM220" s="1058"/>
      <c r="BN220" s="1058"/>
      <c r="BO220" s="1058"/>
      <c r="BP220" s="1058"/>
      <c r="BQ220" s="1058"/>
      <c r="BR220" s="1058"/>
      <c r="BS220" s="1058"/>
      <c r="BT220" s="1058"/>
      <c r="BU220" s="1058"/>
      <c r="BV220" s="1058"/>
      <c r="BW220" s="1058"/>
      <c r="BX220" s="1058"/>
      <c r="BY220" s="1058"/>
      <c r="BZ220" s="1058"/>
      <c r="CA220" s="1058"/>
      <c r="CB220" s="1058"/>
      <c r="CC220" s="1058"/>
      <c r="CD220" s="1058"/>
      <c r="CE220" s="1058"/>
      <c r="CF220" s="1058"/>
      <c r="CG220" s="1058"/>
      <c r="CH220" s="1058"/>
      <c r="CI220" s="1058"/>
      <c r="CJ220" s="1058"/>
      <c r="CK220" s="1058"/>
      <c r="CL220" s="1058"/>
      <c r="CM220" s="1058"/>
      <c r="CN220" s="1058"/>
      <c r="CO220" s="1058"/>
      <c r="CP220" s="1058"/>
      <c r="CQ220" s="1058"/>
      <c r="CR220" s="1058"/>
      <c r="CS220" s="1058"/>
      <c r="CT220" s="1058"/>
      <c r="CU220" s="1058"/>
      <c r="CV220" s="1058"/>
      <c r="CW220" s="1058"/>
      <c r="CX220" s="1058"/>
      <c r="CY220" s="1058"/>
      <c r="CZ220" s="1058"/>
      <c r="DA220" s="1058"/>
      <c r="DB220" s="1058"/>
      <c r="DC220" s="1058"/>
      <c r="DD220" s="1058"/>
      <c r="DE220" s="1058"/>
      <c r="DF220" s="1058"/>
      <c r="DG220" s="1058"/>
      <c r="DH220" s="1058"/>
      <c r="DI220" s="1058"/>
      <c r="DJ220" s="1058"/>
      <c r="DK220" s="1058"/>
      <c r="DL220" s="1058"/>
      <c r="DM220" s="1058"/>
      <c r="DN220" s="1058"/>
      <c r="DO220" s="1058"/>
      <c r="DP220" s="1058"/>
      <c r="DQ220" s="1058"/>
      <c r="DR220" s="1058"/>
      <c r="DS220" s="1058"/>
      <c r="DT220" s="1058"/>
      <c r="DU220" s="1058"/>
      <c r="DV220" s="1058"/>
      <c r="DW220" s="1058"/>
      <c r="DX220" s="1058"/>
      <c r="DY220" s="1058"/>
      <c r="DZ220" s="1058"/>
      <c r="EA220" s="1058"/>
      <c r="EB220" s="1058"/>
      <c r="EC220" s="1058"/>
      <c r="ED220" s="1058"/>
      <c r="EE220" s="1058"/>
      <c r="EF220" s="1058"/>
      <c r="EG220" s="1058"/>
      <c r="EH220" s="1058"/>
      <c r="EI220" s="1058"/>
      <c r="EJ220" s="1058"/>
      <c r="EK220" s="1058"/>
      <c r="EL220" s="1058"/>
      <c r="EM220" s="1058"/>
      <c r="EN220" s="1058"/>
      <c r="EO220" s="1058"/>
      <c r="EP220" s="1058"/>
      <c r="EQ220" s="1058"/>
      <c r="ER220" s="1058"/>
      <c r="ES220" s="1058"/>
      <c r="ET220" s="1058"/>
      <c r="EU220" s="1058"/>
      <c r="EV220" s="1058"/>
      <c r="EW220" s="1058"/>
      <c r="EX220" s="1058"/>
      <c r="EY220" s="1058"/>
      <c r="EZ220" s="1058"/>
      <c r="FA220" s="1058"/>
      <c r="FB220" s="1058"/>
      <c r="FC220" s="1058"/>
      <c r="FD220" s="1058"/>
      <c r="FE220" s="1058"/>
      <c r="FF220" s="1058"/>
      <c r="FG220" s="1058"/>
      <c r="FH220" s="1058"/>
      <c r="FI220" s="1058"/>
      <c r="FJ220" s="1058"/>
      <c r="FK220" s="1058"/>
      <c r="FL220" s="1058"/>
      <c r="FM220" s="1058"/>
      <c r="FN220" s="1058"/>
      <c r="FO220" s="1058"/>
      <c r="FP220" s="1058"/>
      <c r="FQ220" s="1058"/>
      <c r="FR220" s="1058"/>
      <c r="FS220" s="1058"/>
      <c r="FT220" s="1058"/>
      <c r="FU220" s="1058"/>
      <c r="FV220" s="1058"/>
      <c r="FW220" s="1058"/>
      <c r="FX220" s="1058"/>
      <c r="FY220" s="1058"/>
      <c r="FZ220" s="1058"/>
      <c r="GA220" s="1058"/>
      <c r="GB220" s="1058"/>
      <c r="GC220" s="1058"/>
      <c r="GD220" s="1058"/>
      <c r="GE220" s="1058"/>
      <c r="GF220" s="1058"/>
      <c r="GG220" s="1058"/>
      <c r="GH220" s="1058"/>
      <c r="GI220" s="1058"/>
      <c r="GJ220" s="1058"/>
      <c r="GK220" s="1058"/>
      <c r="GL220" s="1058"/>
      <c r="GM220" s="1058"/>
      <c r="GN220" s="1058"/>
      <c r="GO220" s="1058"/>
      <c r="GP220" s="1058"/>
      <c r="GQ220" s="1058"/>
      <c r="GR220" s="1058"/>
      <c r="GS220" s="1058"/>
      <c r="GT220" s="1058"/>
      <c r="GU220" s="1058"/>
      <c r="GV220" s="1058"/>
      <c r="GW220" s="1058"/>
      <c r="GX220" s="1058"/>
      <c r="GY220" s="1058"/>
      <c r="GZ220" s="1058"/>
      <c r="HA220" s="1058"/>
      <c r="HB220" s="1058"/>
      <c r="HC220" s="1058"/>
      <c r="HD220" s="1058"/>
      <c r="HE220" s="1058"/>
      <c r="HF220" s="1058"/>
      <c r="HG220" s="1058"/>
      <c r="HH220" s="1058"/>
      <c r="HI220" s="1058"/>
      <c r="HJ220" s="1058"/>
      <c r="HK220" s="1058"/>
      <c r="HL220" s="1058"/>
      <c r="HM220" s="1058"/>
      <c r="HN220" s="1058"/>
      <c r="HO220" s="1058"/>
      <c r="HP220" s="1058"/>
      <c r="HQ220" s="1058"/>
      <c r="HR220" s="1058"/>
      <c r="HS220" s="1058"/>
      <c r="HT220" s="1058"/>
      <c r="HU220" s="1058"/>
      <c r="HV220" s="1058"/>
      <c r="HW220" s="1058"/>
      <c r="HX220" s="1058"/>
      <c r="HY220" s="1058"/>
      <c r="HZ220" s="1058"/>
      <c r="IA220" s="1058"/>
      <c r="IB220" s="1058"/>
      <c r="IC220" s="1058"/>
      <c r="ID220" s="1058"/>
      <c r="IE220" s="1058"/>
      <c r="IF220" s="1058"/>
      <c r="IG220" s="1058"/>
      <c r="IH220" s="1058"/>
      <c r="II220" s="1058"/>
      <c r="IJ220" s="1058"/>
      <c r="IK220" s="1058"/>
      <c r="IL220" s="1058"/>
      <c r="IM220" s="1058"/>
      <c r="IN220" s="1058"/>
      <c r="IO220" s="1058"/>
      <c r="IP220" s="1058"/>
      <c r="IQ220" s="1058"/>
      <c r="IR220" s="1058"/>
      <c r="IS220" s="1058"/>
      <c r="IT220" s="1058"/>
      <c r="IU220" s="1058"/>
      <c r="IV220" s="1058"/>
      <c r="IW220" s="1058"/>
      <c r="IX220" s="1058"/>
      <c r="IY220" s="1058"/>
      <c r="IZ220" s="1058"/>
      <c r="JA220" s="1058"/>
      <c r="JB220" s="1058"/>
      <c r="JC220" s="1058"/>
      <c r="JD220" s="1058"/>
      <c r="JE220" s="1058"/>
      <c r="JF220" s="1058"/>
      <c r="JG220" s="1058"/>
      <c r="JH220" s="1058"/>
      <c r="JI220" s="1058"/>
      <c r="JJ220" s="1058"/>
      <c r="JK220" s="1058"/>
      <c r="JL220" s="1058"/>
      <c r="JM220" s="1058"/>
      <c r="JN220" s="1058"/>
      <c r="JO220" s="1058"/>
      <c r="JP220" s="1058"/>
      <c r="JQ220" s="1058"/>
      <c r="JR220" s="1058"/>
      <c r="JS220" s="1058"/>
      <c r="JT220" s="1058"/>
      <c r="JU220" s="1058"/>
      <c r="JV220" s="1059"/>
      <c r="JW220" s="1058"/>
      <c r="JX220" s="1058"/>
      <c r="JY220" s="1058"/>
      <c r="JZ220" s="1058"/>
      <c r="KA220" s="1059"/>
      <c r="KB220" s="1059"/>
      <c r="KC220" s="1059"/>
      <c r="KD220" s="1059"/>
      <c r="KE220" s="1059"/>
      <c r="KF220" s="1059"/>
      <c r="KG220" s="1059"/>
      <c r="KH220" s="1059"/>
      <c r="KI220" s="1059"/>
      <c r="KJ220" s="1059"/>
      <c r="KK220" s="1059"/>
      <c r="KL220" s="1059"/>
      <c r="KM220" s="1059"/>
      <c r="KN220" s="1059"/>
      <c r="KO220" s="1059"/>
      <c r="KP220" s="1059"/>
      <c r="KQ220" s="1059"/>
      <c r="KR220" s="1059"/>
      <c r="KS220" s="1059"/>
      <c r="KT220" s="1059"/>
      <c r="KU220" s="1059"/>
      <c r="KV220" s="1059"/>
      <c r="KW220" s="1059"/>
      <c r="KX220" s="1059"/>
      <c r="KY220" s="1059"/>
      <c r="KZ220" s="1059"/>
      <c r="LA220" s="1059"/>
      <c r="LB220" s="1059"/>
      <c r="LC220" s="1059"/>
      <c r="LD220" s="1059"/>
      <c r="LE220" s="1059"/>
      <c r="LF220" s="1059"/>
      <c r="LG220" s="1058"/>
      <c r="LH220" s="1058"/>
      <c r="LI220" s="1058"/>
      <c r="LJ220" s="1058"/>
      <c r="LK220" s="1058"/>
      <c r="LL220" s="1058"/>
      <c r="LM220" s="1060"/>
      <c r="LN220" s="1058"/>
      <c r="LO220" s="1058"/>
      <c r="LP220" s="1058"/>
      <c r="LQ220" s="1058"/>
      <c r="LR220" s="1058"/>
      <c r="LS220" s="1058"/>
      <c r="LT220" s="1058"/>
      <c r="LU220" s="1058"/>
      <c r="LV220" s="1058"/>
      <c r="LW220" s="1058"/>
      <c r="LX220" s="1058"/>
      <c r="LY220" s="1058"/>
      <c r="LZ220" s="1058"/>
      <c r="MA220" s="1058"/>
      <c r="MB220" s="1058"/>
      <c r="MC220" s="1060"/>
      <c r="MD220" s="1060"/>
      <c r="ME220" s="1058"/>
      <c r="MF220" s="1058"/>
      <c r="MG220" s="1058"/>
      <c r="MH220" s="1058"/>
      <c r="MI220" s="1058"/>
      <c r="MJ220" s="1058"/>
      <c r="MK220" s="1058"/>
      <c r="ML220" s="1058"/>
      <c r="MM220" s="1058"/>
      <c r="MN220" s="1058"/>
      <c r="MO220" s="1058"/>
      <c r="MP220" s="1058"/>
      <c r="MQ220" s="1058"/>
      <c r="MR220" s="1058"/>
      <c r="MS220" s="1058"/>
      <c r="MT220" s="1058"/>
      <c r="MU220" s="1058"/>
      <c r="MV220" s="1058"/>
      <c r="MW220" s="1058"/>
      <c r="MX220" s="1058"/>
      <c r="MY220" s="1058"/>
      <c r="MZ220" s="1058"/>
      <c r="NA220" s="1058"/>
      <c r="NB220" s="1058"/>
      <c r="NC220" s="1058"/>
      <c r="ND220" s="1058"/>
      <c r="NE220" s="1058"/>
      <c r="NF220" s="1058"/>
      <c r="NG220" s="1058"/>
      <c r="NH220" s="1058"/>
      <c r="NI220" s="1058"/>
      <c r="NJ220" s="1058"/>
      <c r="NK220" s="1058"/>
      <c r="NL220" s="1058"/>
      <c r="NM220" s="1058"/>
      <c r="NN220" s="1058"/>
      <c r="NO220" s="1058"/>
      <c r="NP220" s="1058"/>
      <c r="NQ220" s="1058"/>
      <c r="NR220" s="1058"/>
      <c r="NS220" s="1058"/>
      <c r="NT220" s="1058"/>
      <c r="NU220" s="1058"/>
      <c r="NV220" s="1058"/>
      <c r="NW220" s="1058"/>
      <c r="NX220" s="1058"/>
      <c r="NY220" s="1058"/>
      <c r="NZ220" s="1058"/>
      <c r="OA220" s="1058"/>
      <c r="OB220" s="1058"/>
      <c r="OC220" s="1058"/>
      <c r="OD220" s="1018"/>
      <c r="OE220" s="1018"/>
      <c r="OF220" s="1018"/>
      <c r="OG220" s="1018"/>
      <c r="OH220" s="1018"/>
      <c r="OI220" s="1018"/>
      <c r="OJ220" s="1018"/>
      <c r="OK220" s="1018"/>
      <c r="OL220" s="1018"/>
      <c r="OM220" s="1018"/>
      <c r="ON220" s="1018"/>
      <c r="OO220" s="1018"/>
      <c r="OP220" s="1018"/>
      <c r="OQ220" s="1018"/>
      <c r="OR220" s="1018"/>
      <c r="OS220" s="1018"/>
      <c r="OT220" s="1018"/>
      <c r="OU220" s="1018"/>
      <c r="OV220" s="1018"/>
      <c r="OW220" s="1018"/>
      <c r="OX220" s="1018"/>
      <c r="OY220" s="1018"/>
      <c r="OZ220" s="1018"/>
      <c r="PA220" s="1018"/>
      <c r="PB220" s="1018"/>
      <c r="PC220" s="1018"/>
      <c r="PD220" s="1018"/>
      <c r="PE220" s="1018"/>
      <c r="PF220" s="1018"/>
      <c r="PG220" s="1018"/>
      <c r="PH220" s="1018"/>
      <c r="PI220" s="1018"/>
      <c r="PJ220" s="1018"/>
      <c r="PK220" s="1018"/>
      <c r="PL220" s="1018"/>
      <c r="PM220" s="1018"/>
      <c r="PN220" s="1018"/>
      <c r="PO220" s="1018"/>
      <c r="PP220" s="1018"/>
      <c r="PQ220" s="1018"/>
      <c r="PR220" s="1018"/>
      <c r="PS220" s="1018"/>
      <c r="PT220" s="1018"/>
      <c r="PU220" s="1018"/>
      <c r="PV220" s="1018"/>
      <c r="PW220" s="1018"/>
      <c r="PX220" s="1018"/>
      <c r="PY220" s="1018"/>
      <c r="PZ220" s="1018"/>
      <c r="QA220" s="1018"/>
      <c r="QB220" s="1018"/>
      <c r="QC220" s="1018"/>
      <c r="QD220" s="1018"/>
      <c r="QE220" s="1018"/>
      <c r="QF220" s="1018"/>
      <c r="QG220" s="1018"/>
      <c r="QH220" s="1018"/>
      <c r="QI220" s="1018"/>
      <c r="QJ220" s="1018"/>
      <c r="QK220" s="1018"/>
      <c r="QL220" s="1018"/>
      <c r="QM220" s="1018"/>
      <c r="QN220" s="1018"/>
      <c r="QO220" s="1018"/>
      <c r="QP220" s="1018"/>
      <c r="QQ220" s="1018"/>
      <c r="QR220" s="1018"/>
      <c r="QS220" s="1018"/>
      <c r="QT220" s="1018"/>
      <c r="QU220" s="1018"/>
      <c r="QV220" s="1018"/>
      <c r="QW220" s="1018"/>
      <c r="QX220" s="1018"/>
      <c r="QY220" s="1018"/>
      <c r="QZ220" s="1018"/>
      <c r="RA220" s="1018"/>
      <c r="RB220" s="1018"/>
      <c r="RC220" s="1018"/>
      <c r="RD220" s="1018"/>
      <c r="RE220" s="1018"/>
      <c r="RF220" s="1018"/>
      <c r="RG220" s="1018"/>
      <c r="RH220" s="1018"/>
      <c r="RI220" s="1018"/>
      <c r="RJ220" s="1018"/>
      <c r="RK220" s="1018"/>
      <c r="RL220" s="1018"/>
      <c r="RM220" s="1018"/>
      <c r="RN220" s="1018"/>
      <c r="RO220" s="1018"/>
      <c r="RP220" s="1018"/>
      <c r="RQ220" s="1018"/>
      <c r="RR220" s="1018"/>
      <c r="RS220" s="1018"/>
      <c r="RT220" s="1018"/>
      <c r="RU220" s="1018"/>
      <c r="RV220" s="1018"/>
      <c r="RW220" s="1018"/>
      <c r="RX220" s="1018"/>
    </row>
    <row r="221" spans="1:492" s="1057" customFormat="1" ht="21" customHeight="1" thickBot="1">
      <c r="A221" s="1018"/>
      <c r="B221" s="1018"/>
      <c r="C221" s="1013"/>
      <c r="D221" s="1290"/>
      <c r="E221" s="1018"/>
      <c r="F221" s="1293"/>
      <c r="G221" s="1293"/>
      <c r="H221" s="1018"/>
      <c r="I221" s="1018"/>
      <c r="J221" s="1293"/>
      <c r="K221" s="1018"/>
      <c r="L221" s="1018"/>
      <c r="M221" s="1013"/>
      <c r="N221" s="1018"/>
      <c r="O221" s="1290"/>
      <c r="P221" s="1141"/>
      <c r="Q221" s="1141"/>
      <c r="R221" s="2314"/>
      <c r="S221" s="2315"/>
      <c r="T221" s="2315"/>
      <c r="U221" s="2315"/>
      <c r="V221" s="2316"/>
      <c r="W221" s="1058"/>
      <c r="X221" s="1058"/>
      <c r="Y221" s="1058"/>
      <c r="Z221" s="1058"/>
      <c r="AA221" s="1058"/>
      <c r="AB221" s="1058"/>
      <c r="AC221" s="1058"/>
      <c r="AD221" s="1058"/>
      <c r="AE221" s="1058"/>
      <c r="AF221" s="1058"/>
      <c r="AG221" s="1058"/>
      <c r="AH221" s="1058"/>
      <c r="AI221" s="1058"/>
      <c r="AJ221" s="1058"/>
      <c r="AK221" s="1058"/>
      <c r="AL221" s="1058"/>
      <c r="AM221" s="1058"/>
      <c r="AN221" s="1058"/>
      <c r="AO221" s="1058"/>
      <c r="AP221" s="1058"/>
      <c r="AQ221" s="1058"/>
      <c r="AR221" s="1058"/>
      <c r="AS221" s="1058"/>
      <c r="AT221" s="1058"/>
      <c r="AU221" s="1058"/>
      <c r="AV221" s="1058"/>
      <c r="AW221" s="1058"/>
      <c r="AX221" s="1058"/>
      <c r="AY221" s="1058"/>
      <c r="AZ221" s="1058"/>
      <c r="BA221" s="1058"/>
      <c r="BB221" s="1058"/>
      <c r="BC221" s="1058"/>
      <c r="BD221" s="1058"/>
      <c r="BE221" s="1058"/>
      <c r="BF221" s="1058"/>
      <c r="BG221" s="1058"/>
      <c r="BH221" s="1058"/>
      <c r="BI221" s="1058"/>
      <c r="BJ221" s="1058"/>
      <c r="BK221" s="1058"/>
      <c r="BL221" s="1058"/>
      <c r="BM221" s="1058"/>
      <c r="BN221" s="1058"/>
      <c r="BO221" s="1058"/>
      <c r="BP221" s="1058"/>
      <c r="BQ221" s="1058"/>
      <c r="BR221" s="1058"/>
      <c r="BS221" s="1058"/>
      <c r="BT221" s="1058"/>
      <c r="BU221" s="1058"/>
      <c r="BV221" s="1058"/>
      <c r="BW221" s="1058"/>
      <c r="BX221" s="1058"/>
      <c r="BY221" s="1058"/>
      <c r="BZ221" s="1058"/>
      <c r="CA221" s="1058"/>
      <c r="CB221" s="1058"/>
      <c r="CC221" s="1058"/>
      <c r="CD221" s="1058"/>
      <c r="CE221" s="1058"/>
      <c r="CF221" s="1058"/>
      <c r="CG221" s="1058"/>
      <c r="CH221" s="1058"/>
      <c r="CI221" s="1058"/>
      <c r="CJ221" s="1058"/>
      <c r="CK221" s="1058"/>
      <c r="CL221" s="1058"/>
      <c r="CM221" s="1058"/>
      <c r="CN221" s="1058"/>
      <c r="CO221" s="1058"/>
      <c r="CP221" s="1058"/>
      <c r="CQ221" s="1058"/>
      <c r="CR221" s="1058"/>
      <c r="CS221" s="1058"/>
      <c r="CT221" s="1058"/>
      <c r="CU221" s="1058"/>
      <c r="CV221" s="1058"/>
      <c r="CW221" s="1058"/>
      <c r="CX221" s="1058"/>
      <c r="CY221" s="1058"/>
      <c r="CZ221" s="1058"/>
      <c r="DA221" s="1058"/>
      <c r="DB221" s="1058"/>
      <c r="DC221" s="1058"/>
      <c r="DD221" s="1058"/>
      <c r="DE221" s="1058"/>
      <c r="DF221" s="1058"/>
      <c r="DG221" s="1058"/>
      <c r="DH221" s="1058"/>
      <c r="DI221" s="1058"/>
      <c r="DJ221" s="1058"/>
      <c r="DK221" s="1058"/>
      <c r="DL221" s="1058"/>
      <c r="DM221" s="1058"/>
      <c r="DN221" s="1058"/>
      <c r="DO221" s="1058"/>
      <c r="DP221" s="1058"/>
      <c r="DQ221" s="1058"/>
      <c r="DR221" s="1058"/>
      <c r="DS221" s="1058"/>
      <c r="DT221" s="1058"/>
      <c r="DU221" s="1058"/>
      <c r="DV221" s="1058"/>
      <c r="DW221" s="1058"/>
      <c r="DX221" s="1058"/>
      <c r="DY221" s="1058"/>
      <c r="DZ221" s="1058"/>
      <c r="EA221" s="1058"/>
      <c r="EB221" s="1058"/>
      <c r="EC221" s="1058"/>
      <c r="ED221" s="1058"/>
      <c r="EE221" s="1058"/>
      <c r="EF221" s="1058"/>
      <c r="EG221" s="1058"/>
      <c r="EH221" s="1058"/>
      <c r="EI221" s="1058"/>
      <c r="EJ221" s="1058"/>
      <c r="EK221" s="1058"/>
      <c r="EL221" s="1058"/>
      <c r="EM221" s="1058"/>
      <c r="EN221" s="1058"/>
      <c r="EO221" s="1058"/>
      <c r="EP221" s="1058"/>
      <c r="EQ221" s="1058"/>
      <c r="ER221" s="1058"/>
      <c r="ES221" s="1058"/>
      <c r="ET221" s="1058"/>
      <c r="EU221" s="1058"/>
      <c r="EV221" s="1058"/>
      <c r="EW221" s="1058"/>
      <c r="EX221" s="1058"/>
      <c r="EY221" s="1058"/>
      <c r="EZ221" s="1058"/>
      <c r="FA221" s="1058"/>
      <c r="FB221" s="1058"/>
      <c r="FC221" s="1058"/>
      <c r="FD221" s="1058"/>
      <c r="FE221" s="1058"/>
      <c r="FF221" s="1058"/>
      <c r="FG221" s="1058"/>
      <c r="FH221" s="1058"/>
      <c r="FI221" s="1058"/>
      <c r="FJ221" s="1058"/>
      <c r="FK221" s="1058"/>
      <c r="FL221" s="1058"/>
      <c r="FM221" s="1058"/>
      <c r="FN221" s="1058"/>
      <c r="FO221" s="1058"/>
      <c r="FP221" s="1058"/>
      <c r="FQ221" s="1058"/>
      <c r="FR221" s="1058"/>
      <c r="FS221" s="1058"/>
      <c r="FT221" s="1058"/>
      <c r="FU221" s="1058"/>
      <c r="FV221" s="1058"/>
      <c r="FW221" s="1058"/>
      <c r="FX221" s="1058"/>
      <c r="FY221" s="1058"/>
      <c r="FZ221" s="1058"/>
      <c r="GA221" s="1058"/>
      <c r="GB221" s="1058"/>
      <c r="GC221" s="1058"/>
      <c r="GD221" s="1058"/>
      <c r="GE221" s="1058"/>
      <c r="GF221" s="1058"/>
      <c r="GG221" s="1058"/>
      <c r="GH221" s="1058"/>
      <c r="GI221" s="1058"/>
      <c r="GJ221" s="1058"/>
      <c r="GK221" s="1058"/>
      <c r="GL221" s="1058"/>
      <c r="GM221" s="1058"/>
      <c r="GN221" s="1058"/>
      <c r="GO221" s="1058"/>
      <c r="GP221" s="1058"/>
      <c r="GQ221" s="1058"/>
      <c r="GR221" s="1058"/>
      <c r="GS221" s="1058"/>
      <c r="GT221" s="1058"/>
      <c r="GU221" s="1058"/>
      <c r="GV221" s="1058"/>
      <c r="GW221" s="1058"/>
      <c r="GX221" s="1058"/>
      <c r="GY221" s="1058"/>
      <c r="GZ221" s="1058"/>
      <c r="HA221" s="1058"/>
      <c r="HB221" s="1058"/>
      <c r="HC221" s="1058"/>
      <c r="HD221" s="1058"/>
      <c r="HE221" s="1058"/>
      <c r="HF221" s="1058"/>
      <c r="HG221" s="1058"/>
      <c r="HH221" s="1058"/>
      <c r="HI221" s="1058"/>
      <c r="HJ221" s="1058"/>
      <c r="HK221" s="1058"/>
      <c r="HL221" s="1058"/>
      <c r="HM221" s="1058"/>
      <c r="HN221" s="1058"/>
      <c r="HO221" s="1058"/>
      <c r="HP221" s="1058"/>
      <c r="HQ221" s="1058"/>
      <c r="HR221" s="1058"/>
      <c r="HS221" s="1058"/>
      <c r="HT221" s="1058"/>
      <c r="HU221" s="1058"/>
      <c r="HV221" s="1058"/>
      <c r="HW221" s="1058"/>
      <c r="HX221" s="1058"/>
      <c r="HY221" s="1058"/>
      <c r="HZ221" s="1058"/>
      <c r="IA221" s="1058"/>
      <c r="IB221" s="1058"/>
      <c r="IC221" s="1058"/>
      <c r="ID221" s="1058"/>
      <c r="IE221" s="1058"/>
      <c r="IF221" s="1058"/>
      <c r="IG221" s="1058"/>
      <c r="IH221" s="1058"/>
      <c r="II221" s="1058"/>
      <c r="IJ221" s="1058"/>
      <c r="IK221" s="1058"/>
      <c r="IL221" s="1058"/>
      <c r="IM221" s="1058"/>
      <c r="IN221" s="1058"/>
      <c r="IO221" s="1058"/>
      <c r="IP221" s="1058"/>
      <c r="IQ221" s="1058"/>
      <c r="IR221" s="1058"/>
      <c r="IS221" s="1058"/>
      <c r="IT221" s="1058"/>
      <c r="IU221" s="1058"/>
      <c r="IV221" s="1058"/>
      <c r="IW221" s="1058"/>
      <c r="IX221" s="1058"/>
      <c r="IY221" s="1058"/>
      <c r="IZ221" s="1058"/>
      <c r="JA221" s="1058"/>
      <c r="JB221" s="1058"/>
      <c r="JC221" s="1058"/>
      <c r="JD221" s="1058"/>
      <c r="JE221" s="1058"/>
      <c r="JF221" s="1058"/>
      <c r="JG221" s="1058"/>
      <c r="JH221" s="1058"/>
      <c r="JI221" s="1058"/>
      <c r="JJ221" s="1058"/>
      <c r="JK221" s="1058"/>
      <c r="JL221" s="1058"/>
      <c r="JM221" s="1058"/>
      <c r="JN221" s="1058"/>
      <c r="JO221" s="1058"/>
      <c r="JP221" s="1058"/>
      <c r="JQ221" s="1058"/>
      <c r="JR221" s="1058"/>
      <c r="JS221" s="1058"/>
      <c r="JT221" s="1058"/>
      <c r="JU221" s="1058"/>
      <c r="JV221" s="1059"/>
      <c r="JW221" s="1058"/>
      <c r="JX221" s="1058"/>
      <c r="JY221" s="1058"/>
      <c r="JZ221" s="1058"/>
      <c r="KA221" s="1059"/>
      <c r="KB221" s="1059"/>
      <c r="KC221" s="1059"/>
      <c r="KD221" s="1059"/>
      <c r="KE221" s="1059"/>
      <c r="KF221" s="1059"/>
      <c r="KG221" s="1059"/>
      <c r="KH221" s="1059"/>
      <c r="KI221" s="1059"/>
      <c r="KJ221" s="1059"/>
      <c r="KK221" s="1059"/>
      <c r="KL221" s="1059"/>
      <c r="KM221" s="1059"/>
      <c r="KN221" s="1059"/>
      <c r="KO221" s="1059"/>
      <c r="KP221" s="1059"/>
      <c r="KQ221" s="1059"/>
      <c r="KR221" s="1059"/>
      <c r="KS221" s="1059"/>
      <c r="KT221" s="1059"/>
      <c r="KU221" s="1059"/>
      <c r="KV221" s="1059"/>
      <c r="KW221" s="1059"/>
      <c r="KX221" s="1059"/>
      <c r="KY221" s="1059"/>
      <c r="KZ221" s="1059"/>
      <c r="LA221" s="1059"/>
      <c r="LB221" s="1059"/>
      <c r="LC221" s="1059"/>
      <c r="LD221" s="1059"/>
      <c r="LE221" s="1059"/>
      <c r="LF221" s="1059"/>
      <c r="LG221" s="1058"/>
      <c r="LH221" s="1058"/>
      <c r="LI221" s="1058"/>
      <c r="LJ221" s="1058"/>
      <c r="LK221" s="1058"/>
      <c r="LL221" s="1058"/>
      <c r="LM221" s="1060"/>
      <c r="LN221" s="1058"/>
      <c r="LO221" s="1058"/>
      <c r="LP221" s="1058"/>
      <c r="LQ221" s="1058"/>
      <c r="LR221" s="1058"/>
      <c r="LS221" s="1058"/>
      <c r="LT221" s="1058"/>
      <c r="LU221" s="1058"/>
      <c r="LV221" s="1058"/>
      <c r="LW221" s="1058"/>
      <c r="LX221" s="1058"/>
      <c r="LY221" s="1058"/>
      <c r="LZ221" s="1058"/>
      <c r="MA221" s="1058"/>
      <c r="MB221" s="1058"/>
      <c r="MC221" s="1060"/>
      <c r="MD221" s="1060"/>
      <c r="ME221" s="1058"/>
      <c r="MF221" s="1058"/>
      <c r="MG221" s="1058"/>
      <c r="MH221" s="1058"/>
      <c r="MI221" s="1058"/>
      <c r="MJ221" s="1058"/>
      <c r="MK221" s="1058"/>
      <c r="ML221" s="1058"/>
      <c r="MM221" s="1058"/>
      <c r="MN221" s="1058"/>
      <c r="MO221" s="1058"/>
      <c r="MP221" s="1058"/>
      <c r="MQ221" s="1058"/>
      <c r="MR221" s="1058"/>
      <c r="MS221" s="1058"/>
      <c r="MT221" s="1058"/>
      <c r="MU221" s="1058"/>
      <c r="MV221" s="1058"/>
      <c r="MW221" s="1058"/>
      <c r="MX221" s="1058"/>
      <c r="MY221" s="1058"/>
      <c r="MZ221" s="1058"/>
      <c r="NA221" s="1058"/>
      <c r="NB221" s="1058"/>
      <c r="NC221" s="1058"/>
      <c r="ND221" s="1058"/>
      <c r="NE221" s="1058"/>
      <c r="NF221" s="1058"/>
      <c r="NG221" s="1058"/>
      <c r="NH221" s="1058"/>
      <c r="NI221" s="1058"/>
      <c r="NJ221" s="1058"/>
      <c r="NK221" s="1058"/>
      <c r="NL221" s="1058"/>
      <c r="NM221" s="1058"/>
      <c r="NN221" s="1058"/>
      <c r="NO221" s="1058"/>
      <c r="NP221" s="1058"/>
      <c r="NQ221" s="1058"/>
      <c r="NR221" s="1058"/>
      <c r="NS221" s="1058"/>
      <c r="NT221" s="1058"/>
      <c r="NU221" s="1058"/>
      <c r="NV221" s="1058"/>
      <c r="NW221" s="1058"/>
      <c r="NX221" s="1058"/>
      <c r="NY221" s="1058"/>
      <c r="NZ221" s="1058"/>
      <c r="OA221" s="1058"/>
      <c r="OB221" s="1058"/>
      <c r="OC221" s="1058"/>
      <c r="OD221" s="1018"/>
      <c r="OE221" s="1018"/>
      <c r="OF221" s="1018"/>
      <c r="OG221" s="1018"/>
      <c r="OH221" s="1018"/>
      <c r="OI221" s="1018"/>
      <c r="OJ221" s="1018"/>
      <c r="OK221" s="1018"/>
      <c r="OL221" s="1018"/>
      <c r="OM221" s="1018"/>
      <c r="ON221" s="1018"/>
      <c r="OO221" s="1018"/>
      <c r="OP221" s="1018"/>
      <c r="OQ221" s="1018"/>
      <c r="OR221" s="1018"/>
      <c r="OS221" s="1018"/>
      <c r="OT221" s="1018"/>
      <c r="OU221" s="1018"/>
      <c r="OV221" s="1018"/>
      <c r="OW221" s="1018"/>
      <c r="OX221" s="1018"/>
      <c r="OY221" s="1018"/>
      <c r="OZ221" s="1018"/>
      <c r="PA221" s="1018"/>
      <c r="PB221" s="1018"/>
      <c r="PC221" s="1018"/>
      <c r="PD221" s="1018"/>
      <c r="PE221" s="1018"/>
      <c r="PF221" s="1018"/>
      <c r="PG221" s="1018"/>
      <c r="PH221" s="1018"/>
      <c r="PI221" s="1018"/>
      <c r="PJ221" s="1018"/>
      <c r="PK221" s="1018"/>
      <c r="PL221" s="1018"/>
      <c r="PM221" s="1018"/>
      <c r="PN221" s="1018"/>
      <c r="PO221" s="1018"/>
      <c r="PP221" s="1018"/>
      <c r="PQ221" s="1018"/>
      <c r="PR221" s="1018"/>
      <c r="PS221" s="1018"/>
      <c r="PT221" s="1018"/>
      <c r="PU221" s="1018"/>
      <c r="PV221" s="1018"/>
      <c r="PW221" s="1018"/>
      <c r="PX221" s="1018"/>
      <c r="PY221" s="1018"/>
      <c r="PZ221" s="1018"/>
      <c r="QA221" s="1018"/>
      <c r="QB221" s="1018"/>
      <c r="QC221" s="1018"/>
      <c r="QD221" s="1018"/>
      <c r="QE221" s="1018"/>
      <c r="QF221" s="1018"/>
      <c r="QG221" s="1018"/>
      <c r="QH221" s="1018"/>
      <c r="QI221" s="1018"/>
      <c r="QJ221" s="1018"/>
      <c r="QK221" s="1018"/>
      <c r="QL221" s="1018"/>
      <c r="QM221" s="1018"/>
      <c r="QN221" s="1018"/>
      <c r="QO221" s="1018"/>
      <c r="QP221" s="1018"/>
      <c r="QQ221" s="1018"/>
      <c r="QR221" s="1018"/>
      <c r="QS221" s="1018"/>
      <c r="QT221" s="1018"/>
      <c r="QU221" s="1018"/>
      <c r="QV221" s="1018"/>
      <c r="QW221" s="1018"/>
      <c r="QX221" s="1018"/>
      <c r="QY221" s="1018"/>
      <c r="QZ221" s="1018"/>
      <c r="RA221" s="1018"/>
      <c r="RB221" s="1018"/>
      <c r="RC221" s="1018"/>
      <c r="RD221" s="1018"/>
      <c r="RE221" s="1018"/>
      <c r="RF221" s="1018"/>
      <c r="RG221" s="1018"/>
      <c r="RH221" s="1018"/>
      <c r="RI221" s="1018"/>
      <c r="RJ221" s="1018"/>
      <c r="RK221" s="1018"/>
      <c r="RL221" s="1018"/>
      <c r="RM221" s="1018"/>
      <c r="RN221" s="1018"/>
      <c r="RO221" s="1018"/>
      <c r="RP221" s="1018"/>
      <c r="RQ221" s="1018"/>
      <c r="RR221" s="1018"/>
      <c r="RS221" s="1018"/>
      <c r="RT221" s="1018"/>
      <c r="RU221" s="1018"/>
      <c r="RV221" s="1018"/>
      <c r="RW221" s="1018"/>
      <c r="RX221" s="1018"/>
    </row>
    <row r="222" spans="1:492" s="1057" customFormat="1" ht="13.35" customHeight="1" thickBot="1">
      <c r="A222" s="1018"/>
      <c r="B222" s="1013" t="s">
        <v>1193</v>
      </c>
      <c r="C222" s="1018"/>
      <c r="D222" s="1294"/>
      <c r="E222" s="1018"/>
      <c r="F222" s="1018"/>
      <c r="G222" s="1018"/>
      <c r="H222" s="1018"/>
      <c r="I222" s="1013" t="s">
        <v>1194</v>
      </c>
      <c r="J222" s="1018"/>
      <c r="K222" s="1018"/>
      <c r="L222" s="1018"/>
      <c r="M222" s="1018"/>
      <c r="N222" s="1013" t="s">
        <v>1279</v>
      </c>
      <c r="O222" s="1018"/>
      <c r="P222" s="1295">
        <f>IF(OR('Part VII-Pro Forma'!$B$21 = "Choose Mgt Fee",'Part VII-Pro Forma'!$B$21 = "Choose One!"), 0,- 'Part VII-Pro Forma'!$B$21)</f>
        <v>0</v>
      </c>
      <c r="Q222" s="1296"/>
      <c r="R222" s="2314"/>
      <c r="S222" s="2315"/>
      <c r="T222" s="2315"/>
      <c r="U222" s="2315"/>
      <c r="V222" s="2316"/>
      <c r="W222" s="1064"/>
      <c r="X222" s="1058"/>
      <c r="Y222" s="1058"/>
      <c r="Z222" s="1058"/>
      <c r="AA222" s="1058"/>
      <c r="AB222" s="1064"/>
      <c r="AC222" s="1058"/>
      <c r="AD222" s="1058"/>
      <c r="AE222" s="1058"/>
      <c r="AF222" s="1058"/>
      <c r="AG222" s="1064"/>
      <c r="AH222" s="1058"/>
      <c r="AI222" s="1058"/>
      <c r="AJ222" s="1058"/>
      <c r="AK222" s="1058"/>
      <c r="AL222" s="1064"/>
      <c r="AM222" s="1058"/>
      <c r="AN222" s="1058"/>
      <c r="AO222" s="1058"/>
      <c r="AP222" s="1058"/>
      <c r="AQ222" s="1058"/>
      <c r="AR222" s="1058"/>
      <c r="AS222" s="1058"/>
      <c r="AT222" s="1058"/>
      <c r="AU222" s="1058"/>
      <c r="AV222" s="1058"/>
      <c r="AW222" s="1058"/>
      <c r="AX222" s="1058"/>
      <c r="AY222" s="1058"/>
      <c r="AZ222" s="1058"/>
      <c r="BA222" s="1058"/>
      <c r="BB222" s="1058"/>
      <c r="BC222" s="1058"/>
      <c r="BD222" s="1058"/>
      <c r="BE222" s="1058"/>
      <c r="BF222" s="1058"/>
      <c r="BG222" s="1058"/>
      <c r="BH222" s="1058"/>
      <c r="BI222" s="1058"/>
      <c r="BJ222" s="1058"/>
      <c r="BK222" s="1058"/>
      <c r="BL222" s="1058"/>
      <c r="BM222" s="1058"/>
      <c r="BN222" s="1058"/>
      <c r="BO222" s="1058"/>
      <c r="BP222" s="1058"/>
      <c r="BQ222" s="1058"/>
      <c r="BR222" s="1058"/>
      <c r="BS222" s="1058"/>
      <c r="BT222" s="1058"/>
      <c r="BU222" s="1058"/>
      <c r="BV222" s="1058"/>
      <c r="BW222" s="1058"/>
      <c r="BX222" s="1058"/>
      <c r="BY222" s="1058"/>
      <c r="BZ222" s="1058"/>
      <c r="CA222" s="1058"/>
      <c r="CB222" s="1058"/>
      <c r="CC222" s="1058"/>
      <c r="CD222" s="1058"/>
      <c r="CE222" s="1058"/>
      <c r="CF222" s="1058"/>
      <c r="CG222" s="1058"/>
      <c r="CH222" s="1058"/>
      <c r="CI222" s="1058"/>
      <c r="CJ222" s="1058"/>
      <c r="CK222" s="1058"/>
      <c r="CL222" s="1058"/>
      <c r="CM222" s="1058"/>
      <c r="CN222" s="1058"/>
      <c r="CO222" s="1058"/>
      <c r="CP222" s="1058"/>
      <c r="CQ222" s="1058"/>
      <c r="CR222" s="1058"/>
      <c r="CS222" s="1058"/>
      <c r="CT222" s="1058"/>
      <c r="CU222" s="1058"/>
      <c r="CV222" s="1058"/>
      <c r="CW222" s="1058"/>
      <c r="CX222" s="1058"/>
      <c r="CY222" s="1058"/>
      <c r="CZ222" s="1058"/>
      <c r="DA222" s="1058"/>
      <c r="DB222" s="1058"/>
      <c r="DC222" s="1058"/>
      <c r="DD222" s="1058"/>
      <c r="DE222" s="1058"/>
      <c r="DF222" s="1058"/>
      <c r="DG222" s="1058"/>
      <c r="DH222" s="1058"/>
      <c r="DI222" s="1058"/>
      <c r="DJ222" s="1058"/>
      <c r="DK222" s="1058"/>
      <c r="DL222" s="1058"/>
      <c r="DM222" s="1058"/>
      <c r="DN222" s="1058"/>
      <c r="DO222" s="1058"/>
      <c r="DP222" s="1058"/>
      <c r="DQ222" s="1058"/>
      <c r="DR222" s="1058"/>
      <c r="DS222" s="1058"/>
      <c r="DT222" s="1058"/>
      <c r="DU222" s="1058"/>
      <c r="DV222" s="1058"/>
      <c r="DW222" s="1058"/>
      <c r="DX222" s="1058"/>
      <c r="DY222" s="1058"/>
      <c r="DZ222" s="1058"/>
      <c r="EA222" s="1058"/>
      <c r="EB222" s="1058"/>
      <c r="EC222" s="1058"/>
      <c r="ED222" s="1058"/>
      <c r="EE222" s="1058"/>
      <c r="EF222" s="1058"/>
      <c r="EG222" s="1058"/>
      <c r="EH222" s="1058"/>
      <c r="EI222" s="1058"/>
      <c r="EJ222" s="1058"/>
      <c r="EK222" s="1058"/>
      <c r="EL222" s="1058"/>
      <c r="EM222" s="1058"/>
      <c r="EN222" s="1058"/>
      <c r="EO222" s="1058"/>
      <c r="EP222" s="1058"/>
      <c r="EQ222" s="1058"/>
      <c r="ER222" s="1058"/>
      <c r="ES222" s="1058"/>
      <c r="ET222" s="1058"/>
      <c r="EU222" s="1058"/>
      <c r="EV222" s="1058"/>
      <c r="EW222" s="1058"/>
      <c r="EX222" s="1058"/>
      <c r="EY222" s="1058"/>
      <c r="EZ222" s="1058"/>
      <c r="FA222" s="1058"/>
      <c r="FB222" s="1058"/>
      <c r="FC222" s="1058"/>
      <c r="FD222" s="1058"/>
      <c r="FE222" s="1058"/>
      <c r="FF222" s="1058"/>
      <c r="FG222" s="1058"/>
      <c r="FH222" s="1058"/>
      <c r="FI222" s="1058"/>
      <c r="FJ222" s="1058"/>
      <c r="FK222" s="1058"/>
      <c r="FL222" s="1058"/>
      <c r="FM222" s="1058"/>
      <c r="FN222" s="1058"/>
      <c r="FO222" s="1058"/>
      <c r="FP222" s="1058"/>
      <c r="FQ222" s="1058"/>
      <c r="FR222" s="1058"/>
      <c r="FS222" s="1058"/>
      <c r="FT222" s="1058"/>
      <c r="FU222" s="1058"/>
      <c r="FV222" s="1058"/>
      <c r="FW222" s="1058"/>
      <c r="FX222" s="1058"/>
      <c r="FY222" s="1058"/>
      <c r="FZ222" s="1058"/>
      <c r="GA222" s="1058"/>
      <c r="GB222" s="1058"/>
      <c r="GC222" s="1058"/>
      <c r="GD222" s="1058"/>
      <c r="GE222" s="1058"/>
      <c r="GF222" s="1058"/>
      <c r="GG222" s="1058"/>
      <c r="GH222" s="1058"/>
      <c r="GI222" s="1058"/>
      <c r="GJ222" s="1058"/>
      <c r="GK222" s="1058"/>
      <c r="GL222" s="1058"/>
      <c r="GM222" s="1058"/>
      <c r="GN222" s="1058"/>
      <c r="GO222" s="1058"/>
      <c r="GP222" s="1058"/>
      <c r="GQ222" s="1058"/>
      <c r="GR222" s="1058"/>
      <c r="GS222" s="1058"/>
      <c r="GT222" s="1058"/>
      <c r="GU222" s="1058"/>
      <c r="GV222" s="1058"/>
      <c r="GW222" s="1058"/>
      <c r="GX222" s="1058"/>
      <c r="GY222" s="1058"/>
      <c r="GZ222" s="1058"/>
      <c r="HA222" s="1058"/>
      <c r="HB222" s="1058"/>
      <c r="HC222" s="1058"/>
      <c r="HD222" s="1058"/>
      <c r="HE222" s="1058"/>
      <c r="HF222" s="1058"/>
      <c r="HG222" s="1058"/>
      <c r="HH222" s="1058"/>
      <c r="HI222" s="1058"/>
      <c r="HJ222" s="1058"/>
      <c r="HK222" s="1058"/>
      <c r="HL222" s="1058"/>
      <c r="HM222" s="1058"/>
      <c r="HN222" s="1058"/>
      <c r="HO222" s="1058"/>
      <c r="HP222" s="1058"/>
      <c r="HQ222" s="1058"/>
      <c r="HR222" s="1058"/>
      <c r="HS222" s="1058"/>
      <c r="HT222" s="1058"/>
      <c r="HU222" s="1058"/>
      <c r="HV222" s="1058"/>
      <c r="HW222" s="1058"/>
      <c r="HX222" s="1058"/>
      <c r="HY222" s="1058"/>
      <c r="HZ222" s="1058"/>
      <c r="IA222" s="1058"/>
      <c r="IB222" s="1058"/>
      <c r="IC222" s="1058"/>
      <c r="ID222" s="1058"/>
      <c r="IE222" s="1058"/>
      <c r="IF222" s="1058"/>
      <c r="IG222" s="1058"/>
      <c r="IH222" s="1058"/>
      <c r="II222" s="1058"/>
      <c r="IJ222" s="1058"/>
      <c r="IK222" s="1058"/>
      <c r="IL222" s="1058"/>
      <c r="IM222" s="1058"/>
      <c r="IN222" s="1058"/>
      <c r="IO222" s="1058"/>
      <c r="IP222" s="1058"/>
      <c r="IQ222" s="1058"/>
      <c r="IR222" s="1058"/>
      <c r="IS222" s="1058"/>
      <c r="IT222" s="1058"/>
      <c r="IU222" s="1058"/>
      <c r="IV222" s="1058"/>
      <c r="IW222" s="1058"/>
      <c r="IX222" s="1058"/>
      <c r="IY222" s="1058"/>
      <c r="IZ222" s="1058"/>
      <c r="JA222" s="1058"/>
      <c r="JB222" s="1058"/>
      <c r="JC222" s="1058"/>
      <c r="JD222" s="1058"/>
      <c r="JE222" s="1058"/>
      <c r="JF222" s="1058"/>
      <c r="JG222" s="1058"/>
      <c r="JH222" s="1058"/>
      <c r="JI222" s="1058"/>
      <c r="JJ222" s="1058"/>
      <c r="JK222" s="1058"/>
      <c r="JL222" s="1058"/>
      <c r="JM222" s="1058"/>
      <c r="JN222" s="1058"/>
      <c r="JO222" s="1058"/>
      <c r="JP222" s="1058"/>
      <c r="JQ222" s="1058"/>
      <c r="JR222" s="1058"/>
      <c r="JS222" s="1058"/>
      <c r="JT222" s="1058"/>
      <c r="JU222" s="1058"/>
      <c r="JV222" s="1059"/>
      <c r="JW222" s="1058"/>
      <c r="JX222" s="1058"/>
      <c r="JY222" s="1058"/>
      <c r="JZ222" s="1058"/>
      <c r="KA222" s="1059"/>
      <c r="KB222" s="1059"/>
      <c r="KC222" s="1059"/>
      <c r="KD222" s="1059"/>
      <c r="KE222" s="1059"/>
      <c r="KF222" s="1059"/>
      <c r="KG222" s="1059"/>
      <c r="KH222" s="1059"/>
      <c r="KI222" s="1059"/>
      <c r="KJ222" s="1059"/>
      <c r="KK222" s="1059"/>
      <c r="KL222" s="1059"/>
      <c r="KM222" s="1059"/>
      <c r="KN222" s="1059"/>
      <c r="KO222" s="1059"/>
      <c r="KP222" s="1059"/>
      <c r="KQ222" s="1059"/>
      <c r="KR222" s="1059"/>
      <c r="KS222" s="1059"/>
      <c r="KT222" s="1059"/>
      <c r="KU222" s="1059"/>
      <c r="KV222" s="1059"/>
      <c r="KW222" s="1059"/>
      <c r="KX222" s="1059"/>
      <c r="KY222" s="1059"/>
      <c r="KZ222" s="1059"/>
      <c r="LA222" s="1059"/>
      <c r="LB222" s="1059"/>
      <c r="LC222" s="1059"/>
      <c r="LD222" s="1059"/>
      <c r="LE222" s="1059"/>
      <c r="LF222" s="1059"/>
      <c r="LG222" s="1058"/>
      <c r="LH222" s="1058"/>
      <c r="LI222" s="1058"/>
      <c r="LJ222" s="1058"/>
      <c r="LK222" s="1058"/>
      <c r="LL222" s="1058"/>
      <c r="LM222" s="1060"/>
      <c r="LN222" s="1058"/>
      <c r="LO222" s="1058"/>
      <c r="LP222" s="1058"/>
      <c r="LQ222" s="1058"/>
      <c r="LR222" s="1058"/>
      <c r="LS222" s="1058"/>
      <c r="LT222" s="1058"/>
      <c r="LU222" s="1058"/>
      <c r="LV222" s="1058"/>
      <c r="LW222" s="1058"/>
      <c r="LX222" s="1058"/>
      <c r="LY222" s="1058"/>
      <c r="LZ222" s="1058"/>
      <c r="MA222" s="1058"/>
      <c r="MB222" s="1058"/>
      <c r="MC222" s="1060"/>
      <c r="MD222" s="1060"/>
      <c r="ME222" s="1058"/>
      <c r="MF222" s="1058"/>
      <c r="MG222" s="1058"/>
      <c r="MH222" s="1058"/>
      <c r="MI222" s="1058"/>
      <c r="MJ222" s="1058"/>
      <c r="MK222" s="1058"/>
      <c r="ML222" s="1058"/>
      <c r="MM222" s="1058"/>
      <c r="MN222" s="1058"/>
      <c r="MO222" s="1058"/>
      <c r="MP222" s="1058"/>
      <c r="MQ222" s="1058"/>
      <c r="MR222" s="1058"/>
      <c r="MS222" s="1058"/>
      <c r="MT222" s="1058"/>
      <c r="MU222" s="1058"/>
      <c r="MV222" s="1058"/>
      <c r="MW222" s="1058"/>
      <c r="MX222" s="1058"/>
      <c r="MY222" s="1058"/>
      <c r="MZ222" s="1058"/>
      <c r="NA222" s="1058"/>
      <c r="NB222" s="1058"/>
      <c r="NC222" s="1058"/>
      <c r="ND222" s="1058"/>
      <c r="NE222" s="1058"/>
      <c r="NF222" s="1058"/>
      <c r="NG222" s="1058"/>
      <c r="NH222" s="1058"/>
      <c r="NI222" s="1058"/>
      <c r="NJ222" s="1058"/>
      <c r="NK222" s="1058"/>
      <c r="NL222" s="1058"/>
      <c r="NM222" s="1058"/>
      <c r="NN222" s="1058"/>
      <c r="NO222" s="1058"/>
      <c r="NP222" s="1058"/>
      <c r="NQ222" s="1058"/>
      <c r="NR222" s="1058"/>
      <c r="NS222" s="1058"/>
      <c r="NT222" s="1058"/>
      <c r="NU222" s="1058"/>
      <c r="NV222" s="1058"/>
      <c r="NW222" s="1058"/>
      <c r="NX222" s="1058"/>
      <c r="NY222" s="1058"/>
      <c r="NZ222" s="1058"/>
      <c r="OA222" s="1058"/>
      <c r="OB222" s="1058"/>
      <c r="OC222" s="1058"/>
      <c r="OD222" s="1018"/>
      <c r="OE222" s="1018"/>
      <c r="OF222" s="1018"/>
      <c r="OG222" s="1018"/>
      <c r="OH222" s="1018"/>
      <c r="OI222" s="1018"/>
      <c r="OJ222" s="1018"/>
      <c r="OK222" s="1018"/>
      <c r="OL222" s="1018"/>
      <c r="OM222" s="1018"/>
      <c r="ON222" s="1018"/>
      <c r="OO222" s="1018"/>
      <c r="OP222" s="1018"/>
      <c r="OQ222" s="1018"/>
      <c r="OR222" s="1018"/>
      <c r="OS222" s="1018"/>
      <c r="OT222" s="1018"/>
      <c r="OU222" s="1018"/>
      <c r="OV222" s="1018"/>
      <c r="OW222" s="1018"/>
      <c r="OX222" s="1018"/>
      <c r="OY222" s="1018"/>
      <c r="OZ222" s="1018"/>
      <c r="PA222" s="1018"/>
      <c r="PB222" s="1018"/>
      <c r="PC222" s="1018"/>
      <c r="PD222" s="1018"/>
      <c r="PE222" s="1018"/>
      <c r="PF222" s="1018"/>
      <c r="PG222" s="1018"/>
      <c r="PH222" s="1018"/>
      <c r="PI222" s="1018"/>
      <c r="PJ222" s="1018"/>
      <c r="PK222" s="1018"/>
      <c r="PL222" s="1018"/>
      <c r="PM222" s="1018"/>
      <c r="PN222" s="1018"/>
      <c r="PO222" s="1018"/>
      <c r="PP222" s="1018"/>
      <c r="PQ222" s="1018"/>
      <c r="PR222" s="1018"/>
      <c r="PS222" s="1018"/>
      <c r="PT222" s="1018"/>
      <c r="PU222" s="1018"/>
      <c r="PV222" s="1018"/>
      <c r="PW222" s="1018"/>
      <c r="PX222" s="1018"/>
      <c r="PY222" s="1018"/>
      <c r="PZ222" s="1018"/>
      <c r="QA222" s="1018"/>
      <c r="QB222" s="1018"/>
      <c r="QC222" s="1018"/>
      <c r="QD222" s="1018"/>
      <c r="QE222" s="1018"/>
      <c r="QF222" s="1018"/>
      <c r="QG222" s="1018"/>
      <c r="QH222" s="1018"/>
      <c r="QI222" s="1018"/>
      <c r="QJ222" s="1018"/>
      <c r="QK222" s="1018"/>
      <c r="QL222" s="1018"/>
      <c r="QM222" s="1018"/>
      <c r="QN222" s="1018"/>
      <c r="QO222" s="1018"/>
      <c r="QP222" s="1018"/>
      <c r="QQ222" s="1018"/>
      <c r="QR222" s="1018"/>
      <c r="QS222" s="1018"/>
      <c r="QT222" s="1018"/>
      <c r="QU222" s="1018"/>
      <c r="QV222" s="1018"/>
      <c r="QW222" s="1018"/>
      <c r="QX222" s="1018"/>
      <c r="QY222" s="1018"/>
      <c r="QZ222" s="1018"/>
      <c r="RA222" s="1018"/>
      <c r="RB222" s="1018"/>
      <c r="RC222" s="1018"/>
      <c r="RD222" s="1018"/>
      <c r="RE222" s="1018"/>
      <c r="RF222" s="1018"/>
      <c r="RG222" s="1018"/>
      <c r="RH222" s="1018"/>
      <c r="RI222" s="1018"/>
      <c r="RJ222" s="1018"/>
      <c r="RK222" s="1018"/>
      <c r="RL222" s="1018"/>
      <c r="RM222" s="1018"/>
      <c r="RN222" s="1018"/>
      <c r="RO222" s="1018"/>
      <c r="RP222" s="1018"/>
      <c r="RQ222" s="1018"/>
      <c r="RR222" s="1018"/>
      <c r="RS222" s="1018"/>
      <c r="RT222" s="1018"/>
      <c r="RU222" s="1018"/>
      <c r="RV222" s="1018"/>
      <c r="RW222" s="1018"/>
      <c r="RX222" s="1018"/>
    </row>
    <row r="223" spans="1:492" s="1057" customFormat="1" ht="15.6" customHeight="1">
      <c r="A223" s="1018"/>
      <c r="B223" s="1018" t="s">
        <v>1271</v>
      </c>
      <c r="C223" s="1018"/>
      <c r="D223" s="1294"/>
      <c r="E223" s="1018"/>
      <c r="F223" s="2353"/>
      <c r="G223" s="2354"/>
      <c r="H223" s="1018"/>
      <c r="I223" s="1018" t="s">
        <v>1455</v>
      </c>
      <c r="J223" s="1018"/>
      <c r="K223" s="2319"/>
      <c r="L223" s="2320"/>
      <c r="M223" s="1018"/>
      <c r="N223" s="278" t="e">
        <f>+P222/(O67*0.93)</f>
        <v>#DIV/0!</v>
      </c>
      <c r="O223" s="1297" t="s">
        <v>2371</v>
      </c>
      <c r="P223" s="1018"/>
      <c r="Q223" s="1018"/>
      <c r="R223" s="2314"/>
      <c r="S223" s="2315"/>
      <c r="T223" s="2315"/>
      <c r="U223" s="2315"/>
      <c r="V223" s="2316"/>
      <c r="W223" s="1064"/>
      <c r="X223" s="1058"/>
      <c r="Y223" s="1058"/>
      <c r="Z223" s="1058"/>
      <c r="AA223" s="1058"/>
      <c r="AB223" s="1064"/>
      <c r="AC223" s="1058"/>
      <c r="AD223" s="1058"/>
      <c r="AE223" s="1058"/>
      <c r="AF223" s="1058"/>
      <c r="AG223" s="1064"/>
      <c r="AH223" s="1058"/>
      <c r="AI223" s="1058"/>
      <c r="AJ223" s="1058"/>
      <c r="AK223" s="1058"/>
      <c r="AL223" s="1064"/>
      <c r="AM223" s="1058"/>
      <c r="AN223" s="1058"/>
      <c r="AO223" s="1058"/>
      <c r="AP223" s="1058"/>
      <c r="AQ223" s="1058"/>
      <c r="AR223" s="1058"/>
      <c r="AS223" s="1058"/>
      <c r="AT223" s="1058"/>
      <c r="AU223" s="1058"/>
      <c r="AV223" s="1058"/>
      <c r="AW223" s="1058"/>
      <c r="AX223" s="1058"/>
      <c r="AY223" s="1058"/>
      <c r="AZ223" s="1058"/>
      <c r="BA223" s="1058"/>
      <c r="BB223" s="1058"/>
      <c r="BC223" s="1058"/>
      <c r="BD223" s="1058"/>
      <c r="BE223" s="1058"/>
      <c r="BF223" s="1058"/>
      <c r="BG223" s="1058"/>
      <c r="BH223" s="1058"/>
      <c r="BI223" s="1058"/>
      <c r="BJ223" s="1058"/>
      <c r="BK223" s="1058"/>
      <c r="BL223" s="1058"/>
      <c r="BM223" s="1058"/>
      <c r="BN223" s="1058"/>
      <c r="BO223" s="1058"/>
      <c r="BP223" s="1058"/>
      <c r="BQ223" s="1058"/>
      <c r="BR223" s="1058"/>
      <c r="BS223" s="1058"/>
      <c r="BT223" s="1058"/>
      <c r="BU223" s="1058"/>
      <c r="BV223" s="1058"/>
      <c r="BW223" s="1058"/>
      <c r="BX223" s="1058"/>
      <c r="BY223" s="1058"/>
      <c r="BZ223" s="1058"/>
      <c r="CA223" s="1058"/>
      <c r="CB223" s="1058"/>
      <c r="CC223" s="1058"/>
      <c r="CD223" s="1058"/>
      <c r="CE223" s="1058"/>
      <c r="CF223" s="1058"/>
      <c r="CG223" s="1058"/>
      <c r="CH223" s="1058"/>
      <c r="CI223" s="1058"/>
      <c r="CJ223" s="1058"/>
      <c r="CK223" s="1058"/>
      <c r="CL223" s="1058"/>
      <c r="CM223" s="1058"/>
      <c r="CN223" s="1058"/>
      <c r="CO223" s="1058"/>
      <c r="CP223" s="1058"/>
      <c r="CQ223" s="1058"/>
      <c r="CR223" s="1058"/>
      <c r="CS223" s="1058"/>
      <c r="CT223" s="1058"/>
      <c r="CU223" s="1058"/>
      <c r="CV223" s="1058"/>
      <c r="CW223" s="1058"/>
      <c r="CX223" s="1058"/>
      <c r="CY223" s="1058"/>
      <c r="CZ223" s="1058"/>
      <c r="DA223" s="1058"/>
      <c r="DB223" s="1058"/>
      <c r="DC223" s="1058"/>
      <c r="DD223" s="1058"/>
      <c r="DE223" s="1058"/>
      <c r="DF223" s="1058"/>
      <c r="DG223" s="1058"/>
      <c r="DH223" s="1058"/>
      <c r="DI223" s="1058"/>
      <c r="DJ223" s="1058"/>
      <c r="DK223" s="1058"/>
      <c r="DL223" s="1058"/>
      <c r="DM223" s="1058"/>
      <c r="DN223" s="1058"/>
      <c r="DO223" s="1058"/>
      <c r="DP223" s="1058"/>
      <c r="DQ223" s="1058"/>
      <c r="DR223" s="1058"/>
      <c r="DS223" s="1058"/>
      <c r="DT223" s="1058"/>
      <c r="DU223" s="1058"/>
      <c r="DV223" s="1058"/>
      <c r="DW223" s="1058"/>
      <c r="DX223" s="1058"/>
      <c r="DY223" s="1058"/>
      <c r="DZ223" s="1058"/>
      <c r="EA223" s="1058"/>
      <c r="EB223" s="1058"/>
      <c r="EC223" s="1058"/>
      <c r="ED223" s="1058"/>
      <c r="EE223" s="1058"/>
      <c r="EF223" s="1058"/>
      <c r="EG223" s="1058"/>
      <c r="EH223" s="1058"/>
      <c r="EI223" s="1058"/>
      <c r="EJ223" s="1058"/>
      <c r="EK223" s="1058"/>
      <c r="EL223" s="1058"/>
      <c r="EM223" s="1058"/>
      <c r="EN223" s="1058"/>
      <c r="EO223" s="1058"/>
      <c r="EP223" s="1058"/>
      <c r="EQ223" s="1058"/>
      <c r="ER223" s="1058"/>
      <c r="ES223" s="1058"/>
      <c r="ET223" s="1058"/>
      <c r="EU223" s="1058"/>
      <c r="EV223" s="1058"/>
      <c r="EW223" s="1058"/>
      <c r="EX223" s="1058"/>
      <c r="EY223" s="1058"/>
      <c r="EZ223" s="1058"/>
      <c r="FA223" s="1058"/>
      <c r="FB223" s="1058"/>
      <c r="FC223" s="1058"/>
      <c r="FD223" s="1058"/>
      <c r="FE223" s="1058"/>
      <c r="FF223" s="1058"/>
      <c r="FG223" s="1058"/>
      <c r="FH223" s="1058"/>
      <c r="FI223" s="1058"/>
      <c r="FJ223" s="1058"/>
      <c r="FK223" s="1058"/>
      <c r="FL223" s="1058"/>
      <c r="FM223" s="1058"/>
      <c r="FN223" s="1058"/>
      <c r="FO223" s="1058"/>
      <c r="FP223" s="1058"/>
      <c r="FQ223" s="1058"/>
      <c r="FR223" s="1058"/>
      <c r="FS223" s="1058"/>
      <c r="FT223" s="1058"/>
      <c r="FU223" s="1058"/>
      <c r="FV223" s="1058"/>
      <c r="FW223" s="1058"/>
      <c r="FX223" s="1058"/>
      <c r="FY223" s="1058"/>
      <c r="FZ223" s="1058"/>
      <c r="GA223" s="1058"/>
      <c r="GB223" s="1058"/>
      <c r="GC223" s="1058"/>
      <c r="GD223" s="1058"/>
      <c r="GE223" s="1058"/>
      <c r="GF223" s="1058"/>
      <c r="GG223" s="1058"/>
      <c r="GH223" s="1058"/>
      <c r="GI223" s="1058"/>
      <c r="GJ223" s="1058"/>
      <c r="GK223" s="1058"/>
      <c r="GL223" s="1058"/>
      <c r="GM223" s="1058"/>
      <c r="GN223" s="1058"/>
      <c r="GO223" s="1058"/>
      <c r="GP223" s="1058"/>
      <c r="GQ223" s="1058"/>
      <c r="GR223" s="1058"/>
      <c r="GS223" s="1058"/>
      <c r="GT223" s="1058"/>
      <c r="GU223" s="1058"/>
      <c r="GV223" s="1058"/>
      <c r="GW223" s="1058"/>
      <c r="GX223" s="1058"/>
      <c r="GY223" s="1058"/>
      <c r="GZ223" s="1058"/>
      <c r="HA223" s="1058"/>
      <c r="HB223" s="1058"/>
      <c r="HC223" s="1058"/>
      <c r="HD223" s="1058"/>
      <c r="HE223" s="1058"/>
      <c r="HF223" s="1058"/>
      <c r="HG223" s="1058"/>
      <c r="HH223" s="1058"/>
      <c r="HI223" s="1058"/>
      <c r="HJ223" s="1058"/>
      <c r="HK223" s="1058"/>
      <c r="HL223" s="1058"/>
      <c r="HM223" s="1058"/>
      <c r="HN223" s="1058"/>
      <c r="HO223" s="1058"/>
      <c r="HP223" s="1058"/>
      <c r="HQ223" s="1058"/>
      <c r="HR223" s="1058"/>
      <c r="HS223" s="1058"/>
      <c r="HT223" s="1058"/>
      <c r="HU223" s="1058"/>
      <c r="HV223" s="1058"/>
      <c r="HW223" s="1058"/>
      <c r="HX223" s="1058"/>
      <c r="HY223" s="1058"/>
      <c r="HZ223" s="1058"/>
      <c r="IA223" s="1058"/>
      <c r="IB223" s="1058"/>
      <c r="IC223" s="1058"/>
      <c r="ID223" s="1058"/>
      <c r="IE223" s="1058"/>
      <c r="IF223" s="1058"/>
      <c r="IG223" s="1058"/>
      <c r="IH223" s="1058"/>
      <c r="II223" s="1058"/>
      <c r="IJ223" s="1058"/>
      <c r="IK223" s="1058"/>
      <c r="IL223" s="1058"/>
      <c r="IM223" s="1058"/>
      <c r="IN223" s="1058"/>
      <c r="IO223" s="1058"/>
      <c r="IP223" s="1058"/>
      <c r="IQ223" s="1058"/>
      <c r="IR223" s="1058"/>
      <c r="IS223" s="1058"/>
      <c r="IT223" s="1058"/>
      <c r="IU223" s="1058"/>
      <c r="IV223" s="1058"/>
      <c r="IW223" s="1058"/>
      <c r="IX223" s="1058"/>
      <c r="IY223" s="1058"/>
      <c r="IZ223" s="1058"/>
      <c r="JA223" s="1058"/>
      <c r="JB223" s="1058"/>
      <c r="JC223" s="1058"/>
      <c r="JD223" s="1058"/>
      <c r="JE223" s="1058"/>
      <c r="JF223" s="1058"/>
      <c r="JG223" s="1058"/>
      <c r="JH223" s="1058"/>
      <c r="JI223" s="1058"/>
      <c r="JJ223" s="1058"/>
      <c r="JK223" s="1058"/>
      <c r="JL223" s="1058"/>
      <c r="JM223" s="1058"/>
      <c r="JN223" s="1058"/>
      <c r="JO223" s="1058"/>
      <c r="JP223" s="1058"/>
      <c r="JQ223" s="1058"/>
      <c r="JR223" s="1058"/>
      <c r="JS223" s="1058"/>
      <c r="JT223" s="1058"/>
      <c r="JU223" s="1058"/>
      <c r="JV223" s="1059"/>
      <c r="JW223" s="1058"/>
      <c r="JX223" s="1058"/>
      <c r="JY223" s="1058"/>
      <c r="JZ223" s="1058"/>
      <c r="KA223" s="1059"/>
      <c r="KB223" s="1059"/>
      <c r="KC223" s="1059"/>
      <c r="KD223" s="1059"/>
      <c r="KE223" s="1059"/>
      <c r="KF223" s="1059"/>
      <c r="KG223" s="1059"/>
      <c r="KH223" s="1059"/>
      <c r="KI223" s="1059"/>
      <c r="KJ223" s="1059"/>
      <c r="KK223" s="1059"/>
      <c r="KL223" s="1059"/>
      <c r="KM223" s="1059"/>
      <c r="KN223" s="1059"/>
      <c r="KO223" s="1059"/>
      <c r="KP223" s="1059"/>
      <c r="KQ223" s="1059"/>
      <c r="KR223" s="1059"/>
      <c r="KS223" s="1059"/>
      <c r="KT223" s="1059"/>
      <c r="KU223" s="1059"/>
      <c r="KV223" s="1059"/>
      <c r="KW223" s="1059"/>
      <c r="KX223" s="1059"/>
      <c r="KY223" s="1059"/>
      <c r="KZ223" s="1059"/>
      <c r="LA223" s="1059"/>
      <c r="LB223" s="1059"/>
      <c r="LC223" s="1059"/>
      <c r="LD223" s="1059"/>
      <c r="LE223" s="1059"/>
      <c r="LF223" s="1059"/>
      <c r="LG223" s="1058"/>
      <c r="LH223" s="1058"/>
      <c r="LI223" s="1058"/>
      <c r="LJ223" s="1058"/>
      <c r="LK223" s="1058"/>
      <c r="LL223" s="1058"/>
      <c r="LM223" s="1060"/>
      <c r="LN223" s="1058"/>
      <c r="LO223" s="1058"/>
      <c r="LP223" s="1058"/>
      <c r="LQ223" s="1058"/>
      <c r="LR223" s="1058"/>
      <c r="LS223" s="1058"/>
      <c r="LT223" s="1058"/>
      <c r="LU223" s="1058"/>
      <c r="LV223" s="1058"/>
      <c r="LW223" s="1058"/>
      <c r="LX223" s="1058"/>
      <c r="LY223" s="1058"/>
      <c r="LZ223" s="1058"/>
      <c r="MA223" s="1058"/>
      <c r="MB223" s="1058"/>
      <c r="MC223" s="1060"/>
      <c r="MD223" s="1060"/>
      <c r="ME223" s="1058"/>
      <c r="MF223" s="1058"/>
      <c r="MG223" s="1058"/>
      <c r="MH223" s="1058"/>
      <c r="MI223" s="1058"/>
      <c r="MJ223" s="1058"/>
      <c r="MK223" s="1058"/>
      <c r="ML223" s="1058"/>
      <c r="MM223" s="1058"/>
      <c r="MN223" s="1058"/>
      <c r="MO223" s="1058"/>
      <c r="MP223" s="1058"/>
      <c r="MQ223" s="1058"/>
      <c r="MR223" s="1058"/>
      <c r="MS223" s="1058"/>
      <c r="MT223" s="1058"/>
      <c r="MU223" s="1058"/>
      <c r="MV223" s="1058"/>
      <c r="MW223" s="1058"/>
      <c r="MX223" s="1058"/>
      <c r="MY223" s="1058"/>
      <c r="MZ223" s="1058"/>
      <c r="NA223" s="1058"/>
      <c r="NB223" s="1058"/>
      <c r="NC223" s="1058"/>
      <c r="ND223" s="1058"/>
      <c r="NE223" s="1058"/>
      <c r="NF223" s="1058"/>
      <c r="NG223" s="1058"/>
      <c r="NH223" s="1058"/>
      <c r="NI223" s="1058"/>
      <c r="NJ223" s="1058"/>
      <c r="NK223" s="1058"/>
      <c r="NL223" s="1058"/>
      <c r="NM223" s="1058"/>
      <c r="NN223" s="1058"/>
      <c r="NO223" s="1058"/>
      <c r="NP223" s="1058"/>
      <c r="NQ223" s="1058"/>
      <c r="NR223" s="1058"/>
      <c r="NS223" s="1058"/>
      <c r="NT223" s="1058"/>
      <c r="NU223" s="1058"/>
      <c r="NV223" s="1058"/>
      <c r="NW223" s="1058"/>
      <c r="NX223" s="1058"/>
      <c r="NY223" s="1058"/>
      <c r="NZ223" s="1058"/>
      <c r="OA223" s="1058"/>
      <c r="OB223" s="1058"/>
      <c r="OC223" s="1058"/>
      <c r="OD223" s="1018"/>
      <c r="OE223" s="1018"/>
      <c r="OF223" s="1018"/>
      <c r="OG223" s="1018"/>
      <c r="OH223" s="1018"/>
      <c r="OI223" s="1018"/>
      <c r="OJ223" s="1018"/>
      <c r="OK223" s="1018"/>
      <c r="OL223" s="1018"/>
      <c r="OM223" s="1018"/>
      <c r="ON223" s="1018"/>
      <c r="OO223" s="1018"/>
      <c r="OP223" s="1018"/>
      <c r="OQ223" s="1018"/>
      <c r="OR223" s="1018"/>
      <c r="OS223" s="1018"/>
      <c r="OT223" s="1018"/>
      <c r="OU223" s="1018"/>
      <c r="OV223" s="1018"/>
      <c r="OW223" s="1018"/>
      <c r="OX223" s="1018"/>
      <c r="OY223" s="1018"/>
      <c r="OZ223" s="1018"/>
      <c r="PA223" s="1018"/>
      <c r="PB223" s="1018"/>
      <c r="PC223" s="1018"/>
      <c r="PD223" s="1018"/>
      <c r="PE223" s="1018"/>
      <c r="PF223" s="1018"/>
      <c r="PG223" s="1018"/>
      <c r="PH223" s="1018"/>
      <c r="PI223" s="1018"/>
      <c r="PJ223" s="1018"/>
      <c r="PK223" s="1018"/>
      <c r="PL223" s="1018"/>
      <c r="PM223" s="1018"/>
      <c r="PN223" s="1018"/>
      <c r="PO223" s="1018"/>
      <c r="PP223" s="1018"/>
      <c r="PQ223" s="1018"/>
      <c r="PR223" s="1018"/>
      <c r="PS223" s="1018"/>
      <c r="PT223" s="1018"/>
      <c r="PU223" s="1018"/>
      <c r="PV223" s="1018"/>
      <c r="PW223" s="1018"/>
      <c r="PX223" s="1018"/>
      <c r="PY223" s="1018"/>
      <c r="PZ223" s="1018"/>
      <c r="QA223" s="1018"/>
      <c r="QB223" s="1018"/>
      <c r="QC223" s="1018"/>
      <c r="QD223" s="1018"/>
      <c r="QE223" s="1018"/>
      <c r="QF223" s="1018"/>
      <c r="QG223" s="1018"/>
      <c r="QH223" s="1018"/>
      <c r="QI223" s="1018"/>
      <c r="QJ223" s="1018"/>
      <c r="QK223" s="1018"/>
      <c r="QL223" s="1018"/>
      <c r="QM223" s="1018"/>
      <c r="QN223" s="1018"/>
      <c r="QO223" s="1018"/>
      <c r="QP223" s="1018"/>
      <c r="QQ223" s="1018"/>
      <c r="QR223" s="1018"/>
      <c r="QS223" s="1018"/>
      <c r="QT223" s="1018"/>
      <c r="QU223" s="1018"/>
      <c r="QV223" s="1018"/>
      <c r="QW223" s="1018"/>
      <c r="QX223" s="1018"/>
      <c r="QY223" s="1018"/>
      <c r="QZ223" s="1018"/>
      <c r="RA223" s="1018"/>
      <c r="RB223" s="1018"/>
      <c r="RC223" s="1018"/>
      <c r="RD223" s="1018"/>
      <c r="RE223" s="1018"/>
      <c r="RF223" s="1018"/>
      <c r="RG223" s="1018"/>
      <c r="RH223" s="1018"/>
      <c r="RI223" s="1018"/>
      <c r="RJ223" s="1018"/>
      <c r="RK223" s="1018"/>
      <c r="RL223" s="1018"/>
      <c r="RM223" s="1018"/>
      <c r="RN223" s="1018"/>
      <c r="RO223" s="1018"/>
      <c r="RP223" s="1018"/>
      <c r="RQ223" s="1018"/>
      <c r="RR223" s="1018"/>
      <c r="RS223" s="1018"/>
      <c r="RT223" s="1018"/>
      <c r="RU223" s="1018"/>
      <c r="RV223" s="1018"/>
      <c r="RW223" s="1018"/>
      <c r="RX223" s="1018"/>
    </row>
    <row r="224" spans="1:492" s="1057" customFormat="1" ht="15.6" customHeight="1">
      <c r="A224" s="1018"/>
      <c r="B224" s="1018" t="s">
        <v>1272</v>
      </c>
      <c r="C224" s="1018"/>
      <c r="D224" s="1294"/>
      <c r="E224" s="1018"/>
      <c r="F224" s="2323"/>
      <c r="G224" s="2324"/>
      <c r="H224" s="1018"/>
      <c r="I224" s="1018" t="s">
        <v>1834</v>
      </c>
      <c r="J224" s="1018"/>
      <c r="K224" s="2321"/>
      <c r="L224" s="2322"/>
      <c r="M224" s="1018"/>
      <c r="N224" s="278" t="e">
        <f>+P222/(O67*0.93)/12</f>
        <v>#DIV/0!</v>
      </c>
      <c r="O224" s="1297" t="s">
        <v>2372</v>
      </c>
      <c r="P224" s="1018"/>
      <c r="Q224" s="1018"/>
      <c r="R224" s="2314"/>
      <c r="S224" s="2315"/>
      <c r="T224" s="2315"/>
      <c r="U224" s="2315"/>
      <c r="V224" s="2316"/>
      <c r="W224" s="1064"/>
      <c r="X224" s="1058"/>
      <c r="Y224" s="1058"/>
      <c r="Z224" s="1058"/>
      <c r="AA224" s="1058"/>
      <c r="AB224" s="1064"/>
      <c r="AC224" s="1058"/>
      <c r="AD224" s="1058"/>
      <c r="AE224" s="1058"/>
      <c r="AF224" s="1058"/>
      <c r="AG224" s="1064"/>
      <c r="AH224" s="1058"/>
      <c r="AI224" s="1058"/>
      <c r="AJ224" s="1058"/>
      <c r="AK224" s="1058"/>
      <c r="AL224" s="1064"/>
      <c r="AM224" s="1058"/>
      <c r="AN224" s="1058"/>
      <c r="AO224" s="1058"/>
      <c r="AP224" s="1058"/>
      <c r="AQ224" s="1058"/>
      <c r="AR224" s="1058"/>
      <c r="AS224" s="1058"/>
      <c r="AT224" s="1058"/>
      <c r="AU224" s="1058"/>
      <c r="AV224" s="1058"/>
      <c r="AW224" s="1058"/>
      <c r="AX224" s="1058"/>
      <c r="AY224" s="1058"/>
      <c r="AZ224" s="1058"/>
      <c r="BA224" s="1058"/>
      <c r="BB224" s="1058"/>
      <c r="BC224" s="1058"/>
      <c r="BD224" s="1058"/>
      <c r="BE224" s="1058"/>
      <c r="BF224" s="1058"/>
      <c r="BG224" s="1058"/>
      <c r="BH224" s="1058"/>
      <c r="BI224" s="1058"/>
      <c r="BJ224" s="1058"/>
      <c r="BK224" s="1058"/>
      <c r="BL224" s="1058"/>
      <c r="BM224" s="1058"/>
      <c r="BN224" s="1058"/>
      <c r="BO224" s="1058"/>
      <c r="BP224" s="1058"/>
      <c r="BQ224" s="1058"/>
      <c r="BR224" s="1058"/>
      <c r="BS224" s="1058"/>
      <c r="BT224" s="1058"/>
      <c r="BU224" s="1058"/>
      <c r="BV224" s="1058"/>
      <c r="BW224" s="1058"/>
      <c r="BX224" s="1058"/>
      <c r="BY224" s="1058"/>
      <c r="BZ224" s="1058"/>
      <c r="CA224" s="1058"/>
      <c r="CB224" s="1058"/>
      <c r="CC224" s="1058"/>
      <c r="CD224" s="1058"/>
      <c r="CE224" s="1058"/>
      <c r="CF224" s="1058"/>
      <c r="CG224" s="1058"/>
      <c r="CH224" s="1058"/>
      <c r="CI224" s="1058"/>
      <c r="CJ224" s="1058"/>
      <c r="CK224" s="1058"/>
      <c r="CL224" s="1058"/>
      <c r="CM224" s="1058"/>
      <c r="CN224" s="1058"/>
      <c r="CO224" s="1058"/>
      <c r="CP224" s="1058"/>
      <c r="CQ224" s="1058"/>
      <c r="CR224" s="1058"/>
      <c r="CS224" s="1058"/>
      <c r="CT224" s="1058"/>
      <c r="CU224" s="1058"/>
      <c r="CV224" s="1058"/>
      <c r="CW224" s="1058"/>
      <c r="CX224" s="1058"/>
      <c r="CY224" s="1058"/>
      <c r="CZ224" s="1058"/>
      <c r="DA224" s="1058"/>
      <c r="DB224" s="1058"/>
      <c r="DC224" s="1058"/>
      <c r="DD224" s="1058"/>
      <c r="DE224" s="1058"/>
      <c r="DF224" s="1058"/>
      <c r="DG224" s="1058"/>
      <c r="DH224" s="1058"/>
      <c r="DI224" s="1058"/>
      <c r="DJ224" s="1058"/>
      <c r="DK224" s="1058"/>
      <c r="DL224" s="1058"/>
      <c r="DM224" s="1058"/>
      <c r="DN224" s="1058"/>
      <c r="DO224" s="1058"/>
      <c r="DP224" s="1058"/>
      <c r="DQ224" s="1058"/>
      <c r="DR224" s="1058"/>
      <c r="DS224" s="1058"/>
      <c r="DT224" s="1058"/>
      <c r="DU224" s="1058"/>
      <c r="DV224" s="1058"/>
      <c r="DW224" s="1058"/>
      <c r="DX224" s="1058"/>
      <c r="DY224" s="1058"/>
      <c r="DZ224" s="1058"/>
      <c r="EA224" s="1058"/>
      <c r="EB224" s="1058"/>
      <c r="EC224" s="1058"/>
      <c r="ED224" s="1058"/>
      <c r="EE224" s="1058"/>
      <c r="EF224" s="1058"/>
      <c r="EG224" s="1058"/>
      <c r="EH224" s="1058"/>
      <c r="EI224" s="1058"/>
      <c r="EJ224" s="1058"/>
      <c r="EK224" s="1058"/>
      <c r="EL224" s="1058"/>
      <c r="EM224" s="1058"/>
      <c r="EN224" s="1058"/>
      <c r="EO224" s="1058"/>
      <c r="EP224" s="1058"/>
      <c r="EQ224" s="1058"/>
      <c r="ER224" s="1058"/>
      <c r="ES224" s="1058"/>
      <c r="ET224" s="1058"/>
      <c r="EU224" s="1058"/>
      <c r="EV224" s="1058"/>
      <c r="EW224" s="1058"/>
      <c r="EX224" s="1058"/>
      <c r="EY224" s="1058"/>
      <c r="EZ224" s="1058"/>
      <c r="FA224" s="1058"/>
      <c r="FB224" s="1058"/>
      <c r="FC224" s="1058"/>
      <c r="FD224" s="1058"/>
      <c r="FE224" s="1058"/>
      <c r="FF224" s="1058"/>
      <c r="FG224" s="1058"/>
      <c r="FH224" s="1058"/>
      <c r="FI224" s="1058"/>
      <c r="FJ224" s="1058"/>
      <c r="FK224" s="1058"/>
      <c r="FL224" s="1058"/>
      <c r="FM224" s="1058"/>
      <c r="FN224" s="1058"/>
      <c r="FO224" s="1058"/>
      <c r="FP224" s="1058"/>
      <c r="FQ224" s="1058"/>
      <c r="FR224" s="1058"/>
      <c r="FS224" s="1058"/>
      <c r="FT224" s="1058"/>
      <c r="FU224" s="1058"/>
      <c r="FV224" s="1058"/>
      <c r="FW224" s="1058"/>
      <c r="FX224" s="1058"/>
      <c r="FY224" s="1058"/>
      <c r="FZ224" s="1058"/>
      <c r="GA224" s="1058"/>
      <c r="GB224" s="1058"/>
      <c r="GC224" s="1058"/>
      <c r="GD224" s="1058"/>
      <c r="GE224" s="1058"/>
      <c r="GF224" s="1058"/>
      <c r="GG224" s="1058"/>
      <c r="GH224" s="1058"/>
      <c r="GI224" s="1058"/>
      <c r="GJ224" s="1058"/>
      <c r="GK224" s="1058"/>
      <c r="GL224" s="1058"/>
      <c r="GM224" s="1058"/>
      <c r="GN224" s="1058"/>
      <c r="GO224" s="1058"/>
      <c r="GP224" s="1058"/>
      <c r="GQ224" s="1058"/>
      <c r="GR224" s="1058"/>
      <c r="GS224" s="1058"/>
      <c r="GT224" s="1058"/>
      <c r="GU224" s="1058"/>
      <c r="GV224" s="1058"/>
      <c r="GW224" s="1058"/>
      <c r="GX224" s="1058"/>
      <c r="GY224" s="1058"/>
      <c r="GZ224" s="1058"/>
      <c r="HA224" s="1058"/>
      <c r="HB224" s="1058"/>
      <c r="HC224" s="1058"/>
      <c r="HD224" s="1058"/>
      <c r="HE224" s="1058"/>
      <c r="HF224" s="1058"/>
      <c r="HG224" s="1058"/>
      <c r="HH224" s="1058"/>
      <c r="HI224" s="1058"/>
      <c r="HJ224" s="1058"/>
      <c r="HK224" s="1058"/>
      <c r="HL224" s="1058"/>
      <c r="HM224" s="1058"/>
      <c r="HN224" s="1058"/>
      <c r="HO224" s="1058"/>
      <c r="HP224" s="1058"/>
      <c r="HQ224" s="1058"/>
      <c r="HR224" s="1058"/>
      <c r="HS224" s="1058"/>
      <c r="HT224" s="1058"/>
      <c r="HU224" s="1058"/>
      <c r="HV224" s="1058"/>
      <c r="HW224" s="1058"/>
      <c r="HX224" s="1058"/>
      <c r="HY224" s="1058"/>
      <c r="HZ224" s="1058"/>
      <c r="IA224" s="1058"/>
      <c r="IB224" s="1058"/>
      <c r="IC224" s="1058"/>
      <c r="ID224" s="1058"/>
      <c r="IE224" s="1058"/>
      <c r="IF224" s="1058"/>
      <c r="IG224" s="1058"/>
      <c r="IH224" s="1058"/>
      <c r="II224" s="1058"/>
      <c r="IJ224" s="1058"/>
      <c r="IK224" s="1058"/>
      <c r="IL224" s="1058"/>
      <c r="IM224" s="1058"/>
      <c r="IN224" s="1058"/>
      <c r="IO224" s="1058"/>
      <c r="IP224" s="1058"/>
      <c r="IQ224" s="1058"/>
      <c r="IR224" s="1058"/>
      <c r="IS224" s="1058"/>
      <c r="IT224" s="1058"/>
      <c r="IU224" s="1058"/>
      <c r="IV224" s="1058"/>
      <c r="IW224" s="1058"/>
      <c r="IX224" s="1058"/>
      <c r="IY224" s="1058"/>
      <c r="IZ224" s="1058"/>
      <c r="JA224" s="1058"/>
      <c r="JB224" s="1058"/>
      <c r="JC224" s="1058"/>
      <c r="JD224" s="1058"/>
      <c r="JE224" s="1058"/>
      <c r="JF224" s="1058"/>
      <c r="JG224" s="1058"/>
      <c r="JH224" s="1058"/>
      <c r="JI224" s="1058"/>
      <c r="JJ224" s="1058"/>
      <c r="JK224" s="1058"/>
      <c r="JL224" s="1058"/>
      <c r="JM224" s="1058"/>
      <c r="JN224" s="1058"/>
      <c r="JO224" s="1058"/>
      <c r="JP224" s="1058"/>
      <c r="JQ224" s="1058"/>
      <c r="JR224" s="1058"/>
      <c r="JS224" s="1058"/>
      <c r="JT224" s="1058"/>
      <c r="JU224" s="1058"/>
      <c r="JV224" s="1059"/>
      <c r="JW224" s="1058"/>
      <c r="JX224" s="1058"/>
      <c r="JY224" s="1058"/>
      <c r="JZ224" s="1058"/>
      <c r="KA224" s="1059"/>
      <c r="KB224" s="1059"/>
      <c r="KC224" s="1059"/>
      <c r="KD224" s="1059"/>
      <c r="KE224" s="1059"/>
      <c r="KF224" s="1059"/>
      <c r="KG224" s="1059"/>
      <c r="KH224" s="1059"/>
      <c r="KI224" s="1059"/>
      <c r="KJ224" s="1059"/>
      <c r="KK224" s="1059"/>
      <c r="KL224" s="1059"/>
      <c r="KM224" s="1059"/>
      <c r="KN224" s="1059"/>
      <c r="KO224" s="1059"/>
      <c r="KP224" s="1059"/>
      <c r="KQ224" s="1059"/>
      <c r="KR224" s="1059"/>
      <c r="KS224" s="1059"/>
      <c r="KT224" s="1059"/>
      <c r="KU224" s="1059"/>
      <c r="KV224" s="1059"/>
      <c r="KW224" s="1059"/>
      <c r="KX224" s="1059"/>
      <c r="KY224" s="1059"/>
      <c r="KZ224" s="1059"/>
      <c r="LA224" s="1059"/>
      <c r="LB224" s="1059"/>
      <c r="LC224" s="1059"/>
      <c r="LD224" s="1059"/>
      <c r="LE224" s="1059"/>
      <c r="LF224" s="1059"/>
      <c r="LG224" s="1058"/>
      <c r="LH224" s="1058"/>
      <c r="LI224" s="1058"/>
      <c r="LJ224" s="1058"/>
      <c r="LK224" s="1058"/>
      <c r="LL224" s="1058"/>
      <c r="LM224" s="1060"/>
      <c r="LN224" s="1058"/>
      <c r="LO224" s="1058"/>
      <c r="LP224" s="1058"/>
      <c r="LQ224" s="1058"/>
      <c r="LR224" s="1058"/>
      <c r="LS224" s="1058"/>
      <c r="LT224" s="1058"/>
      <c r="LU224" s="1058"/>
      <c r="LV224" s="1058"/>
      <c r="LW224" s="1058"/>
      <c r="LX224" s="1058"/>
      <c r="LY224" s="1058"/>
      <c r="LZ224" s="1058"/>
      <c r="MA224" s="1058"/>
      <c r="MB224" s="1058"/>
      <c r="MC224" s="1060"/>
      <c r="MD224" s="1060"/>
      <c r="ME224" s="1058"/>
      <c r="MF224" s="1058"/>
      <c r="MG224" s="1058"/>
      <c r="MH224" s="1058"/>
      <c r="MI224" s="1058"/>
      <c r="MJ224" s="1058"/>
      <c r="MK224" s="1058"/>
      <c r="ML224" s="1058"/>
      <c r="MM224" s="1058"/>
      <c r="MN224" s="1058"/>
      <c r="MO224" s="1058"/>
      <c r="MP224" s="1058"/>
      <c r="MQ224" s="1058"/>
      <c r="MR224" s="1058"/>
      <c r="MS224" s="1058"/>
      <c r="MT224" s="1058"/>
      <c r="MU224" s="1058"/>
      <c r="MV224" s="1058"/>
      <c r="MW224" s="1058"/>
      <c r="MX224" s="1058"/>
      <c r="MY224" s="1058"/>
      <c r="MZ224" s="1058"/>
      <c r="NA224" s="1058"/>
      <c r="NB224" s="1058"/>
      <c r="NC224" s="1058"/>
      <c r="ND224" s="1058"/>
      <c r="NE224" s="1058"/>
      <c r="NF224" s="1058"/>
      <c r="NG224" s="1058"/>
      <c r="NH224" s="1058"/>
      <c r="NI224" s="1058"/>
      <c r="NJ224" s="1058"/>
      <c r="NK224" s="1058"/>
      <c r="NL224" s="1058"/>
      <c r="NM224" s="1058"/>
      <c r="NN224" s="1058"/>
      <c r="NO224" s="1058"/>
      <c r="NP224" s="1058"/>
      <c r="NQ224" s="1058"/>
      <c r="NR224" s="1058"/>
      <c r="NS224" s="1058"/>
      <c r="NT224" s="1058"/>
      <c r="NU224" s="1058"/>
      <c r="NV224" s="1058"/>
      <c r="NW224" s="1058"/>
      <c r="NX224" s="1058"/>
      <c r="NY224" s="1058"/>
      <c r="NZ224" s="1058"/>
      <c r="OA224" s="1058"/>
      <c r="OB224" s="1058"/>
      <c r="OC224" s="1058"/>
      <c r="OD224" s="1018"/>
      <c r="OE224" s="1018"/>
      <c r="OF224" s="1018"/>
      <c r="OG224" s="1018"/>
      <c r="OH224" s="1018"/>
      <c r="OI224" s="1018"/>
      <c r="OJ224" s="1018"/>
      <c r="OK224" s="1018"/>
      <c r="OL224" s="1018"/>
      <c r="OM224" s="1018"/>
      <c r="ON224" s="1018"/>
      <c r="OO224" s="1018"/>
      <c r="OP224" s="1018"/>
      <c r="OQ224" s="1018"/>
      <c r="OR224" s="1018"/>
      <c r="OS224" s="1018"/>
      <c r="OT224" s="1018"/>
      <c r="OU224" s="1018"/>
      <c r="OV224" s="1018"/>
      <c r="OW224" s="1018"/>
      <c r="OX224" s="1018"/>
      <c r="OY224" s="1018"/>
      <c r="OZ224" s="1018"/>
      <c r="PA224" s="1018"/>
      <c r="PB224" s="1018"/>
      <c r="PC224" s="1018"/>
      <c r="PD224" s="1018"/>
      <c r="PE224" s="1018"/>
      <c r="PF224" s="1018"/>
      <c r="PG224" s="1018"/>
      <c r="PH224" s="1018"/>
      <c r="PI224" s="1018"/>
      <c r="PJ224" s="1018"/>
      <c r="PK224" s="1018"/>
      <c r="PL224" s="1018"/>
      <c r="PM224" s="1018"/>
      <c r="PN224" s="1018"/>
      <c r="PO224" s="1018"/>
      <c r="PP224" s="1018"/>
      <c r="PQ224" s="1018"/>
      <c r="PR224" s="1018"/>
      <c r="PS224" s="1018"/>
      <c r="PT224" s="1018"/>
      <c r="PU224" s="1018"/>
      <c r="PV224" s="1018"/>
      <c r="PW224" s="1018"/>
      <c r="PX224" s="1018"/>
      <c r="PY224" s="1018"/>
      <c r="PZ224" s="1018"/>
      <c r="QA224" s="1018"/>
      <c r="QB224" s="1018"/>
      <c r="QC224" s="1018"/>
      <c r="QD224" s="1018"/>
      <c r="QE224" s="1018"/>
      <c r="QF224" s="1018"/>
      <c r="QG224" s="1018"/>
      <c r="QH224" s="1018"/>
      <c r="QI224" s="1018"/>
      <c r="QJ224" s="1018"/>
      <c r="QK224" s="1018"/>
      <c r="QL224" s="1018"/>
      <c r="QM224" s="1018"/>
      <c r="QN224" s="1018"/>
      <c r="QO224" s="1018"/>
      <c r="QP224" s="1018"/>
      <c r="QQ224" s="1018"/>
      <c r="QR224" s="1018"/>
      <c r="QS224" s="1018"/>
      <c r="QT224" s="1018"/>
      <c r="QU224" s="1018"/>
      <c r="QV224" s="1018"/>
      <c r="QW224" s="1018"/>
      <c r="QX224" s="1018"/>
      <c r="QY224" s="1018"/>
      <c r="QZ224" s="1018"/>
      <c r="RA224" s="1018"/>
      <c r="RB224" s="1018"/>
      <c r="RC224" s="1018"/>
      <c r="RD224" s="1018"/>
      <c r="RE224" s="1018"/>
      <c r="RF224" s="1018"/>
      <c r="RG224" s="1018"/>
      <c r="RH224" s="1018"/>
      <c r="RI224" s="1018"/>
      <c r="RJ224" s="1018"/>
      <c r="RK224" s="1018"/>
      <c r="RL224" s="1018"/>
      <c r="RM224" s="1018"/>
      <c r="RN224" s="1018"/>
      <c r="RO224" s="1018"/>
      <c r="RP224" s="1018"/>
      <c r="RQ224" s="1018"/>
      <c r="RR224" s="1018"/>
      <c r="RS224" s="1018"/>
      <c r="RT224" s="1018"/>
      <c r="RU224" s="1018"/>
      <c r="RV224" s="1018"/>
      <c r="RW224" s="1018"/>
      <c r="RX224" s="1018"/>
    </row>
    <row r="225" spans="1:492" s="1057" customFormat="1" ht="15.6" customHeight="1">
      <c r="A225" s="1018"/>
      <c r="B225" s="1018" t="s">
        <v>1273</v>
      </c>
      <c r="C225" s="1018"/>
      <c r="D225" s="1294"/>
      <c r="E225" s="1018"/>
      <c r="F225" s="2323"/>
      <c r="G225" s="2324"/>
      <c r="H225" s="1018"/>
      <c r="I225" s="1018" t="s">
        <v>1456</v>
      </c>
      <c r="J225" s="1018"/>
      <c r="K225" s="2321"/>
      <c r="L225" s="2322"/>
      <c r="M225" s="1018"/>
      <c r="N225" s="1161" t="s">
        <v>3401</v>
      </c>
      <c r="O225" s="1298"/>
      <c r="P225" s="1298"/>
      <c r="Q225" s="1299"/>
      <c r="R225" s="2314"/>
      <c r="S225" s="2315"/>
      <c r="T225" s="2315"/>
      <c r="U225" s="2315"/>
      <c r="V225" s="2316"/>
      <c r="W225" s="1064"/>
      <c r="X225" s="1058"/>
      <c r="Y225" s="1058"/>
      <c r="Z225" s="1058"/>
      <c r="AA225" s="1058"/>
      <c r="AB225" s="1064"/>
      <c r="AC225" s="1058"/>
      <c r="AD225" s="1058"/>
      <c r="AE225" s="1058"/>
      <c r="AF225" s="1058"/>
      <c r="AG225" s="1064"/>
      <c r="AH225" s="1058"/>
      <c r="AI225" s="1058"/>
      <c r="AJ225" s="1058"/>
      <c r="AK225" s="1058"/>
      <c r="AL225" s="1064"/>
      <c r="AM225" s="1058"/>
      <c r="AN225" s="1058"/>
      <c r="AO225" s="1058"/>
      <c r="AP225" s="1058"/>
      <c r="AQ225" s="1058"/>
      <c r="AR225" s="1058"/>
      <c r="AS225" s="1058"/>
      <c r="AT225" s="1058"/>
      <c r="AU225" s="1058"/>
      <c r="AV225" s="1058"/>
      <c r="AW225" s="1058"/>
      <c r="AX225" s="1058"/>
      <c r="AY225" s="1058"/>
      <c r="AZ225" s="1058"/>
      <c r="BA225" s="1058"/>
      <c r="BB225" s="1058"/>
      <c r="BC225" s="1058"/>
      <c r="BD225" s="1058"/>
      <c r="BE225" s="1058"/>
      <c r="BF225" s="1058"/>
      <c r="BG225" s="1058"/>
      <c r="BH225" s="1058"/>
      <c r="BI225" s="1058"/>
      <c r="BJ225" s="1058"/>
      <c r="BK225" s="1058"/>
      <c r="BL225" s="1058"/>
      <c r="BM225" s="1058"/>
      <c r="BN225" s="1058"/>
      <c r="BO225" s="1058"/>
      <c r="BP225" s="1058"/>
      <c r="BQ225" s="1058"/>
      <c r="BR225" s="1058"/>
      <c r="BS225" s="1058"/>
      <c r="BT225" s="1058"/>
      <c r="BU225" s="1058"/>
      <c r="BV225" s="1058"/>
      <c r="BW225" s="1058"/>
      <c r="BX225" s="1058"/>
      <c r="BY225" s="1058"/>
      <c r="BZ225" s="1058"/>
      <c r="CA225" s="1058"/>
      <c r="CB225" s="1058"/>
      <c r="CC225" s="1058"/>
      <c r="CD225" s="1058"/>
      <c r="CE225" s="1058"/>
      <c r="CF225" s="1058"/>
      <c r="CG225" s="1058"/>
      <c r="CH225" s="1058"/>
      <c r="CI225" s="1058"/>
      <c r="CJ225" s="1058"/>
      <c r="CK225" s="1058"/>
      <c r="CL225" s="1058"/>
      <c r="CM225" s="1058"/>
      <c r="CN225" s="1058"/>
      <c r="CO225" s="1058"/>
      <c r="CP225" s="1058"/>
      <c r="CQ225" s="1058"/>
      <c r="CR225" s="1058"/>
      <c r="CS225" s="1058"/>
      <c r="CT225" s="1058"/>
      <c r="CU225" s="1058"/>
      <c r="CV225" s="1058"/>
      <c r="CW225" s="1058"/>
      <c r="CX225" s="1058"/>
      <c r="CY225" s="1058"/>
      <c r="CZ225" s="1058"/>
      <c r="DA225" s="1058"/>
      <c r="DB225" s="1058"/>
      <c r="DC225" s="1058"/>
      <c r="DD225" s="1058"/>
      <c r="DE225" s="1058"/>
      <c r="DF225" s="1058"/>
      <c r="DG225" s="1058"/>
      <c r="DH225" s="1058"/>
      <c r="DI225" s="1058"/>
      <c r="DJ225" s="1058"/>
      <c r="DK225" s="1058"/>
      <c r="DL225" s="1058"/>
      <c r="DM225" s="1058"/>
      <c r="DN225" s="1058"/>
      <c r="DO225" s="1058"/>
      <c r="DP225" s="1058"/>
      <c r="DQ225" s="1058"/>
      <c r="DR225" s="1058"/>
      <c r="DS225" s="1058"/>
      <c r="DT225" s="1058"/>
      <c r="DU225" s="1058"/>
      <c r="DV225" s="1058"/>
      <c r="DW225" s="1058"/>
      <c r="DX225" s="1058"/>
      <c r="DY225" s="1058"/>
      <c r="DZ225" s="1058"/>
      <c r="EA225" s="1058"/>
      <c r="EB225" s="1058"/>
      <c r="EC225" s="1058"/>
      <c r="ED225" s="1058"/>
      <c r="EE225" s="1058"/>
      <c r="EF225" s="1058"/>
      <c r="EG225" s="1058"/>
      <c r="EH225" s="1058"/>
      <c r="EI225" s="1058"/>
      <c r="EJ225" s="1058"/>
      <c r="EK225" s="1058"/>
      <c r="EL225" s="1058"/>
      <c r="EM225" s="1058"/>
      <c r="EN225" s="1058"/>
      <c r="EO225" s="1058"/>
      <c r="EP225" s="1058"/>
      <c r="EQ225" s="1058"/>
      <c r="ER225" s="1058"/>
      <c r="ES225" s="1058"/>
      <c r="ET225" s="1058"/>
      <c r="EU225" s="1058"/>
      <c r="EV225" s="1058"/>
      <c r="EW225" s="1058"/>
      <c r="EX225" s="1058"/>
      <c r="EY225" s="1058"/>
      <c r="EZ225" s="1058"/>
      <c r="FA225" s="1058"/>
      <c r="FB225" s="1058"/>
      <c r="FC225" s="1058"/>
      <c r="FD225" s="1058"/>
      <c r="FE225" s="1058"/>
      <c r="FF225" s="1058"/>
      <c r="FG225" s="1058"/>
      <c r="FH225" s="1058"/>
      <c r="FI225" s="1058"/>
      <c r="FJ225" s="1058"/>
      <c r="FK225" s="1058"/>
      <c r="FL225" s="1058"/>
      <c r="FM225" s="1058"/>
      <c r="FN225" s="1058"/>
      <c r="FO225" s="1058"/>
      <c r="FP225" s="1058"/>
      <c r="FQ225" s="1058"/>
      <c r="FR225" s="1058"/>
      <c r="FS225" s="1058"/>
      <c r="FT225" s="1058"/>
      <c r="FU225" s="1058"/>
      <c r="FV225" s="1058"/>
      <c r="FW225" s="1058"/>
      <c r="FX225" s="1058"/>
      <c r="FY225" s="1058"/>
      <c r="FZ225" s="1058"/>
      <c r="GA225" s="1058"/>
      <c r="GB225" s="1058"/>
      <c r="GC225" s="1058"/>
      <c r="GD225" s="1058"/>
      <c r="GE225" s="1058"/>
      <c r="GF225" s="1058"/>
      <c r="GG225" s="1058"/>
      <c r="GH225" s="1058"/>
      <c r="GI225" s="1058"/>
      <c r="GJ225" s="1058"/>
      <c r="GK225" s="1058"/>
      <c r="GL225" s="1058"/>
      <c r="GM225" s="1058"/>
      <c r="GN225" s="1058"/>
      <c r="GO225" s="1058"/>
      <c r="GP225" s="1058"/>
      <c r="GQ225" s="1058"/>
      <c r="GR225" s="1058"/>
      <c r="GS225" s="1058"/>
      <c r="GT225" s="1058"/>
      <c r="GU225" s="1058"/>
      <c r="GV225" s="1058"/>
      <c r="GW225" s="1058"/>
      <c r="GX225" s="1058"/>
      <c r="GY225" s="1058"/>
      <c r="GZ225" s="1058"/>
      <c r="HA225" s="1058"/>
      <c r="HB225" s="1058"/>
      <c r="HC225" s="1058"/>
      <c r="HD225" s="1058"/>
      <c r="HE225" s="1058"/>
      <c r="HF225" s="1058"/>
      <c r="HG225" s="1058"/>
      <c r="HH225" s="1058"/>
      <c r="HI225" s="1058"/>
      <c r="HJ225" s="1058"/>
      <c r="HK225" s="1058"/>
      <c r="HL225" s="1058"/>
      <c r="HM225" s="1058"/>
      <c r="HN225" s="1058"/>
      <c r="HO225" s="1058"/>
      <c r="HP225" s="1058"/>
      <c r="HQ225" s="1058"/>
      <c r="HR225" s="1058"/>
      <c r="HS225" s="1058"/>
      <c r="HT225" s="1058"/>
      <c r="HU225" s="1058"/>
      <c r="HV225" s="1058"/>
      <c r="HW225" s="1058"/>
      <c r="HX225" s="1058"/>
      <c r="HY225" s="1058"/>
      <c r="HZ225" s="1058"/>
      <c r="IA225" s="1058"/>
      <c r="IB225" s="1058"/>
      <c r="IC225" s="1058"/>
      <c r="ID225" s="1058"/>
      <c r="IE225" s="1058"/>
      <c r="IF225" s="1058"/>
      <c r="IG225" s="1058"/>
      <c r="IH225" s="1058"/>
      <c r="II225" s="1058"/>
      <c r="IJ225" s="1058"/>
      <c r="IK225" s="1058"/>
      <c r="IL225" s="1058"/>
      <c r="IM225" s="1058"/>
      <c r="IN225" s="1058"/>
      <c r="IO225" s="1058"/>
      <c r="IP225" s="1058"/>
      <c r="IQ225" s="1058"/>
      <c r="IR225" s="1058"/>
      <c r="IS225" s="1058"/>
      <c r="IT225" s="1058"/>
      <c r="IU225" s="1058"/>
      <c r="IV225" s="1058"/>
      <c r="IW225" s="1058"/>
      <c r="IX225" s="1058"/>
      <c r="IY225" s="1058"/>
      <c r="IZ225" s="1058"/>
      <c r="JA225" s="1058"/>
      <c r="JB225" s="1058"/>
      <c r="JC225" s="1058"/>
      <c r="JD225" s="1058"/>
      <c r="JE225" s="1058"/>
      <c r="JF225" s="1058"/>
      <c r="JG225" s="1058"/>
      <c r="JH225" s="1058"/>
      <c r="JI225" s="1058"/>
      <c r="JJ225" s="1058"/>
      <c r="JK225" s="1058"/>
      <c r="JL225" s="1058"/>
      <c r="JM225" s="1058"/>
      <c r="JN225" s="1058"/>
      <c r="JO225" s="1058"/>
      <c r="JP225" s="1058"/>
      <c r="JQ225" s="1058"/>
      <c r="JR225" s="1058"/>
      <c r="JS225" s="1058"/>
      <c r="JT225" s="1058"/>
      <c r="JU225" s="1058"/>
      <c r="JV225" s="1059"/>
      <c r="JW225" s="1058"/>
      <c r="JX225" s="1058"/>
      <c r="JY225" s="1058"/>
      <c r="JZ225" s="1058"/>
      <c r="KA225" s="1059"/>
      <c r="KB225" s="1059"/>
      <c r="KC225" s="1059"/>
      <c r="KD225" s="1059"/>
      <c r="KE225" s="1059"/>
      <c r="KF225" s="1059"/>
      <c r="KG225" s="1059"/>
      <c r="KH225" s="1059"/>
      <c r="KI225" s="1059"/>
      <c r="KJ225" s="1059"/>
      <c r="KK225" s="1059"/>
      <c r="KL225" s="1059"/>
      <c r="KM225" s="1059"/>
      <c r="KN225" s="1059"/>
      <c r="KO225" s="1059"/>
      <c r="KP225" s="1059"/>
      <c r="KQ225" s="1059"/>
      <c r="KR225" s="1059"/>
      <c r="KS225" s="1059"/>
      <c r="KT225" s="1059"/>
      <c r="KU225" s="1059"/>
      <c r="KV225" s="1059"/>
      <c r="KW225" s="1059"/>
      <c r="KX225" s="1059"/>
      <c r="KY225" s="1059"/>
      <c r="KZ225" s="1059"/>
      <c r="LA225" s="1059"/>
      <c r="LB225" s="1059"/>
      <c r="LC225" s="1059"/>
      <c r="LD225" s="1059"/>
      <c r="LE225" s="1059"/>
      <c r="LF225" s="1059"/>
      <c r="LG225" s="1058"/>
      <c r="LH225" s="1058"/>
      <c r="LI225" s="1058"/>
      <c r="LJ225" s="1058"/>
      <c r="LK225" s="1058"/>
      <c r="LL225" s="1058"/>
      <c r="LM225" s="1060"/>
      <c r="LN225" s="1058"/>
      <c r="LO225" s="1058"/>
      <c r="LP225" s="1058"/>
      <c r="LQ225" s="1058"/>
      <c r="LR225" s="1058"/>
      <c r="LS225" s="1058"/>
      <c r="LT225" s="1058"/>
      <c r="LU225" s="1058"/>
      <c r="LV225" s="1058"/>
      <c r="LW225" s="1058"/>
      <c r="LX225" s="1058"/>
      <c r="LY225" s="1058"/>
      <c r="LZ225" s="1058"/>
      <c r="MA225" s="1058"/>
      <c r="MB225" s="1058"/>
      <c r="MC225" s="1060"/>
      <c r="MD225" s="1060"/>
      <c r="ME225" s="1058"/>
      <c r="MF225" s="1058"/>
      <c r="MG225" s="1058"/>
      <c r="MH225" s="1058"/>
      <c r="MI225" s="1058"/>
      <c r="MJ225" s="1058"/>
      <c r="MK225" s="1058"/>
      <c r="ML225" s="1058"/>
      <c r="MM225" s="1058"/>
      <c r="MN225" s="1058"/>
      <c r="MO225" s="1058"/>
      <c r="MP225" s="1058"/>
      <c r="MQ225" s="1058"/>
      <c r="MR225" s="1058"/>
      <c r="MS225" s="1058"/>
      <c r="MT225" s="1058"/>
      <c r="MU225" s="1058"/>
      <c r="MV225" s="1058"/>
      <c r="MW225" s="1058"/>
      <c r="MX225" s="1058"/>
      <c r="MY225" s="1058"/>
      <c r="MZ225" s="1058"/>
      <c r="NA225" s="1058"/>
      <c r="NB225" s="1058"/>
      <c r="NC225" s="1058"/>
      <c r="ND225" s="1058"/>
      <c r="NE225" s="1058"/>
      <c r="NF225" s="1058"/>
      <c r="NG225" s="1058"/>
      <c r="NH225" s="1058"/>
      <c r="NI225" s="1058"/>
      <c r="NJ225" s="1058"/>
      <c r="NK225" s="1058"/>
      <c r="NL225" s="1058"/>
      <c r="NM225" s="1058"/>
      <c r="NN225" s="1058"/>
      <c r="NO225" s="1058"/>
      <c r="NP225" s="1058"/>
      <c r="NQ225" s="1058"/>
      <c r="NR225" s="1058"/>
      <c r="NS225" s="1058"/>
      <c r="NT225" s="1058"/>
      <c r="NU225" s="1058"/>
      <c r="NV225" s="1058"/>
      <c r="NW225" s="1058"/>
      <c r="NX225" s="1058"/>
      <c r="NY225" s="1058"/>
      <c r="NZ225" s="1058"/>
      <c r="OA225" s="1058"/>
      <c r="OB225" s="1058"/>
      <c r="OC225" s="1058"/>
      <c r="OD225" s="1018"/>
      <c r="OE225" s="1018"/>
      <c r="OF225" s="1018"/>
      <c r="OG225" s="1018"/>
      <c r="OH225" s="1018"/>
      <c r="OI225" s="1018"/>
      <c r="OJ225" s="1018"/>
      <c r="OK225" s="1018"/>
      <c r="OL225" s="1018"/>
      <c r="OM225" s="1018"/>
      <c r="ON225" s="1018"/>
      <c r="OO225" s="1018"/>
      <c r="OP225" s="1018"/>
      <c r="OQ225" s="1018"/>
      <c r="OR225" s="1018"/>
      <c r="OS225" s="1018"/>
      <c r="OT225" s="1018"/>
      <c r="OU225" s="1018"/>
      <c r="OV225" s="1018"/>
      <c r="OW225" s="1018"/>
      <c r="OX225" s="1018"/>
      <c r="OY225" s="1018"/>
      <c r="OZ225" s="1018"/>
      <c r="PA225" s="1018"/>
      <c r="PB225" s="1018"/>
      <c r="PC225" s="1018"/>
      <c r="PD225" s="1018"/>
      <c r="PE225" s="1018"/>
      <c r="PF225" s="1018"/>
      <c r="PG225" s="1018"/>
      <c r="PH225" s="1018"/>
      <c r="PI225" s="1018"/>
      <c r="PJ225" s="1018"/>
      <c r="PK225" s="1018"/>
      <c r="PL225" s="1018"/>
      <c r="PM225" s="1018"/>
      <c r="PN225" s="1018"/>
      <c r="PO225" s="1018"/>
      <c r="PP225" s="1018"/>
      <c r="PQ225" s="1018"/>
      <c r="PR225" s="1018"/>
      <c r="PS225" s="1018"/>
      <c r="PT225" s="1018"/>
      <c r="PU225" s="1018"/>
      <c r="PV225" s="1018"/>
      <c r="PW225" s="1018"/>
      <c r="PX225" s="1018"/>
      <c r="PY225" s="1018"/>
      <c r="PZ225" s="1018"/>
      <c r="QA225" s="1018"/>
      <c r="QB225" s="1018"/>
      <c r="QC225" s="1018"/>
      <c r="QD225" s="1018"/>
      <c r="QE225" s="1018"/>
      <c r="QF225" s="1018"/>
      <c r="QG225" s="1018"/>
      <c r="QH225" s="1018"/>
      <c r="QI225" s="1018"/>
      <c r="QJ225" s="1018"/>
      <c r="QK225" s="1018"/>
      <c r="QL225" s="1018"/>
      <c r="QM225" s="1018"/>
      <c r="QN225" s="1018"/>
      <c r="QO225" s="1018"/>
      <c r="QP225" s="1018"/>
      <c r="QQ225" s="1018"/>
      <c r="QR225" s="1018"/>
      <c r="QS225" s="1018"/>
      <c r="QT225" s="1018"/>
      <c r="QU225" s="1018"/>
      <c r="QV225" s="1018"/>
      <c r="QW225" s="1018"/>
      <c r="QX225" s="1018"/>
      <c r="QY225" s="1018"/>
      <c r="QZ225" s="1018"/>
      <c r="RA225" s="1018"/>
      <c r="RB225" s="1018"/>
      <c r="RC225" s="1018"/>
      <c r="RD225" s="1018"/>
      <c r="RE225" s="1018"/>
      <c r="RF225" s="1018"/>
      <c r="RG225" s="1018"/>
      <c r="RH225" s="1018"/>
      <c r="RI225" s="1018"/>
      <c r="RJ225" s="1018"/>
      <c r="RK225" s="1018"/>
      <c r="RL225" s="1018"/>
      <c r="RM225" s="1018"/>
      <c r="RN225" s="1018"/>
      <c r="RO225" s="1018"/>
      <c r="RP225" s="1018"/>
      <c r="RQ225" s="1018"/>
      <c r="RR225" s="1018"/>
      <c r="RS225" s="1018"/>
      <c r="RT225" s="1018"/>
      <c r="RU225" s="1018"/>
      <c r="RV225" s="1018"/>
      <c r="RW225" s="1018"/>
      <c r="RX225" s="1018"/>
    </row>
    <row r="226" spans="1:492" s="1057" customFormat="1" ht="15.6" customHeight="1" thickBot="1">
      <c r="A226" s="1018"/>
      <c r="B226" s="1018" t="s">
        <v>2082</v>
      </c>
      <c r="C226" s="1018"/>
      <c r="D226" s="1294"/>
      <c r="E226" s="1018"/>
      <c r="F226" s="2323"/>
      <c r="G226" s="2324"/>
      <c r="H226" s="1018"/>
      <c r="I226" s="2325" t="s">
        <v>46</v>
      </c>
      <c r="J226" s="2326"/>
      <c r="K226" s="2327"/>
      <c r="L226" s="2328"/>
      <c r="M226" s="1018"/>
      <c r="N226" s="1298"/>
      <c r="O226" s="1298"/>
      <c r="P226" s="1298"/>
      <c r="Q226" s="1299"/>
      <c r="R226" s="2314"/>
      <c r="S226" s="2315"/>
      <c r="T226" s="2315"/>
      <c r="U226" s="2315"/>
      <c r="V226" s="2316"/>
      <c r="W226" s="1064"/>
      <c r="X226" s="1058"/>
      <c r="Y226" s="1058"/>
      <c r="Z226" s="1058"/>
      <c r="AA226" s="1058"/>
      <c r="AB226" s="1064"/>
      <c r="AC226" s="1058"/>
      <c r="AD226" s="1058"/>
      <c r="AE226" s="1058"/>
      <c r="AF226" s="1058"/>
      <c r="AG226" s="1064"/>
      <c r="AH226" s="1058"/>
      <c r="AI226" s="1058"/>
      <c r="AJ226" s="1058"/>
      <c r="AK226" s="1058"/>
      <c r="AL226" s="1064"/>
      <c r="AM226" s="1058"/>
      <c r="AN226" s="1058"/>
      <c r="AO226" s="1058"/>
      <c r="AP226" s="1058"/>
      <c r="AQ226" s="1058"/>
      <c r="AR226" s="1058"/>
      <c r="AS226" s="1058"/>
      <c r="AT226" s="1058"/>
      <c r="AU226" s="1058"/>
      <c r="AV226" s="1058"/>
      <c r="AW226" s="1058"/>
      <c r="AX226" s="1058"/>
      <c r="AY226" s="1058"/>
      <c r="AZ226" s="1058"/>
      <c r="BA226" s="1058"/>
      <c r="BB226" s="1058"/>
      <c r="BC226" s="1058"/>
      <c r="BD226" s="1058"/>
      <c r="BE226" s="1058"/>
      <c r="BF226" s="1058"/>
      <c r="BG226" s="1058"/>
      <c r="BH226" s="1058"/>
      <c r="BI226" s="1058"/>
      <c r="BJ226" s="1058"/>
      <c r="BK226" s="1058"/>
      <c r="BL226" s="1058"/>
      <c r="BM226" s="1058"/>
      <c r="BN226" s="1058"/>
      <c r="BO226" s="1058"/>
      <c r="BP226" s="1058"/>
      <c r="BQ226" s="1058"/>
      <c r="BR226" s="1058"/>
      <c r="BS226" s="1058"/>
      <c r="BT226" s="1058"/>
      <c r="BU226" s="1058"/>
      <c r="BV226" s="1058"/>
      <c r="BW226" s="1058"/>
      <c r="BX226" s="1058"/>
      <c r="BY226" s="1058"/>
      <c r="BZ226" s="1058"/>
      <c r="CA226" s="1058"/>
      <c r="CB226" s="1058"/>
      <c r="CC226" s="1058"/>
      <c r="CD226" s="1058"/>
      <c r="CE226" s="1058"/>
      <c r="CF226" s="1058"/>
      <c r="CG226" s="1058"/>
      <c r="CH226" s="1058"/>
      <c r="CI226" s="1058"/>
      <c r="CJ226" s="1058"/>
      <c r="CK226" s="1058"/>
      <c r="CL226" s="1058"/>
      <c r="CM226" s="1058"/>
      <c r="CN226" s="1058"/>
      <c r="CO226" s="1058"/>
      <c r="CP226" s="1058"/>
      <c r="CQ226" s="1058"/>
      <c r="CR226" s="1058"/>
      <c r="CS226" s="1058"/>
      <c r="CT226" s="1058"/>
      <c r="CU226" s="1058"/>
      <c r="CV226" s="1058"/>
      <c r="CW226" s="1058"/>
      <c r="CX226" s="1058"/>
      <c r="CY226" s="1058"/>
      <c r="CZ226" s="1058"/>
      <c r="DA226" s="1058"/>
      <c r="DB226" s="1058"/>
      <c r="DC226" s="1058"/>
      <c r="DD226" s="1058"/>
      <c r="DE226" s="1058"/>
      <c r="DF226" s="1058"/>
      <c r="DG226" s="1058"/>
      <c r="DH226" s="1058"/>
      <c r="DI226" s="1058"/>
      <c r="DJ226" s="1058"/>
      <c r="DK226" s="1058"/>
      <c r="DL226" s="1058"/>
      <c r="DM226" s="1058"/>
      <c r="DN226" s="1058"/>
      <c r="DO226" s="1058"/>
      <c r="DP226" s="1058"/>
      <c r="DQ226" s="1058"/>
      <c r="DR226" s="1058"/>
      <c r="DS226" s="1058"/>
      <c r="DT226" s="1058"/>
      <c r="DU226" s="1058"/>
      <c r="DV226" s="1058"/>
      <c r="DW226" s="1058"/>
      <c r="DX226" s="1058"/>
      <c r="DY226" s="1058"/>
      <c r="DZ226" s="1058"/>
      <c r="EA226" s="1058"/>
      <c r="EB226" s="1058"/>
      <c r="EC226" s="1058"/>
      <c r="ED226" s="1058"/>
      <c r="EE226" s="1058"/>
      <c r="EF226" s="1058"/>
      <c r="EG226" s="1058"/>
      <c r="EH226" s="1058"/>
      <c r="EI226" s="1058"/>
      <c r="EJ226" s="1058"/>
      <c r="EK226" s="1058"/>
      <c r="EL226" s="1058"/>
      <c r="EM226" s="1058"/>
      <c r="EN226" s="1058"/>
      <c r="EO226" s="1058"/>
      <c r="EP226" s="1058"/>
      <c r="EQ226" s="1058"/>
      <c r="ER226" s="1058"/>
      <c r="ES226" s="1058"/>
      <c r="ET226" s="1058"/>
      <c r="EU226" s="1058"/>
      <c r="EV226" s="1058"/>
      <c r="EW226" s="1058"/>
      <c r="EX226" s="1058"/>
      <c r="EY226" s="1058"/>
      <c r="EZ226" s="1058"/>
      <c r="FA226" s="1058"/>
      <c r="FB226" s="1058"/>
      <c r="FC226" s="1058"/>
      <c r="FD226" s="1058"/>
      <c r="FE226" s="1058"/>
      <c r="FF226" s="1058"/>
      <c r="FG226" s="1058"/>
      <c r="FH226" s="1058"/>
      <c r="FI226" s="1058"/>
      <c r="FJ226" s="1058"/>
      <c r="FK226" s="1058"/>
      <c r="FL226" s="1058"/>
      <c r="FM226" s="1058"/>
      <c r="FN226" s="1058"/>
      <c r="FO226" s="1058"/>
      <c r="FP226" s="1058"/>
      <c r="FQ226" s="1058"/>
      <c r="FR226" s="1058"/>
      <c r="FS226" s="1058"/>
      <c r="FT226" s="1058"/>
      <c r="FU226" s="1058"/>
      <c r="FV226" s="1058"/>
      <c r="FW226" s="1058"/>
      <c r="FX226" s="1058"/>
      <c r="FY226" s="1058"/>
      <c r="FZ226" s="1058"/>
      <c r="GA226" s="1058"/>
      <c r="GB226" s="1058"/>
      <c r="GC226" s="1058"/>
      <c r="GD226" s="1058"/>
      <c r="GE226" s="1058"/>
      <c r="GF226" s="1058"/>
      <c r="GG226" s="1058"/>
      <c r="GH226" s="1058"/>
      <c r="GI226" s="1058"/>
      <c r="GJ226" s="1058"/>
      <c r="GK226" s="1058"/>
      <c r="GL226" s="1058"/>
      <c r="GM226" s="1058"/>
      <c r="GN226" s="1058"/>
      <c r="GO226" s="1058"/>
      <c r="GP226" s="1058"/>
      <c r="GQ226" s="1058"/>
      <c r="GR226" s="1058"/>
      <c r="GS226" s="1058"/>
      <c r="GT226" s="1058"/>
      <c r="GU226" s="1058"/>
      <c r="GV226" s="1058"/>
      <c r="GW226" s="1058"/>
      <c r="GX226" s="1058"/>
      <c r="GY226" s="1058"/>
      <c r="GZ226" s="1058"/>
      <c r="HA226" s="1058"/>
      <c r="HB226" s="1058"/>
      <c r="HC226" s="1058"/>
      <c r="HD226" s="1058"/>
      <c r="HE226" s="1058"/>
      <c r="HF226" s="1058"/>
      <c r="HG226" s="1058"/>
      <c r="HH226" s="1058"/>
      <c r="HI226" s="1058"/>
      <c r="HJ226" s="1058"/>
      <c r="HK226" s="1058"/>
      <c r="HL226" s="1058"/>
      <c r="HM226" s="1058"/>
      <c r="HN226" s="1058"/>
      <c r="HO226" s="1058"/>
      <c r="HP226" s="1058"/>
      <c r="HQ226" s="1058"/>
      <c r="HR226" s="1058"/>
      <c r="HS226" s="1058"/>
      <c r="HT226" s="1058"/>
      <c r="HU226" s="1058"/>
      <c r="HV226" s="1058"/>
      <c r="HW226" s="1058"/>
      <c r="HX226" s="1058"/>
      <c r="HY226" s="1058"/>
      <c r="HZ226" s="1058"/>
      <c r="IA226" s="1058"/>
      <c r="IB226" s="1058"/>
      <c r="IC226" s="1058"/>
      <c r="ID226" s="1058"/>
      <c r="IE226" s="1058"/>
      <c r="IF226" s="1058"/>
      <c r="IG226" s="1058"/>
      <c r="IH226" s="1058"/>
      <c r="II226" s="1058"/>
      <c r="IJ226" s="1058"/>
      <c r="IK226" s="1058"/>
      <c r="IL226" s="1058"/>
      <c r="IM226" s="1058"/>
      <c r="IN226" s="1058"/>
      <c r="IO226" s="1058"/>
      <c r="IP226" s="1058"/>
      <c r="IQ226" s="1058"/>
      <c r="IR226" s="1058"/>
      <c r="IS226" s="1058"/>
      <c r="IT226" s="1058"/>
      <c r="IU226" s="1058"/>
      <c r="IV226" s="1058"/>
      <c r="IW226" s="1058"/>
      <c r="IX226" s="1058"/>
      <c r="IY226" s="1058"/>
      <c r="IZ226" s="1058"/>
      <c r="JA226" s="1058"/>
      <c r="JB226" s="1058"/>
      <c r="JC226" s="1058"/>
      <c r="JD226" s="1058"/>
      <c r="JE226" s="1058"/>
      <c r="JF226" s="1058"/>
      <c r="JG226" s="1058"/>
      <c r="JH226" s="1058"/>
      <c r="JI226" s="1058"/>
      <c r="JJ226" s="1058"/>
      <c r="JK226" s="1058"/>
      <c r="JL226" s="1058"/>
      <c r="JM226" s="1058"/>
      <c r="JN226" s="1058"/>
      <c r="JO226" s="1058"/>
      <c r="JP226" s="1058"/>
      <c r="JQ226" s="1058"/>
      <c r="JR226" s="1058"/>
      <c r="JS226" s="1058"/>
      <c r="JT226" s="1058"/>
      <c r="JU226" s="1058"/>
      <c r="JV226" s="1059"/>
      <c r="JW226" s="1058"/>
      <c r="JX226" s="1058"/>
      <c r="JY226" s="1058"/>
      <c r="JZ226" s="1058"/>
      <c r="KA226" s="1059"/>
      <c r="KB226" s="1059"/>
      <c r="KC226" s="1059"/>
      <c r="KD226" s="1059"/>
      <c r="KE226" s="1059"/>
      <c r="KF226" s="1059"/>
      <c r="KG226" s="1059"/>
      <c r="KH226" s="1059"/>
      <c r="KI226" s="1059"/>
      <c r="KJ226" s="1059"/>
      <c r="KK226" s="1059"/>
      <c r="KL226" s="1059"/>
      <c r="KM226" s="1059"/>
      <c r="KN226" s="1059"/>
      <c r="KO226" s="1059"/>
      <c r="KP226" s="1059"/>
      <c r="KQ226" s="1059"/>
      <c r="KR226" s="1059"/>
      <c r="KS226" s="1059"/>
      <c r="KT226" s="1059"/>
      <c r="KU226" s="1059"/>
      <c r="KV226" s="1059"/>
      <c r="KW226" s="1059"/>
      <c r="KX226" s="1059"/>
      <c r="KY226" s="1059"/>
      <c r="KZ226" s="1059"/>
      <c r="LA226" s="1059"/>
      <c r="LB226" s="1059"/>
      <c r="LC226" s="1059"/>
      <c r="LD226" s="1059"/>
      <c r="LE226" s="1059"/>
      <c r="LF226" s="1059"/>
      <c r="LG226" s="1058"/>
      <c r="LH226" s="1058"/>
      <c r="LI226" s="1058"/>
      <c r="LJ226" s="1058"/>
      <c r="LK226" s="1058"/>
      <c r="LL226" s="1058"/>
      <c r="LM226" s="1060"/>
      <c r="LN226" s="1058"/>
      <c r="LO226" s="1058"/>
      <c r="LP226" s="1058"/>
      <c r="LQ226" s="1058"/>
      <c r="LR226" s="1058"/>
      <c r="LS226" s="1058"/>
      <c r="LT226" s="1058"/>
      <c r="LU226" s="1058"/>
      <c r="LV226" s="1058"/>
      <c r="LW226" s="1058"/>
      <c r="LX226" s="1058"/>
      <c r="LY226" s="1058"/>
      <c r="LZ226" s="1058"/>
      <c r="MA226" s="1058"/>
      <c r="MB226" s="1058"/>
      <c r="MC226" s="1060"/>
      <c r="MD226" s="1060"/>
      <c r="ME226" s="1058"/>
      <c r="MF226" s="1058"/>
      <c r="MG226" s="1058"/>
      <c r="MH226" s="1058"/>
      <c r="MI226" s="1058"/>
      <c r="MJ226" s="1058"/>
      <c r="MK226" s="1058"/>
      <c r="ML226" s="1058"/>
      <c r="MM226" s="1058"/>
      <c r="MN226" s="1058"/>
      <c r="MO226" s="1058"/>
      <c r="MP226" s="1058"/>
      <c r="MQ226" s="1058"/>
      <c r="MR226" s="1058"/>
      <c r="MS226" s="1058"/>
      <c r="MT226" s="1058"/>
      <c r="MU226" s="1058"/>
      <c r="MV226" s="1058"/>
      <c r="MW226" s="1058"/>
      <c r="MX226" s="1058"/>
      <c r="MY226" s="1058"/>
      <c r="MZ226" s="1058"/>
      <c r="NA226" s="1058"/>
      <c r="NB226" s="1058"/>
      <c r="NC226" s="1058"/>
      <c r="ND226" s="1058"/>
      <c r="NE226" s="1058"/>
      <c r="NF226" s="1058"/>
      <c r="NG226" s="1058"/>
      <c r="NH226" s="1058"/>
      <c r="NI226" s="1058"/>
      <c r="NJ226" s="1058"/>
      <c r="NK226" s="1058"/>
      <c r="NL226" s="1058"/>
      <c r="NM226" s="1058"/>
      <c r="NN226" s="1058"/>
      <c r="NO226" s="1058"/>
      <c r="NP226" s="1058"/>
      <c r="NQ226" s="1058"/>
      <c r="NR226" s="1058"/>
      <c r="NS226" s="1058"/>
      <c r="NT226" s="1058"/>
      <c r="NU226" s="1058"/>
      <c r="NV226" s="1058"/>
      <c r="NW226" s="1058"/>
      <c r="NX226" s="1058"/>
      <c r="NY226" s="1058"/>
      <c r="NZ226" s="1058"/>
      <c r="OA226" s="1058"/>
      <c r="OB226" s="1058"/>
      <c r="OC226" s="1058"/>
      <c r="OD226" s="1018"/>
      <c r="OE226" s="1018"/>
      <c r="OF226" s="1018"/>
      <c r="OG226" s="1018"/>
      <c r="OH226" s="1018"/>
      <c r="OI226" s="1018"/>
      <c r="OJ226" s="1018"/>
      <c r="OK226" s="1018"/>
      <c r="OL226" s="1018"/>
      <c r="OM226" s="1018"/>
      <c r="ON226" s="1018"/>
      <c r="OO226" s="1018"/>
      <c r="OP226" s="1018"/>
      <c r="OQ226" s="1018"/>
      <c r="OR226" s="1018"/>
      <c r="OS226" s="1018"/>
      <c r="OT226" s="1018"/>
      <c r="OU226" s="1018"/>
      <c r="OV226" s="1018"/>
      <c r="OW226" s="1018"/>
      <c r="OX226" s="1018"/>
      <c r="OY226" s="1018"/>
      <c r="OZ226" s="1018"/>
      <c r="PA226" s="1018"/>
      <c r="PB226" s="1018"/>
      <c r="PC226" s="1018"/>
      <c r="PD226" s="1018"/>
      <c r="PE226" s="1018"/>
      <c r="PF226" s="1018"/>
      <c r="PG226" s="1018"/>
      <c r="PH226" s="1018"/>
      <c r="PI226" s="1018"/>
      <c r="PJ226" s="1018"/>
      <c r="PK226" s="1018"/>
      <c r="PL226" s="1018"/>
      <c r="PM226" s="1018"/>
      <c r="PN226" s="1018"/>
      <c r="PO226" s="1018"/>
      <c r="PP226" s="1018"/>
      <c r="PQ226" s="1018"/>
      <c r="PR226" s="1018"/>
      <c r="PS226" s="1018"/>
      <c r="PT226" s="1018"/>
      <c r="PU226" s="1018"/>
      <c r="PV226" s="1018"/>
      <c r="PW226" s="1018"/>
      <c r="PX226" s="1018"/>
      <c r="PY226" s="1018"/>
      <c r="PZ226" s="1018"/>
      <c r="QA226" s="1018"/>
      <c r="QB226" s="1018"/>
      <c r="QC226" s="1018"/>
      <c r="QD226" s="1018"/>
      <c r="QE226" s="1018"/>
      <c r="QF226" s="1018"/>
      <c r="QG226" s="1018"/>
      <c r="QH226" s="1018"/>
      <c r="QI226" s="1018"/>
      <c r="QJ226" s="1018"/>
      <c r="QK226" s="1018"/>
      <c r="QL226" s="1018"/>
      <c r="QM226" s="1018"/>
      <c r="QN226" s="1018"/>
      <c r="QO226" s="1018"/>
      <c r="QP226" s="1018"/>
      <c r="QQ226" s="1018"/>
      <c r="QR226" s="1018"/>
      <c r="QS226" s="1018"/>
      <c r="QT226" s="1018"/>
      <c r="QU226" s="1018"/>
      <c r="QV226" s="1018"/>
      <c r="QW226" s="1018"/>
      <c r="QX226" s="1018"/>
      <c r="QY226" s="1018"/>
      <c r="QZ226" s="1018"/>
      <c r="RA226" s="1018"/>
      <c r="RB226" s="1018"/>
      <c r="RC226" s="1018"/>
      <c r="RD226" s="1018"/>
      <c r="RE226" s="1018"/>
      <c r="RF226" s="1018"/>
      <c r="RG226" s="1018"/>
      <c r="RH226" s="1018"/>
      <c r="RI226" s="1018"/>
      <c r="RJ226" s="1018"/>
      <c r="RK226" s="1018"/>
      <c r="RL226" s="1018"/>
      <c r="RM226" s="1018"/>
      <c r="RN226" s="1018"/>
      <c r="RO226" s="1018"/>
      <c r="RP226" s="1018"/>
      <c r="RQ226" s="1018"/>
      <c r="RR226" s="1018"/>
      <c r="RS226" s="1018"/>
      <c r="RT226" s="1018"/>
      <c r="RU226" s="1018"/>
      <c r="RV226" s="1018"/>
      <c r="RW226" s="1018"/>
      <c r="RX226" s="1018"/>
    </row>
    <row r="227" spans="1:492" s="1057" customFormat="1" ht="15.6" customHeight="1" thickTop="1" thickBot="1">
      <c r="A227" s="1018"/>
      <c r="B227" s="1018" t="s">
        <v>1453</v>
      </c>
      <c r="C227" s="1018"/>
      <c r="D227" s="1294"/>
      <c r="E227" s="1018"/>
      <c r="F227" s="2323"/>
      <c r="G227" s="2324"/>
      <c r="H227" s="1018"/>
      <c r="I227" s="1013"/>
      <c r="J227" s="1290" t="s">
        <v>171</v>
      </c>
      <c r="K227" s="2344">
        <f>SUM(K223:K226)</f>
        <v>0</v>
      </c>
      <c r="L227" s="2345"/>
      <c r="M227" s="2352" t="str">
        <f>IF(P229="","",IF(P227&lt;P229, "WARNING! OE below required minimum.",""))</f>
        <v/>
      </c>
      <c r="N227" s="1013" t="s">
        <v>1949</v>
      </c>
      <c r="O227" s="1141"/>
      <c r="P227" s="1300">
        <f>F220+F229+F240+K218+K227+K237+P219+P222</f>
        <v>0</v>
      </c>
      <c r="R227" s="2314"/>
      <c r="S227" s="2315"/>
      <c r="T227" s="2315"/>
      <c r="U227" s="2315"/>
      <c r="V227" s="2316"/>
      <c r="W227" s="1064"/>
      <c r="X227" s="1058"/>
      <c r="Y227" s="1058"/>
      <c r="Z227" s="1058"/>
      <c r="AA227" s="1058"/>
      <c r="AB227" s="1064"/>
      <c r="AC227" s="1058"/>
      <c r="AD227" s="1058"/>
      <c r="AE227" s="1058"/>
      <c r="AF227" s="1058"/>
      <c r="AG227" s="1064"/>
      <c r="AH227" s="1058"/>
      <c r="AI227" s="1058"/>
      <c r="AJ227" s="1058"/>
      <c r="AK227" s="1058"/>
      <c r="AL227" s="1064"/>
      <c r="AM227" s="1058"/>
      <c r="AN227" s="1058"/>
      <c r="AO227" s="1058"/>
      <c r="AP227" s="1058"/>
      <c r="AQ227" s="1058"/>
      <c r="AR227" s="1058"/>
      <c r="AS227" s="1058"/>
      <c r="AT227" s="1058"/>
      <c r="AU227" s="1058"/>
      <c r="AV227" s="1058"/>
      <c r="AW227" s="1058"/>
      <c r="AX227" s="1058"/>
      <c r="AY227" s="1058"/>
      <c r="AZ227" s="1058"/>
      <c r="BA227" s="1058"/>
      <c r="BB227" s="1058"/>
      <c r="BC227" s="1058"/>
      <c r="BD227" s="1058"/>
      <c r="BE227" s="1058"/>
      <c r="BF227" s="1058"/>
      <c r="BG227" s="1058"/>
      <c r="BH227" s="1058"/>
      <c r="BI227" s="1058"/>
      <c r="BJ227" s="1058"/>
      <c r="BK227" s="1058"/>
      <c r="BL227" s="1058"/>
      <c r="BM227" s="1058"/>
      <c r="BN227" s="1058"/>
      <c r="BO227" s="1058"/>
      <c r="BP227" s="1058"/>
      <c r="BQ227" s="1058"/>
      <c r="BR227" s="1058"/>
      <c r="BS227" s="1058"/>
      <c r="BT227" s="1058"/>
      <c r="BU227" s="1058"/>
      <c r="BV227" s="1058"/>
      <c r="BW227" s="1058"/>
      <c r="BX227" s="1058"/>
      <c r="BY227" s="1058"/>
      <c r="BZ227" s="1058"/>
      <c r="CA227" s="1058"/>
      <c r="CB227" s="1058"/>
      <c r="CC227" s="1058"/>
      <c r="CD227" s="1058"/>
      <c r="CE227" s="1058"/>
      <c r="CF227" s="1058"/>
      <c r="CG227" s="1058"/>
      <c r="CH227" s="1058"/>
      <c r="CI227" s="1058"/>
      <c r="CJ227" s="1058"/>
      <c r="CK227" s="1058"/>
      <c r="CL227" s="1058"/>
      <c r="CM227" s="1058"/>
      <c r="CN227" s="1058"/>
      <c r="CO227" s="1058"/>
      <c r="CP227" s="1058"/>
      <c r="CQ227" s="1058"/>
      <c r="CR227" s="1058"/>
      <c r="CS227" s="1058"/>
      <c r="CT227" s="1058"/>
      <c r="CU227" s="1058"/>
      <c r="CV227" s="1058"/>
      <c r="CW227" s="1058"/>
      <c r="CX227" s="1058"/>
      <c r="CY227" s="1058"/>
      <c r="CZ227" s="1058"/>
      <c r="DA227" s="1058"/>
      <c r="DB227" s="1058"/>
      <c r="DC227" s="1058"/>
      <c r="DD227" s="1058"/>
      <c r="DE227" s="1058"/>
      <c r="DF227" s="1058"/>
      <c r="DG227" s="1058"/>
      <c r="DH227" s="1058"/>
      <c r="DI227" s="1058"/>
      <c r="DJ227" s="1058"/>
      <c r="DK227" s="1058"/>
      <c r="DL227" s="1058"/>
      <c r="DM227" s="1058"/>
      <c r="DN227" s="1058"/>
      <c r="DO227" s="1058"/>
      <c r="DP227" s="1058"/>
      <c r="DQ227" s="1058"/>
      <c r="DR227" s="1058"/>
      <c r="DS227" s="1058"/>
      <c r="DT227" s="1058"/>
      <c r="DU227" s="1058"/>
      <c r="DV227" s="1058"/>
      <c r="DW227" s="1058"/>
      <c r="DX227" s="1058"/>
      <c r="DY227" s="1058"/>
      <c r="DZ227" s="1058"/>
      <c r="EA227" s="1058"/>
      <c r="EB227" s="1058"/>
      <c r="EC227" s="1058"/>
      <c r="ED227" s="1058"/>
      <c r="EE227" s="1058"/>
      <c r="EF227" s="1058"/>
      <c r="EG227" s="1058"/>
      <c r="EH227" s="1058"/>
      <c r="EI227" s="1058"/>
      <c r="EJ227" s="1058"/>
      <c r="EK227" s="1058"/>
      <c r="EL227" s="1058"/>
      <c r="EM227" s="1058"/>
      <c r="EN227" s="1058"/>
      <c r="EO227" s="1058"/>
      <c r="EP227" s="1058"/>
      <c r="EQ227" s="1058"/>
      <c r="ER227" s="1058"/>
      <c r="ES227" s="1058"/>
      <c r="ET227" s="1058"/>
      <c r="EU227" s="1058"/>
      <c r="EV227" s="1058"/>
      <c r="EW227" s="1058"/>
      <c r="EX227" s="1058"/>
      <c r="EY227" s="1058"/>
      <c r="EZ227" s="1058"/>
      <c r="FA227" s="1058"/>
      <c r="FB227" s="1058"/>
      <c r="FC227" s="1058"/>
      <c r="FD227" s="1058"/>
      <c r="FE227" s="1058"/>
      <c r="FF227" s="1058"/>
      <c r="FG227" s="1058"/>
      <c r="FH227" s="1058"/>
      <c r="FI227" s="1058"/>
      <c r="FJ227" s="1058"/>
      <c r="FK227" s="1058"/>
      <c r="FL227" s="1058"/>
      <c r="FM227" s="1058"/>
      <c r="FN227" s="1058"/>
      <c r="FO227" s="1058"/>
      <c r="FP227" s="1058"/>
      <c r="FQ227" s="1058"/>
      <c r="FR227" s="1058"/>
      <c r="FS227" s="1058"/>
      <c r="FT227" s="1058"/>
      <c r="FU227" s="1058"/>
      <c r="FV227" s="1058"/>
      <c r="FW227" s="1058"/>
      <c r="FX227" s="1058"/>
      <c r="FY227" s="1058"/>
      <c r="FZ227" s="1058"/>
      <c r="GA227" s="1058"/>
      <c r="GB227" s="1058"/>
      <c r="GC227" s="1058"/>
      <c r="GD227" s="1058"/>
      <c r="GE227" s="1058"/>
      <c r="GF227" s="1058"/>
      <c r="GG227" s="1058"/>
      <c r="GH227" s="1058"/>
      <c r="GI227" s="1058"/>
      <c r="GJ227" s="1058"/>
      <c r="GK227" s="1058"/>
      <c r="GL227" s="1058"/>
      <c r="GM227" s="1058"/>
      <c r="GN227" s="1058"/>
      <c r="GO227" s="1058"/>
      <c r="GP227" s="1058"/>
      <c r="GQ227" s="1058"/>
      <c r="GR227" s="1058"/>
      <c r="GS227" s="1058"/>
      <c r="GT227" s="1058"/>
      <c r="GU227" s="1058"/>
      <c r="GV227" s="1058"/>
      <c r="GW227" s="1058"/>
      <c r="GX227" s="1058"/>
      <c r="GY227" s="1058"/>
      <c r="GZ227" s="1058"/>
      <c r="HA227" s="1058"/>
      <c r="HB227" s="1058"/>
      <c r="HC227" s="1058"/>
      <c r="HD227" s="1058"/>
      <c r="HE227" s="1058"/>
      <c r="HF227" s="1058"/>
      <c r="HG227" s="1058"/>
      <c r="HH227" s="1058"/>
      <c r="HI227" s="1058"/>
      <c r="HJ227" s="1058"/>
      <c r="HK227" s="1058"/>
      <c r="HL227" s="1058"/>
      <c r="HM227" s="1058"/>
      <c r="HN227" s="1058"/>
      <c r="HO227" s="1058"/>
      <c r="HP227" s="1058"/>
      <c r="HQ227" s="1058"/>
      <c r="HR227" s="1058"/>
      <c r="HS227" s="1058"/>
      <c r="HT227" s="1058"/>
      <c r="HU227" s="1058"/>
      <c r="HV227" s="1058"/>
      <c r="HW227" s="1058"/>
      <c r="HX227" s="1058"/>
      <c r="HY227" s="1058"/>
      <c r="HZ227" s="1058"/>
      <c r="IA227" s="1058"/>
      <c r="IB227" s="1058"/>
      <c r="IC227" s="1058"/>
      <c r="ID227" s="1058"/>
      <c r="IE227" s="1058"/>
      <c r="IF227" s="1058"/>
      <c r="IG227" s="1058"/>
      <c r="IH227" s="1058"/>
      <c r="II227" s="1058"/>
      <c r="IJ227" s="1058"/>
      <c r="IK227" s="1058"/>
      <c r="IL227" s="1058"/>
      <c r="IM227" s="1058"/>
      <c r="IN227" s="1058"/>
      <c r="IO227" s="1058"/>
      <c r="IP227" s="1058"/>
      <c r="IQ227" s="1058"/>
      <c r="IR227" s="1058"/>
      <c r="IS227" s="1058"/>
      <c r="IT227" s="1058"/>
      <c r="IU227" s="1058"/>
      <c r="IV227" s="1058"/>
      <c r="IW227" s="1058"/>
      <c r="IX227" s="1058"/>
      <c r="IY227" s="1058"/>
      <c r="IZ227" s="1058"/>
      <c r="JA227" s="1058"/>
      <c r="JB227" s="1058"/>
      <c r="JC227" s="1058"/>
      <c r="JD227" s="1058"/>
      <c r="JE227" s="1058"/>
      <c r="JF227" s="1058"/>
      <c r="JG227" s="1058"/>
      <c r="JH227" s="1058"/>
      <c r="JI227" s="1058"/>
      <c r="JJ227" s="1058"/>
      <c r="JK227" s="1058"/>
      <c r="JL227" s="1058"/>
      <c r="JM227" s="1058"/>
      <c r="JN227" s="1058"/>
      <c r="JO227" s="1058"/>
      <c r="JP227" s="1058"/>
      <c r="JQ227" s="1058"/>
      <c r="JR227" s="1058"/>
      <c r="JS227" s="1058"/>
      <c r="JT227" s="1058"/>
      <c r="JU227" s="1058"/>
      <c r="JV227" s="1059"/>
      <c r="JW227" s="1058"/>
      <c r="JX227" s="1058"/>
      <c r="JY227" s="1058"/>
      <c r="JZ227" s="1058"/>
      <c r="KA227" s="1059"/>
      <c r="KB227" s="1059"/>
      <c r="KC227" s="1059"/>
      <c r="KD227" s="1059"/>
      <c r="KE227" s="1059"/>
      <c r="KF227" s="1059"/>
      <c r="KG227" s="1059"/>
      <c r="KH227" s="1059"/>
      <c r="KI227" s="1059"/>
      <c r="KJ227" s="1059"/>
      <c r="KK227" s="1059"/>
      <c r="KL227" s="1059"/>
      <c r="KM227" s="1059"/>
      <c r="KN227" s="1059"/>
      <c r="KO227" s="1059"/>
      <c r="KP227" s="1059"/>
      <c r="KQ227" s="1059"/>
      <c r="KR227" s="1059"/>
      <c r="KS227" s="1059"/>
      <c r="KT227" s="1059"/>
      <c r="KU227" s="1059"/>
      <c r="KV227" s="1059"/>
      <c r="KW227" s="1059"/>
      <c r="KX227" s="1059"/>
      <c r="KY227" s="1059"/>
      <c r="KZ227" s="1059"/>
      <c r="LA227" s="1059"/>
      <c r="LB227" s="1059"/>
      <c r="LC227" s="1059"/>
      <c r="LD227" s="1059"/>
      <c r="LE227" s="1059"/>
      <c r="LF227" s="1059"/>
      <c r="LG227" s="1058"/>
      <c r="LH227" s="1058"/>
      <c r="LI227" s="1058"/>
      <c r="LJ227" s="1058"/>
      <c r="LK227" s="1058"/>
      <c r="LL227" s="1058"/>
      <c r="LM227" s="1060"/>
      <c r="LN227" s="1058"/>
      <c r="LO227" s="1058"/>
      <c r="LP227" s="1058"/>
      <c r="LQ227" s="1058"/>
      <c r="LR227" s="1058"/>
      <c r="LS227" s="1058"/>
      <c r="LT227" s="1058"/>
      <c r="LU227" s="1058"/>
      <c r="LV227" s="1058"/>
      <c r="LW227" s="1058"/>
      <c r="LX227" s="1058"/>
      <c r="LY227" s="1058"/>
      <c r="LZ227" s="1058"/>
      <c r="MA227" s="1058"/>
      <c r="MB227" s="1058"/>
      <c r="MC227" s="1060"/>
      <c r="MD227" s="1060"/>
      <c r="ME227" s="1058"/>
      <c r="MF227" s="1058"/>
      <c r="MG227" s="1058"/>
      <c r="MH227" s="1058"/>
      <c r="MI227" s="1058"/>
      <c r="MJ227" s="1058"/>
      <c r="MK227" s="1058"/>
      <c r="ML227" s="1058"/>
      <c r="MM227" s="1058"/>
      <c r="MN227" s="1058"/>
      <c r="MO227" s="1058"/>
      <c r="MP227" s="1058"/>
      <c r="MQ227" s="1058"/>
      <c r="MR227" s="1058"/>
      <c r="MS227" s="1058"/>
      <c r="MT227" s="1058"/>
      <c r="MU227" s="1058"/>
      <c r="MV227" s="1058"/>
      <c r="MW227" s="1058"/>
      <c r="MX227" s="1058"/>
      <c r="MY227" s="1058"/>
      <c r="MZ227" s="1058"/>
      <c r="NA227" s="1058"/>
      <c r="NB227" s="1058"/>
      <c r="NC227" s="1058"/>
      <c r="ND227" s="1058"/>
      <c r="NE227" s="1058"/>
      <c r="NF227" s="1058"/>
      <c r="NG227" s="1058"/>
      <c r="NH227" s="1058"/>
      <c r="NI227" s="1058"/>
      <c r="NJ227" s="1058"/>
      <c r="NK227" s="1058"/>
      <c r="NL227" s="1058"/>
      <c r="NM227" s="1058"/>
      <c r="NN227" s="1058"/>
      <c r="NO227" s="1058"/>
      <c r="NP227" s="1058"/>
      <c r="NQ227" s="1058"/>
      <c r="NR227" s="1058"/>
      <c r="NS227" s="1058"/>
      <c r="NT227" s="1058"/>
      <c r="NU227" s="1058"/>
      <c r="NV227" s="1058"/>
      <c r="NW227" s="1058"/>
      <c r="NX227" s="1058"/>
      <c r="NY227" s="1058"/>
      <c r="NZ227" s="1058"/>
      <c r="OA227" s="1058"/>
      <c r="OB227" s="1058"/>
      <c r="OC227" s="1058"/>
      <c r="OD227" s="1018"/>
      <c r="OE227" s="1018"/>
      <c r="OF227" s="1018"/>
      <c r="OG227" s="1018"/>
      <c r="OH227" s="1018"/>
      <c r="OI227" s="1018"/>
      <c r="OJ227" s="1018"/>
      <c r="OK227" s="1018"/>
      <c r="OL227" s="1018"/>
      <c r="OM227" s="1018"/>
      <c r="ON227" s="1018"/>
      <c r="OO227" s="1018"/>
      <c r="OP227" s="1018"/>
      <c r="OQ227" s="1018"/>
      <c r="OR227" s="1018"/>
      <c r="OS227" s="1018"/>
      <c r="OT227" s="1018"/>
      <c r="OU227" s="1018"/>
      <c r="OV227" s="1018"/>
      <c r="OW227" s="1018"/>
      <c r="OX227" s="1018"/>
      <c r="OY227" s="1018"/>
      <c r="OZ227" s="1018"/>
      <c r="PA227" s="1018"/>
      <c r="PB227" s="1018"/>
      <c r="PC227" s="1018"/>
      <c r="PD227" s="1018"/>
      <c r="PE227" s="1018"/>
      <c r="PF227" s="1018"/>
      <c r="PG227" s="1018"/>
      <c r="PH227" s="1018"/>
      <c r="PI227" s="1018"/>
      <c r="PJ227" s="1018"/>
      <c r="PK227" s="1018"/>
      <c r="PL227" s="1018"/>
      <c r="PM227" s="1018"/>
      <c r="PN227" s="1018"/>
      <c r="PO227" s="1018"/>
      <c r="PP227" s="1018"/>
      <c r="PQ227" s="1018"/>
      <c r="PR227" s="1018"/>
      <c r="PS227" s="1018"/>
      <c r="PT227" s="1018"/>
      <c r="PU227" s="1018"/>
      <c r="PV227" s="1018"/>
      <c r="PW227" s="1018"/>
      <c r="PX227" s="1018"/>
      <c r="PY227" s="1018"/>
      <c r="PZ227" s="1018"/>
      <c r="QA227" s="1018"/>
      <c r="QB227" s="1018"/>
      <c r="QC227" s="1018"/>
      <c r="QD227" s="1018"/>
      <c r="QE227" s="1018"/>
      <c r="QF227" s="1018"/>
      <c r="QG227" s="1018"/>
      <c r="QH227" s="1018"/>
      <c r="QI227" s="1018"/>
      <c r="QJ227" s="1018"/>
      <c r="QK227" s="1018"/>
      <c r="QL227" s="1018"/>
      <c r="QM227" s="1018"/>
      <c r="QN227" s="1018"/>
      <c r="QO227" s="1018"/>
      <c r="QP227" s="1018"/>
      <c r="QQ227" s="1018"/>
      <c r="QR227" s="1018"/>
      <c r="QS227" s="1018"/>
      <c r="QT227" s="1018"/>
      <c r="QU227" s="1018"/>
      <c r="QV227" s="1018"/>
      <c r="QW227" s="1018"/>
      <c r="QX227" s="1018"/>
      <c r="QY227" s="1018"/>
      <c r="QZ227" s="1018"/>
      <c r="RA227" s="1018"/>
      <c r="RB227" s="1018"/>
      <c r="RC227" s="1018"/>
      <c r="RD227" s="1018"/>
      <c r="RE227" s="1018"/>
      <c r="RF227" s="1018"/>
      <c r="RG227" s="1018"/>
      <c r="RH227" s="1018"/>
      <c r="RI227" s="1018"/>
      <c r="RJ227" s="1018"/>
      <c r="RK227" s="1018"/>
      <c r="RL227" s="1018"/>
      <c r="RM227" s="1018"/>
      <c r="RN227" s="1018"/>
      <c r="RO227" s="1018"/>
      <c r="RP227" s="1018"/>
      <c r="RQ227" s="1018"/>
      <c r="RR227" s="1018"/>
      <c r="RS227" s="1018"/>
      <c r="RT227" s="1018"/>
      <c r="RU227" s="1018"/>
      <c r="RV227" s="1018"/>
      <c r="RW227" s="1018"/>
      <c r="RX227" s="1018"/>
    </row>
    <row r="228" spans="1:492" s="1057" customFormat="1" ht="15.6" customHeight="1" thickBot="1">
      <c r="A228" s="1018"/>
      <c r="B228" s="2329" t="s">
        <v>46</v>
      </c>
      <c r="C228" s="2330"/>
      <c r="D228" s="2330"/>
      <c r="E228" s="2331"/>
      <c r="F228" s="2332"/>
      <c r="G228" s="2333"/>
      <c r="H228" s="1018"/>
      <c r="I228" s="1018"/>
      <c r="J228" s="1293"/>
      <c r="K228" s="1018"/>
      <c r="L228" s="1018"/>
      <c r="M228" s="2352"/>
      <c r="N228" s="1297" t="s">
        <v>2373</v>
      </c>
      <c r="O228" s="278" t="e">
        <f>+P227/O67</f>
        <v>#DIV/0!</v>
      </c>
      <c r="Q228" s="1292"/>
      <c r="R228" s="2314"/>
      <c r="S228" s="2315"/>
      <c r="T228" s="2315"/>
      <c r="U228" s="2315"/>
      <c r="V228" s="2316"/>
      <c r="W228" s="1064"/>
      <c r="X228" s="1058"/>
      <c r="Y228" s="1058"/>
      <c r="Z228" s="1058"/>
      <c r="AA228" s="1058"/>
      <c r="AB228" s="1064"/>
      <c r="AC228" s="1058"/>
      <c r="AD228" s="1058"/>
      <c r="AE228" s="1058"/>
      <c r="AF228" s="1058"/>
      <c r="AG228" s="1064"/>
      <c r="AH228" s="1058"/>
      <c r="AI228" s="1058"/>
      <c r="AJ228" s="1058"/>
      <c r="AK228" s="1058"/>
      <c r="AL228" s="1064"/>
      <c r="AM228" s="1058"/>
      <c r="AN228" s="1058"/>
      <c r="AO228" s="1058"/>
      <c r="AP228" s="1058"/>
      <c r="AQ228" s="1058"/>
      <c r="AR228" s="1058"/>
      <c r="AS228" s="1058"/>
      <c r="AT228" s="1058"/>
      <c r="AU228" s="1058"/>
      <c r="AV228" s="1058"/>
      <c r="AW228" s="1058"/>
      <c r="AX228" s="1058"/>
      <c r="AY228" s="1058"/>
      <c r="AZ228" s="1058"/>
      <c r="BA228" s="1058"/>
      <c r="BB228" s="1058"/>
      <c r="BC228" s="1058"/>
      <c r="BD228" s="1058"/>
      <c r="BE228" s="1058"/>
      <c r="BF228" s="1058"/>
      <c r="BG228" s="1058"/>
      <c r="BH228" s="1058"/>
      <c r="BI228" s="1058"/>
      <c r="BJ228" s="1058"/>
      <c r="BK228" s="1058"/>
      <c r="BL228" s="1058"/>
      <c r="BM228" s="1058"/>
      <c r="BN228" s="1058"/>
      <c r="BO228" s="1058"/>
      <c r="BP228" s="1058"/>
      <c r="BQ228" s="1058"/>
      <c r="BR228" s="1058"/>
      <c r="BS228" s="1058"/>
      <c r="BT228" s="1058"/>
      <c r="BU228" s="1058"/>
      <c r="BV228" s="1058"/>
      <c r="BW228" s="1058"/>
      <c r="BX228" s="1058"/>
      <c r="BY228" s="1058"/>
      <c r="BZ228" s="1058"/>
      <c r="CA228" s="1058"/>
      <c r="CB228" s="1058"/>
      <c r="CC228" s="1058"/>
      <c r="CD228" s="1058"/>
      <c r="CE228" s="1058"/>
      <c r="CF228" s="1058"/>
      <c r="CG228" s="1058"/>
      <c r="CH228" s="1058"/>
      <c r="CI228" s="1058"/>
      <c r="CJ228" s="1058"/>
      <c r="CK228" s="1058"/>
      <c r="CL228" s="1058"/>
      <c r="CM228" s="1058"/>
      <c r="CN228" s="1058"/>
      <c r="CO228" s="1058"/>
      <c r="CP228" s="1058"/>
      <c r="CQ228" s="1058"/>
      <c r="CR228" s="1058"/>
      <c r="CS228" s="1058"/>
      <c r="CT228" s="1058"/>
      <c r="CU228" s="1058"/>
      <c r="CV228" s="1058"/>
      <c r="CW228" s="1058"/>
      <c r="CX228" s="1058"/>
      <c r="CY228" s="1058"/>
      <c r="CZ228" s="1058"/>
      <c r="DA228" s="1058"/>
      <c r="DB228" s="1058"/>
      <c r="DC228" s="1058"/>
      <c r="DD228" s="1058"/>
      <c r="DE228" s="1058"/>
      <c r="DF228" s="1058"/>
      <c r="DG228" s="1058"/>
      <c r="DH228" s="1058"/>
      <c r="DI228" s="1058"/>
      <c r="DJ228" s="1058"/>
      <c r="DK228" s="1058"/>
      <c r="DL228" s="1058"/>
      <c r="DM228" s="1058"/>
      <c r="DN228" s="1058"/>
      <c r="DO228" s="1058"/>
      <c r="DP228" s="1058"/>
      <c r="DQ228" s="1058"/>
      <c r="DR228" s="1058"/>
      <c r="DS228" s="1058"/>
      <c r="DT228" s="1058"/>
      <c r="DU228" s="1058"/>
      <c r="DV228" s="1058"/>
      <c r="DW228" s="1058"/>
      <c r="DX228" s="1058"/>
      <c r="DY228" s="1058"/>
      <c r="DZ228" s="1058"/>
      <c r="EA228" s="1058"/>
      <c r="EB228" s="1058"/>
      <c r="EC228" s="1058"/>
      <c r="ED228" s="1058"/>
      <c r="EE228" s="1058"/>
      <c r="EF228" s="1058"/>
      <c r="EG228" s="1058"/>
      <c r="EH228" s="1058"/>
      <c r="EI228" s="1058"/>
      <c r="EJ228" s="1058"/>
      <c r="EK228" s="1058"/>
      <c r="EL228" s="1058"/>
      <c r="EM228" s="1058"/>
      <c r="EN228" s="1058"/>
      <c r="EO228" s="1058"/>
      <c r="EP228" s="1058"/>
      <c r="EQ228" s="1058"/>
      <c r="ER228" s="1058"/>
      <c r="ES228" s="1058"/>
      <c r="ET228" s="1058"/>
      <c r="EU228" s="1058"/>
      <c r="EV228" s="1058"/>
      <c r="EW228" s="1058"/>
      <c r="EX228" s="1058"/>
      <c r="EY228" s="1058"/>
      <c r="EZ228" s="1058"/>
      <c r="FA228" s="1058"/>
      <c r="FB228" s="1058"/>
      <c r="FC228" s="1058"/>
      <c r="FD228" s="1058"/>
      <c r="FE228" s="1058"/>
      <c r="FF228" s="1058"/>
      <c r="FG228" s="1058"/>
      <c r="FH228" s="1058"/>
      <c r="FI228" s="1058"/>
      <c r="FJ228" s="1058"/>
      <c r="FK228" s="1058"/>
      <c r="FL228" s="1058"/>
      <c r="FM228" s="1058"/>
      <c r="FN228" s="1058"/>
      <c r="FO228" s="1058"/>
      <c r="FP228" s="1058"/>
      <c r="FQ228" s="1058"/>
      <c r="FR228" s="1058"/>
      <c r="FS228" s="1058"/>
      <c r="FT228" s="1058"/>
      <c r="FU228" s="1058"/>
      <c r="FV228" s="1058"/>
      <c r="FW228" s="1058"/>
      <c r="FX228" s="1058"/>
      <c r="FY228" s="1058"/>
      <c r="FZ228" s="1058"/>
      <c r="GA228" s="1058"/>
      <c r="GB228" s="1058"/>
      <c r="GC228" s="1058"/>
      <c r="GD228" s="1058"/>
      <c r="GE228" s="1058"/>
      <c r="GF228" s="1058"/>
      <c r="GG228" s="1058"/>
      <c r="GH228" s="1058"/>
      <c r="GI228" s="1058"/>
      <c r="GJ228" s="1058"/>
      <c r="GK228" s="1058"/>
      <c r="GL228" s="1058"/>
      <c r="GM228" s="1058"/>
      <c r="GN228" s="1058"/>
      <c r="GO228" s="1058"/>
      <c r="GP228" s="1058"/>
      <c r="GQ228" s="1058"/>
      <c r="GR228" s="1058"/>
      <c r="GS228" s="1058"/>
      <c r="GT228" s="1058"/>
      <c r="GU228" s="1058"/>
      <c r="GV228" s="1058"/>
      <c r="GW228" s="1058"/>
      <c r="GX228" s="1058"/>
      <c r="GY228" s="1058"/>
      <c r="GZ228" s="1058"/>
      <c r="HA228" s="1058"/>
      <c r="HB228" s="1058"/>
      <c r="HC228" s="1058"/>
      <c r="HD228" s="1058"/>
      <c r="HE228" s="1058"/>
      <c r="HF228" s="1058"/>
      <c r="HG228" s="1058"/>
      <c r="HH228" s="1058"/>
      <c r="HI228" s="1058"/>
      <c r="HJ228" s="1058"/>
      <c r="HK228" s="1058"/>
      <c r="HL228" s="1058"/>
      <c r="HM228" s="1058"/>
      <c r="HN228" s="1058"/>
      <c r="HO228" s="1058"/>
      <c r="HP228" s="1058"/>
      <c r="HQ228" s="1058"/>
      <c r="HR228" s="1058"/>
      <c r="HS228" s="1058"/>
      <c r="HT228" s="1058"/>
      <c r="HU228" s="1058"/>
      <c r="HV228" s="1058"/>
      <c r="HW228" s="1058"/>
      <c r="HX228" s="1058"/>
      <c r="HY228" s="1058"/>
      <c r="HZ228" s="1058"/>
      <c r="IA228" s="1058"/>
      <c r="IB228" s="1058"/>
      <c r="IC228" s="1058"/>
      <c r="ID228" s="1058"/>
      <c r="IE228" s="1058"/>
      <c r="IF228" s="1058"/>
      <c r="IG228" s="1058"/>
      <c r="IH228" s="1058"/>
      <c r="II228" s="1058"/>
      <c r="IJ228" s="1058"/>
      <c r="IK228" s="1058"/>
      <c r="IL228" s="1058"/>
      <c r="IM228" s="1058"/>
      <c r="IN228" s="1058"/>
      <c r="IO228" s="1058"/>
      <c r="IP228" s="1058"/>
      <c r="IQ228" s="1058"/>
      <c r="IR228" s="1058"/>
      <c r="IS228" s="1058"/>
      <c r="IT228" s="1058"/>
      <c r="IU228" s="1058"/>
      <c r="IV228" s="1058"/>
      <c r="IW228" s="1058"/>
      <c r="IX228" s="1058"/>
      <c r="IY228" s="1058"/>
      <c r="IZ228" s="1058"/>
      <c r="JA228" s="1058"/>
      <c r="JB228" s="1058"/>
      <c r="JC228" s="1058"/>
      <c r="JD228" s="1058"/>
      <c r="JE228" s="1058"/>
      <c r="JF228" s="1058"/>
      <c r="JG228" s="1058"/>
      <c r="JH228" s="1058"/>
      <c r="JI228" s="1058"/>
      <c r="JJ228" s="1058"/>
      <c r="JK228" s="1058"/>
      <c r="JL228" s="1058"/>
      <c r="JM228" s="1058"/>
      <c r="JN228" s="1058"/>
      <c r="JO228" s="1058"/>
      <c r="JP228" s="1058"/>
      <c r="JQ228" s="1058"/>
      <c r="JR228" s="1058"/>
      <c r="JS228" s="1058"/>
      <c r="JT228" s="1058"/>
      <c r="JU228" s="1058"/>
      <c r="JV228" s="1059"/>
      <c r="JW228" s="1058"/>
      <c r="JX228" s="1058"/>
      <c r="JY228" s="1058"/>
      <c r="JZ228" s="1058"/>
      <c r="KA228" s="1059"/>
      <c r="KB228" s="1059"/>
      <c r="KC228" s="1059"/>
      <c r="KD228" s="1059"/>
      <c r="KE228" s="1059"/>
      <c r="KF228" s="1059"/>
      <c r="KG228" s="1059"/>
      <c r="KH228" s="1059"/>
      <c r="KI228" s="1059"/>
      <c r="KJ228" s="1059"/>
      <c r="KK228" s="1059"/>
      <c r="KL228" s="1059"/>
      <c r="KM228" s="1059"/>
      <c r="KN228" s="1059"/>
      <c r="KO228" s="1059"/>
      <c r="KP228" s="1059"/>
      <c r="KQ228" s="1059"/>
      <c r="KR228" s="1059"/>
      <c r="KS228" s="1059"/>
      <c r="KT228" s="1059"/>
      <c r="KU228" s="1059"/>
      <c r="KV228" s="1059"/>
      <c r="KW228" s="1059"/>
      <c r="KX228" s="1059"/>
      <c r="KY228" s="1059"/>
      <c r="KZ228" s="1059"/>
      <c r="LA228" s="1059"/>
      <c r="LB228" s="1059"/>
      <c r="LC228" s="1059"/>
      <c r="LD228" s="1059"/>
      <c r="LE228" s="1059"/>
      <c r="LF228" s="1059"/>
      <c r="LG228" s="1058"/>
      <c r="LH228" s="1058"/>
      <c r="LI228" s="1058"/>
      <c r="LJ228" s="1058"/>
      <c r="LK228" s="1058"/>
      <c r="LL228" s="1058"/>
      <c r="LM228" s="1060"/>
      <c r="LN228" s="1058"/>
      <c r="LO228" s="1058"/>
      <c r="LP228" s="1058"/>
      <c r="LQ228" s="1058"/>
      <c r="LR228" s="1058"/>
      <c r="LS228" s="1058"/>
      <c r="LT228" s="1058"/>
      <c r="LU228" s="1058"/>
      <c r="LV228" s="1058"/>
      <c r="LW228" s="1058"/>
      <c r="LX228" s="1058"/>
      <c r="LY228" s="1058"/>
      <c r="LZ228" s="1058"/>
      <c r="MA228" s="1058"/>
      <c r="MB228" s="1058"/>
      <c r="MC228" s="1060"/>
      <c r="MD228" s="1060"/>
      <c r="ME228" s="1058"/>
      <c r="MF228" s="1058"/>
      <c r="MG228" s="1058"/>
      <c r="MH228" s="1058"/>
      <c r="MI228" s="1058"/>
      <c r="MJ228" s="1058"/>
      <c r="MK228" s="1058"/>
      <c r="ML228" s="1058"/>
      <c r="MM228" s="1058"/>
      <c r="MN228" s="1058"/>
      <c r="MO228" s="1058"/>
      <c r="MP228" s="1058"/>
      <c r="MQ228" s="1058"/>
      <c r="MR228" s="1058"/>
      <c r="MS228" s="1058"/>
      <c r="MT228" s="1058"/>
      <c r="MU228" s="1058"/>
      <c r="MV228" s="1058"/>
      <c r="MW228" s="1058"/>
      <c r="MX228" s="1058"/>
      <c r="MY228" s="1058"/>
      <c r="MZ228" s="1058"/>
      <c r="NA228" s="1058"/>
      <c r="NB228" s="1058"/>
      <c r="NC228" s="1058"/>
      <c r="ND228" s="1058"/>
      <c r="NE228" s="1058"/>
      <c r="NF228" s="1058"/>
      <c r="NG228" s="1058"/>
      <c r="NH228" s="1058"/>
      <c r="NI228" s="1058"/>
      <c r="NJ228" s="1058"/>
      <c r="NK228" s="1058"/>
      <c r="NL228" s="1058"/>
      <c r="NM228" s="1058"/>
      <c r="NN228" s="1058"/>
      <c r="NO228" s="1058"/>
      <c r="NP228" s="1058"/>
      <c r="NQ228" s="1058"/>
      <c r="NR228" s="1058"/>
      <c r="NS228" s="1058"/>
      <c r="NT228" s="1058"/>
      <c r="NU228" s="1058"/>
      <c r="NV228" s="1058"/>
      <c r="NW228" s="1058"/>
      <c r="NX228" s="1058"/>
      <c r="NY228" s="1058"/>
      <c r="NZ228" s="1058"/>
      <c r="OA228" s="1058"/>
      <c r="OB228" s="1058"/>
      <c r="OC228" s="1058"/>
      <c r="OD228" s="1018"/>
      <c r="OE228" s="1018"/>
      <c r="OF228" s="1018"/>
      <c r="OG228" s="1018"/>
      <c r="OH228" s="1018"/>
      <c r="OI228" s="1018"/>
      <c r="OJ228" s="1018"/>
      <c r="OK228" s="1018"/>
      <c r="OL228" s="1018"/>
      <c r="OM228" s="1018"/>
      <c r="ON228" s="1018"/>
      <c r="OO228" s="1018"/>
      <c r="OP228" s="1018"/>
      <c r="OQ228" s="1018"/>
      <c r="OR228" s="1018"/>
      <c r="OS228" s="1018"/>
      <c r="OT228" s="1018"/>
      <c r="OU228" s="1018"/>
      <c r="OV228" s="1018"/>
      <c r="OW228" s="1018"/>
      <c r="OX228" s="1018"/>
      <c r="OY228" s="1018"/>
      <c r="OZ228" s="1018"/>
      <c r="PA228" s="1018"/>
      <c r="PB228" s="1018"/>
      <c r="PC228" s="1018"/>
      <c r="PD228" s="1018"/>
      <c r="PE228" s="1018"/>
      <c r="PF228" s="1018"/>
      <c r="PG228" s="1018"/>
      <c r="PH228" s="1018"/>
      <c r="PI228" s="1018"/>
      <c r="PJ228" s="1018"/>
      <c r="PK228" s="1018"/>
      <c r="PL228" s="1018"/>
      <c r="PM228" s="1018"/>
      <c r="PN228" s="1018"/>
      <c r="PO228" s="1018"/>
      <c r="PP228" s="1018"/>
      <c r="PQ228" s="1018"/>
      <c r="PR228" s="1018"/>
      <c r="PS228" s="1018"/>
      <c r="PT228" s="1018"/>
      <c r="PU228" s="1018"/>
      <c r="PV228" s="1018"/>
      <c r="PW228" s="1018"/>
      <c r="PX228" s="1018"/>
      <c r="PY228" s="1018"/>
      <c r="PZ228" s="1018"/>
      <c r="QA228" s="1018"/>
      <c r="QB228" s="1018"/>
      <c r="QC228" s="1018"/>
      <c r="QD228" s="1018"/>
      <c r="QE228" s="1018"/>
      <c r="QF228" s="1018"/>
      <c r="QG228" s="1018"/>
      <c r="QH228" s="1018"/>
      <c r="QI228" s="1018"/>
      <c r="QJ228" s="1018"/>
      <c r="QK228" s="1018"/>
      <c r="QL228" s="1018"/>
      <c r="QM228" s="1018"/>
      <c r="QN228" s="1018"/>
      <c r="QO228" s="1018"/>
      <c r="QP228" s="1018"/>
      <c r="QQ228" s="1018"/>
      <c r="QR228" s="1018"/>
      <c r="QS228" s="1018"/>
      <c r="QT228" s="1018"/>
      <c r="QU228" s="1018"/>
      <c r="QV228" s="1018"/>
      <c r="QW228" s="1018"/>
      <c r="QX228" s="1018"/>
      <c r="QY228" s="1018"/>
      <c r="QZ228" s="1018"/>
      <c r="RA228" s="1018"/>
      <c r="RB228" s="1018"/>
      <c r="RC228" s="1018"/>
      <c r="RD228" s="1018"/>
      <c r="RE228" s="1018"/>
      <c r="RF228" s="1018"/>
      <c r="RG228" s="1018"/>
      <c r="RH228" s="1018"/>
      <c r="RI228" s="1018"/>
      <c r="RJ228" s="1018"/>
      <c r="RK228" s="1018"/>
      <c r="RL228" s="1018"/>
      <c r="RM228" s="1018"/>
      <c r="RN228" s="1018"/>
      <c r="RO228" s="1018"/>
      <c r="RP228" s="1018"/>
      <c r="RQ228" s="1018"/>
      <c r="RR228" s="1018"/>
      <c r="RS228" s="1018"/>
      <c r="RT228" s="1018"/>
      <c r="RU228" s="1018"/>
      <c r="RV228" s="1018"/>
      <c r="RW228" s="1018"/>
      <c r="RX228" s="1018"/>
    </row>
    <row r="229" spans="1:492" s="1057" customFormat="1" ht="15.6" customHeight="1" thickTop="1">
      <c r="A229" s="1018"/>
      <c r="B229" s="1018"/>
      <c r="C229" s="1290" t="s">
        <v>171</v>
      </c>
      <c r="D229" s="1018"/>
      <c r="E229" s="1018"/>
      <c r="F229" s="2334">
        <f>SUM(F223:G228)</f>
        <v>0</v>
      </c>
      <c r="G229" s="2335"/>
      <c r="H229" s="1018"/>
      <c r="I229" s="1018"/>
      <c r="J229" s="1293"/>
      <c r="K229" s="1018"/>
      <c r="L229" s="1018"/>
      <c r="M229" s="2352"/>
      <c r="O229" s="1301"/>
      <c r="P229" s="1302"/>
      <c r="R229" s="2314"/>
      <c r="S229" s="2315"/>
      <c r="T229" s="2315"/>
      <c r="U229" s="2315"/>
      <c r="V229" s="2316"/>
      <c r="W229" s="1064"/>
      <c r="X229" s="1058"/>
      <c r="Y229" s="1058"/>
      <c r="Z229" s="1058"/>
      <c r="AA229" s="1058"/>
      <c r="AB229" s="1064"/>
      <c r="AC229" s="1058"/>
      <c r="AD229" s="1058"/>
      <c r="AE229" s="1058"/>
      <c r="AF229" s="1058"/>
      <c r="AG229" s="1064"/>
      <c r="AH229" s="1058"/>
      <c r="AI229" s="1058"/>
      <c r="AJ229" s="1058"/>
      <c r="AK229" s="1058"/>
      <c r="AL229" s="1064"/>
      <c r="AM229" s="1058"/>
      <c r="AN229" s="1058"/>
      <c r="AO229" s="1058"/>
      <c r="AP229" s="1058"/>
      <c r="AQ229" s="1058"/>
      <c r="AR229" s="1058"/>
      <c r="AS229" s="1058"/>
      <c r="AT229" s="1058"/>
      <c r="AU229" s="1058"/>
      <c r="AV229" s="1058"/>
      <c r="AW229" s="1058"/>
      <c r="AX229" s="1058"/>
      <c r="AY229" s="1058"/>
      <c r="AZ229" s="1058"/>
      <c r="BA229" s="1058"/>
      <c r="BB229" s="1058"/>
      <c r="BC229" s="1058"/>
      <c r="BD229" s="1058"/>
      <c r="BE229" s="1058"/>
      <c r="BF229" s="1058"/>
      <c r="BG229" s="1058"/>
      <c r="BH229" s="1058"/>
      <c r="BI229" s="1058"/>
      <c r="BJ229" s="1058"/>
      <c r="BK229" s="1058"/>
      <c r="BL229" s="1058"/>
      <c r="BM229" s="1058"/>
      <c r="BN229" s="1058"/>
      <c r="BO229" s="1058"/>
      <c r="BP229" s="1058"/>
      <c r="BQ229" s="1058"/>
      <c r="BR229" s="1058"/>
      <c r="BS229" s="1058"/>
      <c r="BT229" s="1058"/>
      <c r="BU229" s="1058"/>
      <c r="BV229" s="1058"/>
      <c r="BW229" s="1058"/>
      <c r="BX229" s="1058"/>
      <c r="BY229" s="1058"/>
      <c r="BZ229" s="1058"/>
      <c r="CA229" s="1058"/>
      <c r="CB229" s="1058"/>
      <c r="CC229" s="1058"/>
      <c r="CD229" s="1058"/>
      <c r="CE229" s="1058"/>
      <c r="CF229" s="1058"/>
      <c r="CG229" s="1058"/>
      <c r="CH229" s="1058"/>
      <c r="CI229" s="1058"/>
      <c r="CJ229" s="1058"/>
      <c r="CK229" s="1058"/>
      <c r="CL229" s="1058"/>
      <c r="CM229" s="1058"/>
      <c r="CN229" s="1058"/>
      <c r="CO229" s="1058"/>
      <c r="CP229" s="1058"/>
      <c r="CQ229" s="1058"/>
      <c r="CR229" s="1058"/>
      <c r="CS229" s="1058"/>
      <c r="CT229" s="1058"/>
      <c r="CU229" s="1058"/>
      <c r="CV229" s="1058"/>
      <c r="CW229" s="1058"/>
      <c r="CX229" s="1058"/>
      <c r="CY229" s="1058"/>
      <c r="CZ229" s="1058"/>
      <c r="DA229" s="1058"/>
      <c r="DB229" s="1058"/>
      <c r="DC229" s="1058"/>
      <c r="DD229" s="1058"/>
      <c r="DE229" s="1058"/>
      <c r="DF229" s="1058"/>
      <c r="DG229" s="1058"/>
      <c r="DH229" s="1058"/>
      <c r="DI229" s="1058"/>
      <c r="DJ229" s="1058"/>
      <c r="DK229" s="1058"/>
      <c r="DL229" s="1058"/>
      <c r="DM229" s="1058"/>
      <c r="DN229" s="1058"/>
      <c r="DO229" s="1058"/>
      <c r="DP229" s="1058"/>
      <c r="DQ229" s="1058"/>
      <c r="DR229" s="1058"/>
      <c r="DS229" s="1058"/>
      <c r="DT229" s="1058"/>
      <c r="DU229" s="1058"/>
      <c r="DV229" s="1058"/>
      <c r="DW229" s="1058"/>
      <c r="DX229" s="1058"/>
      <c r="DY229" s="1058"/>
      <c r="DZ229" s="1058"/>
      <c r="EA229" s="1058"/>
      <c r="EB229" s="1058"/>
      <c r="EC229" s="1058"/>
      <c r="ED229" s="1058"/>
      <c r="EE229" s="1058"/>
      <c r="EF229" s="1058"/>
      <c r="EG229" s="1058"/>
      <c r="EH229" s="1058"/>
      <c r="EI229" s="1058"/>
      <c r="EJ229" s="1058"/>
      <c r="EK229" s="1058"/>
      <c r="EL229" s="1058"/>
      <c r="EM229" s="1058"/>
      <c r="EN229" s="1058"/>
      <c r="EO229" s="1058"/>
      <c r="EP229" s="1058"/>
      <c r="EQ229" s="1058"/>
      <c r="ER229" s="1058"/>
      <c r="ES229" s="1058"/>
      <c r="ET229" s="1058"/>
      <c r="EU229" s="1058"/>
      <c r="EV229" s="1058"/>
      <c r="EW229" s="1058"/>
      <c r="EX229" s="1058"/>
      <c r="EY229" s="1058"/>
      <c r="EZ229" s="1058"/>
      <c r="FA229" s="1058"/>
      <c r="FB229" s="1058"/>
      <c r="FC229" s="1058"/>
      <c r="FD229" s="1058"/>
      <c r="FE229" s="1058"/>
      <c r="FF229" s="1058"/>
      <c r="FG229" s="1058"/>
      <c r="FH229" s="1058"/>
      <c r="FI229" s="1058"/>
      <c r="FJ229" s="1058"/>
      <c r="FK229" s="1058"/>
      <c r="FL229" s="1058"/>
      <c r="FM229" s="1058"/>
      <c r="FN229" s="1058"/>
      <c r="FO229" s="1058"/>
      <c r="FP229" s="1058"/>
      <c r="FQ229" s="1058"/>
      <c r="FR229" s="1058"/>
      <c r="FS229" s="1058"/>
      <c r="FT229" s="1058"/>
      <c r="FU229" s="1058"/>
      <c r="FV229" s="1058"/>
      <c r="FW229" s="1058"/>
      <c r="FX229" s="1058"/>
      <c r="FY229" s="1058"/>
      <c r="FZ229" s="1058"/>
      <c r="GA229" s="1058"/>
      <c r="GB229" s="1058"/>
      <c r="GC229" s="1058"/>
      <c r="GD229" s="1058"/>
      <c r="GE229" s="1058"/>
      <c r="GF229" s="1058"/>
      <c r="GG229" s="1058"/>
      <c r="GH229" s="1058"/>
      <c r="GI229" s="1058"/>
      <c r="GJ229" s="1058"/>
      <c r="GK229" s="1058"/>
      <c r="GL229" s="1058"/>
      <c r="GM229" s="1058"/>
      <c r="GN229" s="1058"/>
      <c r="GO229" s="1058"/>
      <c r="GP229" s="1058"/>
      <c r="GQ229" s="1058"/>
      <c r="GR229" s="1058"/>
      <c r="GS229" s="1058"/>
      <c r="GT229" s="1058"/>
      <c r="GU229" s="1058"/>
      <c r="GV229" s="1058"/>
      <c r="GW229" s="1058"/>
      <c r="GX229" s="1058"/>
      <c r="GY229" s="1058"/>
      <c r="GZ229" s="1058"/>
      <c r="HA229" s="1058"/>
      <c r="HB229" s="1058"/>
      <c r="HC229" s="1058"/>
      <c r="HD229" s="1058"/>
      <c r="HE229" s="1058"/>
      <c r="HF229" s="1058"/>
      <c r="HG229" s="1058"/>
      <c r="HH229" s="1058"/>
      <c r="HI229" s="1058"/>
      <c r="HJ229" s="1058"/>
      <c r="HK229" s="1058"/>
      <c r="HL229" s="1058"/>
      <c r="HM229" s="1058"/>
      <c r="HN229" s="1058"/>
      <c r="HO229" s="1058"/>
      <c r="HP229" s="1058"/>
      <c r="HQ229" s="1058"/>
      <c r="HR229" s="1058"/>
      <c r="HS229" s="1058"/>
      <c r="HT229" s="1058"/>
      <c r="HU229" s="1058"/>
      <c r="HV229" s="1058"/>
      <c r="HW229" s="1058"/>
      <c r="HX229" s="1058"/>
      <c r="HY229" s="1058"/>
      <c r="HZ229" s="1058"/>
      <c r="IA229" s="1058"/>
      <c r="IB229" s="1058"/>
      <c r="IC229" s="1058"/>
      <c r="ID229" s="1058"/>
      <c r="IE229" s="1058"/>
      <c r="IF229" s="1058"/>
      <c r="IG229" s="1058"/>
      <c r="IH229" s="1058"/>
      <c r="II229" s="1058"/>
      <c r="IJ229" s="1058"/>
      <c r="IK229" s="1058"/>
      <c r="IL229" s="1058"/>
      <c r="IM229" s="1058"/>
      <c r="IN229" s="1058"/>
      <c r="IO229" s="1058"/>
      <c r="IP229" s="1058"/>
      <c r="IQ229" s="1058"/>
      <c r="IR229" s="1058"/>
      <c r="IS229" s="1058"/>
      <c r="IT229" s="1058"/>
      <c r="IU229" s="1058"/>
      <c r="IV229" s="1058"/>
      <c r="IW229" s="1058"/>
      <c r="IX229" s="1058"/>
      <c r="IY229" s="1058"/>
      <c r="IZ229" s="1058"/>
      <c r="JA229" s="1058"/>
      <c r="JB229" s="1058"/>
      <c r="JC229" s="1058"/>
      <c r="JD229" s="1058"/>
      <c r="JE229" s="1058"/>
      <c r="JF229" s="1058"/>
      <c r="JG229" s="1058"/>
      <c r="JH229" s="1058"/>
      <c r="JI229" s="1058"/>
      <c r="JJ229" s="1058"/>
      <c r="JK229" s="1058"/>
      <c r="JL229" s="1058"/>
      <c r="JM229" s="1058"/>
      <c r="JN229" s="1058"/>
      <c r="JO229" s="1058"/>
      <c r="JP229" s="1058"/>
      <c r="JQ229" s="1058"/>
      <c r="JR229" s="1058"/>
      <c r="JS229" s="1058"/>
      <c r="JT229" s="1058"/>
      <c r="JU229" s="1058"/>
      <c r="JV229" s="1059"/>
      <c r="JW229" s="1058"/>
      <c r="JX229" s="1058"/>
      <c r="JY229" s="1058"/>
      <c r="JZ229" s="1058"/>
      <c r="KA229" s="1059"/>
      <c r="KB229" s="1059"/>
      <c r="KC229" s="1059"/>
      <c r="KD229" s="1059"/>
      <c r="KE229" s="1059"/>
      <c r="KF229" s="1059"/>
      <c r="KG229" s="1059"/>
      <c r="KH229" s="1059"/>
      <c r="KI229" s="1059"/>
      <c r="KJ229" s="1059"/>
      <c r="KK229" s="1059"/>
      <c r="KL229" s="1059"/>
      <c r="KM229" s="1059"/>
      <c r="KN229" s="1059"/>
      <c r="KO229" s="1059"/>
      <c r="KP229" s="1059"/>
      <c r="KQ229" s="1059"/>
      <c r="KR229" s="1059"/>
      <c r="KS229" s="1059"/>
      <c r="KT229" s="1059"/>
      <c r="KU229" s="1059"/>
      <c r="KV229" s="1059"/>
      <c r="KW229" s="1059"/>
      <c r="KX229" s="1059"/>
      <c r="KY229" s="1059"/>
      <c r="KZ229" s="1059"/>
      <c r="LA229" s="1059"/>
      <c r="LB229" s="1059"/>
      <c r="LC229" s="1059"/>
      <c r="LD229" s="1059"/>
      <c r="LE229" s="1059"/>
      <c r="LF229" s="1059"/>
      <c r="LG229" s="1058"/>
      <c r="LH229" s="1058"/>
      <c r="LI229" s="1058"/>
      <c r="LJ229" s="1058"/>
      <c r="LK229" s="1058"/>
      <c r="LL229" s="1058"/>
      <c r="LM229" s="1060"/>
      <c r="LN229" s="1058"/>
      <c r="LO229" s="1058"/>
      <c r="LP229" s="1058"/>
      <c r="LQ229" s="1058"/>
      <c r="LR229" s="1058"/>
      <c r="LS229" s="1058"/>
      <c r="LT229" s="1058"/>
      <c r="LU229" s="1058"/>
      <c r="LV229" s="1058"/>
      <c r="LW229" s="1058"/>
      <c r="LX229" s="1058"/>
      <c r="LY229" s="1058"/>
      <c r="LZ229" s="1058"/>
      <c r="MA229" s="1058"/>
      <c r="MB229" s="1058"/>
      <c r="MC229" s="1060"/>
      <c r="MD229" s="1060"/>
      <c r="ME229" s="1058"/>
      <c r="MF229" s="1058"/>
      <c r="MG229" s="1058"/>
      <c r="MH229" s="1058"/>
      <c r="MI229" s="1058"/>
      <c r="MJ229" s="1058"/>
      <c r="MK229" s="1058"/>
      <c r="ML229" s="1058"/>
      <c r="MM229" s="1058"/>
      <c r="MN229" s="1058"/>
      <c r="MO229" s="1058"/>
      <c r="MP229" s="1058"/>
      <c r="MQ229" s="1058"/>
      <c r="MR229" s="1058"/>
      <c r="MS229" s="1058"/>
      <c r="MT229" s="1058"/>
      <c r="MU229" s="1058"/>
      <c r="MV229" s="1058"/>
      <c r="MW229" s="1058"/>
      <c r="MX229" s="1058"/>
      <c r="MY229" s="1058"/>
      <c r="MZ229" s="1058"/>
      <c r="NA229" s="1058"/>
      <c r="NB229" s="1058"/>
      <c r="NC229" s="1058"/>
      <c r="ND229" s="1058"/>
      <c r="NE229" s="1058"/>
      <c r="NF229" s="1058"/>
      <c r="NG229" s="1058"/>
      <c r="NH229" s="1058"/>
      <c r="NI229" s="1058"/>
      <c r="NJ229" s="1058"/>
      <c r="NK229" s="1058"/>
      <c r="NL229" s="1058"/>
      <c r="NM229" s="1058"/>
      <c r="NN229" s="1058"/>
      <c r="NO229" s="1058"/>
      <c r="NP229" s="1058"/>
      <c r="NQ229" s="1058"/>
      <c r="NR229" s="1058"/>
      <c r="NS229" s="1058"/>
      <c r="NT229" s="1058"/>
      <c r="NU229" s="1058"/>
      <c r="NV229" s="1058"/>
      <c r="NW229" s="1058"/>
      <c r="NX229" s="1058"/>
      <c r="NY229" s="1058"/>
      <c r="NZ229" s="1058"/>
      <c r="OA229" s="1058"/>
      <c r="OB229" s="1058"/>
      <c r="OC229" s="1058"/>
      <c r="OD229" s="1018"/>
      <c r="OE229" s="1018"/>
      <c r="OF229" s="1018"/>
      <c r="OG229" s="1018"/>
      <c r="OH229" s="1018"/>
      <c r="OI229" s="1018"/>
      <c r="OJ229" s="1018"/>
      <c r="OK229" s="1018"/>
      <c r="OL229" s="1018"/>
      <c r="OM229" s="1018"/>
      <c r="ON229" s="1018"/>
      <c r="OO229" s="1018"/>
      <c r="OP229" s="1018"/>
      <c r="OQ229" s="1018"/>
      <c r="OR229" s="1018"/>
      <c r="OS229" s="1018"/>
      <c r="OT229" s="1018"/>
      <c r="OU229" s="1018"/>
      <c r="OV229" s="1018"/>
      <c r="OW229" s="1018"/>
      <c r="OX229" s="1018"/>
      <c r="OY229" s="1018"/>
      <c r="OZ229" s="1018"/>
      <c r="PA229" s="1018"/>
      <c r="PB229" s="1018"/>
      <c r="PC229" s="1018"/>
      <c r="PD229" s="1018"/>
      <c r="PE229" s="1018"/>
      <c r="PF229" s="1018"/>
      <c r="PG229" s="1018"/>
      <c r="PH229" s="1018"/>
      <c r="PI229" s="1018"/>
      <c r="PJ229" s="1018"/>
      <c r="PK229" s="1018"/>
      <c r="PL229" s="1018"/>
      <c r="PM229" s="1018"/>
      <c r="PN229" s="1018"/>
      <c r="PO229" s="1018"/>
      <c r="PP229" s="1018"/>
      <c r="PQ229" s="1018"/>
      <c r="PR229" s="1018"/>
      <c r="PS229" s="1018"/>
      <c r="PT229" s="1018"/>
      <c r="PU229" s="1018"/>
      <c r="PV229" s="1018"/>
      <c r="PW229" s="1018"/>
      <c r="PX229" s="1018"/>
      <c r="PY229" s="1018"/>
      <c r="PZ229" s="1018"/>
      <c r="QA229" s="1018"/>
      <c r="QB229" s="1018"/>
      <c r="QC229" s="1018"/>
      <c r="QD229" s="1018"/>
      <c r="QE229" s="1018"/>
      <c r="QF229" s="1018"/>
      <c r="QG229" s="1018"/>
      <c r="QH229" s="1018"/>
      <c r="QI229" s="1018"/>
      <c r="QJ229" s="1018"/>
      <c r="QK229" s="1018"/>
      <c r="QL229" s="1018"/>
      <c r="QM229" s="1018"/>
      <c r="QN229" s="1018"/>
      <c r="QO229" s="1018"/>
      <c r="QP229" s="1018"/>
      <c r="QQ229" s="1018"/>
      <c r="QR229" s="1018"/>
      <c r="QS229" s="1018"/>
      <c r="QT229" s="1018"/>
      <c r="QU229" s="1018"/>
      <c r="QV229" s="1018"/>
      <c r="QW229" s="1018"/>
      <c r="QX229" s="1018"/>
      <c r="QY229" s="1018"/>
      <c r="QZ229" s="1018"/>
      <c r="RA229" s="1018"/>
      <c r="RB229" s="1018"/>
      <c r="RC229" s="1018"/>
      <c r="RD229" s="1018"/>
      <c r="RE229" s="1018"/>
      <c r="RF229" s="1018"/>
      <c r="RG229" s="1018"/>
      <c r="RH229" s="1018"/>
      <c r="RI229" s="1018"/>
      <c r="RJ229" s="1018"/>
      <c r="RK229" s="1018"/>
      <c r="RL229" s="1018"/>
      <c r="RM229" s="1018"/>
      <c r="RN229" s="1018"/>
      <c r="RO229" s="1018"/>
      <c r="RP229" s="1018"/>
      <c r="RQ229" s="1018"/>
      <c r="RR229" s="1018"/>
      <c r="RS229" s="1018"/>
      <c r="RT229" s="1018"/>
      <c r="RU229" s="1018"/>
      <c r="RV229" s="1018"/>
      <c r="RW229" s="1018"/>
      <c r="RX229" s="1018"/>
    </row>
    <row r="230" spans="1:492" s="1057" customFormat="1" ht="21" customHeight="1" thickBot="1">
      <c r="A230" s="1018"/>
      <c r="B230" s="1018"/>
      <c r="C230" s="1018"/>
      <c r="D230" s="1290"/>
      <c r="E230" s="1018"/>
      <c r="F230" s="1293"/>
      <c r="G230" s="1293"/>
      <c r="H230" s="1018"/>
      <c r="I230" s="1018"/>
      <c r="J230" s="1293"/>
      <c r="K230" s="1018"/>
      <c r="L230" s="1018"/>
      <c r="M230" s="2352"/>
      <c r="N230" s="1018"/>
      <c r="O230" s="1018"/>
      <c r="P230" s="1141"/>
      <c r="Q230" s="1141"/>
      <c r="R230" s="2314"/>
      <c r="S230" s="2315"/>
      <c r="T230" s="2315"/>
      <c r="U230" s="2315"/>
      <c r="V230" s="2316"/>
      <c r="W230" s="1058"/>
      <c r="X230" s="1058"/>
      <c r="Y230" s="1058"/>
      <c r="Z230" s="1058"/>
      <c r="AA230" s="1058"/>
      <c r="AB230" s="1058"/>
      <c r="AC230" s="1058"/>
      <c r="AD230" s="1058"/>
      <c r="AE230" s="1058"/>
      <c r="AF230" s="1058"/>
      <c r="AG230" s="1058"/>
      <c r="AH230" s="1058"/>
      <c r="AI230" s="1058"/>
      <c r="AJ230" s="1058"/>
      <c r="AK230" s="1058"/>
      <c r="AL230" s="1058"/>
      <c r="AM230" s="1058"/>
      <c r="AN230" s="1058"/>
      <c r="AO230" s="1058"/>
      <c r="AP230" s="1058"/>
      <c r="AQ230" s="1058"/>
      <c r="AR230" s="1058"/>
      <c r="AS230" s="1058"/>
      <c r="AT230" s="1058"/>
      <c r="AU230" s="1058"/>
      <c r="AV230" s="1058"/>
      <c r="AW230" s="1058"/>
      <c r="AX230" s="1058"/>
      <c r="AY230" s="1058"/>
      <c r="AZ230" s="1058"/>
      <c r="BA230" s="1058"/>
      <c r="BB230" s="1058"/>
      <c r="BC230" s="1058"/>
      <c r="BD230" s="1058"/>
      <c r="BE230" s="1058"/>
      <c r="BF230" s="1058"/>
      <c r="BG230" s="1058"/>
      <c r="BH230" s="1058"/>
      <c r="BI230" s="1058"/>
      <c r="BJ230" s="1058"/>
      <c r="BK230" s="1058"/>
      <c r="BL230" s="1058"/>
      <c r="BM230" s="1058"/>
      <c r="BN230" s="1058"/>
      <c r="BO230" s="1058"/>
      <c r="BP230" s="1058"/>
      <c r="BQ230" s="1058"/>
      <c r="BR230" s="1058"/>
      <c r="BS230" s="1058"/>
      <c r="BT230" s="1058"/>
      <c r="BU230" s="1058"/>
      <c r="BV230" s="1058"/>
      <c r="BW230" s="1058"/>
      <c r="BX230" s="1058"/>
      <c r="BY230" s="1058"/>
      <c r="BZ230" s="1058"/>
      <c r="CA230" s="1058"/>
      <c r="CB230" s="1058"/>
      <c r="CC230" s="1058"/>
      <c r="CD230" s="1058"/>
      <c r="CE230" s="1058"/>
      <c r="CF230" s="1058"/>
      <c r="CG230" s="1058"/>
      <c r="CH230" s="1058"/>
      <c r="CI230" s="1058"/>
      <c r="CJ230" s="1058"/>
      <c r="CK230" s="1058"/>
      <c r="CL230" s="1058"/>
      <c r="CM230" s="1058"/>
      <c r="CN230" s="1058"/>
      <c r="CO230" s="1058"/>
      <c r="CP230" s="1058"/>
      <c r="CQ230" s="1058"/>
      <c r="CR230" s="1058"/>
      <c r="CS230" s="1058"/>
      <c r="CT230" s="1058"/>
      <c r="CU230" s="1058"/>
      <c r="CV230" s="1058"/>
      <c r="CW230" s="1058"/>
      <c r="CX230" s="1058"/>
      <c r="CY230" s="1058"/>
      <c r="CZ230" s="1058"/>
      <c r="DA230" s="1058"/>
      <c r="DB230" s="1058"/>
      <c r="DC230" s="1058"/>
      <c r="DD230" s="1058"/>
      <c r="DE230" s="1058"/>
      <c r="DF230" s="1058"/>
      <c r="DG230" s="1058"/>
      <c r="DH230" s="1058"/>
      <c r="DI230" s="1058"/>
      <c r="DJ230" s="1058"/>
      <c r="DK230" s="1058"/>
      <c r="DL230" s="1058"/>
      <c r="DM230" s="1058"/>
      <c r="DN230" s="1058"/>
      <c r="DO230" s="1058"/>
      <c r="DP230" s="1058"/>
      <c r="DQ230" s="1058"/>
      <c r="DR230" s="1058"/>
      <c r="DS230" s="1058"/>
      <c r="DT230" s="1058"/>
      <c r="DU230" s="1058"/>
      <c r="DV230" s="1058"/>
      <c r="DW230" s="1058"/>
      <c r="DX230" s="1058"/>
      <c r="DY230" s="1058"/>
      <c r="DZ230" s="1058"/>
      <c r="EA230" s="1058"/>
      <c r="EB230" s="1058"/>
      <c r="EC230" s="1058"/>
      <c r="ED230" s="1058"/>
      <c r="EE230" s="1058"/>
      <c r="EF230" s="1058"/>
      <c r="EG230" s="1058"/>
      <c r="EH230" s="1058"/>
      <c r="EI230" s="1058"/>
      <c r="EJ230" s="1058"/>
      <c r="EK230" s="1058"/>
      <c r="EL230" s="1058"/>
      <c r="EM230" s="1058"/>
      <c r="EN230" s="1058"/>
      <c r="EO230" s="1058"/>
      <c r="EP230" s="1058"/>
      <c r="EQ230" s="1058"/>
      <c r="ER230" s="1058"/>
      <c r="ES230" s="1058"/>
      <c r="ET230" s="1058"/>
      <c r="EU230" s="1058"/>
      <c r="EV230" s="1058"/>
      <c r="EW230" s="1058"/>
      <c r="EX230" s="1058"/>
      <c r="EY230" s="1058"/>
      <c r="EZ230" s="1058"/>
      <c r="FA230" s="1058"/>
      <c r="FB230" s="1058"/>
      <c r="FC230" s="1058"/>
      <c r="FD230" s="1058"/>
      <c r="FE230" s="1058"/>
      <c r="FF230" s="1058"/>
      <c r="FG230" s="1058"/>
      <c r="FH230" s="1058"/>
      <c r="FI230" s="1058"/>
      <c r="FJ230" s="1058"/>
      <c r="FK230" s="1058"/>
      <c r="FL230" s="1058"/>
      <c r="FM230" s="1058"/>
      <c r="FN230" s="1058"/>
      <c r="FO230" s="1058"/>
      <c r="FP230" s="1058"/>
      <c r="FQ230" s="1058"/>
      <c r="FR230" s="1058"/>
      <c r="FS230" s="1058"/>
      <c r="FT230" s="1058"/>
      <c r="FU230" s="1058"/>
      <c r="FV230" s="1058"/>
      <c r="FW230" s="1058"/>
      <c r="FX230" s="1058"/>
      <c r="FY230" s="1058"/>
      <c r="FZ230" s="1058"/>
      <c r="GA230" s="1058"/>
      <c r="GB230" s="1058"/>
      <c r="GC230" s="1058"/>
      <c r="GD230" s="1058"/>
      <c r="GE230" s="1058"/>
      <c r="GF230" s="1058"/>
      <c r="GG230" s="1058"/>
      <c r="GH230" s="1058"/>
      <c r="GI230" s="1058"/>
      <c r="GJ230" s="1058"/>
      <c r="GK230" s="1058"/>
      <c r="GL230" s="1058"/>
      <c r="GM230" s="1058"/>
      <c r="GN230" s="1058"/>
      <c r="GO230" s="1058"/>
      <c r="GP230" s="1058"/>
      <c r="GQ230" s="1058"/>
      <c r="GR230" s="1058"/>
      <c r="GS230" s="1058"/>
      <c r="GT230" s="1058"/>
      <c r="GU230" s="1058"/>
      <c r="GV230" s="1058"/>
      <c r="GW230" s="1058"/>
      <c r="GX230" s="1058"/>
      <c r="GY230" s="1058"/>
      <c r="GZ230" s="1058"/>
      <c r="HA230" s="1058"/>
      <c r="HB230" s="1058"/>
      <c r="HC230" s="1058"/>
      <c r="HD230" s="1058"/>
      <c r="HE230" s="1058"/>
      <c r="HF230" s="1058"/>
      <c r="HG230" s="1058"/>
      <c r="HH230" s="1058"/>
      <c r="HI230" s="1058"/>
      <c r="HJ230" s="1058"/>
      <c r="HK230" s="1058"/>
      <c r="HL230" s="1058"/>
      <c r="HM230" s="1058"/>
      <c r="HN230" s="1058"/>
      <c r="HO230" s="1058"/>
      <c r="HP230" s="1058"/>
      <c r="HQ230" s="1058"/>
      <c r="HR230" s="1058"/>
      <c r="HS230" s="1058"/>
      <c r="HT230" s="1058"/>
      <c r="HU230" s="1058"/>
      <c r="HV230" s="1058"/>
      <c r="HW230" s="1058"/>
      <c r="HX230" s="1058"/>
      <c r="HY230" s="1058"/>
      <c r="HZ230" s="1058"/>
      <c r="IA230" s="1058"/>
      <c r="IB230" s="1058"/>
      <c r="IC230" s="1058"/>
      <c r="ID230" s="1058"/>
      <c r="IE230" s="1058"/>
      <c r="IF230" s="1058"/>
      <c r="IG230" s="1058"/>
      <c r="IH230" s="1058"/>
      <c r="II230" s="1058"/>
      <c r="IJ230" s="1058"/>
      <c r="IK230" s="1058"/>
      <c r="IL230" s="1058"/>
      <c r="IM230" s="1058"/>
      <c r="IN230" s="1058"/>
      <c r="IO230" s="1058"/>
      <c r="IP230" s="1058"/>
      <c r="IQ230" s="1058"/>
      <c r="IR230" s="1058"/>
      <c r="IS230" s="1058"/>
      <c r="IT230" s="1058"/>
      <c r="IU230" s="1058"/>
      <c r="IV230" s="1058"/>
      <c r="IW230" s="1058"/>
      <c r="IX230" s="1058"/>
      <c r="IY230" s="1058"/>
      <c r="IZ230" s="1058"/>
      <c r="JA230" s="1058"/>
      <c r="JB230" s="1058"/>
      <c r="JC230" s="1058"/>
      <c r="JD230" s="1058"/>
      <c r="JE230" s="1058"/>
      <c r="JF230" s="1058"/>
      <c r="JG230" s="1058"/>
      <c r="JH230" s="1058"/>
      <c r="JI230" s="1058"/>
      <c r="JJ230" s="1058"/>
      <c r="JK230" s="1058"/>
      <c r="JL230" s="1058"/>
      <c r="JM230" s="1058"/>
      <c r="JN230" s="1058"/>
      <c r="JO230" s="1058"/>
      <c r="JP230" s="1058"/>
      <c r="JQ230" s="1058"/>
      <c r="JR230" s="1058"/>
      <c r="JS230" s="1058"/>
      <c r="JT230" s="1058"/>
      <c r="JU230" s="1058"/>
      <c r="JV230" s="1059"/>
      <c r="JW230" s="1058"/>
      <c r="JX230" s="1058"/>
      <c r="JY230" s="1058"/>
      <c r="JZ230" s="1058"/>
      <c r="KA230" s="1059"/>
      <c r="KB230" s="1059"/>
      <c r="KC230" s="1059"/>
      <c r="KD230" s="1059"/>
      <c r="KE230" s="1059"/>
      <c r="KF230" s="1059"/>
      <c r="KG230" s="1059"/>
      <c r="KH230" s="1059"/>
      <c r="KI230" s="1059"/>
      <c r="KJ230" s="1059"/>
      <c r="KK230" s="1059"/>
      <c r="KL230" s="1059"/>
      <c r="KM230" s="1059"/>
      <c r="KN230" s="1059"/>
      <c r="KO230" s="1059"/>
      <c r="KP230" s="1059"/>
      <c r="KQ230" s="1059"/>
      <c r="KR230" s="1059"/>
      <c r="KS230" s="1059"/>
      <c r="KT230" s="1059"/>
      <c r="KU230" s="1059"/>
      <c r="KV230" s="1059"/>
      <c r="KW230" s="1059"/>
      <c r="KX230" s="1059"/>
      <c r="KY230" s="1059"/>
      <c r="KZ230" s="1059"/>
      <c r="LA230" s="1059"/>
      <c r="LB230" s="1059"/>
      <c r="LC230" s="1059"/>
      <c r="LD230" s="1059"/>
      <c r="LE230" s="1059"/>
      <c r="LF230" s="1059"/>
      <c r="LG230" s="1058"/>
      <c r="LH230" s="1058"/>
      <c r="LI230" s="1058"/>
      <c r="LJ230" s="1058"/>
      <c r="LK230" s="1058"/>
      <c r="LL230" s="1058"/>
      <c r="LM230" s="1060"/>
      <c r="LN230" s="1058"/>
      <c r="LO230" s="1058"/>
      <c r="LP230" s="1058"/>
      <c r="LQ230" s="1058"/>
      <c r="LR230" s="1058"/>
      <c r="LS230" s="1058"/>
      <c r="LT230" s="1058"/>
      <c r="LU230" s="1058"/>
      <c r="LV230" s="1058"/>
      <c r="LW230" s="1058"/>
      <c r="LX230" s="1058"/>
      <c r="LY230" s="1058"/>
      <c r="LZ230" s="1058"/>
      <c r="MA230" s="1058"/>
      <c r="MB230" s="1058"/>
      <c r="MC230" s="1060"/>
      <c r="MD230" s="1060"/>
      <c r="ME230" s="1058"/>
      <c r="MF230" s="1058"/>
      <c r="MG230" s="1058"/>
      <c r="MH230" s="1058"/>
      <c r="MI230" s="1058"/>
      <c r="MJ230" s="1058"/>
      <c r="MK230" s="1058"/>
      <c r="ML230" s="1058"/>
      <c r="MM230" s="1058"/>
      <c r="MN230" s="1058"/>
      <c r="MO230" s="1058"/>
      <c r="MP230" s="1058"/>
      <c r="MQ230" s="1058"/>
      <c r="MR230" s="1058"/>
      <c r="MS230" s="1058"/>
      <c r="MT230" s="1058"/>
      <c r="MU230" s="1058"/>
      <c r="MV230" s="1058"/>
      <c r="MW230" s="1058"/>
      <c r="MX230" s="1058"/>
      <c r="MY230" s="1058"/>
      <c r="MZ230" s="1058"/>
      <c r="NA230" s="1058"/>
      <c r="NB230" s="1058"/>
      <c r="NC230" s="1058"/>
      <c r="ND230" s="1058"/>
      <c r="NE230" s="1058"/>
      <c r="NF230" s="1058"/>
      <c r="NG230" s="1058"/>
      <c r="NH230" s="1058"/>
      <c r="NI230" s="1058"/>
      <c r="NJ230" s="1058"/>
      <c r="NK230" s="1058"/>
      <c r="NL230" s="1058"/>
      <c r="NM230" s="1058"/>
      <c r="NN230" s="1058"/>
      <c r="NO230" s="1058"/>
      <c r="NP230" s="1058"/>
      <c r="NQ230" s="1058"/>
      <c r="NR230" s="1058"/>
      <c r="NS230" s="1058"/>
      <c r="NT230" s="1058"/>
      <c r="NU230" s="1058"/>
      <c r="NV230" s="1058"/>
      <c r="NW230" s="1058"/>
      <c r="NX230" s="1058"/>
      <c r="NY230" s="1058"/>
      <c r="NZ230" s="1058"/>
      <c r="OA230" s="1058"/>
      <c r="OB230" s="1058"/>
      <c r="OC230" s="1058"/>
      <c r="OD230" s="1018"/>
      <c r="OE230" s="1018"/>
      <c r="OF230" s="1018"/>
      <c r="OG230" s="1018"/>
      <c r="OH230" s="1018"/>
      <c r="OI230" s="1018"/>
      <c r="OJ230" s="1018"/>
      <c r="OK230" s="1018"/>
      <c r="OL230" s="1018"/>
      <c r="OM230" s="1018"/>
      <c r="ON230" s="1018"/>
      <c r="OO230" s="1018"/>
      <c r="OP230" s="1018"/>
      <c r="OQ230" s="1018"/>
      <c r="OR230" s="1018"/>
      <c r="OS230" s="1018"/>
      <c r="OT230" s="1018"/>
      <c r="OU230" s="1018"/>
      <c r="OV230" s="1018"/>
      <c r="OW230" s="1018"/>
      <c r="OX230" s="1018"/>
      <c r="OY230" s="1018"/>
      <c r="OZ230" s="1018"/>
      <c r="PA230" s="1018"/>
      <c r="PB230" s="1018"/>
      <c r="PC230" s="1018"/>
      <c r="PD230" s="1018"/>
      <c r="PE230" s="1018"/>
      <c r="PF230" s="1018"/>
      <c r="PG230" s="1018"/>
      <c r="PH230" s="1018"/>
      <c r="PI230" s="1018"/>
      <c r="PJ230" s="1018"/>
      <c r="PK230" s="1018"/>
      <c r="PL230" s="1018"/>
      <c r="PM230" s="1018"/>
      <c r="PN230" s="1018"/>
      <c r="PO230" s="1018"/>
      <c r="PP230" s="1018"/>
      <c r="PQ230" s="1018"/>
      <c r="PR230" s="1018"/>
      <c r="PS230" s="1018"/>
      <c r="PT230" s="1018"/>
      <c r="PU230" s="1018"/>
      <c r="PV230" s="1018"/>
      <c r="PW230" s="1018"/>
      <c r="PX230" s="1018"/>
      <c r="PY230" s="1018"/>
      <c r="PZ230" s="1018"/>
      <c r="QA230" s="1018"/>
      <c r="QB230" s="1018"/>
      <c r="QC230" s="1018"/>
      <c r="QD230" s="1018"/>
      <c r="QE230" s="1018"/>
      <c r="QF230" s="1018"/>
      <c r="QG230" s="1018"/>
      <c r="QH230" s="1018"/>
      <c r="QI230" s="1018"/>
      <c r="QJ230" s="1018"/>
      <c r="QK230" s="1018"/>
      <c r="QL230" s="1018"/>
      <c r="QM230" s="1018"/>
      <c r="QN230" s="1018"/>
      <c r="QO230" s="1018"/>
      <c r="QP230" s="1018"/>
      <c r="QQ230" s="1018"/>
      <c r="QR230" s="1018"/>
      <c r="QS230" s="1018"/>
      <c r="QT230" s="1018"/>
      <c r="QU230" s="1018"/>
      <c r="QV230" s="1018"/>
      <c r="QW230" s="1018"/>
      <c r="QX230" s="1018"/>
      <c r="QY230" s="1018"/>
      <c r="QZ230" s="1018"/>
      <c r="RA230" s="1018"/>
      <c r="RB230" s="1018"/>
      <c r="RC230" s="1018"/>
      <c r="RD230" s="1018"/>
      <c r="RE230" s="1018"/>
      <c r="RF230" s="1018"/>
      <c r="RG230" s="1018"/>
      <c r="RH230" s="1018"/>
      <c r="RI230" s="1018"/>
      <c r="RJ230" s="1018"/>
      <c r="RK230" s="1018"/>
      <c r="RL230" s="1018"/>
      <c r="RM230" s="1018"/>
      <c r="RN230" s="1018"/>
      <c r="RO230" s="1018"/>
      <c r="RP230" s="1018"/>
      <c r="RQ230" s="1018"/>
      <c r="RR230" s="1018"/>
      <c r="RS230" s="1018"/>
      <c r="RT230" s="1018"/>
      <c r="RU230" s="1018"/>
      <c r="RV230" s="1018"/>
      <c r="RW230" s="1018"/>
      <c r="RX230" s="1018"/>
    </row>
    <row r="231" spans="1:492" s="1057" customFormat="1" ht="15.75" customHeight="1" thickBot="1">
      <c r="A231" s="1018"/>
      <c r="B231" s="1013" t="s">
        <v>1195</v>
      </c>
      <c r="C231" s="1018"/>
      <c r="D231" s="1294"/>
      <c r="E231" s="1018"/>
      <c r="F231" s="1018"/>
      <c r="G231" s="1018"/>
      <c r="H231" s="1018"/>
      <c r="I231" s="1013" t="s">
        <v>1274</v>
      </c>
      <c r="J231" s="1303" t="s">
        <v>3402</v>
      </c>
      <c r="K231" s="1018"/>
      <c r="L231" s="1018"/>
      <c r="M231" s="1018"/>
      <c r="N231" s="1013" t="s">
        <v>3021</v>
      </c>
      <c r="O231" s="1013"/>
      <c r="P231" s="1304">
        <f>P240</f>
        <v>0</v>
      </c>
      <c r="Q231" s="1296"/>
      <c r="R231" s="2314"/>
      <c r="S231" s="2315"/>
      <c r="T231" s="2315"/>
      <c r="U231" s="2315"/>
      <c r="V231" s="2316"/>
      <c r="W231" s="1064"/>
      <c r="X231" s="1058"/>
      <c r="Y231" s="1058"/>
      <c r="Z231" s="1058"/>
      <c r="AA231" s="1058"/>
      <c r="AB231" s="1064"/>
      <c r="AC231" s="1058"/>
      <c r="AD231" s="1058"/>
      <c r="AE231" s="1058"/>
      <c r="AF231" s="1058"/>
      <c r="AG231" s="1064"/>
      <c r="AH231" s="1058"/>
      <c r="AI231" s="1058"/>
      <c r="AJ231" s="1058"/>
      <c r="AK231" s="1058"/>
      <c r="AL231" s="1064"/>
      <c r="AM231" s="1058"/>
      <c r="AN231" s="1058"/>
      <c r="AO231" s="1058"/>
      <c r="AP231" s="1058"/>
      <c r="AQ231" s="1058"/>
      <c r="AR231" s="1058"/>
      <c r="AS231" s="1058"/>
      <c r="AT231" s="1058"/>
      <c r="AU231" s="1058"/>
      <c r="AV231" s="1058"/>
      <c r="AW231" s="1058"/>
      <c r="AX231" s="1058"/>
      <c r="AY231" s="1058"/>
      <c r="AZ231" s="1058"/>
      <c r="BA231" s="1058"/>
      <c r="BB231" s="1058"/>
      <c r="BC231" s="1058"/>
      <c r="BD231" s="1058"/>
      <c r="BE231" s="1058"/>
      <c r="BF231" s="1058"/>
      <c r="BG231" s="1058"/>
      <c r="BH231" s="1058"/>
      <c r="BI231" s="1058"/>
      <c r="BJ231" s="1058"/>
      <c r="BK231" s="1058"/>
      <c r="BL231" s="1058"/>
      <c r="BM231" s="1058"/>
      <c r="BN231" s="1058"/>
      <c r="BO231" s="1058"/>
      <c r="BP231" s="1058"/>
      <c r="BQ231" s="1058"/>
      <c r="BR231" s="1058"/>
      <c r="BS231" s="1058"/>
      <c r="BT231" s="1058"/>
      <c r="BU231" s="1058"/>
      <c r="BV231" s="1058"/>
      <c r="BW231" s="1058"/>
      <c r="BX231" s="1058"/>
      <c r="BY231" s="1058"/>
      <c r="BZ231" s="1058"/>
      <c r="CA231" s="1058"/>
      <c r="CB231" s="1058"/>
      <c r="CC231" s="1058"/>
      <c r="CD231" s="1058"/>
      <c r="CE231" s="1058"/>
      <c r="CF231" s="1058"/>
      <c r="CG231" s="1058"/>
      <c r="CH231" s="1058"/>
      <c r="CI231" s="1058"/>
      <c r="CJ231" s="1058"/>
      <c r="CK231" s="1058"/>
      <c r="CL231" s="1058"/>
      <c r="CM231" s="1058"/>
      <c r="CN231" s="1058"/>
      <c r="CO231" s="1058"/>
      <c r="CP231" s="1058"/>
      <c r="CQ231" s="1058"/>
      <c r="CR231" s="1058"/>
      <c r="CS231" s="1058"/>
      <c r="CT231" s="1058"/>
      <c r="CU231" s="1058"/>
      <c r="CV231" s="1058"/>
      <c r="CW231" s="1058"/>
      <c r="CX231" s="1058"/>
      <c r="CY231" s="1058"/>
      <c r="CZ231" s="1058"/>
      <c r="DA231" s="1058"/>
      <c r="DB231" s="1058"/>
      <c r="DC231" s="1058"/>
      <c r="DD231" s="1058"/>
      <c r="DE231" s="1058"/>
      <c r="DF231" s="1058"/>
      <c r="DG231" s="1058"/>
      <c r="DH231" s="1058"/>
      <c r="DI231" s="1058"/>
      <c r="DJ231" s="1058"/>
      <c r="DK231" s="1058"/>
      <c r="DL231" s="1058"/>
      <c r="DM231" s="1058"/>
      <c r="DN231" s="1058"/>
      <c r="DO231" s="1058"/>
      <c r="DP231" s="1058"/>
      <c r="DQ231" s="1058"/>
      <c r="DR231" s="1058"/>
      <c r="DS231" s="1058"/>
      <c r="DT231" s="1058"/>
      <c r="DU231" s="1058"/>
      <c r="DV231" s="1058"/>
      <c r="DW231" s="1058"/>
      <c r="DX231" s="1058"/>
      <c r="DY231" s="1058"/>
      <c r="DZ231" s="1058"/>
      <c r="EA231" s="1058"/>
      <c r="EB231" s="1058"/>
      <c r="EC231" s="1058"/>
      <c r="ED231" s="1058"/>
      <c r="EE231" s="1058"/>
      <c r="EF231" s="1058"/>
      <c r="EG231" s="1058"/>
      <c r="EH231" s="1058"/>
      <c r="EI231" s="1058"/>
      <c r="EJ231" s="1058"/>
      <c r="EK231" s="1058"/>
      <c r="EL231" s="1058"/>
      <c r="EM231" s="1058"/>
      <c r="EN231" s="1058"/>
      <c r="EO231" s="1058"/>
      <c r="EP231" s="1058"/>
      <c r="EQ231" s="1058"/>
      <c r="ER231" s="1058"/>
      <c r="ES231" s="1058"/>
      <c r="ET231" s="1058"/>
      <c r="EU231" s="1058"/>
      <c r="EV231" s="1058"/>
      <c r="EW231" s="1058"/>
      <c r="EX231" s="1058"/>
      <c r="EY231" s="1058"/>
      <c r="EZ231" s="1058"/>
      <c r="FA231" s="1058"/>
      <c r="FB231" s="1058"/>
      <c r="FC231" s="1058"/>
      <c r="FD231" s="1058"/>
      <c r="FE231" s="1058"/>
      <c r="FF231" s="1058"/>
      <c r="FG231" s="1058"/>
      <c r="FH231" s="1058"/>
      <c r="FI231" s="1058"/>
      <c r="FJ231" s="1058"/>
      <c r="FK231" s="1058"/>
      <c r="FL231" s="1058"/>
      <c r="FM231" s="1058"/>
      <c r="FN231" s="1058"/>
      <c r="FO231" s="1058"/>
      <c r="FP231" s="1058"/>
      <c r="FQ231" s="1058"/>
      <c r="FR231" s="1058"/>
      <c r="FS231" s="1058"/>
      <c r="FT231" s="1058"/>
      <c r="FU231" s="1058"/>
      <c r="FV231" s="1058"/>
      <c r="FW231" s="1058"/>
      <c r="FX231" s="1058"/>
      <c r="FY231" s="1058"/>
      <c r="FZ231" s="1058"/>
      <c r="GA231" s="1058"/>
      <c r="GB231" s="1058"/>
      <c r="GC231" s="1058"/>
      <c r="GD231" s="1058"/>
      <c r="GE231" s="1058"/>
      <c r="GF231" s="1058"/>
      <c r="GG231" s="1058"/>
      <c r="GH231" s="1058"/>
      <c r="GI231" s="1058"/>
      <c r="GJ231" s="1058"/>
      <c r="GK231" s="1058"/>
      <c r="GL231" s="1058"/>
      <c r="GM231" s="1058"/>
      <c r="GN231" s="1058"/>
      <c r="GO231" s="1058"/>
      <c r="GP231" s="1058"/>
      <c r="GQ231" s="1058"/>
      <c r="GR231" s="1058"/>
      <c r="GS231" s="1058"/>
      <c r="GT231" s="1058"/>
      <c r="GU231" s="1058"/>
      <c r="GV231" s="1058"/>
      <c r="GW231" s="1058"/>
      <c r="GX231" s="1058"/>
      <c r="GY231" s="1058"/>
      <c r="GZ231" s="1058"/>
      <c r="HA231" s="1058"/>
      <c r="HB231" s="1058"/>
      <c r="HC231" s="1058"/>
      <c r="HD231" s="1058"/>
      <c r="HE231" s="1058"/>
      <c r="HF231" s="1058"/>
      <c r="HG231" s="1058"/>
      <c r="HH231" s="1058"/>
      <c r="HI231" s="1058"/>
      <c r="HJ231" s="1058"/>
      <c r="HK231" s="1058"/>
      <c r="HL231" s="1058"/>
      <c r="HM231" s="1058"/>
      <c r="HN231" s="1058"/>
      <c r="HO231" s="1058"/>
      <c r="HP231" s="1058"/>
      <c r="HQ231" s="1058"/>
      <c r="HR231" s="1058"/>
      <c r="HS231" s="1058"/>
      <c r="HT231" s="1058"/>
      <c r="HU231" s="1058"/>
      <c r="HV231" s="1058"/>
      <c r="HW231" s="1058"/>
      <c r="HX231" s="1058"/>
      <c r="HY231" s="1058"/>
      <c r="HZ231" s="1058"/>
      <c r="IA231" s="1058"/>
      <c r="IB231" s="1058"/>
      <c r="IC231" s="1058"/>
      <c r="ID231" s="1058"/>
      <c r="IE231" s="1058"/>
      <c r="IF231" s="1058"/>
      <c r="IG231" s="1058"/>
      <c r="IH231" s="1058"/>
      <c r="II231" s="1058"/>
      <c r="IJ231" s="1058"/>
      <c r="IK231" s="1058"/>
      <c r="IL231" s="1058"/>
      <c r="IM231" s="1058"/>
      <c r="IN231" s="1058"/>
      <c r="IO231" s="1058"/>
      <c r="IP231" s="1058"/>
      <c r="IQ231" s="1058"/>
      <c r="IR231" s="1058"/>
      <c r="IS231" s="1058"/>
      <c r="IT231" s="1058"/>
      <c r="IU231" s="1058"/>
      <c r="IV231" s="1058"/>
      <c r="IW231" s="1058"/>
      <c r="IX231" s="1058"/>
      <c r="IY231" s="1058"/>
      <c r="IZ231" s="1058"/>
      <c r="JA231" s="1058"/>
      <c r="JB231" s="1058"/>
      <c r="JC231" s="1058"/>
      <c r="JD231" s="1058"/>
      <c r="JE231" s="1058"/>
      <c r="JF231" s="1058"/>
      <c r="JG231" s="1058"/>
      <c r="JH231" s="1058"/>
      <c r="JI231" s="1058"/>
      <c r="JJ231" s="1058"/>
      <c r="JK231" s="1058"/>
      <c r="JL231" s="1058"/>
      <c r="JM231" s="1058"/>
      <c r="JN231" s="1058"/>
      <c r="JO231" s="1058"/>
      <c r="JP231" s="1058"/>
      <c r="JQ231" s="1058"/>
      <c r="JR231" s="1058"/>
      <c r="JS231" s="1058"/>
      <c r="JT231" s="1058"/>
      <c r="JU231" s="1058"/>
      <c r="JV231" s="1059"/>
      <c r="JW231" s="1058"/>
      <c r="JX231" s="1058"/>
      <c r="JY231" s="1058"/>
      <c r="JZ231" s="1058"/>
      <c r="KA231" s="1059"/>
      <c r="KB231" s="1059"/>
      <c r="KC231" s="1059"/>
      <c r="KD231" s="1059"/>
      <c r="KE231" s="1059"/>
      <c r="KF231" s="1059"/>
      <c r="KG231" s="1059"/>
      <c r="KH231" s="1059"/>
      <c r="KI231" s="1059"/>
      <c r="KJ231" s="1059"/>
      <c r="KK231" s="1059"/>
      <c r="KL231" s="1059"/>
      <c r="KM231" s="1059"/>
      <c r="KN231" s="1059"/>
      <c r="KO231" s="1059"/>
      <c r="KP231" s="1059"/>
      <c r="KQ231" s="1059"/>
      <c r="KR231" s="1059"/>
      <c r="KS231" s="1059"/>
      <c r="KT231" s="1059"/>
      <c r="KU231" s="1059"/>
      <c r="KV231" s="1059"/>
      <c r="KW231" s="1059"/>
      <c r="KX231" s="1059"/>
      <c r="KY231" s="1059"/>
      <c r="KZ231" s="1059"/>
      <c r="LA231" s="1059"/>
      <c r="LB231" s="1059"/>
      <c r="LC231" s="1059"/>
      <c r="LD231" s="1059"/>
      <c r="LE231" s="1059"/>
      <c r="LF231" s="1059"/>
      <c r="LG231" s="1058"/>
      <c r="LH231" s="1058"/>
      <c r="LI231" s="1058"/>
      <c r="LJ231" s="1058"/>
      <c r="LK231" s="1058"/>
      <c r="LL231" s="1058"/>
      <c r="LM231" s="1060"/>
      <c r="LN231" s="1058"/>
      <c r="LO231" s="1058"/>
      <c r="LP231" s="1058"/>
      <c r="LQ231" s="1058"/>
      <c r="LR231" s="1058"/>
      <c r="LS231" s="1058"/>
      <c r="LT231" s="1058"/>
      <c r="LU231" s="1058"/>
      <c r="LV231" s="1058"/>
      <c r="LW231" s="1058"/>
      <c r="LX231" s="1058"/>
      <c r="LY231" s="1058"/>
      <c r="LZ231" s="1058"/>
      <c r="MA231" s="1058"/>
      <c r="MB231" s="1058"/>
      <c r="MC231" s="1060"/>
      <c r="MD231" s="1060"/>
      <c r="ME231" s="1058"/>
      <c r="MF231" s="1058"/>
      <c r="MG231" s="1058"/>
      <c r="MH231" s="1058"/>
      <c r="MI231" s="1058"/>
      <c r="MJ231" s="1058"/>
      <c r="MK231" s="1058"/>
      <c r="ML231" s="1058"/>
      <c r="MM231" s="1058"/>
      <c r="MN231" s="1058"/>
      <c r="MO231" s="1058"/>
      <c r="MP231" s="1058"/>
      <c r="MQ231" s="1058"/>
      <c r="MR231" s="1058"/>
      <c r="MS231" s="1058"/>
      <c r="MT231" s="1058"/>
      <c r="MU231" s="1058"/>
      <c r="MV231" s="1058"/>
      <c r="MW231" s="1058"/>
      <c r="MX231" s="1058"/>
      <c r="MY231" s="1058"/>
      <c r="MZ231" s="1058"/>
      <c r="NA231" s="1058"/>
      <c r="NB231" s="1058"/>
      <c r="NC231" s="1058"/>
      <c r="ND231" s="1058"/>
      <c r="NE231" s="1058"/>
      <c r="NF231" s="1058"/>
      <c r="NG231" s="1058"/>
      <c r="NH231" s="1058"/>
      <c r="NI231" s="1058"/>
      <c r="NJ231" s="1058"/>
      <c r="NK231" s="1058"/>
      <c r="NL231" s="1058"/>
      <c r="NM231" s="1058"/>
      <c r="NN231" s="1058"/>
      <c r="NO231" s="1058"/>
      <c r="NP231" s="1058"/>
      <c r="NQ231" s="1058"/>
      <c r="NR231" s="1058"/>
      <c r="NS231" s="1058"/>
      <c r="NT231" s="1058"/>
      <c r="NU231" s="1058"/>
      <c r="NV231" s="1058"/>
      <c r="NW231" s="1058"/>
      <c r="NX231" s="1058"/>
      <c r="NY231" s="1058"/>
      <c r="NZ231" s="1058"/>
      <c r="OA231" s="1058"/>
      <c r="OB231" s="1058"/>
      <c r="OC231" s="1058"/>
      <c r="OD231" s="1018"/>
      <c r="OE231" s="1018"/>
      <c r="OF231" s="1018"/>
      <c r="OG231" s="1018"/>
      <c r="OH231" s="1018"/>
      <c r="OI231" s="1018"/>
      <c r="OJ231" s="1018"/>
      <c r="OK231" s="1018"/>
      <c r="OL231" s="1018"/>
      <c r="OM231" s="1018"/>
      <c r="ON231" s="1018"/>
      <c r="OO231" s="1018"/>
      <c r="OP231" s="1018"/>
      <c r="OQ231" s="1018"/>
      <c r="OR231" s="1018"/>
      <c r="OS231" s="1018"/>
      <c r="OT231" s="1018"/>
      <c r="OU231" s="1018"/>
      <c r="OV231" s="1018"/>
      <c r="OW231" s="1018"/>
      <c r="OX231" s="1018"/>
      <c r="OY231" s="1018"/>
      <c r="OZ231" s="1018"/>
      <c r="PA231" s="1018"/>
      <c r="PB231" s="1018"/>
      <c r="PC231" s="1018"/>
      <c r="PD231" s="1018"/>
      <c r="PE231" s="1018"/>
      <c r="PF231" s="1018"/>
      <c r="PG231" s="1018"/>
      <c r="PH231" s="1018"/>
      <c r="PI231" s="1018"/>
      <c r="PJ231" s="1018"/>
      <c r="PK231" s="1018"/>
      <c r="PL231" s="1018"/>
      <c r="PM231" s="1018"/>
      <c r="PN231" s="1018"/>
      <c r="PO231" s="1018"/>
      <c r="PP231" s="1018"/>
      <c r="PQ231" s="1018"/>
      <c r="PR231" s="1018"/>
      <c r="PS231" s="1018"/>
      <c r="PT231" s="1018"/>
      <c r="PU231" s="1018"/>
      <c r="PV231" s="1018"/>
      <c r="PW231" s="1018"/>
      <c r="PX231" s="1018"/>
      <c r="PY231" s="1018"/>
      <c r="PZ231" s="1018"/>
      <c r="QA231" s="1018"/>
      <c r="QB231" s="1018"/>
      <c r="QC231" s="1018"/>
      <c r="QD231" s="1018"/>
      <c r="QE231" s="1018"/>
      <c r="QF231" s="1018"/>
      <c r="QG231" s="1018"/>
      <c r="QH231" s="1018"/>
      <c r="QI231" s="1018"/>
      <c r="QJ231" s="1018"/>
      <c r="QK231" s="1018"/>
      <c r="QL231" s="1018"/>
      <c r="QM231" s="1018"/>
      <c r="QN231" s="1018"/>
      <c r="QO231" s="1018"/>
      <c r="QP231" s="1018"/>
      <c r="QQ231" s="1018"/>
      <c r="QR231" s="1018"/>
      <c r="QS231" s="1018"/>
      <c r="QT231" s="1018"/>
      <c r="QU231" s="1018"/>
      <c r="QV231" s="1018"/>
      <c r="QW231" s="1018"/>
      <c r="QX231" s="1018"/>
      <c r="QY231" s="1018"/>
      <c r="QZ231" s="1018"/>
      <c r="RA231" s="1018"/>
      <c r="RB231" s="1018"/>
      <c r="RC231" s="1018"/>
      <c r="RD231" s="1018"/>
      <c r="RE231" s="1018"/>
      <c r="RF231" s="1018"/>
      <c r="RG231" s="1018"/>
      <c r="RH231" s="1018"/>
      <c r="RI231" s="1018"/>
      <c r="RJ231" s="1018"/>
      <c r="RK231" s="1018"/>
      <c r="RL231" s="1018"/>
      <c r="RM231" s="1018"/>
      <c r="RN231" s="1018"/>
      <c r="RO231" s="1018"/>
      <c r="RP231" s="1018"/>
      <c r="RQ231" s="1018"/>
      <c r="RR231" s="1018"/>
      <c r="RS231" s="1018"/>
      <c r="RT231" s="1018"/>
      <c r="RU231" s="1018"/>
      <c r="RV231" s="1018"/>
      <c r="RW231" s="1018"/>
      <c r="RX231" s="1018"/>
    </row>
    <row r="232" spans="1:492" s="1057" customFormat="1" ht="15.6" customHeight="1" thickBot="1">
      <c r="A232" s="1018"/>
      <c r="B232" s="1018" t="s">
        <v>1457</v>
      </c>
      <c r="C232" s="1018"/>
      <c r="D232" s="1294"/>
      <c r="E232" s="1018"/>
      <c r="F232" s="2317"/>
      <c r="G232" s="2318"/>
      <c r="H232" s="1018"/>
      <c r="I232" s="1018" t="s">
        <v>1267</v>
      </c>
      <c r="J232" s="1305" t="e">
        <f>K232/12/O67</f>
        <v>#DIV/0!</v>
      </c>
      <c r="K232" s="2319"/>
      <c r="L232" s="2320"/>
      <c r="M232" s="2346" t="str">
        <f>IF(P231&lt;P240, "WARNING! RR proposed is below the DCA required minimum.","")</f>
        <v/>
      </c>
      <c r="N232" s="1306" t="s">
        <v>3403</v>
      </c>
      <c r="O232" s="1223"/>
      <c r="P232" s="1307" t="e">
        <f>P231/O240</f>
        <v>#DIV/0!</v>
      </c>
      <c r="Q232" s="1308"/>
      <c r="R232" s="2314"/>
      <c r="S232" s="2315"/>
      <c r="T232" s="2315"/>
      <c r="U232" s="2315"/>
      <c r="V232" s="2316"/>
      <c r="W232" s="1064"/>
      <c r="X232" s="1058"/>
      <c r="Y232" s="1058"/>
      <c r="Z232" s="1058"/>
      <c r="AA232" s="1058"/>
      <c r="AB232" s="1064"/>
      <c r="AC232" s="1058"/>
      <c r="AD232" s="1058"/>
      <c r="AE232" s="1058"/>
      <c r="AF232" s="1058"/>
      <c r="AG232" s="1064"/>
      <c r="AH232" s="1058"/>
      <c r="AI232" s="1058"/>
      <c r="AJ232" s="1058"/>
      <c r="AK232" s="1058"/>
      <c r="AL232" s="1064"/>
      <c r="AM232" s="1058"/>
      <c r="AN232" s="1058"/>
      <c r="AO232" s="1058"/>
      <c r="AP232" s="1058"/>
      <c r="AQ232" s="1058"/>
      <c r="AR232" s="1058"/>
      <c r="AS232" s="1058"/>
      <c r="AT232" s="1058"/>
      <c r="AU232" s="1058"/>
      <c r="AV232" s="1058"/>
      <c r="AW232" s="1058"/>
      <c r="AX232" s="1058"/>
      <c r="AY232" s="1058"/>
      <c r="AZ232" s="1058"/>
      <c r="BA232" s="1058"/>
      <c r="BB232" s="1058"/>
      <c r="BC232" s="1058"/>
      <c r="BD232" s="1058"/>
      <c r="BE232" s="1058"/>
      <c r="BF232" s="1058"/>
      <c r="BG232" s="1058"/>
      <c r="BH232" s="1058"/>
      <c r="BI232" s="1058"/>
      <c r="BJ232" s="1058"/>
      <c r="BK232" s="1058"/>
      <c r="BL232" s="1058"/>
      <c r="BM232" s="1058"/>
      <c r="BN232" s="1058"/>
      <c r="BO232" s="1058"/>
      <c r="BP232" s="1058"/>
      <c r="BQ232" s="1058"/>
      <c r="BR232" s="1058"/>
      <c r="BS232" s="1058"/>
      <c r="BT232" s="1058"/>
      <c r="BU232" s="1058"/>
      <c r="BV232" s="1058"/>
      <c r="BW232" s="1058"/>
      <c r="BX232" s="1058"/>
      <c r="BY232" s="1058"/>
      <c r="BZ232" s="1058"/>
      <c r="CA232" s="1058"/>
      <c r="CB232" s="1058"/>
      <c r="CC232" s="1058"/>
      <c r="CD232" s="1058"/>
      <c r="CE232" s="1058"/>
      <c r="CF232" s="1058"/>
      <c r="CG232" s="1058"/>
      <c r="CH232" s="1058"/>
      <c r="CI232" s="1058"/>
      <c r="CJ232" s="1058"/>
      <c r="CK232" s="1058"/>
      <c r="CL232" s="1058"/>
      <c r="CM232" s="1058"/>
      <c r="CN232" s="1058"/>
      <c r="CO232" s="1058"/>
      <c r="CP232" s="1058"/>
      <c r="CQ232" s="1058"/>
      <c r="CR232" s="1058"/>
      <c r="CS232" s="1058"/>
      <c r="CT232" s="1058"/>
      <c r="CU232" s="1058"/>
      <c r="CV232" s="1058"/>
      <c r="CW232" s="1058"/>
      <c r="CX232" s="1058"/>
      <c r="CY232" s="1058"/>
      <c r="CZ232" s="1058"/>
      <c r="DA232" s="1058"/>
      <c r="DB232" s="1058"/>
      <c r="DC232" s="1058"/>
      <c r="DD232" s="1058"/>
      <c r="DE232" s="1058"/>
      <c r="DF232" s="1058"/>
      <c r="DG232" s="1058"/>
      <c r="DH232" s="1058"/>
      <c r="DI232" s="1058"/>
      <c r="DJ232" s="1058"/>
      <c r="DK232" s="1058"/>
      <c r="DL232" s="1058"/>
      <c r="DM232" s="1058"/>
      <c r="DN232" s="1058"/>
      <c r="DO232" s="1058"/>
      <c r="DP232" s="1058"/>
      <c r="DQ232" s="1058"/>
      <c r="DR232" s="1058"/>
      <c r="DS232" s="1058"/>
      <c r="DT232" s="1058"/>
      <c r="DU232" s="1058"/>
      <c r="DV232" s="1058"/>
      <c r="DW232" s="1058"/>
      <c r="DX232" s="1058"/>
      <c r="DY232" s="1058"/>
      <c r="DZ232" s="1058"/>
      <c r="EA232" s="1058"/>
      <c r="EB232" s="1058"/>
      <c r="EC232" s="1058"/>
      <c r="ED232" s="1058"/>
      <c r="EE232" s="1058"/>
      <c r="EF232" s="1058"/>
      <c r="EG232" s="1058"/>
      <c r="EH232" s="1058"/>
      <c r="EI232" s="1058"/>
      <c r="EJ232" s="1058"/>
      <c r="EK232" s="1058"/>
      <c r="EL232" s="1058"/>
      <c r="EM232" s="1058"/>
      <c r="EN232" s="1058"/>
      <c r="EO232" s="1058"/>
      <c r="EP232" s="1058"/>
      <c r="EQ232" s="1058"/>
      <c r="ER232" s="1058"/>
      <c r="ES232" s="1058"/>
      <c r="ET232" s="1058"/>
      <c r="EU232" s="1058"/>
      <c r="EV232" s="1058"/>
      <c r="EW232" s="1058"/>
      <c r="EX232" s="1058"/>
      <c r="EY232" s="1058"/>
      <c r="EZ232" s="1058"/>
      <c r="FA232" s="1058"/>
      <c r="FB232" s="1058"/>
      <c r="FC232" s="1058"/>
      <c r="FD232" s="1058"/>
      <c r="FE232" s="1058"/>
      <c r="FF232" s="1058"/>
      <c r="FG232" s="1058"/>
      <c r="FH232" s="1058"/>
      <c r="FI232" s="1058"/>
      <c r="FJ232" s="1058"/>
      <c r="FK232" s="1058"/>
      <c r="FL232" s="1058"/>
      <c r="FM232" s="1058"/>
      <c r="FN232" s="1058"/>
      <c r="FO232" s="1058"/>
      <c r="FP232" s="1058"/>
      <c r="FQ232" s="1058"/>
      <c r="FR232" s="1058"/>
      <c r="FS232" s="1058"/>
      <c r="FT232" s="1058"/>
      <c r="FU232" s="1058"/>
      <c r="FV232" s="1058"/>
      <c r="FW232" s="1058"/>
      <c r="FX232" s="1058"/>
      <c r="FY232" s="1058"/>
      <c r="FZ232" s="1058"/>
      <c r="GA232" s="1058"/>
      <c r="GB232" s="1058"/>
      <c r="GC232" s="1058"/>
      <c r="GD232" s="1058"/>
      <c r="GE232" s="1058"/>
      <c r="GF232" s="1058"/>
      <c r="GG232" s="1058"/>
      <c r="GH232" s="1058"/>
      <c r="GI232" s="1058"/>
      <c r="GJ232" s="1058"/>
      <c r="GK232" s="1058"/>
      <c r="GL232" s="1058"/>
      <c r="GM232" s="1058"/>
      <c r="GN232" s="1058"/>
      <c r="GO232" s="1058"/>
      <c r="GP232" s="1058"/>
      <c r="GQ232" s="1058"/>
      <c r="GR232" s="1058"/>
      <c r="GS232" s="1058"/>
      <c r="GT232" s="1058"/>
      <c r="GU232" s="1058"/>
      <c r="GV232" s="1058"/>
      <c r="GW232" s="1058"/>
      <c r="GX232" s="1058"/>
      <c r="GY232" s="1058"/>
      <c r="GZ232" s="1058"/>
      <c r="HA232" s="1058"/>
      <c r="HB232" s="1058"/>
      <c r="HC232" s="1058"/>
      <c r="HD232" s="1058"/>
      <c r="HE232" s="1058"/>
      <c r="HF232" s="1058"/>
      <c r="HG232" s="1058"/>
      <c r="HH232" s="1058"/>
      <c r="HI232" s="1058"/>
      <c r="HJ232" s="1058"/>
      <c r="HK232" s="1058"/>
      <c r="HL232" s="1058"/>
      <c r="HM232" s="1058"/>
      <c r="HN232" s="1058"/>
      <c r="HO232" s="1058"/>
      <c r="HP232" s="1058"/>
      <c r="HQ232" s="1058"/>
      <c r="HR232" s="1058"/>
      <c r="HS232" s="1058"/>
      <c r="HT232" s="1058"/>
      <c r="HU232" s="1058"/>
      <c r="HV232" s="1058"/>
      <c r="HW232" s="1058"/>
      <c r="HX232" s="1058"/>
      <c r="HY232" s="1058"/>
      <c r="HZ232" s="1058"/>
      <c r="IA232" s="1058"/>
      <c r="IB232" s="1058"/>
      <c r="IC232" s="1058"/>
      <c r="ID232" s="1058"/>
      <c r="IE232" s="1058"/>
      <c r="IF232" s="1058"/>
      <c r="IG232" s="1058"/>
      <c r="IH232" s="1058"/>
      <c r="II232" s="1058"/>
      <c r="IJ232" s="1058"/>
      <c r="IK232" s="1058"/>
      <c r="IL232" s="1058"/>
      <c r="IM232" s="1058"/>
      <c r="IN232" s="1058"/>
      <c r="IO232" s="1058"/>
      <c r="IP232" s="1058"/>
      <c r="IQ232" s="1058"/>
      <c r="IR232" s="1058"/>
      <c r="IS232" s="1058"/>
      <c r="IT232" s="1058"/>
      <c r="IU232" s="1058"/>
      <c r="IV232" s="1058"/>
      <c r="IW232" s="1058"/>
      <c r="IX232" s="1058"/>
      <c r="IY232" s="1058"/>
      <c r="IZ232" s="1058"/>
      <c r="JA232" s="1058"/>
      <c r="JB232" s="1058"/>
      <c r="JC232" s="1058"/>
      <c r="JD232" s="1058"/>
      <c r="JE232" s="1058"/>
      <c r="JF232" s="1058"/>
      <c r="JG232" s="1058"/>
      <c r="JH232" s="1058"/>
      <c r="JI232" s="1058"/>
      <c r="JJ232" s="1058"/>
      <c r="JK232" s="1058"/>
      <c r="JL232" s="1058"/>
      <c r="JM232" s="1058"/>
      <c r="JN232" s="1058"/>
      <c r="JO232" s="1058"/>
      <c r="JP232" s="1058"/>
      <c r="JQ232" s="1058"/>
      <c r="JR232" s="1058"/>
      <c r="JS232" s="1058"/>
      <c r="JT232" s="1058"/>
      <c r="JU232" s="1058"/>
      <c r="JV232" s="1059"/>
      <c r="JW232" s="1058"/>
      <c r="JX232" s="1058"/>
      <c r="JY232" s="1058"/>
      <c r="JZ232" s="1058"/>
      <c r="KA232" s="1059"/>
      <c r="KB232" s="1059"/>
      <c r="KC232" s="1059"/>
      <c r="KD232" s="1059"/>
      <c r="KE232" s="1059"/>
      <c r="KF232" s="1059"/>
      <c r="KG232" s="1059"/>
      <c r="KH232" s="1059"/>
      <c r="KI232" s="1059"/>
      <c r="KJ232" s="1059"/>
      <c r="KK232" s="1059"/>
      <c r="KL232" s="1059"/>
      <c r="KM232" s="1059"/>
      <c r="KN232" s="1059"/>
      <c r="KO232" s="1059"/>
      <c r="KP232" s="1059"/>
      <c r="KQ232" s="1059"/>
      <c r="KR232" s="1059"/>
      <c r="KS232" s="1059"/>
      <c r="KT232" s="1059"/>
      <c r="KU232" s="1059"/>
      <c r="KV232" s="1059"/>
      <c r="KW232" s="1059"/>
      <c r="KX232" s="1059"/>
      <c r="KY232" s="1059"/>
      <c r="KZ232" s="1059"/>
      <c r="LA232" s="1059"/>
      <c r="LB232" s="1059"/>
      <c r="LC232" s="1059"/>
      <c r="LD232" s="1059"/>
      <c r="LE232" s="1059"/>
      <c r="LF232" s="1059"/>
      <c r="LG232" s="1058"/>
      <c r="LH232" s="1058"/>
      <c r="LI232" s="1058"/>
      <c r="LJ232" s="1058"/>
      <c r="LK232" s="1058"/>
      <c r="LL232" s="1058"/>
      <c r="LM232" s="1060"/>
      <c r="LN232" s="1058"/>
      <c r="LO232" s="1058"/>
      <c r="LP232" s="1058"/>
      <c r="LQ232" s="1058"/>
      <c r="LR232" s="1058"/>
      <c r="LS232" s="1058"/>
      <c r="LT232" s="1058"/>
      <c r="LU232" s="1058"/>
      <c r="LV232" s="1058"/>
      <c r="LW232" s="1058"/>
      <c r="LX232" s="1058"/>
      <c r="LY232" s="1058"/>
      <c r="LZ232" s="1058"/>
      <c r="MA232" s="1058"/>
      <c r="MB232" s="1058"/>
      <c r="MC232" s="1060"/>
      <c r="MD232" s="1060"/>
      <c r="ME232" s="1058"/>
      <c r="MF232" s="1058"/>
      <c r="MG232" s="1058"/>
      <c r="MH232" s="1058"/>
      <c r="MI232" s="1058"/>
      <c r="MJ232" s="1058"/>
      <c r="MK232" s="1058"/>
      <c r="ML232" s="1058"/>
      <c r="MM232" s="1058"/>
      <c r="MN232" s="1058"/>
      <c r="MO232" s="1058"/>
      <c r="MP232" s="1058"/>
      <c r="MQ232" s="1058"/>
      <c r="MR232" s="1058"/>
      <c r="MS232" s="1058"/>
      <c r="MT232" s="1058"/>
      <c r="MU232" s="1058"/>
      <c r="MV232" s="1058"/>
      <c r="MW232" s="1058"/>
      <c r="MX232" s="1058"/>
      <c r="MY232" s="1058"/>
      <c r="MZ232" s="1058"/>
      <c r="NA232" s="1058"/>
      <c r="NB232" s="1058"/>
      <c r="NC232" s="1058"/>
      <c r="ND232" s="1058"/>
      <c r="NE232" s="1058"/>
      <c r="NF232" s="1058"/>
      <c r="NG232" s="1058"/>
      <c r="NH232" s="1058"/>
      <c r="NI232" s="1058"/>
      <c r="NJ232" s="1058"/>
      <c r="NK232" s="1058"/>
      <c r="NL232" s="1058"/>
      <c r="NM232" s="1058"/>
      <c r="NN232" s="1058"/>
      <c r="NO232" s="1058"/>
      <c r="NP232" s="1058"/>
      <c r="NQ232" s="1058"/>
      <c r="NR232" s="1058"/>
      <c r="NS232" s="1058"/>
      <c r="NT232" s="1058"/>
      <c r="NU232" s="1058"/>
      <c r="NV232" s="1058"/>
      <c r="NW232" s="1058"/>
      <c r="NX232" s="1058"/>
      <c r="NY232" s="1058"/>
      <c r="NZ232" s="1058"/>
      <c r="OA232" s="1058"/>
      <c r="OB232" s="1058"/>
      <c r="OC232" s="1058"/>
      <c r="OD232" s="1018"/>
      <c r="OE232" s="1018"/>
      <c r="OF232" s="1018"/>
      <c r="OG232" s="1018"/>
      <c r="OH232" s="1018"/>
      <c r="OI232" s="1018"/>
      <c r="OJ232" s="1018"/>
      <c r="OK232" s="1018"/>
      <c r="OL232" s="1018"/>
      <c r="OM232" s="1018"/>
      <c r="ON232" s="1018"/>
      <c r="OO232" s="1018"/>
      <c r="OP232" s="1018"/>
      <c r="OQ232" s="1018"/>
      <c r="OR232" s="1018"/>
      <c r="OS232" s="1018"/>
      <c r="OT232" s="1018"/>
      <c r="OU232" s="1018"/>
      <c r="OV232" s="1018"/>
      <c r="OW232" s="1018"/>
      <c r="OX232" s="1018"/>
      <c r="OY232" s="1018"/>
      <c r="OZ232" s="1018"/>
      <c r="PA232" s="1018"/>
      <c r="PB232" s="1018"/>
      <c r="PC232" s="1018"/>
      <c r="PD232" s="1018"/>
      <c r="PE232" s="1018"/>
      <c r="PF232" s="1018"/>
      <c r="PG232" s="1018"/>
      <c r="PH232" s="1018"/>
      <c r="PI232" s="1018"/>
      <c r="PJ232" s="1018"/>
      <c r="PK232" s="1018"/>
      <c r="PL232" s="1018"/>
      <c r="PM232" s="1018"/>
      <c r="PN232" s="1018"/>
      <c r="PO232" s="1018"/>
      <c r="PP232" s="1018"/>
      <c r="PQ232" s="1018"/>
      <c r="PR232" s="1018"/>
      <c r="PS232" s="1018"/>
      <c r="PT232" s="1018"/>
      <c r="PU232" s="1018"/>
      <c r="PV232" s="1018"/>
      <c r="PW232" s="1018"/>
      <c r="PX232" s="1018"/>
      <c r="PY232" s="1018"/>
      <c r="PZ232" s="1018"/>
      <c r="QA232" s="1018"/>
      <c r="QB232" s="1018"/>
      <c r="QC232" s="1018"/>
      <c r="QD232" s="1018"/>
      <c r="QE232" s="1018"/>
      <c r="QF232" s="1018"/>
      <c r="QG232" s="1018"/>
      <c r="QH232" s="1018"/>
      <c r="QI232" s="1018"/>
      <c r="QJ232" s="1018"/>
      <c r="QK232" s="1018"/>
      <c r="QL232" s="1018"/>
      <c r="QM232" s="1018"/>
      <c r="QN232" s="1018"/>
      <c r="QO232" s="1018"/>
      <c r="QP232" s="1018"/>
      <c r="QQ232" s="1018"/>
      <c r="QR232" s="1018"/>
      <c r="QS232" s="1018"/>
      <c r="QT232" s="1018"/>
      <c r="QU232" s="1018"/>
      <c r="QV232" s="1018"/>
      <c r="QW232" s="1018"/>
      <c r="QX232" s="1018"/>
      <c r="QY232" s="1018"/>
      <c r="QZ232" s="1018"/>
      <c r="RA232" s="1018"/>
      <c r="RB232" s="1018"/>
      <c r="RC232" s="1018"/>
      <c r="RD232" s="1018"/>
      <c r="RE232" s="1018"/>
      <c r="RF232" s="1018"/>
      <c r="RG232" s="1018"/>
      <c r="RH232" s="1018"/>
      <c r="RI232" s="1018"/>
      <c r="RJ232" s="1018"/>
      <c r="RK232" s="1018"/>
      <c r="RL232" s="1018"/>
      <c r="RM232" s="1018"/>
      <c r="RN232" s="1018"/>
      <c r="RO232" s="1018"/>
      <c r="RP232" s="1018"/>
      <c r="RQ232" s="1018"/>
      <c r="RR232" s="1018"/>
      <c r="RS232" s="1018"/>
      <c r="RT232" s="1018"/>
      <c r="RU232" s="1018"/>
      <c r="RV232" s="1018"/>
      <c r="RW232" s="1018"/>
      <c r="RX232" s="1018"/>
    </row>
    <row r="233" spans="1:492" s="1057" customFormat="1" ht="15.6" customHeight="1">
      <c r="A233" s="1018"/>
      <c r="B233" s="1018" t="s">
        <v>1458</v>
      </c>
      <c r="C233" s="1018"/>
      <c r="D233" s="1294"/>
      <c r="E233" s="1018"/>
      <c r="F233" s="2347"/>
      <c r="G233" s="2348"/>
      <c r="H233" s="1018"/>
      <c r="I233" s="1018" t="s">
        <v>1268</v>
      </c>
      <c r="J233" s="1305" t="e">
        <f>K233/12/O67</f>
        <v>#DIV/0!</v>
      </c>
      <c r="K233" s="2321"/>
      <c r="L233" s="2322"/>
      <c r="M233" s="2346"/>
      <c r="N233" s="2349" t="s">
        <v>3404</v>
      </c>
      <c r="O233" s="2350"/>
      <c r="P233" s="2351"/>
      <c r="R233" s="2314"/>
      <c r="S233" s="2315"/>
      <c r="T233" s="2315"/>
      <c r="U233" s="2315"/>
      <c r="V233" s="2316"/>
      <c r="W233" s="1064"/>
      <c r="X233" s="1058"/>
      <c r="Y233" s="1058"/>
      <c r="Z233" s="1058"/>
      <c r="AA233" s="1058"/>
      <c r="AB233" s="1064"/>
      <c r="AC233" s="1058"/>
      <c r="AD233" s="1058"/>
      <c r="AE233" s="1058"/>
      <c r="AF233" s="1058"/>
      <c r="AG233" s="1064"/>
      <c r="AH233" s="1058"/>
      <c r="AI233" s="1058"/>
      <c r="AJ233" s="1058"/>
      <c r="AK233" s="1058"/>
      <c r="AL233" s="1064"/>
      <c r="AM233" s="1058"/>
      <c r="AN233" s="1058"/>
      <c r="AO233" s="1058"/>
      <c r="AP233" s="1058"/>
      <c r="AQ233" s="1058"/>
      <c r="AR233" s="1058"/>
      <c r="AS233" s="1058"/>
      <c r="AT233" s="1058"/>
      <c r="AU233" s="1058"/>
      <c r="AV233" s="1058"/>
      <c r="AW233" s="1058"/>
      <c r="AX233" s="1058"/>
      <c r="AY233" s="1058"/>
      <c r="AZ233" s="1058"/>
      <c r="BA233" s="1058"/>
      <c r="BB233" s="1058"/>
      <c r="BC233" s="1058"/>
      <c r="BD233" s="1058"/>
      <c r="BE233" s="1058"/>
      <c r="BF233" s="1058"/>
      <c r="BG233" s="1058"/>
      <c r="BH233" s="1058"/>
      <c r="BI233" s="1058"/>
      <c r="BJ233" s="1058"/>
      <c r="BK233" s="1058"/>
      <c r="BL233" s="1058"/>
      <c r="BM233" s="1058"/>
      <c r="BN233" s="1058"/>
      <c r="BO233" s="1058"/>
      <c r="BP233" s="1058"/>
      <c r="BQ233" s="1058"/>
      <c r="BR233" s="1058"/>
      <c r="BS233" s="1058"/>
      <c r="BT233" s="1058"/>
      <c r="BU233" s="1058"/>
      <c r="BV233" s="1058"/>
      <c r="BW233" s="1058"/>
      <c r="BX233" s="1058"/>
      <c r="BY233" s="1058"/>
      <c r="BZ233" s="1058"/>
      <c r="CA233" s="1058"/>
      <c r="CB233" s="1058"/>
      <c r="CC233" s="1058"/>
      <c r="CD233" s="1058"/>
      <c r="CE233" s="1058"/>
      <c r="CF233" s="1058"/>
      <c r="CG233" s="1058"/>
      <c r="CH233" s="1058"/>
      <c r="CI233" s="1058"/>
      <c r="CJ233" s="1058"/>
      <c r="CK233" s="1058"/>
      <c r="CL233" s="1058"/>
      <c r="CM233" s="1058"/>
      <c r="CN233" s="1058"/>
      <c r="CO233" s="1058"/>
      <c r="CP233" s="1058"/>
      <c r="CQ233" s="1058"/>
      <c r="CR233" s="1058"/>
      <c r="CS233" s="1058"/>
      <c r="CT233" s="1058"/>
      <c r="CU233" s="1058"/>
      <c r="CV233" s="1058"/>
      <c r="CW233" s="1058"/>
      <c r="CX233" s="1058"/>
      <c r="CY233" s="1058"/>
      <c r="CZ233" s="1058"/>
      <c r="DA233" s="1058"/>
      <c r="DB233" s="1058"/>
      <c r="DC233" s="1058"/>
      <c r="DD233" s="1058"/>
      <c r="DE233" s="1058"/>
      <c r="DF233" s="1058"/>
      <c r="DG233" s="1058"/>
      <c r="DH233" s="1058"/>
      <c r="DI233" s="1058"/>
      <c r="DJ233" s="1058"/>
      <c r="DK233" s="1058"/>
      <c r="DL233" s="1058"/>
      <c r="DM233" s="1058"/>
      <c r="DN233" s="1058"/>
      <c r="DO233" s="1058"/>
      <c r="DP233" s="1058"/>
      <c r="DQ233" s="1058"/>
      <c r="DR233" s="1058"/>
      <c r="DS233" s="1058"/>
      <c r="DT233" s="1058"/>
      <c r="DU233" s="1058"/>
      <c r="DV233" s="1058"/>
      <c r="DW233" s="1058"/>
      <c r="DX233" s="1058"/>
      <c r="DY233" s="1058"/>
      <c r="DZ233" s="1058"/>
      <c r="EA233" s="1058"/>
      <c r="EB233" s="1058"/>
      <c r="EC233" s="1058"/>
      <c r="ED233" s="1058"/>
      <c r="EE233" s="1058"/>
      <c r="EF233" s="1058"/>
      <c r="EG233" s="1058"/>
      <c r="EH233" s="1058"/>
      <c r="EI233" s="1058"/>
      <c r="EJ233" s="1058"/>
      <c r="EK233" s="1058"/>
      <c r="EL233" s="1058"/>
      <c r="EM233" s="1058"/>
      <c r="EN233" s="1058"/>
      <c r="EO233" s="1058"/>
      <c r="EP233" s="1058"/>
      <c r="EQ233" s="1058"/>
      <c r="ER233" s="1058"/>
      <c r="ES233" s="1058"/>
      <c r="ET233" s="1058"/>
      <c r="EU233" s="1058"/>
      <c r="EV233" s="1058"/>
      <c r="EW233" s="1058"/>
      <c r="EX233" s="1058"/>
      <c r="EY233" s="1058"/>
      <c r="EZ233" s="1058"/>
      <c r="FA233" s="1058"/>
      <c r="FB233" s="1058"/>
      <c r="FC233" s="1058"/>
      <c r="FD233" s="1058"/>
      <c r="FE233" s="1058"/>
      <c r="FF233" s="1058"/>
      <c r="FG233" s="1058"/>
      <c r="FH233" s="1058"/>
      <c r="FI233" s="1058"/>
      <c r="FJ233" s="1058"/>
      <c r="FK233" s="1058"/>
      <c r="FL233" s="1058"/>
      <c r="FM233" s="1058"/>
      <c r="FN233" s="1058"/>
      <c r="FO233" s="1058"/>
      <c r="FP233" s="1058"/>
      <c r="FQ233" s="1058"/>
      <c r="FR233" s="1058"/>
      <c r="FS233" s="1058"/>
      <c r="FT233" s="1058"/>
      <c r="FU233" s="1058"/>
      <c r="FV233" s="1058"/>
      <c r="FW233" s="1058"/>
      <c r="FX233" s="1058"/>
      <c r="FY233" s="1058"/>
      <c r="FZ233" s="1058"/>
      <c r="GA233" s="1058"/>
      <c r="GB233" s="1058"/>
      <c r="GC233" s="1058"/>
      <c r="GD233" s="1058"/>
      <c r="GE233" s="1058"/>
      <c r="GF233" s="1058"/>
      <c r="GG233" s="1058"/>
      <c r="GH233" s="1058"/>
      <c r="GI233" s="1058"/>
      <c r="GJ233" s="1058"/>
      <c r="GK233" s="1058"/>
      <c r="GL233" s="1058"/>
      <c r="GM233" s="1058"/>
      <c r="GN233" s="1058"/>
      <c r="GO233" s="1058"/>
      <c r="GP233" s="1058"/>
      <c r="GQ233" s="1058"/>
      <c r="GR233" s="1058"/>
      <c r="GS233" s="1058"/>
      <c r="GT233" s="1058"/>
      <c r="GU233" s="1058"/>
      <c r="GV233" s="1058"/>
      <c r="GW233" s="1058"/>
      <c r="GX233" s="1058"/>
      <c r="GY233" s="1058"/>
      <c r="GZ233" s="1058"/>
      <c r="HA233" s="1058"/>
      <c r="HB233" s="1058"/>
      <c r="HC233" s="1058"/>
      <c r="HD233" s="1058"/>
      <c r="HE233" s="1058"/>
      <c r="HF233" s="1058"/>
      <c r="HG233" s="1058"/>
      <c r="HH233" s="1058"/>
      <c r="HI233" s="1058"/>
      <c r="HJ233" s="1058"/>
      <c r="HK233" s="1058"/>
      <c r="HL233" s="1058"/>
      <c r="HM233" s="1058"/>
      <c r="HN233" s="1058"/>
      <c r="HO233" s="1058"/>
      <c r="HP233" s="1058"/>
      <c r="HQ233" s="1058"/>
      <c r="HR233" s="1058"/>
      <c r="HS233" s="1058"/>
      <c r="HT233" s="1058"/>
      <c r="HU233" s="1058"/>
      <c r="HV233" s="1058"/>
      <c r="HW233" s="1058"/>
      <c r="HX233" s="1058"/>
      <c r="HY233" s="1058"/>
      <c r="HZ233" s="1058"/>
      <c r="IA233" s="1058"/>
      <c r="IB233" s="1058"/>
      <c r="IC233" s="1058"/>
      <c r="ID233" s="1058"/>
      <c r="IE233" s="1058"/>
      <c r="IF233" s="1058"/>
      <c r="IG233" s="1058"/>
      <c r="IH233" s="1058"/>
      <c r="II233" s="1058"/>
      <c r="IJ233" s="1058"/>
      <c r="IK233" s="1058"/>
      <c r="IL233" s="1058"/>
      <c r="IM233" s="1058"/>
      <c r="IN233" s="1058"/>
      <c r="IO233" s="1058"/>
      <c r="IP233" s="1058"/>
      <c r="IQ233" s="1058"/>
      <c r="IR233" s="1058"/>
      <c r="IS233" s="1058"/>
      <c r="IT233" s="1058"/>
      <c r="IU233" s="1058"/>
      <c r="IV233" s="1058"/>
      <c r="IW233" s="1058"/>
      <c r="IX233" s="1058"/>
      <c r="IY233" s="1058"/>
      <c r="IZ233" s="1058"/>
      <c r="JA233" s="1058"/>
      <c r="JB233" s="1058"/>
      <c r="JC233" s="1058"/>
      <c r="JD233" s="1058"/>
      <c r="JE233" s="1058"/>
      <c r="JF233" s="1058"/>
      <c r="JG233" s="1058"/>
      <c r="JH233" s="1058"/>
      <c r="JI233" s="1058"/>
      <c r="JJ233" s="1058"/>
      <c r="JK233" s="1058"/>
      <c r="JL233" s="1058"/>
      <c r="JM233" s="1058"/>
      <c r="JN233" s="1058"/>
      <c r="JO233" s="1058"/>
      <c r="JP233" s="1058"/>
      <c r="JQ233" s="1058"/>
      <c r="JR233" s="1058"/>
      <c r="JS233" s="1058"/>
      <c r="JT233" s="1058"/>
      <c r="JU233" s="1058"/>
      <c r="JV233" s="1059"/>
      <c r="JW233" s="1058"/>
      <c r="JX233" s="1058"/>
      <c r="JY233" s="1058"/>
      <c r="JZ233" s="1058"/>
      <c r="KA233" s="1059"/>
      <c r="KB233" s="1059"/>
      <c r="KC233" s="1059"/>
      <c r="KD233" s="1059"/>
      <c r="KE233" s="1059"/>
      <c r="KF233" s="1059"/>
      <c r="KG233" s="1059"/>
      <c r="KH233" s="1059"/>
      <c r="KI233" s="1059"/>
      <c r="KJ233" s="1059"/>
      <c r="KK233" s="1059"/>
      <c r="KL233" s="1059"/>
      <c r="KM233" s="1059"/>
      <c r="KN233" s="1059"/>
      <c r="KO233" s="1059"/>
      <c r="KP233" s="1059"/>
      <c r="KQ233" s="1059"/>
      <c r="KR233" s="1059"/>
      <c r="KS233" s="1059"/>
      <c r="KT233" s="1059"/>
      <c r="KU233" s="1059"/>
      <c r="KV233" s="1059"/>
      <c r="KW233" s="1059"/>
      <c r="KX233" s="1059"/>
      <c r="KY233" s="1059"/>
      <c r="KZ233" s="1059"/>
      <c r="LA233" s="1059"/>
      <c r="LB233" s="1059"/>
      <c r="LC233" s="1059"/>
      <c r="LD233" s="1059"/>
      <c r="LE233" s="1059"/>
      <c r="LF233" s="1059"/>
      <c r="LG233" s="1058"/>
      <c r="LH233" s="1058"/>
      <c r="LI233" s="1058"/>
      <c r="LJ233" s="1058"/>
      <c r="LK233" s="1058"/>
      <c r="LL233" s="1058"/>
      <c r="LM233" s="1060"/>
      <c r="LN233" s="1058"/>
      <c r="LO233" s="1058"/>
      <c r="LP233" s="1058"/>
      <c r="LQ233" s="1058"/>
      <c r="LR233" s="1058"/>
      <c r="LS233" s="1058"/>
      <c r="LT233" s="1058"/>
      <c r="LU233" s="1058"/>
      <c r="LV233" s="1058"/>
      <c r="LW233" s="1058"/>
      <c r="LX233" s="1058"/>
      <c r="LY233" s="1058"/>
      <c r="LZ233" s="1058"/>
      <c r="MA233" s="1058"/>
      <c r="MB233" s="1058"/>
      <c r="MC233" s="1060"/>
      <c r="MD233" s="1060"/>
      <c r="ME233" s="1058"/>
      <c r="MF233" s="1058"/>
      <c r="MG233" s="1058"/>
      <c r="MH233" s="1058"/>
      <c r="MI233" s="1058"/>
      <c r="MJ233" s="1058"/>
      <c r="MK233" s="1058"/>
      <c r="ML233" s="1058"/>
      <c r="MM233" s="1058"/>
      <c r="MN233" s="1058"/>
      <c r="MO233" s="1058"/>
      <c r="MP233" s="1058"/>
      <c r="MQ233" s="1058"/>
      <c r="MR233" s="1058"/>
      <c r="MS233" s="1058"/>
      <c r="MT233" s="1058"/>
      <c r="MU233" s="1058"/>
      <c r="MV233" s="1058"/>
      <c r="MW233" s="1058"/>
      <c r="MX233" s="1058"/>
      <c r="MY233" s="1058"/>
      <c r="MZ233" s="1058"/>
      <c r="NA233" s="1058"/>
      <c r="NB233" s="1058"/>
      <c r="NC233" s="1058"/>
      <c r="ND233" s="1058"/>
      <c r="NE233" s="1058"/>
      <c r="NF233" s="1058"/>
      <c r="NG233" s="1058"/>
      <c r="NH233" s="1058"/>
      <c r="NI233" s="1058"/>
      <c r="NJ233" s="1058"/>
      <c r="NK233" s="1058"/>
      <c r="NL233" s="1058"/>
      <c r="NM233" s="1058"/>
      <c r="NN233" s="1058"/>
      <c r="NO233" s="1058"/>
      <c r="NP233" s="1058"/>
      <c r="NQ233" s="1058"/>
      <c r="NR233" s="1058"/>
      <c r="NS233" s="1058"/>
      <c r="NT233" s="1058"/>
      <c r="NU233" s="1058"/>
      <c r="NV233" s="1058"/>
      <c r="NW233" s="1058"/>
      <c r="NX233" s="1058"/>
      <c r="NY233" s="1058"/>
      <c r="NZ233" s="1058"/>
      <c r="OA233" s="1058"/>
      <c r="OB233" s="1058"/>
      <c r="OC233" s="1058"/>
      <c r="OD233" s="1018"/>
      <c r="OE233" s="1018"/>
      <c r="OF233" s="1018"/>
      <c r="OG233" s="1018"/>
      <c r="OH233" s="1018"/>
      <c r="OI233" s="1018"/>
      <c r="OJ233" s="1018"/>
      <c r="OK233" s="1018"/>
      <c r="OL233" s="1018"/>
      <c r="OM233" s="1018"/>
      <c r="ON233" s="1018"/>
      <c r="OO233" s="1018"/>
      <c r="OP233" s="1018"/>
      <c r="OQ233" s="1018"/>
      <c r="OR233" s="1018"/>
      <c r="OS233" s="1018"/>
      <c r="OT233" s="1018"/>
      <c r="OU233" s="1018"/>
      <c r="OV233" s="1018"/>
      <c r="OW233" s="1018"/>
      <c r="OX233" s="1018"/>
      <c r="OY233" s="1018"/>
      <c r="OZ233" s="1018"/>
      <c r="PA233" s="1018"/>
      <c r="PB233" s="1018"/>
      <c r="PC233" s="1018"/>
      <c r="PD233" s="1018"/>
      <c r="PE233" s="1018"/>
      <c r="PF233" s="1018"/>
      <c r="PG233" s="1018"/>
      <c r="PH233" s="1018"/>
      <c r="PI233" s="1018"/>
      <c r="PJ233" s="1018"/>
      <c r="PK233" s="1018"/>
      <c r="PL233" s="1018"/>
      <c r="PM233" s="1018"/>
      <c r="PN233" s="1018"/>
      <c r="PO233" s="1018"/>
      <c r="PP233" s="1018"/>
      <c r="PQ233" s="1018"/>
      <c r="PR233" s="1018"/>
      <c r="PS233" s="1018"/>
      <c r="PT233" s="1018"/>
      <c r="PU233" s="1018"/>
      <c r="PV233" s="1018"/>
      <c r="PW233" s="1018"/>
      <c r="PX233" s="1018"/>
      <c r="PY233" s="1018"/>
      <c r="PZ233" s="1018"/>
      <c r="QA233" s="1018"/>
      <c r="QB233" s="1018"/>
      <c r="QC233" s="1018"/>
      <c r="QD233" s="1018"/>
      <c r="QE233" s="1018"/>
      <c r="QF233" s="1018"/>
      <c r="QG233" s="1018"/>
      <c r="QH233" s="1018"/>
      <c r="QI233" s="1018"/>
      <c r="QJ233" s="1018"/>
      <c r="QK233" s="1018"/>
      <c r="QL233" s="1018"/>
      <c r="QM233" s="1018"/>
      <c r="QN233" s="1018"/>
      <c r="QO233" s="1018"/>
      <c r="QP233" s="1018"/>
      <c r="QQ233" s="1018"/>
      <c r="QR233" s="1018"/>
      <c r="QS233" s="1018"/>
      <c r="QT233" s="1018"/>
      <c r="QU233" s="1018"/>
      <c r="QV233" s="1018"/>
      <c r="QW233" s="1018"/>
      <c r="QX233" s="1018"/>
      <c r="QY233" s="1018"/>
      <c r="QZ233" s="1018"/>
      <c r="RA233" s="1018"/>
      <c r="RB233" s="1018"/>
      <c r="RC233" s="1018"/>
      <c r="RD233" s="1018"/>
      <c r="RE233" s="1018"/>
      <c r="RF233" s="1018"/>
      <c r="RG233" s="1018"/>
      <c r="RH233" s="1018"/>
      <c r="RI233" s="1018"/>
      <c r="RJ233" s="1018"/>
      <c r="RK233" s="1018"/>
      <c r="RL233" s="1018"/>
      <c r="RM233" s="1018"/>
      <c r="RN233" s="1018"/>
      <c r="RO233" s="1018"/>
      <c r="RP233" s="1018"/>
      <c r="RQ233" s="1018"/>
      <c r="RR233" s="1018"/>
      <c r="RS233" s="1018"/>
      <c r="RT233" s="1018"/>
      <c r="RU233" s="1018"/>
      <c r="RV233" s="1018"/>
      <c r="RW233" s="1018"/>
      <c r="RX233" s="1018"/>
    </row>
    <row r="234" spans="1:492" s="1057" customFormat="1" ht="15.6" customHeight="1">
      <c r="A234" s="1018"/>
      <c r="B234" s="1018" t="s">
        <v>1459</v>
      </c>
      <c r="C234" s="1018"/>
      <c r="D234" s="1294"/>
      <c r="E234" s="1018"/>
      <c r="F234" s="2347"/>
      <c r="G234" s="2348"/>
      <c r="H234" s="1018"/>
      <c r="I234" s="1018" t="s">
        <v>2090</v>
      </c>
      <c r="J234" s="1305" t="e">
        <f>K234/12/O67</f>
        <v>#DIV/0!</v>
      </c>
      <c r="K234" s="2321"/>
      <c r="L234" s="2322"/>
      <c r="M234" s="2346"/>
      <c r="N234" s="1309" t="s">
        <v>2357</v>
      </c>
      <c r="O234" s="1310" t="s">
        <v>3405</v>
      </c>
      <c r="P234" s="1311" t="s">
        <v>2993</v>
      </c>
      <c r="Q234" s="1310"/>
      <c r="R234" s="2314"/>
      <c r="S234" s="2315"/>
      <c r="T234" s="2315"/>
      <c r="U234" s="2315"/>
      <c r="V234" s="2316"/>
      <c r="W234" s="1064"/>
      <c r="X234" s="1058"/>
      <c r="Y234" s="1058"/>
      <c r="Z234" s="1058"/>
      <c r="AA234" s="1058"/>
      <c r="AB234" s="1064"/>
      <c r="AC234" s="1058"/>
      <c r="AD234" s="1058"/>
      <c r="AE234" s="1058"/>
      <c r="AF234" s="1058"/>
      <c r="AG234" s="1064"/>
      <c r="AH234" s="1058"/>
      <c r="AI234" s="1058"/>
      <c r="AJ234" s="1058"/>
      <c r="AK234" s="1058"/>
      <c r="AL234" s="1064"/>
      <c r="AM234" s="1058"/>
      <c r="AN234" s="1058"/>
      <c r="AO234" s="1058"/>
      <c r="AP234" s="1058"/>
      <c r="AQ234" s="1058"/>
      <c r="AR234" s="1058"/>
      <c r="AS234" s="1058"/>
      <c r="AT234" s="1058"/>
      <c r="AU234" s="1058"/>
      <c r="AV234" s="1058"/>
      <c r="AW234" s="1058"/>
      <c r="AX234" s="1058"/>
      <c r="AY234" s="1058"/>
      <c r="AZ234" s="1058"/>
      <c r="BA234" s="1058"/>
      <c r="BB234" s="1058"/>
      <c r="BC234" s="1058"/>
      <c r="BD234" s="1058"/>
      <c r="BE234" s="1058"/>
      <c r="BF234" s="1058"/>
      <c r="BG234" s="1058"/>
      <c r="BH234" s="1058"/>
      <c r="BI234" s="1058"/>
      <c r="BJ234" s="1058"/>
      <c r="BK234" s="1058"/>
      <c r="BL234" s="1058"/>
      <c r="BM234" s="1058"/>
      <c r="BN234" s="1058"/>
      <c r="BO234" s="1058"/>
      <c r="BP234" s="1058"/>
      <c r="BQ234" s="1058"/>
      <c r="BR234" s="1058"/>
      <c r="BS234" s="1058"/>
      <c r="BT234" s="1058"/>
      <c r="BU234" s="1058"/>
      <c r="BV234" s="1058"/>
      <c r="BW234" s="1058"/>
      <c r="BX234" s="1058"/>
      <c r="BY234" s="1058"/>
      <c r="BZ234" s="1058"/>
      <c r="CA234" s="1058"/>
      <c r="CB234" s="1058"/>
      <c r="CC234" s="1058"/>
      <c r="CD234" s="1058"/>
      <c r="CE234" s="1058"/>
      <c r="CF234" s="1058"/>
      <c r="CG234" s="1058"/>
      <c r="CH234" s="1058"/>
      <c r="CI234" s="1058"/>
      <c r="CJ234" s="1058"/>
      <c r="CK234" s="1058"/>
      <c r="CL234" s="1058"/>
      <c r="CM234" s="1058"/>
      <c r="CN234" s="1058"/>
      <c r="CO234" s="1058"/>
      <c r="CP234" s="1058"/>
      <c r="CQ234" s="1058"/>
      <c r="CR234" s="1058"/>
      <c r="CS234" s="1058"/>
      <c r="CT234" s="1058"/>
      <c r="CU234" s="1058"/>
      <c r="CV234" s="1058"/>
      <c r="CW234" s="1058"/>
      <c r="CX234" s="1058"/>
      <c r="CY234" s="1058"/>
      <c r="CZ234" s="1058"/>
      <c r="DA234" s="1058"/>
      <c r="DB234" s="1058"/>
      <c r="DC234" s="1058"/>
      <c r="DD234" s="1058"/>
      <c r="DE234" s="1058"/>
      <c r="DF234" s="1058"/>
      <c r="DG234" s="1058"/>
      <c r="DH234" s="1058"/>
      <c r="DI234" s="1058"/>
      <c r="DJ234" s="1058"/>
      <c r="DK234" s="1058"/>
      <c r="DL234" s="1058"/>
      <c r="DM234" s="1058"/>
      <c r="DN234" s="1058"/>
      <c r="DO234" s="1058"/>
      <c r="DP234" s="1058"/>
      <c r="DQ234" s="1058"/>
      <c r="DR234" s="1058"/>
      <c r="DS234" s="1058"/>
      <c r="DT234" s="1058"/>
      <c r="DU234" s="1058"/>
      <c r="DV234" s="1058"/>
      <c r="DW234" s="1058"/>
      <c r="DX234" s="1058"/>
      <c r="DY234" s="1058"/>
      <c r="DZ234" s="1058"/>
      <c r="EA234" s="1058"/>
      <c r="EB234" s="1058"/>
      <c r="EC234" s="1058"/>
      <c r="ED234" s="1058"/>
      <c r="EE234" s="1058"/>
      <c r="EF234" s="1058"/>
      <c r="EG234" s="1058"/>
      <c r="EH234" s="1058"/>
      <c r="EI234" s="1058"/>
      <c r="EJ234" s="1058"/>
      <c r="EK234" s="1058"/>
      <c r="EL234" s="1058"/>
      <c r="EM234" s="1058"/>
      <c r="EN234" s="1058"/>
      <c r="EO234" s="1058"/>
      <c r="EP234" s="1058"/>
      <c r="EQ234" s="1058"/>
      <c r="ER234" s="1058"/>
      <c r="ES234" s="1058"/>
      <c r="ET234" s="1058"/>
      <c r="EU234" s="1058"/>
      <c r="EV234" s="1058"/>
      <c r="EW234" s="1058"/>
      <c r="EX234" s="1058"/>
      <c r="EY234" s="1058"/>
      <c r="EZ234" s="1058"/>
      <c r="FA234" s="1058"/>
      <c r="FB234" s="1058"/>
      <c r="FC234" s="1058"/>
      <c r="FD234" s="1058"/>
      <c r="FE234" s="1058"/>
      <c r="FF234" s="1058"/>
      <c r="FG234" s="1058"/>
      <c r="FH234" s="1058"/>
      <c r="FI234" s="1058"/>
      <c r="FJ234" s="1058"/>
      <c r="FK234" s="1058"/>
      <c r="FL234" s="1058"/>
      <c r="FM234" s="1058"/>
      <c r="FN234" s="1058"/>
      <c r="FO234" s="1058"/>
      <c r="FP234" s="1058"/>
      <c r="FQ234" s="1058"/>
      <c r="FR234" s="1058"/>
      <c r="FS234" s="1058"/>
      <c r="FT234" s="1058"/>
      <c r="FU234" s="1058"/>
      <c r="FV234" s="1058"/>
      <c r="FW234" s="1058"/>
      <c r="FX234" s="1058"/>
      <c r="FY234" s="1058"/>
      <c r="FZ234" s="1058"/>
      <c r="GA234" s="1058"/>
      <c r="GB234" s="1058"/>
      <c r="GC234" s="1058"/>
      <c r="GD234" s="1058"/>
      <c r="GE234" s="1058"/>
      <c r="GF234" s="1058"/>
      <c r="GG234" s="1058"/>
      <c r="GH234" s="1058"/>
      <c r="GI234" s="1058"/>
      <c r="GJ234" s="1058"/>
      <c r="GK234" s="1058"/>
      <c r="GL234" s="1058"/>
      <c r="GM234" s="1058"/>
      <c r="GN234" s="1058"/>
      <c r="GO234" s="1058"/>
      <c r="GP234" s="1058"/>
      <c r="GQ234" s="1058"/>
      <c r="GR234" s="1058"/>
      <c r="GS234" s="1058"/>
      <c r="GT234" s="1058"/>
      <c r="GU234" s="1058"/>
      <c r="GV234" s="1058"/>
      <c r="GW234" s="1058"/>
      <c r="GX234" s="1058"/>
      <c r="GY234" s="1058"/>
      <c r="GZ234" s="1058"/>
      <c r="HA234" s="1058"/>
      <c r="HB234" s="1058"/>
      <c r="HC234" s="1058"/>
      <c r="HD234" s="1058"/>
      <c r="HE234" s="1058"/>
      <c r="HF234" s="1058"/>
      <c r="HG234" s="1058"/>
      <c r="HH234" s="1058"/>
      <c r="HI234" s="1058"/>
      <c r="HJ234" s="1058"/>
      <c r="HK234" s="1058"/>
      <c r="HL234" s="1058"/>
      <c r="HM234" s="1058"/>
      <c r="HN234" s="1058"/>
      <c r="HO234" s="1058"/>
      <c r="HP234" s="1058"/>
      <c r="HQ234" s="1058"/>
      <c r="HR234" s="1058"/>
      <c r="HS234" s="1058"/>
      <c r="HT234" s="1058"/>
      <c r="HU234" s="1058"/>
      <c r="HV234" s="1058"/>
      <c r="HW234" s="1058"/>
      <c r="HX234" s="1058"/>
      <c r="HY234" s="1058"/>
      <c r="HZ234" s="1058"/>
      <c r="IA234" s="1058"/>
      <c r="IB234" s="1058"/>
      <c r="IC234" s="1058"/>
      <c r="ID234" s="1058"/>
      <c r="IE234" s="1058"/>
      <c r="IF234" s="1058"/>
      <c r="IG234" s="1058"/>
      <c r="IH234" s="1058"/>
      <c r="II234" s="1058"/>
      <c r="IJ234" s="1058"/>
      <c r="IK234" s="1058"/>
      <c r="IL234" s="1058"/>
      <c r="IM234" s="1058"/>
      <c r="IN234" s="1058"/>
      <c r="IO234" s="1058"/>
      <c r="IP234" s="1058"/>
      <c r="IQ234" s="1058"/>
      <c r="IR234" s="1058"/>
      <c r="IS234" s="1058"/>
      <c r="IT234" s="1058"/>
      <c r="IU234" s="1058"/>
      <c r="IV234" s="1058"/>
      <c r="IW234" s="1058"/>
      <c r="IX234" s="1058"/>
      <c r="IY234" s="1058"/>
      <c r="IZ234" s="1058"/>
      <c r="JA234" s="1058"/>
      <c r="JB234" s="1058"/>
      <c r="JC234" s="1058"/>
      <c r="JD234" s="1058"/>
      <c r="JE234" s="1058"/>
      <c r="JF234" s="1058"/>
      <c r="JG234" s="1058"/>
      <c r="JH234" s="1058"/>
      <c r="JI234" s="1058"/>
      <c r="JJ234" s="1058"/>
      <c r="JK234" s="1058"/>
      <c r="JL234" s="1058"/>
      <c r="JM234" s="1058"/>
      <c r="JN234" s="1058"/>
      <c r="JO234" s="1058"/>
      <c r="JP234" s="1058"/>
      <c r="JQ234" s="1058"/>
      <c r="JR234" s="1058"/>
      <c r="JS234" s="1058"/>
      <c r="JT234" s="1058"/>
      <c r="JU234" s="1058"/>
      <c r="JV234" s="1059"/>
      <c r="JW234" s="1058"/>
      <c r="JX234" s="1058"/>
      <c r="JY234" s="1058"/>
      <c r="JZ234" s="1058"/>
      <c r="KA234" s="1059"/>
      <c r="KB234" s="1059"/>
      <c r="KC234" s="1059"/>
      <c r="KD234" s="1059"/>
      <c r="KE234" s="1059"/>
      <c r="KF234" s="1059"/>
      <c r="KG234" s="1059"/>
      <c r="KH234" s="1059"/>
      <c r="KI234" s="1059"/>
      <c r="KJ234" s="1059"/>
      <c r="KK234" s="1059"/>
      <c r="KL234" s="1059"/>
      <c r="KM234" s="1059"/>
      <c r="KN234" s="1059"/>
      <c r="KO234" s="1059"/>
      <c r="KP234" s="1059"/>
      <c r="KQ234" s="1059"/>
      <c r="KR234" s="1059"/>
      <c r="KS234" s="1059"/>
      <c r="KT234" s="1059"/>
      <c r="KU234" s="1059"/>
      <c r="KV234" s="1059"/>
      <c r="KW234" s="1059"/>
      <c r="KX234" s="1059"/>
      <c r="KY234" s="1059"/>
      <c r="KZ234" s="1059"/>
      <c r="LA234" s="1059"/>
      <c r="LB234" s="1059"/>
      <c r="LC234" s="1059"/>
      <c r="LD234" s="1059"/>
      <c r="LE234" s="1059"/>
      <c r="LF234" s="1059"/>
      <c r="LG234" s="1058"/>
      <c r="LH234" s="1058"/>
      <c r="LI234" s="1058"/>
      <c r="LJ234" s="1058"/>
      <c r="LK234" s="1058"/>
      <c r="LL234" s="1058"/>
      <c r="LM234" s="1060"/>
      <c r="LN234" s="1058"/>
      <c r="LO234" s="1058"/>
      <c r="LP234" s="1058"/>
      <c r="LQ234" s="1058"/>
      <c r="LR234" s="1058"/>
      <c r="LS234" s="1058"/>
      <c r="LT234" s="1058"/>
      <c r="LU234" s="1058"/>
      <c r="LV234" s="1058"/>
      <c r="LW234" s="1058"/>
      <c r="LX234" s="1058"/>
      <c r="LY234" s="1058"/>
      <c r="LZ234" s="1058"/>
      <c r="MA234" s="1058"/>
      <c r="MB234" s="1058"/>
      <c r="MC234" s="1060"/>
      <c r="MD234" s="1060"/>
      <c r="ME234" s="1058"/>
      <c r="MF234" s="1058"/>
      <c r="MG234" s="1058"/>
      <c r="MH234" s="1058"/>
      <c r="MI234" s="1058"/>
      <c r="MJ234" s="1058"/>
      <c r="MK234" s="1058"/>
      <c r="ML234" s="1058"/>
      <c r="MM234" s="1058"/>
      <c r="MN234" s="1058"/>
      <c r="MO234" s="1058"/>
      <c r="MP234" s="1058"/>
      <c r="MQ234" s="1058"/>
      <c r="MR234" s="1058"/>
      <c r="MS234" s="1058"/>
      <c r="MT234" s="1058"/>
      <c r="MU234" s="1058"/>
      <c r="MV234" s="1058"/>
      <c r="MW234" s="1058"/>
      <c r="MX234" s="1058"/>
      <c r="MY234" s="1058"/>
      <c r="MZ234" s="1058"/>
      <c r="NA234" s="1058"/>
      <c r="NB234" s="1058"/>
      <c r="NC234" s="1058"/>
      <c r="ND234" s="1058"/>
      <c r="NE234" s="1058"/>
      <c r="NF234" s="1058"/>
      <c r="NG234" s="1058"/>
      <c r="NH234" s="1058"/>
      <c r="NI234" s="1058"/>
      <c r="NJ234" s="1058"/>
      <c r="NK234" s="1058"/>
      <c r="NL234" s="1058"/>
      <c r="NM234" s="1058"/>
      <c r="NN234" s="1058"/>
      <c r="NO234" s="1058"/>
      <c r="NP234" s="1058"/>
      <c r="NQ234" s="1058"/>
      <c r="NR234" s="1058"/>
      <c r="NS234" s="1058"/>
      <c r="NT234" s="1058"/>
      <c r="NU234" s="1058"/>
      <c r="NV234" s="1058"/>
      <c r="NW234" s="1058"/>
      <c r="NX234" s="1058"/>
      <c r="NY234" s="1058"/>
      <c r="NZ234" s="1058"/>
      <c r="OA234" s="1058"/>
      <c r="OB234" s="1058"/>
      <c r="OC234" s="1058"/>
      <c r="OD234" s="1018"/>
      <c r="OE234" s="1018"/>
      <c r="OF234" s="1018"/>
      <c r="OG234" s="1018"/>
      <c r="OH234" s="1018"/>
      <c r="OI234" s="1018"/>
      <c r="OJ234" s="1018"/>
      <c r="OK234" s="1018"/>
      <c r="OL234" s="1018"/>
      <c r="OM234" s="1018"/>
      <c r="ON234" s="1018"/>
      <c r="OO234" s="1018"/>
      <c r="OP234" s="1018"/>
      <c r="OQ234" s="1018"/>
      <c r="OR234" s="1018"/>
      <c r="OS234" s="1018"/>
      <c r="OT234" s="1018"/>
      <c r="OU234" s="1018"/>
      <c r="OV234" s="1018"/>
      <c r="OW234" s="1018"/>
      <c r="OX234" s="1018"/>
      <c r="OY234" s="1018"/>
      <c r="OZ234" s="1018"/>
      <c r="PA234" s="1018"/>
      <c r="PB234" s="1018"/>
      <c r="PC234" s="1018"/>
      <c r="PD234" s="1018"/>
      <c r="PE234" s="1018"/>
      <c r="PF234" s="1018"/>
      <c r="PG234" s="1018"/>
      <c r="PH234" s="1018"/>
      <c r="PI234" s="1018"/>
      <c r="PJ234" s="1018"/>
      <c r="PK234" s="1018"/>
      <c r="PL234" s="1018"/>
      <c r="PM234" s="1018"/>
      <c r="PN234" s="1018"/>
      <c r="PO234" s="1018"/>
      <c r="PP234" s="1018"/>
      <c r="PQ234" s="1018"/>
      <c r="PR234" s="1018"/>
      <c r="PS234" s="1018"/>
      <c r="PT234" s="1018"/>
      <c r="PU234" s="1018"/>
      <c r="PV234" s="1018"/>
      <c r="PW234" s="1018"/>
      <c r="PX234" s="1018"/>
      <c r="PY234" s="1018"/>
      <c r="PZ234" s="1018"/>
      <c r="QA234" s="1018"/>
      <c r="QB234" s="1018"/>
      <c r="QC234" s="1018"/>
      <c r="QD234" s="1018"/>
      <c r="QE234" s="1018"/>
      <c r="QF234" s="1018"/>
      <c r="QG234" s="1018"/>
      <c r="QH234" s="1018"/>
      <c r="QI234" s="1018"/>
      <c r="QJ234" s="1018"/>
      <c r="QK234" s="1018"/>
      <c r="QL234" s="1018"/>
      <c r="QM234" s="1018"/>
      <c r="QN234" s="1018"/>
      <c r="QO234" s="1018"/>
      <c r="QP234" s="1018"/>
      <c r="QQ234" s="1018"/>
      <c r="QR234" s="1018"/>
      <c r="QS234" s="1018"/>
      <c r="QT234" s="1018"/>
      <c r="QU234" s="1018"/>
      <c r="QV234" s="1018"/>
      <c r="QW234" s="1018"/>
      <c r="QX234" s="1018"/>
      <c r="QY234" s="1018"/>
      <c r="QZ234" s="1018"/>
      <c r="RA234" s="1018"/>
      <c r="RB234" s="1018"/>
      <c r="RC234" s="1018"/>
      <c r="RD234" s="1018"/>
      <c r="RE234" s="1018"/>
      <c r="RF234" s="1018"/>
      <c r="RG234" s="1018"/>
      <c r="RH234" s="1018"/>
      <c r="RI234" s="1018"/>
      <c r="RJ234" s="1018"/>
      <c r="RK234" s="1018"/>
      <c r="RL234" s="1018"/>
      <c r="RM234" s="1018"/>
      <c r="RN234" s="1018"/>
      <c r="RO234" s="1018"/>
      <c r="RP234" s="1018"/>
      <c r="RQ234" s="1018"/>
      <c r="RR234" s="1018"/>
      <c r="RS234" s="1018"/>
      <c r="RT234" s="1018"/>
      <c r="RU234" s="1018"/>
      <c r="RV234" s="1018"/>
      <c r="RW234" s="1018"/>
      <c r="RX234" s="1018"/>
    </row>
    <row r="235" spans="1:492" s="1057" customFormat="1" ht="15.6" customHeight="1">
      <c r="A235" s="1018"/>
      <c r="B235" s="1018" t="s">
        <v>929</v>
      </c>
      <c r="C235" s="1018"/>
      <c r="D235" s="1294"/>
      <c r="E235" s="1018"/>
      <c r="F235" s="2323"/>
      <c r="G235" s="2324"/>
      <c r="H235" s="1018"/>
      <c r="I235" s="1018" t="s">
        <v>1270</v>
      </c>
      <c r="J235" s="1018"/>
      <c r="K235" s="2321"/>
      <c r="L235" s="2322"/>
      <c r="M235" s="2346"/>
      <c r="N235" s="1312" t="s">
        <v>34</v>
      </c>
      <c r="O235" s="1313"/>
      <c r="P235" s="1314"/>
      <c r="Q235" s="1313"/>
      <c r="R235" s="2314"/>
      <c r="S235" s="2315"/>
      <c r="T235" s="2315"/>
      <c r="U235" s="2315"/>
      <c r="V235" s="2316"/>
      <c r="W235" s="1064"/>
      <c r="X235" s="1058"/>
      <c r="Y235" s="1058"/>
      <c r="Z235" s="1058"/>
      <c r="AA235" s="1058"/>
      <c r="AB235" s="1064"/>
      <c r="AC235" s="1058"/>
      <c r="AD235" s="1058"/>
      <c r="AE235" s="1058"/>
      <c r="AF235" s="1058"/>
      <c r="AG235" s="1064"/>
      <c r="AH235" s="1058"/>
      <c r="AI235" s="1058"/>
      <c r="AJ235" s="1058"/>
      <c r="AK235" s="1058"/>
      <c r="AL235" s="1064"/>
      <c r="AM235" s="1058"/>
      <c r="AN235" s="1058"/>
      <c r="AO235" s="1058"/>
      <c r="AP235" s="1058"/>
      <c r="AQ235" s="1058"/>
      <c r="AR235" s="1058"/>
      <c r="AS235" s="1058"/>
      <c r="AT235" s="1058"/>
      <c r="AU235" s="1058"/>
      <c r="AV235" s="1058"/>
      <c r="AW235" s="1058"/>
      <c r="AX235" s="1058"/>
      <c r="AY235" s="1058"/>
      <c r="AZ235" s="1058"/>
      <c r="BA235" s="1058"/>
      <c r="BB235" s="1058"/>
      <c r="BC235" s="1058"/>
      <c r="BD235" s="1058"/>
      <c r="BE235" s="1058"/>
      <c r="BF235" s="1058"/>
      <c r="BG235" s="1058"/>
      <c r="BH235" s="1058"/>
      <c r="BI235" s="1058"/>
      <c r="BJ235" s="1058"/>
      <c r="BK235" s="1058"/>
      <c r="BL235" s="1058"/>
      <c r="BM235" s="1058"/>
      <c r="BN235" s="1058"/>
      <c r="BO235" s="1058"/>
      <c r="BP235" s="1058"/>
      <c r="BQ235" s="1058"/>
      <c r="BR235" s="1058"/>
      <c r="BS235" s="1058"/>
      <c r="BT235" s="1058"/>
      <c r="BU235" s="1058"/>
      <c r="BV235" s="1058"/>
      <c r="BW235" s="1058"/>
      <c r="BX235" s="1058"/>
      <c r="BY235" s="1058"/>
      <c r="BZ235" s="1058"/>
      <c r="CA235" s="1058"/>
      <c r="CB235" s="1058"/>
      <c r="CC235" s="1058"/>
      <c r="CD235" s="1058"/>
      <c r="CE235" s="1058"/>
      <c r="CF235" s="1058"/>
      <c r="CG235" s="1058"/>
      <c r="CH235" s="1058"/>
      <c r="CI235" s="1058"/>
      <c r="CJ235" s="1058"/>
      <c r="CK235" s="1058"/>
      <c r="CL235" s="1058"/>
      <c r="CM235" s="1058"/>
      <c r="CN235" s="1058"/>
      <c r="CO235" s="1058"/>
      <c r="CP235" s="1058"/>
      <c r="CQ235" s="1058"/>
      <c r="CR235" s="1058"/>
      <c r="CS235" s="1058"/>
      <c r="CT235" s="1058"/>
      <c r="CU235" s="1058"/>
      <c r="CV235" s="1058"/>
      <c r="CW235" s="1058"/>
      <c r="CX235" s="1058"/>
      <c r="CY235" s="1058"/>
      <c r="CZ235" s="1058"/>
      <c r="DA235" s="1058"/>
      <c r="DB235" s="1058"/>
      <c r="DC235" s="1058"/>
      <c r="DD235" s="1058"/>
      <c r="DE235" s="1058"/>
      <c r="DF235" s="1058"/>
      <c r="DG235" s="1058"/>
      <c r="DH235" s="1058"/>
      <c r="DI235" s="1058"/>
      <c r="DJ235" s="1058"/>
      <c r="DK235" s="1058"/>
      <c r="DL235" s="1058"/>
      <c r="DM235" s="1058"/>
      <c r="DN235" s="1058"/>
      <c r="DO235" s="1058"/>
      <c r="DP235" s="1058"/>
      <c r="DQ235" s="1058"/>
      <c r="DR235" s="1058"/>
      <c r="DS235" s="1058"/>
      <c r="DT235" s="1058"/>
      <c r="DU235" s="1058"/>
      <c r="DV235" s="1058"/>
      <c r="DW235" s="1058"/>
      <c r="DX235" s="1058"/>
      <c r="DY235" s="1058"/>
      <c r="DZ235" s="1058"/>
      <c r="EA235" s="1058"/>
      <c r="EB235" s="1058"/>
      <c r="EC235" s="1058"/>
      <c r="ED235" s="1058"/>
      <c r="EE235" s="1058"/>
      <c r="EF235" s="1058"/>
      <c r="EG235" s="1058"/>
      <c r="EH235" s="1058"/>
      <c r="EI235" s="1058"/>
      <c r="EJ235" s="1058"/>
      <c r="EK235" s="1058"/>
      <c r="EL235" s="1058"/>
      <c r="EM235" s="1058"/>
      <c r="EN235" s="1058"/>
      <c r="EO235" s="1058"/>
      <c r="EP235" s="1058"/>
      <c r="EQ235" s="1058"/>
      <c r="ER235" s="1058"/>
      <c r="ES235" s="1058"/>
      <c r="ET235" s="1058"/>
      <c r="EU235" s="1058"/>
      <c r="EV235" s="1058"/>
      <c r="EW235" s="1058"/>
      <c r="EX235" s="1058"/>
      <c r="EY235" s="1058"/>
      <c r="EZ235" s="1058"/>
      <c r="FA235" s="1058"/>
      <c r="FB235" s="1058"/>
      <c r="FC235" s="1058"/>
      <c r="FD235" s="1058"/>
      <c r="FE235" s="1058"/>
      <c r="FF235" s="1058"/>
      <c r="FG235" s="1058"/>
      <c r="FH235" s="1058"/>
      <c r="FI235" s="1058"/>
      <c r="FJ235" s="1058"/>
      <c r="FK235" s="1058"/>
      <c r="FL235" s="1058"/>
      <c r="FM235" s="1058"/>
      <c r="FN235" s="1058"/>
      <c r="FO235" s="1058"/>
      <c r="FP235" s="1058"/>
      <c r="FQ235" s="1058"/>
      <c r="FR235" s="1058"/>
      <c r="FS235" s="1058"/>
      <c r="FT235" s="1058"/>
      <c r="FU235" s="1058"/>
      <c r="FV235" s="1058"/>
      <c r="FW235" s="1058"/>
      <c r="FX235" s="1058"/>
      <c r="FY235" s="1058"/>
      <c r="FZ235" s="1058"/>
      <c r="GA235" s="1058"/>
      <c r="GB235" s="1058"/>
      <c r="GC235" s="1058"/>
      <c r="GD235" s="1058"/>
      <c r="GE235" s="1058"/>
      <c r="GF235" s="1058"/>
      <c r="GG235" s="1058"/>
      <c r="GH235" s="1058"/>
      <c r="GI235" s="1058"/>
      <c r="GJ235" s="1058"/>
      <c r="GK235" s="1058"/>
      <c r="GL235" s="1058"/>
      <c r="GM235" s="1058"/>
      <c r="GN235" s="1058"/>
      <c r="GO235" s="1058"/>
      <c r="GP235" s="1058"/>
      <c r="GQ235" s="1058"/>
      <c r="GR235" s="1058"/>
      <c r="GS235" s="1058"/>
      <c r="GT235" s="1058"/>
      <c r="GU235" s="1058"/>
      <c r="GV235" s="1058"/>
      <c r="GW235" s="1058"/>
      <c r="GX235" s="1058"/>
      <c r="GY235" s="1058"/>
      <c r="GZ235" s="1058"/>
      <c r="HA235" s="1058"/>
      <c r="HB235" s="1058"/>
      <c r="HC235" s="1058"/>
      <c r="HD235" s="1058"/>
      <c r="HE235" s="1058"/>
      <c r="HF235" s="1058"/>
      <c r="HG235" s="1058"/>
      <c r="HH235" s="1058"/>
      <c r="HI235" s="1058"/>
      <c r="HJ235" s="1058"/>
      <c r="HK235" s="1058"/>
      <c r="HL235" s="1058"/>
      <c r="HM235" s="1058"/>
      <c r="HN235" s="1058"/>
      <c r="HO235" s="1058"/>
      <c r="HP235" s="1058"/>
      <c r="HQ235" s="1058"/>
      <c r="HR235" s="1058"/>
      <c r="HS235" s="1058"/>
      <c r="HT235" s="1058"/>
      <c r="HU235" s="1058"/>
      <c r="HV235" s="1058"/>
      <c r="HW235" s="1058"/>
      <c r="HX235" s="1058"/>
      <c r="HY235" s="1058"/>
      <c r="HZ235" s="1058"/>
      <c r="IA235" s="1058"/>
      <c r="IB235" s="1058"/>
      <c r="IC235" s="1058"/>
      <c r="ID235" s="1058"/>
      <c r="IE235" s="1058"/>
      <c r="IF235" s="1058"/>
      <c r="IG235" s="1058"/>
      <c r="IH235" s="1058"/>
      <c r="II235" s="1058"/>
      <c r="IJ235" s="1058"/>
      <c r="IK235" s="1058"/>
      <c r="IL235" s="1058"/>
      <c r="IM235" s="1058"/>
      <c r="IN235" s="1058"/>
      <c r="IO235" s="1058"/>
      <c r="IP235" s="1058"/>
      <c r="IQ235" s="1058"/>
      <c r="IR235" s="1058"/>
      <c r="IS235" s="1058"/>
      <c r="IT235" s="1058"/>
      <c r="IU235" s="1058"/>
      <c r="IV235" s="1058"/>
      <c r="IW235" s="1058"/>
      <c r="IX235" s="1058"/>
      <c r="IY235" s="1058"/>
      <c r="IZ235" s="1058"/>
      <c r="JA235" s="1058"/>
      <c r="JB235" s="1058"/>
      <c r="JC235" s="1058"/>
      <c r="JD235" s="1058"/>
      <c r="JE235" s="1058"/>
      <c r="JF235" s="1058"/>
      <c r="JG235" s="1058"/>
      <c r="JH235" s="1058"/>
      <c r="JI235" s="1058"/>
      <c r="JJ235" s="1058"/>
      <c r="JK235" s="1058"/>
      <c r="JL235" s="1058"/>
      <c r="JM235" s="1058"/>
      <c r="JN235" s="1058"/>
      <c r="JO235" s="1058"/>
      <c r="JP235" s="1058"/>
      <c r="JQ235" s="1058"/>
      <c r="JR235" s="1058"/>
      <c r="JS235" s="1058"/>
      <c r="JT235" s="1058"/>
      <c r="JU235" s="1058"/>
      <c r="JV235" s="1059"/>
      <c r="JW235" s="1058"/>
      <c r="JX235" s="1058"/>
      <c r="JY235" s="1058"/>
      <c r="JZ235" s="1058"/>
      <c r="KA235" s="1059"/>
      <c r="KB235" s="1059"/>
      <c r="KC235" s="1059"/>
      <c r="KD235" s="1059"/>
      <c r="KE235" s="1059"/>
      <c r="KF235" s="1059"/>
      <c r="KG235" s="1059"/>
      <c r="KH235" s="1059"/>
      <c r="KI235" s="1059"/>
      <c r="KJ235" s="1059"/>
      <c r="KK235" s="1059"/>
      <c r="KL235" s="1059"/>
      <c r="KM235" s="1059"/>
      <c r="KN235" s="1059"/>
      <c r="KO235" s="1059"/>
      <c r="KP235" s="1059"/>
      <c r="KQ235" s="1059"/>
      <c r="KR235" s="1059"/>
      <c r="KS235" s="1059"/>
      <c r="KT235" s="1059"/>
      <c r="KU235" s="1059"/>
      <c r="KV235" s="1059"/>
      <c r="KW235" s="1059"/>
      <c r="KX235" s="1059"/>
      <c r="KY235" s="1059"/>
      <c r="KZ235" s="1059"/>
      <c r="LA235" s="1059"/>
      <c r="LB235" s="1059"/>
      <c r="LC235" s="1059"/>
      <c r="LD235" s="1059"/>
      <c r="LE235" s="1059"/>
      <c r="LF235" s="1059"/>
      <c r="LG235" s="1058"/>
      <c r="LH235" s="1058"/>
      <c r="LI235" s="1058"/>
      <c r="LJ235" s="1058"/>
      <c r="LK235" s="1058"/>
      <c r="LL235" s="1058"/>
      <c r="LM235" s="1060"/>
      <c r="LN235" s="1058"/>
      <c r="LO235" s="1058"/>
      <c r="LP235" s="1058"/>
      <c r="LQ235" s="1058"/>
      <c r="LR235" s="1058"/>
      <c r="LS235" s="1058"/>
      <c r="LT235" s="1058"/>
      <c r="LU235" s="1058"/>
      <c r="LV235" s="1058"/>
      <c r="LW235" s="1058"/>
      <c r="LX235" s="1058"/>
      <c r="LY235" s="1058"/>
      <c r="LZ235" s="1058"/>
      <c r="MA235" s="1058"/>
      <c r="MB235" s="1058"/>
      <c r="MC235" s="1060"/>
      <c r="MD235" s="1060"/>
      <c r="ME235" s="1058"/>
      <c r="MF235" s="1058"/>
      <c r="MG235" s="1058"/>
      <c r="MH235" s="1058"/>
      <c r="MI235" s="1058"/>
      <c r="MJ235" s="1058"/>
      <c r="MK235" s="1058"/>
      <c r="ML235" s="1058"/>
      <c r="MM235" s="1058"/>
      <c r="MN235" s="1058"/>
      <c r="MO235" s="1058"/>
      <c r="MP235" s="1058"/>
      <c r="MQ235" s="1058"/>
      <c r="MR235" s="1058"/>
      <c r="MS235" s="1058"/>
      <c r="MT235" s="1058"/>
      <c r="MU235" s="1058"/>
      <c r="MV235" s="1058"/>
      <c r="MW235" s="1058"/>
      <c r="MX235" s="1058"/>
      <c r="MY235" s="1058"/>
      <c r="MZ235" s="1058"/>
      <c r="NA235" s="1058"/>
      <c r="NB235" s="1058"/>
      <c r="NC235" s="1058"/>
      <c r="ND235" s="1058"/>
      <c r="NE235" s="1058"/>
      <c r="NF235" s="1058"/>
      <c r="NG235" s="1058"/>
      <c r="NH235" s="1058"/>
      <c r="NI235" s="1058"/>
      <c r="NJ235" s="1058"/>
      <c r="NK235" s="1058"/>
      <c r="NL235" s="1058"/>
      <c r="NM235" s="1058"/>
      <c r="NN235" s="1058"/>
      <c r="NO235" s="1058"/>
      <c r="NP235" s="1058"/>
      <c r="NQ235" s="1058"/>
      <c r="NR235" s="1058"/>
      <c r="NS235" s="1058"/>
      <c r="NT235" s="1058"/>
      <c r="NU235" s="1058"/>
      <c r="NV235" s="1058"/>
      <c r="NW235" s="1058"/>
      <c r="NX235" s="1058"/>
      <c r="NY235" s="1058"/>
      <c r="NZ235" s="1058"/>
      <c r="OA235" s="1058"/>
      <c r="OB235" s="1058"/>
      <c r="OC235" s="1058"/>
      <c r="OD235" s="1018"/>
      <c r="OE235" s="1018"/>
      <c r="OF235" s="1018"/>
      <c r="OG235" s="1018"/>
      <c r="OH235" s="1018"/>
      <c r="OI235" s="1018"/>
      <c r="OJ235" s="1018"/>
      <c r="OK235" s="1018"/>
      <c r="OL235" s="1018"/>
      <c r="OM235" s="1018"/>
      <c r="ON235" s="1018"/>
      <c r="OO235" s="1018"/>
      <c r="OP235" s="1018"/>
      <c r="OQ235" s="1018"/>
      <c r="OR235" s="1018"/>
      <c r="OS235" s="1018"/>
      <c r="OT235" s="1018"/>
      <c r="OU235" s="1018"/>
      <c r="OV235" s="1018"/>
      <c r="OW235" s="1018"/>
      <c r="OX235" s="1018"/>
      <c r="OY235" s="1018"/>
      <c r="OZ235" s="1018"/>
      <c r="PA235" s="1018"/>
      <c r="PB235" s="1018"/>
      <c r="PC235" s="1018"/>
      <c r="PD235" s="1018"/>
      <c r="PE235" s="1018"/>
      <c r="PF235" s="1018"/>
      <c r="PG235" s="1018"/>
      <c r="PH235" s="1018"/>
      <c r="PI235" s="1018"/>
      <c r="PJ235" s="1018"/>
      <c r="PK235" s="1018"/>
      <c r="PL235" s="1018"/>
      <c r="PM235" s="1018"/>
      <c r="PN235" s="1018"/>
      <c r="PO235" s="1018"/>
      <c r="PP235" s="1018"/>
      <c r="PQ235" s="1018"/>
      <c r="PR235" s="1018"/>
      <c r="PS235" s="1018"/>
      <c r="PT235" s="1018"/>
      <c r="PU235" s="1018"/>
      <c r="PV235" s="1018"/>
      <c r="PW235" s="1018"/>
      <c r="PX235" s="1018"/>
      <c r="PY235" s="1018"/>
      <c r="PZ235" s="1018"/>
      <c r="QA235" s="1018"/>
      <c r="QB235" s="1018"/>
      <c r="QC235" s="1018"/>
      <c r="QD235" s="1018"/>
      <c r="QE235" s="1018"/>
      <c r="QF235" s="1018"/>
      <c r="QG235" s="1018"/>
      <c r="QH235" s="1018"/>
      <c r="QI235" s="1018"/>
      <c r="QJ235" s="1018"/>
      <c r="QK235" s="1018"/>
      <c r="QL235" s="1018"/>
      <c r="QM235" s="1018"/>
      <c r="QN235" s="1018"/>
      <c r="QO235" s="1018"/>
      <c r="QP235" s="1018"/>
      <c r="QQ235" s="1018"/>
      <c r="QR235" s="1018"/>
      <c r="QS235" s="1018"/>
      <c r="QT235" s="1018"/>
      <c r="QU235" s="1018"/>
      <c r="QV235" s="1018"/>
      <c r="QW235" s="1018"/>
      <c r="QX235" s="1018"/>
      <c r="QY235" s="1018"/>
      <c r="QZ235" s="1018"/>
      <c r="RA235" s="1018"/>
      <c r="RB235" s="1018"/>
      <c r="RC235" s="1018"/>
      <c r="RD235" s="1018"/>
      <c r="RE235" s="1018"/>
      <c r="RF235" s="1018"/>
      <c r="RG235" s="1018"/>
      <c r="RH235" s="1018"/>
      <c r="RI235" s="1018"/>
      <c r="RJ235" s="1018"/>
      <c r="RK235" s="1018"/>
      <c r="RL235" s="1018"/>
      <c r="RM235" s="1018"/>
      <c r="RN235" s="1018"/>
      <c r="RO235" s="1018"/>
      <c r="RP235" s="1018"/>
      <c r="RQ235" s="1018"/>
      <c r="RR235" s="1018"/>
      <c r="RS235" s="1018"/>
      <c r="RT235" s="1018"/>
      <c r="RU235" s="1018"/>
      <c r="RV235" s="1018"/>
      <c r="RW235" s="1018"/>
      <c r="RX235" s="1018"/>
    </row>
    <row r="236" spans="1:492" s="1057" customFormat="1" ht="15.6" customHeight="1" thickBot="1">
      <c r="A236" s="1018"/>
      <c r="B236" s="1018" t="s">
        <v>930</v>
      </c>
      <c r="C236" s="1018"/>
      <c r="D236" s="1294"/>
      <c r="E236" s="1018"/>
      <c r="F236" s="2323"/>
      <c r="G236" s="2324"/>
      <c r="H236" s="1018"/>
      <c r="I236" s="2325" t="s">
        <v>46</v>
      </c>
      <c r="J236" s="2326"/>
      <c r="K236" s="2327"/>
      <c r="L236" s="2328"/>
      <c r="M236" s="2346"/>
      <c r="N236" s="1315" t="s">
        <v>2985</v>
      </c>
      <c r="O236" s="1316" t="str">
        <f>CONCATENATE(SUM(ME48:MI48)," units x $",'DCA Underwriting Assumptions'!$Q$64," =")</f>
        <v>0 units x $350 =</v>
      </c>
      <c r="P236" s="1317">
        <f>SUM(ME48:MI48)*'DCA Underwriting Assumptions'!$Q$64</f>
        <v>0</v>
      </c>
      <c r="Q236" s="1316"/>
      <c r="R236" s="2314"/>
      <c r="S236" s="2315"/>
      <c r="T236" s="2315"/>
      <c r="U236" s="2315"/>
      <c r="V236" s="2316"/>
      <c r="W236" s="1064"/>
      <c r="X236" s="1058"/>
      <c r="Y236" s="1058"/>
      <c r="Z236" s="1058"/>
      <c r="AA236" s="1058"/>
      <c r="AB236" s="1064"/>
      <c r="AC236" s="1058"/>
      <c r="AD236" s="1058"/>
      <c r="AE236" s="1058"/>
      <c r="AF236" s="1058"/>
      <c r="AG236" s="1064"/>
      <c r="AH236" s="1058"/>
      <c r="AI236" s="1058"/>
      <c r="AJ236" s="1058"/>
      <c r="AK236" s="1058"/>
      <c r="AL236" s="1064"/>
      <c r="AM236" s="1058"/>
      <c r="AN236" s="1058"/>
      <c r="AO236" s="1058"/>
      <c r="AP236" s="1058"/>
      <c r="AQ236" s="1058"/>
      <c r="AR236" s="1058"/>
      <c r="AS236" s="1058"/>
      <c r="AT236" s="1058"/>
      <c r="AU236" s="1058"/>
      <c r="AV236" s="1058"/>
      <c r="AW236" s="1058"/>
      <c r="AX236" s="1058"/>
      <c r="AY236" s="1058"/>
      <c r="AZ236" s="1058"/>
      <c r="BA236" s="1058"/>
      <c r="BB236" s="1058"/>
      <c r="BC236" s="1058"/>
      <c r="BD236" s="1058"/>
      <c r="BE236" s="1058"/>
      <c r="BF236" s="1058"/>
      <c r="BG236" s="1058"/>
      <c r="BH236" s="1058"/>
      <c r="BI236" s="1058"/>
      <c r="BJ236" s="1058"/>
      <c r="BK236" s="1058"/>
      <c r="BL236" s="1058"/>
      <c r="BM236" s="1058"/>
      <c r="BN236" s="1058"/>
      <c r="BO236" s="1058"/>
      <c r="BP236" s="1058"/>
      <c r="BQ236" s="1058"/>
      <c r="BR236" s="1058"/>
      <c r="BS236" s="1058"/>
      <c r="BT236" s="1058"/>
      <c r="BU236" s="1058"/>
      <c r="BV236" s="1058"/>
      <c r="BW236" s="1058"/>
      <c r="BX236" s="1058"/>
      <c r="BY236" s="1058"/>
      <c r="BZ236" s="1058"/>
      <c r="CA236" s="1058"/>
      <c r="CB236" s="1058"/>
      <c r="CC236" s="1058"/>
      <c r="CD236" s="1058"/>
      <c r="CE236" s="1058"/>
      <c r="CF236" s="1058"/>
      <c r="CG236" s="1058"/>
      <c r="CH236" s="1058"/>
      <c r="CI236" s="1058"/>
      <c r="CJ236" s="1058"/>
      <c r="CK236" s="1058"/>
      <c r="CL236" s="1058"/>
      <c r="CM236" s="1058"/>
      <c r="CN236" s="1058"/>
      <c r="CO236" s="1058"/>
      <c r="CP236" s="1058"/>
      <c r="CQ236" s="1058"/>
      <c r="CR236" s="1058"/>
      <c r="CS236" s="1058"/>
      <c r="CT236" s="1058"/>
      <c r="CU236" s="1058"/>
      <c r="CV236" s="1058"/>
      <c r="CW236" s="1058"/>
      <c r="CX236" s="1058"/>
      <c r="CY236" s="1058"/>
      <c r="CZ236" s="1058"/>
      <c r="DA236" s="1058"/>
      <c r="DB236" s="1058"/>
      <c r="DC236" s="1058"/>
      <c r="DD236" s="1058"/>
      <c r="DE236" s="1058"/>
      <c r="DF236" s="1058"/>
      <c r="DG236" s="1058"/>
      <c r="DH236" s="1058"/>
      <c r="DI236" s="1058"/>
      <c r="DJ236" s="1058"/>
      <c r="DK236" s="1058"/>
      <c r="DL236" s="1058"/>
      <c r="DM236" s="1058"/>
      <c r="DN236" s="1058"/>
      <c r="DO236" s="1058"/>
      <c r="DP236" s="1058"/>
      <c r="DQ236" s="1058"/>
      <c r="DR236" s="1058"/>
      <c r="DS236" s="1058"/>
      <c r="DT236" s="1058"/>
      <c r="DU236" s="1058"/>
      <c r="DV236" s="1058"/>
      <c r="DW236" s="1058"/>
      <c r="DX236" s="1058"/>
      <c r="DY236" s="1058"/>
      <c r="DZ236" s="1058"/>
      <c r="EA236" s="1058"/>
      <c r="EB236" s="1058"/>
      <c r="EC236" s="1058"/>
      <c r="ED236" s="1058"/>
      <c r="EE236" s="1058"/>
      <c r="EF236" s="1058"/>
      <c r="EG236" s="1058"/>
      <c r="EH236" s="1058"/>
      <c r="EI236" s="1058"/>
      <c r="EJ236" s="1058"/>
      <c r="EK236" s="1058"/>
      <c r="EL236" s="1058"/>
      <c r="EM236" s="1058"/>
      <c r="EN236" s="1058"/>
      <c r="EO236" s="1058"/>
      <c r="EP236" s="1058"/>
      <c r="EQ236" s="1058"/>
      <c r="ER236" s="1058"/>
      <c r="ES236" s="1058"/>
      <c r="ET236" s="1058"/>
      <c r="EU236" s="1058"/>
      <c r="EV236" s="1058"/>
      <c r="EW236" s="1058"/>
      <c r="EX236" s="1058"/>
      <c r="EY236" s="1058"/>
      <c r="EZ236" s="1058"/>
      <c r="FA236" s="1058"/>
      <c r="FB236" s="1058"/>
      <c r="FC236" s="1058"/>
      <c r="FD236" s="1058"/>
      <c r="FE236" s="1058"/>
      <c r="FF236" s="1058"/>
      <c r="FG236" s="1058"/>
      <c r="FH236" s="1058"/>
      <c r="FI236" s="1058"/>
      <c r="FJ236" s="1058"/>
      <c r="FK236" s="1058"/>
      <c r="FL236" s="1058"/>
      <c r="FM236" s="1058"/>
      <c r="FN236" s="1058"/>
      <c r="FO236" s="1058"/>
      <c r="FP236" s="1058"/>
      <c r="FQ236" s="1058"/>
      <c r="FR236" s="1058"/>
      <c r="FS236" s="1058"/>
      <c r="FT236" s="1058"/>
      <c r="FU236" s="1058"/>
      <c r="FV236" s="1058"/>
      <c r="FW236" s="1058"/>
      <c r="FX236" s="1058"/>
      <c r="FY236" s="1058"/>
      <c r="FZ236" s="1058"/>
      <c r="GA236" s="1058"/>
      <c r="GB236" s="1058"/>
      <c r="GC236" s="1058"/>
      <c r="GD236" s="1058"/>
      <c r="GE236" s="1058"/>
      <c r="GF236" s="1058"/>
      <c r="GG236" s="1058"/>
      <c r="GH236" s="1058"/>
      <c r="GI236" s="1058"/>
      <c r="GJ236" s="1058"/>
      <c r="GK236" s="1058"/>
      <c r="GL236" s="1058"/>
      <c r="GM236" s="1058"/>
      <c r="GN236" s="1058"/>
      <c r="GO236" s="1058"/>
      <c r="GP236" s="1058"/>
      <c r="GQ236" s="1058"/>
      <c r="GR236" s="1058"/>
      <c r="GS236" s="1058"/>
      <c r="GT236" s="1058"/>
      <c r="GU236" s="1058"/>
      <c r="GV236" s="1058"/>
      <c r="GW236" s="1058"/>
      <c r="GX236" s="1058"/>
      <c r="GY236" s="1058"/>
      <c r="GZ236" s="1058"/>
      <c r="HA236" s="1058"/>
      <c r="HB236" s="1058"/>
      <c r="HC236" s="1058"/>
      <c r="HD236" s="1058"/>
      <c r="HE236" s="1058"/>
      <c r="HF236" s="1058"/>
      <c r="HG236" s="1058"/>
      <c r="HH236" s="1058"/>
      <c r="HI236" s="1058"/>
      <c r="HJ236" s="1058"/>
      <c r="HK236" s="1058"/>
      <c r="HL236" s="1058"/>
      <c r="HM236" s="1058"/>
      <c r="HN236" s="1058"/>
      <c r="HO236" s="1058"/>
      <c r="HP236" s="1058"/>
      <c r="HQ236" s="1058"/>
      <c r="HR236" s="1058"/>
      <c r="HS236" s="1058"/>
      <c r="HT236" s="1058"/>
      <c r="HU236" s="1058"/>
      <c r="HV236" s="1058"/>
      <c r="HW236" s="1058"/>
      <c r="HX236" s="1058"/>
      <c r="HY236" s="1058"/>
      <c r="HZ236" s="1058"/>
      <c r="IA236" s="1058"/>
      <c r="IB236" s="1058"/>
      <c r="IC236" s="1058"/>
      <c r="ID236" s="1058"/>
      <c r="IE236" s="1058"/>
      <c r="IF236" s="1058"/>
      <c r="IG236" s="1058"/>
      <c r="IH236" s="1058"/>
      <c r="II236" s="1058"/>
      <c r="IJ236" s="1058"/>
      <c r="IK236" s="1058"/>
      <c r="IL236" s="1058"/>
      <c r="IM236" s="1058"/>
      <c r="IN236" s="1058"/>
      <c r="IO236" s="1058"/>
      <c r="IP236" s="1058"/>
      <c r="IQ236" s="1058"/>
      <c r="IR236" s="1058"/>
      <c r="IS236" s="1058"/>
      <c r="IT236" s="1058"/>
      <c r="IU236" s="1058"/>
      <c r="IV236" s="1058"/>
      <c r="IW236" s="1058"/>
      <c r="IX236" s="1058"/>
      <c r="IY236" s="1058"/>
      <c r="IZ236" s="1058"/>
      <c r="JA236" s="1058"/>
      <c r="JB236" s="1058"/>
      <c r="JC236" s="1058"/>
      <c r="JD236" s="1058"/>
      <c r="JE236" s="1058"/>
      <c r="JF236" s="1058"/>
      <c r="JG236" s="1058"/>
      <c r="JH236" s="1058"/>
      <c r="JI236" s="1058"/>
      <c r="JJ236" s="1058"/>
      <c r="JK236" s="1058"/>
      <c r="JL236" s="1058"/>
      <c r="JM236" s="1058"/>
      <c r="JN236" s="1058"/>
      <c r="JO236" s="1058"/>
      <c r="JP236" s="1058"/>
      <c r="JQ236" s="1058"/>
      <c r="JR236" s="1058"/>
      <c r="JS236" s="1058"/>
      <c r="JT236" s="1058"/>
      <c r="JU236" s="1058"/>
      <c r="JV236" s="1059"/>
      <c r="JW236" s="1058"/>
      <c r="JX236" s="1058"/>
      <c r="JY236" s="1058"/>
      <c r="JZ236" s="1058"/>
      <c r="KA236" s="1059"/>
      <c r="KB236" s="1059"/>
      <c r="KC236" s="1059"/>
      <c r="KD236" s="1059"/>
      <c r="KE236" s="1059"/>
      <c r="KF236" s="1059"/>
      <c r="KG236" s="1059"/>
      <c r="KH236" s="1059"/>
      <c r="KI236" s="1059"/>
      <c r="KJ236" s="1059"/>
      <c r="KK236" s="1059"/>
      <c r="KL236" s="1059"/>
      <c r="KM236" s="1059"/>
      <c r="KN236" s="1059"/>
      <c r="KO236" s="1059"/>
      <c r="KP236" s="1059"/>
      <c r="KQ236" s="1059"/>
      <c r="KR236" s="1059"/>
      <c r="KS236" s="1059"/>
      <c r="KT236" s="1059"/>
      <c r="KU236" s="1059"/>
      <c r="KV236" s="1059"/>
      <c r="KW236" s="1059"/>
      <c r="KX236" s="1059"/>
      <c r="KY236" s="1059"/>
      <c r="KZ236" s="1059"/>
      <c r="LA236" s="1059"/>
      <c r="LB236" s="1059"/>
      <c r="LC236" s="1059"/>
      <c r="LD236" s="1059"/>
      <c r="LE236" s="1059"/>
      <c r="LF236" s="1059"/>
      <c r="LG236" s="1058"/>
      <c r="LH236" s="1058"/>
      <c r="LI236" s="1058"/>
      <c r="LJ236" s="1058"/>
      <c r="LK236" s="1058"/>
      <c r="LL236" s="1058"/>
      <c r="LM236" s="1060"/>
      <c r="LN236" s="1058"/>
      <c r="LO236" s="1058"/>
      <c r="LP236" s="1058"/>
      <c r="LQ236" s="1058"/>
      <c r="LR236" s="1058"/>
      <c r="LS236" s="1058"/>
      <c r="LT236" s="1058"/>
      <c r="LU236" s="1058"/>
      <c r="LV236" s="1058"/>
      <c r="LW236" s="1058"/>
      <c r="LX236" s="1058"/>
      <c r="LY236" s="1058"/>
      <c r="LZ236" s="1058"/>
      <c r="MA236" s="1058"/>
      <c r="MB236" s="1058"/>
      <c r="MC236" s="1060"/>
      <c r="MD236" s="1060"/>
      <c r="ME236" s="1058"/>
      <c r="MF236" s="1058"/>
      <c r="MG236" s="1058"/>
      <c r="MH236" s="1058"/>
      <c r="MI236" s="1058"/>
      <c r="MJ236" s="1058"/>
      <c r="MK236" s="1058"/>
      <c r="ML236" s="1058"/>
      <c r="MM236" s="1058"/>
      <c r="MN236" s="1058"/>
      <c r="MO236" s="1058"/>
      <c r="MP236" s="1058"/>
      <c r="MQ236" s="1058"/>
      <c r="MR236" s="1058"/>
      <c r="MS236" s="1058"/>
      <c r="MT236" s="1058"/>
      <c r="MU236" s="1058"/>
      <c r="MV236" s="1058"/>
      <c r="MW236" s="1058"/>
      <c r="MX236" s="1058"/>
      <c r="MY236" s="1058"/>
      <c r="MZ236" s="1058"/>
      <c r="NA236" s="1058"/>
      <c r="NB236" s="1058"/>
      <c r="NC236" s="1058"/>
      <c r="ND236" s="1058"/>
      <c r="NE236" s="1058"/>
      <c r="NF236" s="1058"/>
      <c r="NG236" s="1058"/>
      <c r="NH236" s="1058"/>
      <c r="NI236" s="1058"/>
      <c r="NJ236" s="1058"/>
      <c r="NK236" s="1058"/>
      <c r="NL236" s="1058"/>
      <c r="NM236" s="1058"/>
      <c r="NN236" s="1058"/>
      <c r="NO236" s="1058"/>
      <c r="NP236" s="1058"/>
      <c r="NQ236" s="1058"/>
      <c r="NR236" s="1058"/>
      <c r="NS236" s="1058"/>
      <c r="NT236" s="1058"/>
      <c r="NU236" s="1058"/>
      <c r="NV236" s="1058"/>
      <c r="NW236" s="1058"/>
      <c r="NX236" s="1058"/>
      <c r="NY236" s="1058"/>
      <c r="NZ236" s="1058"/>
      <c r="OA236" s="1058"/>
      <c r="OB236" s="1058"/>
      <c r="OC236" s="1058"/>
      <c r="OD236" s="1018"/>
      <c r="OE236" s="1018"/>
      <c r="OF236" s="1018"/>
      <c r="OG236" s="1018"/>
      <c r="OH236" s="1018"/>
      <c r="OI236" s="1018"/>
      <c r="OJ236" s="1018"/>
      <c r="OK236" s="1018"/>
      <c r="OL236" s="1018"/>
      <c r="OM236" s="1018"/>
      <c r="ON236" s="1018"/>
      <c r="OO236" s="1018"/>
      <c r="OP236" s="1018"/>
      <c r="OQ236" s="1018"/>
      <c r="OR236" s="1018"/>
      <c r="OS236" s="1018"/>
      <c r="OT236" s="1018"/>
      <c r="OU236" s="1018"/>
      <c r="OV236" s="1018"/>
      <c r="OW236" s="1018"/>
      <c r="OX236" s="1018"/>
      <c r="OY236" s="1018"/>
      <c r="OZ236" s="1018"/>
      <c r="PA236" s="1018"/>
      <c r="PB236" s="1018"/>
      <c r="PC236" s="1018"/>
      <c r="PD236" s="1018"/>
      <c r="PE236" s="1018"/>
      <c r="PF236" s="1018"/>
      <c r="PG236" s="1018"/>
      <c r="PH236" s="1018"/>
      <c r="PI236" s="1018"/>
      <c r="PJ236" s="1018"/>
      <c r="PK236" s="1018"/>
      <c r="PL236" s="1018"/>
      <c r="PM236" s="1018"/>
      <c r="PN236" s="1018"/>
      <c r="PO236" s="1018"/>
      <c r="PP236" s="1018"/>
      <c r="PQ236" s="1018"/>
      <c r="PR236" s="1018"/>
      <c r="PS236" s="1018"/>
      <c r="PT236" s="1018"/>
      <c r="PU236" s="1018"/>
      <c r="PV236" s="1018"/>
      <c r="PW236" s="1018"/>
      <c r="PX236" s="1018"/>
      <c r="PY236" s="1018"/>
      <c r="PZ236" s="1018"/>
      <c r="QA236" s="1018"/>
      <c r="QB236" s="1018"/>
      <c r="QC236" s="1018"/>
      <c r="QD236" s="1018"/>
      <c r="QE236" s="1018"/>
      <c r="QF236" s="1018"/>
      <c r="QG236" s="1018"/>
      <c r="QH236" s="1018"/>
      <c r="QI236" s="1018"/>
      <c r="QJ236" s="1018"/>
      <c r="QK236" s="1018"/>
      <c r="QL236" s="1018"/>
      <c r="QM236" s="1018"/>
      <c r="QN236" s="1018"/>
      <c r="QO236" s="1018"/>
      <c r="QP236" s="1018"/>
      <c r="QQ236" s="1018"/>
      <c r="QR236" s="1018"/>
      <c r="QS236" s="1018"/>
      <c r="QT236" s="1018"/>
      <c r="QU236" s="1018"/>
      <c r="QV236" s="1018"/>
      <c r="QW236" s="1018"/>
      <c r="QX236" s="1018"/>
      <c r="QY236" s="1018"/>
      <c r="QZ236" s="1018"/>
      <c r="RA236" s="1018"/>
      <c r="RB236" s="1018"/>
      <c r="RC236" s="1018"/>
      <c r="RD236" s="1018"/>
      <c r="RE236" s="1018"/>
      <c r="RF236" s="1018"/>
      <c r="RG236" s="1018"/>
      <c r="RH236" s="1018"/>
      <c r="RI236" s="1018"/>
      <c r="RJ236" s="1018"/>
      <c r="RK236" s="1018"/>
      <c r="RL236" s="1018"/>
      <c r="RM236" s="1018"/>
      <c r="RN236" s="1018"/>
      <c r="RO236" s="1018"/>
      <c r="RP236" s="1018"/>
      <c r="RQ236" s="1018"/>
      <c r="RR236" s="1018"/>
      <c r="RS236" s="1018"/>
      <c r="RT236" s="1018"/>
      <c r="RU236" s="1018"/>
      <c r="RV236" s="1018"/>
      <c r="RW236" s="1018"/>
      <c r="RX236" s="1018"/>
    </row>
    <row r="237" spans="1:492" s="1057" customFormat="1" ht="15.6" customHeight="1" thickTop="1">
      <c r="A237" s="1018"/>
      <c r="B237" s="1018" t="s">
        <v>931</v>
      </c>
      <c r="C237" s="1018"/>
      <c r="D237" s="1294"/>
      <c r="E237" s="1018"/>
      <c r="F237" s="2323"/>
      <c r="G237" s="2324"/>
      <c r="H237" s="1018"/>
      <c r="I237" s="1018"/>
      <c r="J237" s="1290" t="s">
        <v>171</v>
      </c>
      <c r="K237" s="2344">
        <f>SUM(K232:K236)</f>
        <v>0</v>
      </c>
      <c r="L237" s="2345"/>
      <c r="M237" s="2346"/>
      <c r="N237" s="1315" t="s">
        <v>2984</v>
      </c>
      <c r="O237" s="1316" t="str">
        <f>CONCATENATE(SUM(MJ48:MN48)," units x $",'DCA Underwriting Assumptions'!$Q$65," =")</f>
        <v>0 units x $250 =</v>
      </c>
      <c r="P237" s="1317">
        <f>SUM(MJ48:MN48)*'DCA Underwriting Assumptions'!$Q$65</f>
        <v>0</v>
      </c>
      <c r="Q237" s="1316"/>
      <c r="R237" s="2314"/>
      <c r="S237" s="2315"/>
      <c r="T237" s="2315"/>
      <c r="U237" s="2315"/>
      <c r="V237" s="2316"/>
      <c r="W237" s="1064"/>
      <c r="X237" s="1058"/>
      <c r="Y237" s="1058"/>
      <c r="Z237" s="1058"/>
      <c r="AA237" s="1058"/>
      <c r="AB237" s="1064"/>
      <c r="AC237" s="1058"/>
      <c r="AD237" s="1058"/>
      <c r="AE237" s="1058"/>
      <c r="AF237" s="1058"/>
      <c r="AG237" s="1064"/>
      <c r="AH237" s="1058"/>
      <c r="AI237" s="1058"/>
      <c r="AJ237" s="1058"/>
      <c r="AK237" s="1058"/>
      <c r="AL237" s="1064"/>
      <c r="AM237" s="1058"/>
      <c r="AN237" s="1058"/>
      <c r="AO237" s="1058"/>
      <c r="AP237" s="1058"/>
      <c r="AQ237" s="1058"/>
      <c r="AR237" s="1058"/>
      <c r="AS237" s="1058"/>
      <c r="AT237" s="1058"/>
      <c r="AU237" s="1058"/>
      <c r="AV237" s="1058"/>
      <c r="AW237" s="1058"/>
      <c r="AX237" s="1058"/>
      <c r="AY237" s="1058"/>
      <c r="AZ237" s="1058"/>
      <c r="BA237" s="1058"/>
      <c r="BB237" s="1058"/>
      <c r="BC237" s="1058"/>
      <c r="BD237" s="1058"/>
      <c r="BE237" s="1058"/>
      <c r="BF237" s="1058"/>
      <c r="BG237" s="1058"/>
      <c r="BH237" s="1058"/>
      <c r="BI237" s="1058"/>
      <c r="BJ237" s="1058"/>
      <c r="BK237" s="1058"/>
      <c r="BL237" s="1058"/>
      <c r="BM237" s="1058"/>
      <c r="BN237" s="1058"/>
      <c r="BO237" s="1058"/>
      <c r="BP237" s="1058"/>
      <c r="BQ237" s="1058"/>
      <c r="BR237" s="1058"/>
      <c r="BS237" s="1058"/>
      <c r="BT237" s="1058"/>
      <c r="BU237" s="1058"/>
      <c r="BV237" s="1058"/>
      <c r="BW237" s="1058"/>
      <c r="BX237" s="1058"/>
      <c r="BY237" s="1058"/>
      <c r="BZ237" s="1058"/>
      <c r="CA237" s="1058"/>
      <c r="CB237" s="1058"/>
      <c r="CC237" s="1058"/>
      <c r="CD237" s="1058"/>
      <c r="CE237" s="1058"/>
      <c r="CF237" s="1058"/>
      <c r="CG237" s="1058"/>
      <c r="CH237" s="1058"/>
      <c r="CI237" s="1058"/>
      <c r="CJ237" s="1058"/>
      <c r="CK237" s="1058"/>
      <c r="CL237" s="1058"/>
      <c r="CM237" s="1058"/>
      <c r="CN237" s="1058"/>
      <c r="CO237" s="1058"/>
      <c r="CP237" s="1058"/>
      <c r="CQ237" s="1058"/>
      <c r="CR237" s="1058"/>
      <c r="CS237" s="1058"/>
      <c r="CT237" s="1058"/>
      <c r="CU237" s="1058"/>
      <c r="CV237" s="1058"/>
      <c r="CW237" s="1058"/>
      <c r="CX237" s="1058"/>
      <c r="CY237" s="1058"/>
      <c r="CZ237" s="1058"/>
      <c r="DA237" s="1058"/>
      <c r="DB237" s="1058"/>
      <c r="DC237" s="1058"/>
      <c r="DD237" s="1058"/>
      <c r="DE237" s="1058"/>
      <c r="DF237" s="1058"/>
      <c r="DG237" s="1058"/>
      <c r="DH237" s="1058"/>
      <c r="DI237" s="1058"/>
      <c r="DJ237" s="1058"/>
      <c r="DK237" s="1058"/>
      <c r="DL237" s="1058"/>
      <c r="DM237" s="1058"/>
      <c r="DN237" s="1058"/>
      <c r="DO237" s="1058"/>
      <c r="DP237" s="1058"/>
      <c r="DQ237" s="1058"/>
      <c r="DR237" s="1058"/>
      <c r="DS237" s="1058"/>
      <c r="DT237" s="1058"/>
      <c r="DU237" s="1058"/>
      <c r="DV237" s="1058"/>
      <c r="DW237" s="1058"/>
      <c r="DX237" s="1058"/>
      <c r="DY237" s="1058"/>
      <c r="DZ237" s="1058"/>
      <c r="EA237" s="1058"/>
      <c r="EB237" s="1058"/>
      <c r="EC237" s="1058"/>
      <c r="ED237" s="1058"/>
      <c r="EE237" s="1058"/>
      <c r="EF237" s="1058"/>
      <c r="EG237" s="1058"/>
      <c r="EH237" s="1058"/>
      <c r="EI237" s="1058"/>
      <c r="EJ237" s="1058"/>
      <c r="EK237" s="1058"/>
      <c r="EL237" s="1058"/>
      <c r="EM237" s="1058"/>
      <c r="EN237" s="1058"/>
      <c r="EO237" s="1058"/>
      <c r="EP237" s="1058"/>
      <c r="EQ237" s="1058"/>
      <c r="ER237" s="1058"/>
      <c r="ES237" s="1058"/>
      <c r="ET237" s="1058"/>
      <c r="EU237" s="1058"/>
      <c r="EV237" s="1058"/>
      <c r="EW237" s="1058"/>
      <c r="EX237" s="1058"/>
      <c r="EY237" s="1058"/>
      <c r="EZ237" s="1058"/>
      <c r="FA237" s="1058"/>
      <c r="FB237" s="1058"/>
      <c r="FC237" s="1058"/>
      <c r="FD237" s="1058"/>
      <c r="FE237" s="1058"/>
      <c r="FF237" s="1058"/>
      <c r="FG237" s="1058"/>
      <c r="FH237" s="1058"/>
      <c r="FI237" s="1058"/>
      <c r="FJ237" s="1058"/>
      <c r="FK237" s="1058"/>
      <c r="FL237" s="1058"/>
      <c r="FM237" s="1058"/>
      <c r="FN237" s="1058"/>
      <c r="FO237" s="1058"/>
      <c r="FP237" s="1058"/>
      <c r="FQ237" s="1058"/>
      <c r="FR237" s="1058"/>
      <c r="FS237" s="1058"/>
      <c r="FT237" s="1058"/>
      <c r="FU237" s="1058"/>
      <c r="FV237" s="1058"/>
      <c r="FW237" s="1058"/>
      <c r="FX237" s="1058"/>
      <c r="FY237" s="1058"/>
      <c r="FZ237" s="1058"/>
      <c r="GA237" s="1058"/>
      <c r="GB237" s="1058"/>
      <c r="GC237" s="1058"/>
      <c r="GD237" s="1058"/>
      <c r="GE237" s="1058"/>
      <c r="GF237" s="1058"/>
      <c r="GG237" s="1058"/>
      <c r="GH237" s="1058"/>
      <c r="GI237" s="1058"/>
      <c r="GJ237" s="1058"/>
      <c r="GK237" s="1058"/>
      <c r="GL237" s="1058"/>
      <c r="GM237" s="1058"/>
      <c r="GN237" s="1058"/>
      <c r="GO237" s="1058"/>
      <c r="GP237" s="1058"/>
      <c r="GQ237" s="1058"/>
      <c r="GR237" s="1058"/>
      <c r="GS237" s="1058"/>
      <c r="GT237" s="1058"/>
      <c r="GU237" s="1058"/>
      <c r="GV237" s="1058"/>
      <c r="GW237" s="1058"/>
      <c r="GX237" s="1058"/>
      <c r="GY237" s="1058"/>
      <c r="GZ237" s="1058"/>
      <c r="HA237" s="1058"/>
      <c r="HB237" s="1058"/>
      <c r="HC237" s="1058"/>
      <c r="HD237" s="1058"/>
      <c r="HE237" s="1058"/>
      <c r="HF237" s="1058"/>
      <c r="HG237" s="1058"/>
      <c r="HH237" s="1058"/>
      <c r="HI237" s="1058"/>
      <c r="HJ237" s="1058"/>
      <c r="HK237" s="1058"/>
      <c r="HL237" s="1058"/>
      <c r="HM237" s="1058"/>
      <c r="HN237" s="1058"/>
      <c r="HO237" s="1058"/>
      <c r="HP237" s="1058"/>
      <c r="HQ237" s="1058"/>
      <c r="HR237" s="1058"/>
      <c r="HS237" s="1058"/>
      <c r="HT237" s="1058"/>
      <c r="HU237" s="1058"/>
      <c r="HV237" s="1058"/>
      <c r="HW237" s="1058"/>
      <c r="HX237" s="1058"/>
      <c r="HY237" s="1058"/>
      <c r="HZ237" s="1058"/>
      <c r="IA237" s="1058"/>
      <c r="IB237" s="1058"/>
      <c r="IC237" s="1058"/>
      <c r="ID237" s="1058"/>
      <c r="IE237" s="1058"/>
      <c r="IF237" s="1058"/>
      <c r="IG237" s="1058"/>
      <c r="IH237" s="1058"/>
      <c r="II237" s="1058"/>
      <c r="IJ237" s="1058"/>
      <c r="IK237" s="1058"/>
      <c r="IL237" s="1058"/>
      <c r="IM237" s="1058"/>
      <c r="IN237" s="1058"/>
      <c r="IO237" s="1058"/>
      <c r="IP237" s="1058"/>
      <c r="IQ237" s="1058"/>
      <c r="IR237" s="1058"/>
      <c r="IS237" s="1058"/>
      <c r="IT237" s="1058"/>
      <c r="IU237" s="1058"/>
      <c r="IV237" s="1058"/>
      <c r="IW237" s="1058"/>
      <c r="IX237" s="1058"/>
      <c r="IY237" s="1058"/>
      <c r="IZ237" s="1058"/>
      <c r="JA237" s="1058"/>
      <c r="JB237" s="1058"/>
      <c r="JC237" s="1058"/>
      <c r="JD237" s="1058"/>
      <c r="JE237" s="1058"/>
      <c r="JF237" s="1058"/>
      <c r="JG237" s="1058"/>
      <c r="JH237" s="1058"/>
      <c r="JI237" s="1058"/>
      <c r="JJ237" s="1058"/>
      <c r="JK237" s="1058"/>
      <c r="JL237" s="1058"/>
      <c r="JM237" s="1058"/>
      <c r="JN237" s="1058"/>
      <c r="JO237" s="1058"/>
      <c r="JP237" s="1058"/>
      <c r="JQ237" s="1058"/>
      <c r="JR237" s="1058"/>
      <c r="JS237" s="1058"/>
      <c r="JT237" s="1058"/>
      <c r="JU237" s="1058"/>
      <c r="JV237" s="1059"/>
      <c r="JW237" s="1058"/>
      <c r="JX237" s="1058"/>
      <c r="JY237" s="1058"/>
      <c r="JZ237" s="1058"/>
      <c r="KA237" s="1059"/>
      <c r="KB237" s="1059"/>
      <c r="KC237" s="1059"/>
      <c r="KD237" s="1059"/>
      <c r="KE237" s="1059"/>
      <c r="KF237" s="1059"/>
      <c r="KG237" s="1059"/>
      <c r="KH237" s="1059"/>
      <c r="KI237" s="1059"/>
      <c r="KJ237" s="1059"/>
      <c r="KK237" s="1059"/>
      <c r="KL237" s="1059"/>
      <c r="KM237" s="1059"/>
      <c r="KN237" s="1059"/>
      <c r="KO237" s="1059"/>
      <c r="KP237" s="1059"/>
      <c r="KQ237" s="1059"/>
      <c r="KR237" s="1059"/>
      <c r="KS237" s="1059"/>
      <c r="KT237" s="1059"/>
      <c r="KU237" s="1059"/>
      <c r="KV237" s="1059"/>
      <c r="KW237" s="1059"/>
      <c r="KX237" s="1059"/>
      <c r="KY237" s="1059"/>
      <c r="KZ237" s="1059"/>
      <c r="LA237" s="1059"/>
      <c r="LB237" s="1059"/>
      <c r="LC237" s="1059"/>
      <c r="LD237" s="1059"/>
      <c r="LE237" s="1059"/>
      <c r="LF237" s="1059"/>
      <c r="LG237" s="1058"/>
      <c r="LH237" s="1058"/>
      <c r="LI237" s="1058"/>
      <c r="LJ237" s="1058"/>
      <c r="LK237" s="1058"/>
      <c r="LL237" s="1058"/>
      <c r="LM237" s="1060"/>
      <c r="LN237" s="1058"/>
      <c r="LO237" s="1058"/>
      <c r="LP237" s="1058"/>
      <c r="LQ237" s="1058"/>
      <c r="LR237" s="1058"/>
      <c r="LS237" s="1058"/>
      <c r="LT237" s="1058"/>
      <c r="LU237" s="1058"/>
      <c r="LV237" s="1058"/>
      <c r="LW237" s="1058"/>
      <c r="LX237" s="1058"/>
      <c r="LY237" s="1058"/>
      <c r="LZ237" s="1058"/>
      <c r="MA237" s="1058"/>
      <c r="MB237" s="1058"/>
      <c r="MC237" s="1060"/>
      <c r="MD237" s="1060"/>
      <c r="ME237" s="1058"/>
      <c r="MF237" s="1058"/>
      <c r="MG237" s="1058"/>
      <c r="MH237" s="1058"/>
      <c r="MI237" s="1058"/>
      <c r="MJ237" s="1058"/>
      <c r="MK237" s="1058"/>
      <c r="ML237" s="1058"/>
      <c r="MM237" s="1058"/>
      <c r="MN237" s="1058"/>
      <c r="MO237" s="1058"/>
      <c r="MP237" s="1058"/>
      <c r="MQ237" s="1058"/>
      <c r="MR237" s="1058"/>
      <c r="MS237" s="1058"/>
      <c r="MT237" s="1058"/>
      <c r="MU237" s="1058"/>
      <c r="MV237" s="1058"/>
      <c r="MW237" s="1058"/>
      <c r="MX237" s="1058"/>
      <c r="MY237" s="1058"/>
      <c r="MZ237" s="1058"/>
      <c r="NA237" s="1058"/>
      <c r="NB237" s="1058"/>
      <c r="NC237" s="1058"/>
      <c r="ND237" s="1058"/>
      <c r="NE237" s="1058"/>
      <c r="NF237" s="1058"/>
      <c r="NG237" s="1058"/>
      <c r="NH237" s="1058"/>
      <c r="NI237" s="1058"/>
      <c r="NJ237" s="1058"/>
      <c r="NK237" s="1058"/>
      <c r="NL237" s="1058"/>
      <c r="NM237" s="1058"/>
      <c r="NN237" s="1058"/>
      <c r="NO237" s="1058"/>
      <c r="NP237" s="1058"/>
      <c r="NQ237" s="1058"/>
      <c r="NR237" s="1058"/>
      <c r="NS237" s="1058"/>
      <c r="NT237" s="1058"/>
      <c r="NU237" s="1058"/>
      <c r="NV237" s="1058"/>
      <c r="NW237" s="1058"/>
      <c r="NX237" s="1058"/>
      <c r="NY237" s="1058"/>
      <c r="NZ237" s="1058"/>
      <c r="OA237" s="1058"/>
      <c r="OB237" s="1058"/>
      <c r="OC237" s="1058"/>
      <c r="OD237" s="1018"/>
      <c r="OE237" s="1018"/>
      <c r="OF237" s="1018"/>
      <c r="OG237" s="1018"/>
      <c r="OH237" s="1018"/>
      <c r="OI237" s="1018"/>
      <c r="OJ237" s="1018"/>
      <c r="OK237" s="1018"/>
      <c r="OL237" s="1018"/>
      <c r="OM237" s="1018"/>
      <c r="ON237" s="1018"/>
      <c r="OO237" s="1018"/>
      <c r="OP237" s="1018"/>
      <c r="OQ237" s="1018"/>
      <c r="OR237" s="1018"/>
      <c r="OS237" s="1018"/>
      <c r="OT237" s="1018"/>
      <c r="OU237" s="1018"/>
      <c r="OV237" s="1018"/>
      <c r="OW237" s="1018"/>
      <c r="OX237" s="1018"/>
      <c r="OY237" s="1018"/>
      <c r="OZ237" s="1018"/>
      <c r="PA237" s="1018"/>
      <c r="PB237" s="1018"/>
      <c r="PC237" s="1018"/>
      <c r="PD237" s="1018"/>
      <c r="PE237" s="1018"/>
      <c r="PF237" s="1018"/>
      <c r="PG237" s="1018"/>
      <c r="PH237" s="1018"/>
      <c r="PI237" s="1018"/>
      <c r="PJ237" s="1018"/>
      <c r="PK237" s="1018"/>
      <c r="PL237" s="1018"/>
      <c r="PM237" s="1018"/>
      <c r="PN237" s="1018"/>
      <c r="PO237" s="1018"/>
      <c r="PP237" s="1018"/>
      <c r="PQ237" s="1018"/>
      <c r="PR237" s="1018"/>
      <c r="PS237" s="1018"/>
      <c r="PT237" s="1018"/>
      <c r="PU237" s="1018"/>
      <c r="PV237" s="1018"/>
      <c r="PW237" s="1018"/>
      <c r="PX237" s="1018"/>
      <c r="PY237" s="1018"/>
      <c r="PZ237" s="1018"/>
      <c r="QA237" s="1018"/>
      <c r="QB237" s="1018"/>
      <c r="QC237" s="1018"/>
      <c r="QD237" s="1018"/>
      <c r="QE237" s="1018"/>
      <c r="QF237" s="1018"/>
      <c r="QG237" s="1018"/>
      <c r="QH237" s="1018"/>
      <c r="QI237" s="1018"/>
      <c r="QJ237" s="1018"/>
      <c r="QK237" s="1018"/>
      <c r="QL237" s="1018"/>
      <c r="QM237" s="1018"/>
      <c r="QN237" s="1018"/>
      <c r="QO237" s="1018"/>
      <c r="QP237" s="1018"/>
      <c r="QQ237" s="1018"/>
      <c r="QR237" s="1018"/>
      <c r="QS237" s="1018"/>
      <c r="QT237" s="1018"/>
      <c r="QU237" s="1018"/>
      <c r="QV237" s="1018"/>
      <c r="QW237" s="1018"/>
      <c r="QX237" s="1018"/>
      <c r="QY237" s="1018"/>
      <c r="QZ237" s="1018"/>
      <c r="RA237" s="1018"/>
      <c r="RB237" s="1018"/>
      <c r="RC237" s="1018"/>
      <c r="RD237" s="1018"/>
      <c r="RE237" s="1018"/>
      <c r="RF237" s="1018"/>
      <c r="RG237" s="1018"/>
      <c r="RH237" s="1018"/>
      <c r="RI237" s="1018"/>
      <c r="RJ237" s="1018"/>
      <c r="RK237" s="1018"/>
      <c r="RL237" s="1018"/>
      <c r="RM237" s="1018"/>
      <c r="RN237" s="1018"/>
      <c r="RO237" s="1018"/>
      <c r="RP237" s="1018"/>
      <c r="RQ237" s="1018"/>
      <c r="RR237" s="1018"/>
      <c r="RS237" s="1018"/>
      <c r="RT237" s="1018"/>
      <c r="RU237" s="1018"/>
      <c r="RV237" s="1018"/>
      <c r="RW237" s="1018"/>
      <c r="RX237" s="1018"/>
    </row>
    <row r="238" spans="1:492" s="1057" customFormat="1" ht="15.6" customHeight="1">
      <c r="A238" s="1018"/>
      <c r="B238" s="1018" t="s">
        <v>807</v>
      </c>
      <c r="C238" s="1018"/>
      <c r="D238" s="1294"/>
      <c r="E238" s="1018"/>
      <c r="F238" s="2323"/>
      <c r="G238" s="2324"/>
      <c r="H238" s="1018"/>
      <c r="I238" s="1018"/>
      <c r="J238" s="1293"/>
      <c r="K238" s="1018"/>
      <c r="L238" s="1018"/>
      <c r="M238" s="2346"/>
      <c r="N238" s="1318" t="s">
        <v>2988</v>
      </c>
      <c r="O238" s="1316" t="str">
        <f>CONCATENATE(SUM(MO48:MS48)," units x $",'DCA Underwriting Assumptions'!$Q$66," =")</f>
        <v>0 units x $420 =</v>
      </c>
      <c r="P238" s="1317">
        <f>SUM(MO48:MS48)*'DCA Underwriting Assumptions'!$Q$66</f>
        <v>0</v>
      </c>
      <c r="Q238" s="1316"/>
      <c r="R238" s="2314"/>
      <c r="S238" s="2315"/>
      <c r="T238" s="2315"/>
      <c r="U238" s="2315"/>
      <c r="V238" s="2316"/>
      <c r="W238" s="1064"/>
      <c r="X238" s="1058"/>
      <c r="Y238" s="1058"/>
      <c r="Z238" s="1058"/>
      <c r="AA238" s="1058"/>
      <c r="AB238" s="1064"/>
      <c r="AC238" s="1058"/>
      <c r="AD238" s="1058"/>
      <c r="AE238" s="1058"/>
      <c r="AF238" s="1058"/>
      <c r="AG238" s="1064"/>
      <c r="AH238" s="1058"/>
      <c r="AI238" s="1058"/>
      <c r="AJ238" s="1058"/>
      <c r="AK238" s="1058"/>
      <c r="AL238" s="1064"/>
      <c r="AM238" s="1058"/>
      <c r="AN238" s="1058"/>
      <c r="AO238" s="1058"/>
      <c r="AP238" s="1058"/>
      <c r="AQ238" s="1058"/>
      <c r="AR238" s="1058"/>
      <c r="AS238" s="1058"/>
      <c r="AT238" s="1058"/>
      <c r="AU238" s="1058"/>
      <c r="AV238" s="1058"/>
      <c r="AW238" s="1058"/>
      <c r="AX238" s="1058"/>
      <c r="AY238" s="1058"/>
      <c r="AZ238" s="1058"/>
      <c r="BA238" s="1058"/>
      <c r="BB238" s="1058"/>
      <c r="BC238" s="1058"/>
      <c r="BD238" s="1058"/>
      <c r="BE238" s="1058"/>
      <c r="BF238" s="1058"/>
      <c r="BG238" s="1058"/>
      <c r="BH238" s="1058"/>
      <c r="BI238" s="1058"/>
      <c r="BJ238" s="1058"/>
      <c r="BK238" s="1058"/>
      <c r="BL238" s="1058"/>
      <c r="BM238" s="1058"/>
      <c r="BN238" s="1058"/>
      <c r="BO238" s="1058"/>
      <c r="BP238" s="1058"/>
      <c r="BQ238" s="1058"/>
      <c r="BR238" s="1058"/>
      <c r="BS238" s="1058"/>
      <c r="BT238" s="1058"/>
      <c r="BU238" s="1058"/>
      <c r="BV238" s="1058"/>
      <c r="BW238" s="1058"/>
      <c r="BX238" s="1058"/>
      <c r="BY238" s="1058"/>
      <c r="BZ238" s="1058"/>
      <c r="CA238" s="1058"/>
      <c r="CB238" s="1058"/>
      <c r="CC238" s="1058"/>
      <c r="CD238" s="1058"/>
      <c r="CE238" s="1058"/>
      <c r="CF238" s="1058"/>
      <c r="CG238" s="1058"/>
      <c r="CH238" s="1058"/>
      <c r="CI238" s="1058"/>
      <c r="CJ238" s="1058"/>
      <c r="CK238" s="1058"/>
      <c r="CL238" s="1058"/>
      <c r="CM238" s="1058"/>
      <c r="CN238" s="1058"/>
      <c r="CO238" s="1058"/>
      <c r="CP238" s="1058"/>
      <c r="CQ238" s="1058"/>
      <c r="CR238" s="1058"/>
      <c r="CS238" s="1058"/>
      <c r="CT238" s="1058"/>
      <c r="CU238" s="1058"/>
      <c r="CV238" s="1058"/>
      <c r="CW238" s="1058"/>
      <c r="CX238" s="1058"/>
      <c r="CY238" s="1058"/>
      <c r="CZ238" s="1058"/>
      <c r="DA238" s="1058"/>
      <c r="DB238" s="1058"/>
      <c r="DC238" s="1058"/>
      <c r="DD238" s="1058"/>
      <c r="DE238" s="1058"/>
      <c r="DF238" s="1058"/>
      <c r="DG238" s="1058"/>
      <c r="DH238" s="1058"/>
      <c r="DI238" s="1058"/>
      <c r="DJ238" s="1058"/>
      <c r="DK238" s="1058"/>
      <c r="DL238" s="1058"/>
      <c r="DM238" s="1058"/>
      <c r="DN238" s="1058"/>
      <c r="DO238" s="1058"/>
      <c r="DP238" s="1058"/>
      <c r="DQ238" s="1058"/>
      <c r="DR238" s="1058"/>
      <c r="DS238" s="1058"/>
      <c r="DT238" s="1058"/>
      <c r="DU238" s="1058"/>
      <c r="DV238" s="1058"/>
      <c r="DW238" s="1058"/>
      <c r="DX238" s="1058"/>
      <c r="DY238" s="1058"/>
      <c r="DZ238" s="1058"/>
      <c r="EA238" s="1058"/>
      <c r="EB238" s="1058"/>
      <c r="EC238" s="1058"/>
      <c r="ED238" s="1058"/>
      <c r="EE238" s="1058"/>
      <c r="EF238" s="1058"/>
      <c r="EG238" s="1058"/>
      <c r="EH238" s="1058"/>
      <c r="EI238" s="1058"/>
      <c r="EJ238" s="1058"/>
      <c r="EK238" s="1058"/>
      <c r="EL238" s="1058"/>
      <c r="EM238" s="1058"/>
      <c r="EN238" s="1058"/>
      <c r="EO238" s="1058"/>
      <c r="EP238" s="1058"/>
      <c r="EQ238" s="1058"/>
      <c r="ER238" s="1058"/>
      <c r="ES238" s="1058"/>
      <c r="ET238" s="1058"/>
      <c r="EU238" s="1058"/>
      <c r="EV238" s="1058"/>
      <c r="EW238" s="1058"/>
      <c r="EX238" s="1058"/>
      <c r="EY238" s="1058"/>
      <c r="EZ238" s="1058"/>
      <c r="FA238" s="1058"/>
      <c r="FB238" s="1058"/>
      <c r="FC238" s="1058"/>
      <c r="FD238" s="1058"/>
      <c r="FE238" s="1058"/>
      <c r="FF238" s="1058"/>
      <c r="FG238" s="1058"/>
      <c r="FH238" s="1058"/>
      <c r="FI238" s="1058"/>
      <c r="FJ238" s="1058"/>
      <c r="FK238" s="1058"/>
      <c r="FL238" s="1058"/>
      <c r="FM238" s="1058"/>
      <c r="FN238" s="1058"/>
      <c r="FO238" s="1058"/>
      <c r="FP238" s="1058"/>
      <c r="FQ238" s="1058"/>
      <c r="FR238" s="1058"/>
      <c r="FS238" s="1058"/>
      <c r="FT238" s="1058"/>
      <c r="FU238" s="1058"/>
      <c r="FV238" s="1058"/>
      <c r="FW238" s="1058"/>
      <c r="FX238" s="1058"/>
      <c r="FY238" s="1058"/>
      <c r="FZ238" s="1058"/>
      <c r="GA238" s="1058"/>
      <c r="GB238" s="1058"/>
      <c r="GC238" s="1058"/>
      <c r="GD238" s="1058"/>
      <c r="GE238" s="1058"/>
      <c r="GF238" s="1058"/>
      <c r="GG238" s="1058"/>
      <c r="GH238" s="1058"/>
      <c r="GI238" s="1058"/>
      <c r="GJ238" s="1058"/>
      <c r="GK238" s="1058"/>
      <c r="GL238" s="1058"/>
      <c r="GM238" s="1058"/>
      <c r="GN238" s="1058"/>
      <c r="GO238" s="1058"/>
      <c r="GP238" s="1058"/>
      <c r="GQ238" s="1058"/>
      <c r="GR238" s="1058"/>
      <c r="GS238" s="1058"/>
      <c r="GT238" s="1058"/>
      <c r="GU238" s="1058"/>
      <c r="GV238" s="1058"/>
      <c r="GW238" s="1058"/>
      <c r="GX238" s="1058"/>
      <c r="GY238" s="1058"/>
      <c r="GZ238" s="1058"/>
      <c r="HA238" s="1058"/>
      <c r="HB238" s="1058"/>
      <c r="HC238" s="1058"/>
      <c r="HD238" s="1058"/>
      <c r="HE238" s="1058"/>
      <c r="HF238" s="1058"/>
      <c r="HG238" s="1058"/>
      <c r="HH238" s="1058"/>
      <c r="HI238" s="1058"/>
      <c r="HJ238" s="1058"/>
      <c r="HK238" s="1058"/>
      <c r="HL238" s="1058"/>
      <c r="HM238" s="1058"/>
      <c r="HN238" s="1058"/>
      <c r="HO238" s="1058"/>
      <c r="HP238" s="1058"/>
      <c r="HQ238" s="1058"/>
      <c r="HR238" s="1058"/>
      <c r="HS238" s="1058"/>
      <c r="HT238" s="1058"/>
      <c r="HU238" s="1058"/>
      <c r="HV238" s="1058"/>
      <c r="HW238" s="1058"/>
      <c r="HX238" s="1058"/>
      <c r="HY238" s="1058"/>
      <c r="HZ238" s="1058"/>
      <c r="IA238" s="1058"/>
      <c r="IB238" s="1058"/>
      <c r="IC238" s="1058"/>
      <c r="ID238" s="1058"/>
      <c r="IE238" s="1058"/>
      <c r="IF238" s="1058"/>
      <c r="IG238" s="1058"/>
      <c r="IH238" s="1058"/>
      <c r="II238" s="1058"/>
      <c r="IJ238" s="1058"/>
      <c r="IK238" s="1058"/>
      <c r="IL238" s="1058"/>
      <c r="IM238" s="1058"/>
      <c r="IN238" s="1058"/>
      <c r="IO238" s="1058"/>
      <c r="IP238" s="1058"/>
      <c r="IQ238" s="1058"/>
      <c r="IR238" s="1058"/>
      <c r="IS238" s="1058"/>
      <c r="IT238" s="1058"/>
      <c r="IU238" s="1058"/>
      <c r="IV238" s="1058"/>
      <c r="IW238" s="1058"/>
      <c r="IX238" s="1058"/>
      <c r="IY238" s="1058"/>
      <c r="IZ238" s="1058"/>
      <c r="JA238" s="1058"/>
      <c r="JB238" s="1058"/>
      <c r="JC238" s="1058"/>
      <c r="JD238" s="1058"/>
      <c r="JE238" s="1058"/>
      <c r="JF238" s="1058"/>
      <c r="JG238" s="1058"/>
      <c r="JH238" s="1058"/>
      <c r="JI238" s="1058"/>
      <c r="JJ238" s="1058"/>
      <c r="JK238" s="1058"/>
      <c r="JL238" s="1058"/>
      <c r="JM238" s="1058"/>
      <c r="JN238" s="1058"/>
      <c r="JO238" s="1058"/>
      <c r="JP238" s="1058"/>
      <c r="JQ238" s="1058"/>
      <c r="JR238" s="1058"/>
      <c r="JS238" s="1058"/>
      <c r="JT238" s="1058"/>
      <c r="JU238" s="1058"/>
      <c r="JV238" s="1059"/>
      <c r="JW238" s="1058"/>
      <c r="JX238" s="1058"/>
      <c r="JY238" s="1058"/>
      <c r="JZ238" s="1058"/>
      <c r="KA238" s="1059"/>
      <c r="KB238" s="1059"/>
      <c r="KC238" s="1059"/>
      <c r="KD238" s="1059"/>
      <c r="KE238" s="1059"/>
      <c r="KF238" s="1059"/>
      <c r="KG238" s="1059"/>
      <c r="KH238" s="1059"/>
      <c r="KI238" s="1059"/>
      <c r="KJ238" s="1059"/>
      <c r="KK238" s="1059"/>
      <c r="KL238" s="1059"/>
      <c r="KM238" s="1059"/>
      <c r="KN238" s="1059"/>
      <c r="KO238" s="1059"/>
      <c r="KP238" s="1059"/>
      <c r="KQ238" s="1059"/>
      <c r="KR238" s="1059"/>
      <c r="KS238" s="1059"/>
      <c r="KT238" s="1059"/>
      <c r="KU238" s="1059"/>
      <c r="KV238" s="1059"/>
      <c r="KW238" s="1059"/>
      <c r="KX238" s="1059"/>
      <c r="KY238" s="1059"/>
      <c r="KZ238" s="1059"/>
      <c r="LA238" s="1059"/>
      <c r="LB238" s="1059"/>
      <c r="LC238" s="1059"/>
      <c r="LD238" s="1059"/>
      <c r="LE238" s="1059"/>
      <c r="LF238" s="1059"/>
      <c r="LG238" s="1058"/>
      <c r="LH238" s="1058"/>
      <c r="LI238" s="1058"/>
      <c r="LJ238" s="1058"/>
      <c r="LK238" s="1058"/>
      <c r="LL238" s="1058"/>
      <c r="LM238" s="1060"/>
      <c r="LN238" s="1058"/>
      <c r="LO238" s="1058"/>
      <c r="LP238" s="1058"/>
      <c r="LQ238" s="1058"/>
      <c r="LR238" s="1058"/>
      <c r="LS238" s="1058"/>
      <c r="LT238" s="1058"/>
      <c r="LU238" s="1058"/>
      <c r="LV238" s="1058"/>
      <c r="LW238" s="1058"/>
      <c r="LX238" s="1058"/>
      <c r="LY238" s="1058"/>
      <c r="LZ238" s="1058"/>
      <c r="MA238" s="1058"/>
      <c r="MB238" s="1058"/>
      <c r="MC238" s="1060"/>
      <c r="MD238" s="1060"/>
      <c r="ME238" s="1058"/>
      <c r="MF238" s="1058"/>
      <c r="MG238" s="1058"/>
      <c r="MH238" s="1058"/>
      <c r="MI238" s="1058"/>
      <c r="MJ238" s="1058"/>
      <c r="MK238" s="1058"/>
      <c r="ML238" s="1058"/>
      <c r="MM238" s="1058"/>
      <c r="MN238" s="1058"/>
      <c r="MO238" s="1058"/>
      <c r="MP238" s="1058"/>
      <c r="MQ238" s="1058"/>
      <c r="MR238" s="1058"/>
      <c r="MS238" s="1058"/>
      <c r="MT238" s="1058"/>
      <c r="MU238" s="1058"/>
      <c r="MV238" s="1058"/>
      <c r="MW238" s="1058"/>
      <c r="MX238" s="1058"/>
      <c r="MY238" s="1058"/>
      <c r="MZ238" s="1058"/>
      <c r="NA238" s="1058"/>
      <c r="NB238" s="1058"/>
      <c r="NC238" s="1058"/>
      <c r="ND238" s="1058"/>
      <c r="NE238" s="1058"/>
      <c r="NF238" s="1058"/>
      <c r="NG238" s="1058"/>
      <c r="NH238" s="1058"/>
      <c r="NI238" s="1058"/>
      <c r="NJ238" s="1058"/>
      <c r="NK238" s="1058"/>
      <c r="NL238" s="1058"/>
      <c r="NM238" s="1058"/>
      <c r="NN238" s="1058"/>
      <c r="NO238" s="1058"/>
      <c r="NP238" s="1058"/>
      <c r="NQ238" s="1058"/>
      <c r="NR238" s="1058"/>
      <c r="NS238" s="1058"/>
      <c r="NT238" s="1058"/>
      <c r="NU238" s="1058"/>
      <c r="NV238" s="1058"/>
      <c r="NW238" s="1058"/>
      <c r="NX238" s="1058"/>
      <c r="NY238" s="1058"/>
      <c r="NZ238" s="1058"/>
      <c r="OA238" s="1058"/>
      <c r="OB238" s="1058"/>
      <c r="OC238" s="1058"/>
      <c r="OD238" s="1018"/>
      <c r="OE238" s="1018"/>
      <c r="OF238" s="1018"/>
      <c r="OG238" s="1018"/>
      <c r="OH238" s="1018"/>
      <c r="OI238" s="1018"/>
      <c r="OJ238" s="1018"/>
      <c r="OK238" s="1018"/>
      <c r="OL238" s="1018"/>
      <c r="OM238" s="1018"/>
      <c r="ON238" s="1018"/>
      <c r="OO238" s="1018"/>
      <c r="OP238" s="1018"/>
      <c r="OQ238" s="1018"/>
      <c r="OR238" s="1018"/>
      <c r="OS238" s="1018"/>
      <c r="OT238" s="1018"/>
      <c r="OU238" s="1018"/>
      <c r="OV238" s="1018"/>
      <c r="OW238" s="1018"/>
      <c r="OX238" s="1018"/>
      <c r="OY238" s="1018"/>
      <c r="OZ238" s="1018"/>
      <c r="PA238" s="1018"/>
      <c r="PB238" s="1018"/>
      <c r="PC238" s="1018"/>
      <c r="PD238" s="1018"/>
      <c r="PE238" s="1018"/>
      <c r="PF238" s="1018"/>
      <c r="PG238" s="1018"/>
      <c r="PH238" s="1018"/>
      <c r="PI238" s="1018"/>
      <c r="PJ238" s="1018"/>
      <c r="PK238" s="1018"/>
      <c r="PL238" s="1018"/>
      <c r="PM238" s="1018"/>
      <c r="PN238" s="1018"/>
      <c r="PO238" s="1018"/>
      <c r="PP238" s="1018"/>
      <c r="PQ238" s="1018"/>
      <c r="PR238" s="1018"/>
      <c r="PS238" s="1018"/>
      <c r="PT238" s="1018"/>
      <c r="PU238" s="1018"/>
      <c r="PV238" s="1018"/>
      <c r="PW238" s="1018"/>
      <c r="PX238" s="1018"/>
      <c r="PY238" s="1018"/>
      <c r="PZ238" s="1018"/>
      <c r="QA238" s="1018"/>
      <c r="QB238" s="1018"/>
      <c r="QC238" s="1018"/>
      <c r="QD238" s="1018"/>
      <c r="QE238" s="1018"/>
      <c r="QF238" s="1018"/>
      <c r="QG238" s="1018"/>
      <c r="QH238" s="1018"/>
      <c r="QI238" s="1018"/>
      <c r="QJ238" s="1018"/>
      <c r="QK238" s="1018"/>
      <c r="QL238" s="1018"/>
      <c r="QM238" s="1018"/>
      <c r="QN238" s="1018"/>
      <c r="QO238" s="1018"/>
      <c r="QP238" s="1018"/>
      <c r="QQ238" s="1018"/>
      <c r="QR238" s="1018"/>
      <c r="QS238" s="1018"/>
      <c r="QT238" s="1018"/>
      <c r="QU238" s="1018"/>
      <c r="QV238" s="1018"/>
      <c r="QW238" s="1018"/>
      <c r="QX238" s="1018"/>
      <c r="QY238" s="1018"/>
      <c r="QZ238" s="1018"/>
      <c r="RA238" s="1018"/>
      <c r="RB238" s="1018"/>
      <c r="RC238" s="1018"/>
      <c r="RD238" s="1018"/>
      <c r="RE238" s="1018"/>
      <c r="RF238" s="1018"/>
      <c r="RG238" s="1018"/>
      <c r="RH238" s="1018"/>
      <c r="RI238" s="1018"/>
      <c r="RJ238" s="1018"/>
      <c r="RK238" s="1018"/>
      <c r="RL238" s="1018"/>
      <c r="RM238" s="1018"/>
      <c r="RN238" s="1018"/>
      <c r="RO238" s="1018"/>
      <c r="RP238" s="1018"/>
      <c r="RQ238" s="1018"/>
      <c r="RR238" s="1018"/>
      <c r="RS238" s="1018"/>
      <c r="RT238" s="1018"/>
      <c r="RU238" s="1018"/>
      <c r="RV238" s="1018"/>
      <c r="RW238" s="1018"/>
      <c r="RX238" s="1018"/>
    </row>
    <row r="239" spans="1:492" s="1057" customFormat="1" ht="15.6" customHeight="1" thickBot="1">
      <c r="A239" s="1018"/>
      <c r="B239" s="2329" t="s">
        <v>46</v>
      </c>
      <c r="C239" s="2330"/>
      <c r="D239" s="2330"/>
      <c r="E239" s="2331"/>
      <c r="F239" s="2332"/>
      <c r="G239" s="2333"/>
      <c r="H239" s="1018"/>
      <c r="I239" s="1018"/>
      <c r="J239" s="1293"/>
      <c r="K239" s="1018"/>
      <c r="L239" s="1018"/>
      <c r="M239" s="1018"/>
      <c r="N239" s="1318" t="s">
        <v>2983</v>
      </c>
      <c r="O239" s="1316" t="str">
        <f>CONCATENATE(O124," units x $",'DCA Underwriting Assumptions'!$Q$66," =")</f>
        <v>0 units x $420 =</v>
      </c>
      <c r="P239" s="1317">
        <f>O124*'DCA Underwriting Assumptions'!$Q$66</f>
        <v>0</v>
      </c>
      <c r="Q239" s="1316"/>
      <c r="R239" s="2314"/>
      <c r="S239" s="2315"/>
      <c r="T239" s="2315"/>
      <c r="U239" s="2315"/>
      <c r="V239" s="2316"/>
      <c r="W239" s="1064"/>
      <c r="X239" s="1058"/>
      <c r="Y239" s="1058"/>
      <c r="Z239" s="1058"/>
      <c r="AA239" s="1058"/>
      <c r="AB239" s="1064"/>
      <c r="AC239" s="1058"/>
      <c r="AD239" s="1058"/>
      <c r="AE239" s="1058"/>
      <c r="AF239" s="1058"/>
      <c r="AG239" s="1064"/>
      <c r="AH239" s="1058"/>
      <c r="AI239" s="1058"/>
      <c r="AJ239" s="1058"/>
      <c r="AK239" s="1058"/>
      <c r="AL239" s="1064"/>
      <c r="AM239" s="1058"/>
      <c r="AN239" s="1058"/>
      <c r="AO239" s="1058"/>
      <c r="AP239" s="1058"/>
      <c r="AQ239" s="1058"/>
      <c r="AR239" s="1058"/>
      <c r="AS239" s="1058"/>
      <c r="AT239" s="1058"/>
      <c r="AU239" s="1058"/>
      <c r="AV239" s="1058"/>
      <c r="AW239" s="1058"/>
      <c r="AX239" s="1058"/>
      <c r="AY239" s="1058"/>
      <c r="AZ239" s="1058"/>
      <c r="BA239" s="1058"/>
      <c r="BB239" s="1058"/>
      <c r="BC239" s="1058"/>
      <c r="BD239" s="1058"/>
      <c r="BE239" s="1058"/>
      <c r="BF239" s="1058"/>
      <c r="BG239" s="1058"/>
      <c r="BH239" s="1058"/>
      <c r="BI239" s="1058"/>
      <c r="BJ239" s="1058"/>
      <c r="BK239" s="1058"/>
      <c r="BL239" s="1058"/>
      <c r="BM239" s="1058"/>
      <c r="BN239" s="1058"/>
      <c r="BO239" s="1058"/>
      <c r="BP239" s="1058"/>
      <c r="BQ239" s="1058"/>
      <c r="BR239" s="1058"/>
      <c r="BS239" s="1058"/>
      <c r="BT239" s="1058"/>
      <c r="BU239" s="1058"/>
      <c r="BV239" s="1058"/>
      <c r="BW239" s="1058"/>
      <c r="BX239" s="1058"/>
      <c r="BY239" s="1058"/>
      <c r="BZ239" s="1058"/>
      <c r="CA239" s="1058"/>
      <c r="CB239" s="1058"/>
      <c r="CC239" s="1058"/>
      <c r="CD239" s="1058"/>
      <c r="CE239" s="1058"/>
      <c r="CF239" s="1058"/>
      <c r="CG239" s="1058"/>
      <c r="CH239" s="1058"/>
      <c r="CI239" s="1058"/>
      <c r="CJ239" s="1058"/>
      <c r="CK239" s="1058"/>
      <c r="CL239" s="1058"/>
      <c r="CM239" s="1058"/>
      <c r="CN239" s="1058"/>
      <c r="CO239" s="1058"/>
      <c r="CP239" s="1058"/>
      <c r="CQ239" s="1058"/>
      <c r="CR239" s="1058"/>
      <c r="CS239" s="1058"/>
      <c r="CT239" s="1058"/>
      <c r="CU239" s="1058"/>
      <c r="CV239" s="1058"/>
      <c r="CW239" s="1058"/>
      <c r="CX239" s="1058"/>
      <c r="CY239" s="1058"/>
      <c r="CZ239" s="1058"/>
      <c r="DA239" s="1058"/>
      <c r="DB239" s="1058"/>
      <c r="DC239" s="1058"/>
      <c r="DD239" s="1058"/>
      <c r="DE239" s="1058"/>
      <c r="DF239" s="1058"/>
      <c r="DG239" s="1058"/>
      <c r="DH239" s="1058"/>
      <c r="DI239" s="1058"/>
      <c r="DJ239" s="1058"/>
      <c r="DK239" s="1058"/>
      <c r="DL239" s="1058"/>
      <c r="DM239" s="1058"/>
      <c r="DN239" s="1058"/>
      <c r="DO239" s="1058"/>
      <c r="DP239" s="1058"/>
      <c r="DQ239" s="1058"/>
      <c r="DR239" s="1058"/>
      <c r="DS239" s="1058"/>
      <c r="DT239" s="1058"/>
      <c r="DU239" s="1058"/>
      <c r="DV239" s="1058"/>
      <c r="DW239" s="1058"/>
      <c r="DX239" s="1058"/>
      <c r="DY239" s="1058"/>
      <c r="DZ239" s="1058"/>
      <c r="EA239" s="1058"/>
      <c r="EB239" s="1058"/>
      <c r="EC239" s="1058"/>
      <c r="ED239" s="1058"/>
      <c r="EE239" s="1058"/>
      <c r="EF239" s="1058"/>
      <c r="EG239" s="1058"/>
      <c r="EH239" s="1058"/>
      <c r="EI239" s="1058"/>
      <c r="EJ239" s="1058"/>
      <c r="EK239" s="1058"/>
      <c r="EL239" s="1058"/>
      <c r="EM239" s="1058"/>
      <c r="EN239" s="1058"/>
      <c r="EO239" s="1058"/>
      <c r="EP239" s="1058"/>
      <c r="EQ239" s="1058"/>
      <c r="ER239" s="1058"/>
      <c r="ES239" s="1058"/>
      <c r="ET239" s="1058"/>
      <c r="EU239" s="1058"/>
      <c r="EV239" s="1058"/>
      <c r="EW239" s="1058"/>
      <c r="EX239" s="1058"/>
      <c r="EY239" s="1058"/>
      <c r="EZ239" s="1058"/>
      <c r="FA239" s="1058"/>
      <c r="FB239" s="1058"/>
      <c r="FC239" s="1058"/>
      <c r="FD239" s="1058"/>
      <c r="FE239" s="1058"/>
      <c r="FF239" s="1058"/>
      <c r="FG239" s="1058"/>
      <c r="FH239" s="1058"/>
      <c r="FI239" s="1058"/>
      <c r="FJ239" s="1058"/>
      <c r="FK239" s="1058"/>
      <c r="FL239" s="1058"/>
      <c r="FM239" s="1058"/>
      <c r="FN239" s="1058"/>
      <c r="FO239" s="1058"/>
      <c r="FP239" s="1058"/>
      <c r="FQ239" s="1058"/>
      <c r="FR239" s="1058"/>
      <c r="FS239" s="1058"/>
      <c r="FT239" s="1058"/>
      <c r="FU239" s="1058"/>
      <c r="FV239" s="1058"/>
      <c r="FW239" s="1058"/>
      <c r="FX239" s="1058"/>
      <c r="FY239" s="1058"/>
      <c r="FZ239" s="1058"/>
      <c r="GA239" s="1058"/>
      <c r="GB239" s="1058"/>
      <c r="GC239" s="1058"/>
      <c r="GD239" s="1058"/>
      <c r="GE239" s="1058"/>
      <c r="GF239" s="1058"/>
      <c r="GG239" s="1058"/>
      <c r="GH239" s="1058"/>
      <c r="GI239" s="1058"/>
      <c r="GJ239" s="1058"/>
      <c r="GK239" s="1058"/>
      <c r="GL239" s="1058"/>
      <c r="GM239" s="1058"/>
      <c r="GN239" s="1058"/>
      <c r="GO239" s="1058"/>
      <c r="GP239" s="1058"/>
      <c r="GQ239" s="1058"/>
      <c r="GR239" s="1058"/>
      <c r="GS239" s="1058"/>
      <c r="GT239" s="1058"/>
      <c r="GU239" s="1058"/>
      <c r="GV239" s="1058"/>
      <c r="GW239" s="1058"/>
      <c r="GX239" s="1058"/>
      <c r="GY239" s="1058"/>
      <c r="GZ239" s="1058"/>
      <c r="HA239" s="1058"/>
      <c r="HB239" s="1058"/>
      <c r="HC239" s="1058"/>
      <c r="HD239" s="1058"/>
      <c r="HE239" s="1058"/>
      <c r="HF239" s="1058"/>
      <c r="HG239" s="1058"/>
      <c r="HH239" s="1058"/>
      <c r="HI239" s="1058"/>
      <c r="HJ239" s="1058"/>
      <c r="HK239" s="1058"/>
      <c r="HL239" s="1058"/>
      <c r="HM239" s="1058"/>
      <c r="HN239" s="1058"/>
      <c r="HO239" s="1058"/>
      <c r="HP239" s="1058"/>
      <c r="HQ239" s="1058"/>
      <c r="HR239" s="1058"/>
      <c r="HS239" s="1058"/>
      <c r="HT239" s="1058"/>
      <c r="HU239" s="1058"/>
      <c r="HV239" s="1058"/>
      <c r="HW239" s="1058"/>
      <c r="HX239" s="1058"/>
      <c r="HY239" s="1058"/>
      <c r="HZ239" s="1058"/>
      <c r="IA239" s="1058"/>
      <c r="IB239" s="1058"/>
      <c r="IC239" s="1058"/>
      <c r="ID239" s="1058"/>
      <c r="IE239" s="1058"/>
      <c r="IF239" s="1058"/>
      <c r="IG239" s="1058"/>
      <c r="IH239" s="1058"/>
      <c r="II239" s="1058"/>
      <c r="IJ239" s="1058"/>
      <c r="IK239" s="1058"/>
      <c r="IL239" s="1058"/>
      <c r="IM239" s="1058"/>
      <c r="IN239" s="1058"/>
      <c r="IO239" s="1058"/>
      <c r="IP239" s="1058"/>
      <c r="IQ239" s="1058"/>
      <c r="IR239" s="1058"/>
      <c r="IS239" s="1058"/>
      <c r="IT239" s="1058"/>
      <c r="IU239" s="1058"/>
      <c r="IV239" s="1058"/>
      <c r="IW239" s="1058"/>
      <c r="IX239" s="1058"/>
      <c r="IY239" s="1058"/>
      <c r="IZ239" s="1058"/>
      <c r="JA239" s="1058"/>
      <c r="JB239" s="1058"/>
      <c r="JC239" s="1058"/>
      <c r="JD239" s="1058"/>
      <c r="JE239" s="1058"/>
      <c r="JF239" s="1058"/>
      <c r="JG239" s="1058"/>
      <c r="JH239" s="1058"/>
      <c r="JI239" s="1058"/>
      <c r="JJ239" s="1058"/>
      <c r="JK239" s="1058"/>
      <c r="JL239" s="1058"/>
      <c r="JM239" s="1058"/>
      <c r="JN239" s="1058"/>
      <c r="JO239" s="1058"/>
      <c r="JP239" s="1058"/>
      <c r="JQ239" s="1058"/>
      <c r="JR239" s="1058"/>
      <c r="JS239" s="1058"/>
      <c r="JT239" s="1058"/>
      <c r="JU239" s="1058"/>
      <c r="JV239" s="1059"/>
      <c r="JW239" s="1058"/>
      <c r="JX239" s="1058"/>
      <c r="JY239" s="1058"/>
      <c r="JZ239" s="1058"/>
      <c r="KA239" s="1059"/>
      <c r="KB239" s="1059"/>
      <c r="KC239" s="1059"/>
      <c r="KD239" s="1059"/>
      <c r="KE239" s="1059"/>
      <c r="KF239" s="1059"/>
      <c r="KG239" s="1059"/>
      <c r="KH239" s="1059"/>
      <c r="KI239" s="1059"/>
      <c r="KJ239" s="1059"/>
      <c r="KK239" s="1059"/>
      <c r="KL239" s="1059"/>
      <c r="KM239" s="1059"/>
      <c r="KN239" s="1059"/>
      <c r="KO239" s="1059"/>
      <c r="KP239" s="1059"/>
      <c r="KQ239" s="1059"/>
      <c r="KR239" s="1059"/>
      <c r="KS239" s="1059"/>
      <c r="KT239" s="1059"/>
      <c r="KU239" s="1059"/>
      <c r="KV239" s="1059"/>
      <c r="KW239" s="1059"/>
      <c r="KX239" s="1059"/>
      <c r="KY239" s="1059"/>
      <c r="KZ239" s="1059"/>
      <c r="LA239" s="1059"/>
      <c r="LB239" s="1059"/>
      <c r="LC239" s="1059"/>
      <c r="LD239" s="1059"/>
      <c r="LE239" s="1059"/>
      <c r="LF239" s="1059"/>
      <c r="LG239" s="1058"/>
      <c r="LH239" s="1058"/>
      <c r="LI239" s="1058"/>
      <c r="LJ239" s="1058"/>
      <c r="LK239" s="1058"/>
      <c r="LL239" s="1058"/>
      <c r="LM239" s="1060"/>
      <c r="LN239" s="1058"/>
      <c r="LO239" s="1058"/>
      <c r="LP239" s="1058"/>
      <c r="LQ239" s="1058"/>
      <c r="LR239" s="1058"/>
      <c r="LS239" s="1058"/>
      <c r="LT239" s="1058"/>
      <c r="LU239" s="1058"/>
      <c r="LV239" s="1058"/>
      <c r="LW239" s="1058"/>
      <c r="LX239" s="1058"/>
      <c r="LY239" s="1058"/>
      <c r="LZ239" s="1058"/>
      <c r="MA239" s="1058"/>
      <c r="MB239" s="1058"/>
      <c r="MC239" s="1060"/>
      <c r="MD239" s="1060"/>
      <c r="ME239" s="1058"/>
      <c r="MF239" s="1058"/>
      <c r="MG239" s="1058"/>
      <c r="MH239" s="1058"/>
      <c r="MI239" s="1058"/>
      <c r="MJ239" s="1058"/>
      <c r="MK239" s="1058"/>
      <c r="ML239" s="1058"/>
      <c r="MM239" s="1058"/>
      <c r="MN239" s="1058"/>
      <c r="MO239" s="1058"/>
      <c r="MP239" s="1058"/>
      <c r="MQ239" s="1058"/>
      <c r="MR239" s="1058"/>
      <c r="MS239" s="1058"/>
      <c r="MT239" s="1058"/>
      <c r="MU239" s="1058"/>
      <c r="MV239" s="1058"/>
      <c r="MW239" s="1058"/>
      <c r="MX239" s="1058"/>
      <c r="MY239" s="1058"/>
      <c r="MZ239" s="1058"/>
      <c r="NA239" s="1058"/>
      <c r="NB239" s="1058"/>
      <c r="NC239" s="1058"/>
      <c r="ND239" s="1058"/>
      <c r="NE239" s="1058"/>
      <c r="NF239" s="1058"/>
      <c r="NG239" s="1058"/>
      <c r="NH239" s="1058"/>
      <c r="NI239" s="1058"/>
      <c r="NJ239" s="1058"/>
      <c r="NK239" s="1058"/>
      <c r="NL239" s="1058"/>
      <c r="NM239" s="1058"/>
      <c r="NN239" s="1058"/>
      <c r="NO239" s="1058"/>
      <c r="NP239" s="1058"/>
      <c r="NQ239" s="1058"/>
      <c r="NR239" s="1058"/>
      <c r="NS239" s="1058"/>
      <c r="NT239" s="1058"/>
      <c r="NU239" s="1058"/>
      <c r="NV239" s="1058"/>
      <c r="NW239" s="1058"/>
      <c r="NX239" s="1058"/>
      <c r="NY239" s="1058"/>
      <c r="NZ239" s="1058"/>
      <c r="OA239" s="1058"/>
      <c r="OB239" s="1058"/>
      <c r="OC239" s="1058"/>
      <c r="OD239" s="1018"/>
      <c r="OE239" s="1018"/>
      <c r="OF239" s="1018"/>
      <c r="OG239" s="1018"/>
      <c r="OH239" s="1018"/>
      <c r="OI239" s="1018"/>
      <c r="OJ239" s="1018"/>
      <c r="OK239" s="1018"/>
      <c r="OL239" s="1018"/>
      <c r="OM239" s="1018"/>
      <c r="ON239" s="1018"/>
      <c r="OO239" s="1018"/>
      <c r="OP239" s="1018"/>
      <c r="OQ239" s="1018"/>
      <c r="OR239" s="1018"/>
      <c r="OS239" s="1018"/>
      <c r="OT239" s="1018"/>
      <c r="OU239" s="1018"/>
      <c r="OV239" s="1018"/>
      <c r="OW239" s="1018"/>
      <c r="OX239" s="1018"/>
      <c r="OY239" s="1018"/>
      <c r="OZ239" s="1018"/>
      <c r="PA239" s="1018"/>
      <c r="PB239" s="1018"/>
      <c r="PC239" s="1018"/>
      <c r="PD239" s="1018"/>
      <c r="PE239" s="1018"/>
      <c r="PF239" s="1018"/>
      <c r="PG239" s="1018"/>
      <c r="PH239" s="1018"/>
      <c r="PI239" s="1018"/>
      <c r="PJ239" s="1018"/>
      <c r="PK239" s="1018"/>
      <c r="PL239" s="1018"/>
      <c r="PM239" s="1018"/>
      <c r="PN239" s="1018"/>
      <c r="PO239" s="1018"/>
      <c r="PP239" s="1018"/>
      <c r="PQ239" s="1018"/>
      <c r="PR239" s="1018"/>
      <c r="PS239" s="1018"/>
      <c r="PT239" s="1018"/>
      <c r="PU239" s="1018"/>
      <c r="PV239" s="1018"/>
      <c r="PW239" s="1018"/>
      <c r="PX239" s="1018"/>
      <c r="PY239" s="1018"/>
      <c r="PZ239" s="1018"/>
      <c r="QA239" s="1018"/>
      <c r="QB239" s="1018"/>
      <c r="QC239" s="1018"/>
      <c r="QD239" s="1018"/>
      <c r="QE239" s="1018"/>
      <c r="QF239" s="1018"/>
      <c r="QG239" s="1018"/>
      <c r="QH239" s="1018"/>
      <c r="QI239" s="1018"/>
      <c r="QJ239" s="1018"/>
      <c r="QK239" s="1018"/>
      <c r="QL239" s="1018"/>
      <c r="QM239" s="1018"/>
      <c r="QN239" s="1018"/>
      <c r="QO239" s="1018"/>
      <c r="QP239" s="1018"/>
      <c r="QQ239" s="1018"/>
      <c r="QR239" s="1018"/>
      <c r="QS239" s="1018"/>
      <c r="QT239" s="1018"/>
      <c r="QU239" s="1018"/>
      <c r="QV239" s="1018"/>
      <c r="QW239" s="1018"/>
      <c r="QX239" s="1018"/>
      <c r="QY239" s="1018"/>
      <c r="QZ239" s="1018"/>
      <c r="RA239" s="1018"/>
      <c r="RB239" s="1018"/>
      <c r="RC239" s="1018"/>
      <c r="RD239" s="1018"/>
      <c r="RE239" s="1018"/>
      <c r="RF239" s="1018"/>
      <c r="RG239" s="1018"/>
      <c r="RH239" s="1018"/>
      <c r="RI239" s="1018"/>
      <c r="RJ239" s="1018"/>
      <c r="RK239" s="1018"/>
      <c r="RL239" s="1018"/>
      <c r="RM239" s="1018"/>
      <c r="RN239" s="1018"/>
      <c r="RO239" s="1018"/>
      <c r="RP239" s="1018"/>
      <c r="RQ239" s="1018"/>
      <c r="RR239" s="1018"/>
      <c r="RS239" s="1018"/>
      <c r="RT239" s="1018"/>
      <c r="RU239" s="1018"/>
      <c r="RV239" s="1018"/>
      <c r="RW239" s="1018"/>
      <c r="RX239" s="1018"/>
    </row>
    <row r="240" spans="1:492" s="1057" customFormat="1" ht="15.6" customHeight="1" thickTop="1">
      <c r="A240" s="1018"/>
      <c r="B240" s="1013"/>
      <c r="C240" s="1290" t="s">
        <v>171</v>
      </c>
      <c r="D240" s="1018"/>
      <c r="E240" s="1018"/>
      <c r="F240" s="2309">
        <f>SUM(F232:G239)</f>
        <v>0</v>
      </c>
      <c r="G240" s="2310"/>
      <c r="H240" s="1018"/>
      <c r="I240" s="1018"/>
      <c r="J240" s="1293"/>
      <c r="K240" s="1018"/>
      <c r="L240" s="1018"/>
      <c r="M240" s="1018"/>
      <c r="N240" s="1319" t="s">
        <v>2360</v>
      </c>
      <c r="O240" s="1320">
        <f>SUM(ME48:MI48)+SUM(MJ48:MN48)+SUM(MO48:MS48)+O124</f>
        <v>0</v>
      </c>
      <c r="P240" s="1321">
        <f>SUM(P236:P239)</f>
        <v>0</v>
      </c>
      <c r="Q240" s="1316"/>
      <c r="R240" s="2311"/>
      <c r="S240" s="2312"/>
      <c r="T240" s="2312"/>
      <c r="U240" s="2312"/>
      <c r="V240" s="2313"/>
      <c r="W240" s="1064"/>
      <c r="X240" s="1058"/>
      <c r="Y240" s="1058"/>
      <c r="Z240" s="1058"/>
      <c r="AA240" s="1058"/>
      <c r="AB240" s="1064"/>
      <c r="AC240" s="1058"/>
      <c r="AD240" s="1058"/>
      <c r="AE240" s="1058"/>
      <c r="AF240" s="1058"/>
      <c r="AG240" s="1064"/>
      <c r="AH240" s="1058"/>
      <c r="AI240" s="1058"/>
      <c r="AJ240" s="1058"/>
      <c r="AK240" s="1058"/>
      <c r="AL240" s="1064"/>
      <c r="AM240" s="1058"/>
      <c r="AN240" s="1058"/>
      <c r="AO240" s="1058"/>
      <c r="AP240" s="1058"/>
      <c r="AQ240" s="1058"/>
      <c r="AR240" s="1058"/>
      <c r="AS240" s="1058"/>
      <c r="AT240" s="1058"/>
      <c r="AU240" s="1058"/>
      <c r="AV240" s="1058"/>
      <c r="AW240" s="1058"/>
      <c r="AX240" s="1058"/>
      <c r="AY240" s="1058"/>
      <c r="AZ240" s="1058"/>
      <c r="BA240" s="1058"/>
      <c r="BB240" s="1058"/>
      <c r="BC240" s="1058"/>
      <c r="BD240" s="1058"/>
      <c r="BE240" s="1058"/>
      <c r="BF240" s="1058"/>
      <c r="BG240" s="1058"/>
      <c r="BH240" s="1058"/>
      <c r="BI240" s="1058"/>
      <c r="BJ240" s="1058"/>
      <c r="BK240" s="1058"/>
      <c r="BL240" s="1058"/>
      <c r="BM240" s="1058"/>
      <c r="BN240" s="1058"/>
      <c r="BO240" s="1058"/>
      <c r="BP240" s="1058"/>
      <c r="BQ240" s="1058"/>
      <c r="BR240" s="1058"/>
      <c r="BS240" s="1058"/>
      <c r="BT240" s="1058"/>
      <c r="BU240" s="1058"/>
      <c r="BV240" s="1058"/>
      <c r="BW240" s="1058"/>
      <c r="BX240" s="1058"/>
      <c r="BY240" s="1058"/>
      <c r="BZ240" s="1058"/>
      <c r="CA240" s="1058"/>
      <c r="CB240" s="1058"/>
      <c r="CC240" s="1058"/>
      <c r="CD240" s="1058"/>
      <c r="CE240" s="1058"/>
      <c r="CF240" s="1058"/>
      <c r="CG240" s="1058"/>
      <c r="CH240" s="1058"/>
      <c r="CI240" s="1058"/>
      <c r="CJ240" s="1058"/>
      <c r="CK240" s="1058"/>
      <c r="CL240" s="1058"/>
      <c r="CM240" s="1058"/>
      <c r="CN240" s="1058"/>
      <c r="CO240" s="1058"/>
      <c r="CP240" s="1058"/>
      <c r="CQ240" s="1058"/>
      <c r="CR240" s="1058"/>
      <c r="CS240" s="1058"/>
      <c r="CT240" s="1058"/>
      <c r="CU240" s="1058"/>
      <c r="CV240" s="1058"/>
      <c r="CW240" s="1058"/>
      <c r="CX240" s="1058"/>
      <c r="CY240" s="1058"/>
      <c r="CZ240" s="1058"/>
      <c r="DA240" s="1058"/>
      <c r="DB240" s="1058"/>
      <c r="DC240" s="1058"/>
      <c r="DD240" s="1058"/>
      <c r="DE240" s="1058"/>
      <c r="DF240" s="1058"/>
      <c r="DG240" s="1058"/>
      <c r="DH240" s="1058"/>
      <c r="DI240" s="1058"/>
      <c r="DJ240" s="1058"/>
      <c r="DK240" s="1058"/>
      <c r="DL240" s="1058"/>
      <c r="DM240" s="1058"/>
      <c r="DN240" s="1058"/>
      <c r="DO240" s="1058"/>
      <c r="DP240" s="1058"/>
      <c r="DQ240" s="1058"/>
      <c r="DR240" s="1058"/>
      <c r="DS240" s="1058"/>
      <c r="DT240" s="1058"/>
      <c r="DU240" s="1058"/>
      <c r="DV240" s="1058"/>
      <c r="DW240" s="1058"/>
      <c r="DX240" s="1058"/>
      <c r="DY240" s="1058"/>
      <c r="DZ240" s="1058"/>
      <c r="EA240" s="1058"/>
      <c r="EB240" s="1058"/>
      <c r="EC240" s="1058"/>
      <c r="ED240" s="1058"/>
      <c r="EE240" s="1058"/>
      <c r="EF240" s="1058"/>
      <c r="EG240" s="1058"/>
      <c r="EH240" s="1058"/>
      <c r="EI240" s="1058"/>
      <c r="EJ240" s="1058"/>
      <c r="EK240" s="1058"/>
      <c r="EL240" s="1058"/>
      <c r="EM240" s="1058"/>
      <c r="EN240" s="1058"/>
      <c r="EO240" s="1058"/>
      <c r="EP240" s="1058"/>
      <c r="EQ240" s="1058"/>
      <c r="ER240" s="1058"/>
      <c r="ES240" s="1058"/>
      <c r="ET240" s="1058"/>
      <c r="EU240" s="1058"/>
      <c r="EV240" s="1058"/>
      <c r="EW240" s="1058"/>
      <c r="EX240" s="1058"/>
      <c r="EY240" s="1058"/>
      <c r="EZ240" s="1058"/>
      <c r="FA240" s="1058"/>
      <c r="FB240" s="1058"/>
      <c r="FC240" s="1058"/>
      <c r="FD240" s="1058"/>
      <c r="FE240" s="1058"/>
      <c r="FF240" s="1058"/>
      <c r="FG240" s="1058"/>
      <c r="FH240" s="1058"/>
      <c r="FI240" s="1058"/>
      <c r="FJ240" s="1058"/>
      <c r="FK240" s="1058"/>
      <c r="FL240" s="1058"/>
      <c r="FM240" s="1058"/>
      <c r="FN240" s="1058"/>
      <c r="FO240" s="1058"/>
      <c r="FP240" s="1058"/>
      <c r="FQ240" s="1058"/>
      <c r="FR240" s="1058"/>
      <c r="FS240" s="1058"/>
      <c r="FT240" s="1058"/>
      <c r="FU240" s="1058"/>
      <c r="FV240" s="1058"/>
      <c r="FW240" s="1058"/>
      <c r="FX240" s="1058"/>
      <c r="FY240" s="1058"/>
      <c r="FZ240" s="1058"/>
      <c r="GA240" s="1058"/>
      <c r="GB240" s="1058"/>
      <c r="GC240" s="1058"/>
      <c r="GD240" s="1058"/>
      <c r="GE240" s="1058"/>
      <c r="GF240" s="1058"/>
      <c r="GG240" s="1058"/>
      <c r="GH240" s="1058"/>
      <c r="GI240" s="1058"/>
      <c r="GJ240" s="1058"/>
      <c r="GK240" s="1058"/>
      <c r="GL240" s="1058"/>
      <c r="GM240" s="1058"/>
      <c r="GN240" s="1058"/>
      <c r="GO240" s="1058"/>
      <c r="GP240" s="1058"/>
      <c r="GQ240" s="1058"/>
      <c r="GR240" s="1058"/>
      <c r="GS240" s="1058"/>
      <c r="GT240" s="1058"/>
      <c r="GU240" s="1058"/>
      <c r="GV240" s="1058"/>
      <c r="GW240" s="1058"/>
      <c r="GX240" s="1058"/>
      <c r="GY240" s="1058"/>
      <c r="GZ240" s="1058"/>
      <c r="HA240" s="1058"/>
      <c r="HB240" s="1058"/>
      <c r="HC240" s="1058"/>
      <c r="HD240" s="1058"/>
      <c r="HE240" s="1058"/>
      <c r="HF240" s="1058"/>
      <c r="HG240" s="1058"/>
      <c r="HH240" s="1058"/>
      <c r="HI240" s="1058"/>
      <c r="HJ240" s="1058"/>
      <c r="HK240" s="1058"/>
      <c r="HL240" s="1058"/>
      <c r="HM240" s="1058"/>
      <c r="HN240" s="1058"/>
      <c r="HO240" s="1058"/>
      <c r="HP240" s="1058"/>
      <c r="HQ240" s="1058"/>
      <c r="HR240" s="1058"/>
      <c r="HS240" s="1058"/>
      <c r="HT240" s="1058"/>
      <c r="HU240" s="1058"/>
      <c r="HV240" s="1058"/>
      <c r="HW240" s="1058"/>
      <c r="HX240" s="1058"/>
      <c r="HY240" s="1058"/>
      <c r="HZ240" s="1058"/>
      <c r="IA240" s="1058"/>
      <c r="IB240" s="1058"/>
      <c r="IC240" s="1058"/>
      <c r="ID240" s="1058"/>
      <c r="IE240" s="1058"/>
      <c r="IF240" s="1058"/>
      <c r="IG240" s="1058"/>
      <c r="IH240" s="1058"/>
      <c r="II240" s="1058"/>
      <c r="IJ240" s="1058"/>
      <c r="IK240" s="1058"/>
      <c r="IL240" s="1058"/>
      <c r="IM240" s="1058"/>
      <c r="IN240" s="1058"/>
      <c r="IO240" s="1058"/>
      <c r="IP240" s="1058"/>
      <c r="IQ240" s="1058"/>
      <c r="IR240" s="1058"/>
      <c r="IS240" s="1058"/>
      <c r="IT240" s="1058"/>
      <c r="IU240" s="1058"/>
      <c r="IV240" s="1058"/>
      <c r="IW240" s="1058"/>
      <c r="IX240" s="1058"/>
      <c r="IY240" s="1058"/>
      <c r="IZ240" s="1058"/>
      <c r="JA240" s="1058"/>
      <c r="JB240" s="1058"/>
      <c r="JC240" s="1058"/>
      <c r="JD240" s="1058"/>
      <c r="JE240" s="1058"/>
      <c r="JF240" s="1058"/>
      <c r="JG240" s="1058"/>
      <c r="JH240" s="1058"/>
      <c r="JI240" s="1058"/>
      <c r="JJ240" s="1058"/>
      <c r="JK240" s="1058"/>
      <c r="JL240" s="1058"/>
      <c r="JM240" s="1058"/>
      <c r="JN240" s="1058"/>
      <c r="JO240" s="1058"/>
      <c r="JP240" s="1058"/>
      <c r="JQ240" s="1058"/>
      <c r="JR240" s="1058"/>
      <c r="JS240" s="1058"/>
      <c r="JT240" s="1058"/>
      <c r="JU240" s="1058"/>
      <c r="JV240" s="1059"/>
      <c r="JW240" s="1058"/>
      <c r="JX240" s="1058"/>
      <c r="JY240" s="1058"/>
      <c r="JZ240" s="1058"/>
      <c r="KA240" s="1059"/>
      <c r="KB240" s="1059"/>
      <c r="KC240" s="1059"/>
      <c r="KD240" s="1059"/>
      <c r="KE240" s="1059"/>
      <c r="KF240" s="1059"/>
      <c r="KG240" s="1059"/>
      <c r="KH240" s="1059"/>
      <c r="KI240" s="1059"/>
      <c r="KJ240" s="1059"/>
      <c r="KK240" s="1059"/>
      <c r="KL240" s="1059"/>
      <c r="KM240" s="1059"/>
      <c r="KN240" s="1059"/>
      <c r="KO240" s="1059"/>
      <c r="KP240" s="1059"/>
      <c r="KQ240" s="1059"/>
      <c r="KR240" s="1059"/>
      <c r="KS240" s="1059"/>
      <c r="KT240" s="1059"/>
      <c r="KU240" s="1059"/>
      <c r="KV240" s="1059"/>
      <c r="KW240" s="1059"/>
      <c r="KX240" s="1059"/>
      <c r="KY240" s="1059"/>
      <c r="KZ240" s="1059"/>
      <c r="LA240" s="1059"/>
      <c r="LB240" s="1059"/>
      <c r="LC240" s="1059"/>
      <c r="LD240" s="1059"/>
      <c r="LE240" s="1059"/>
      <c r="LF240" s="1059"/>
      <c r="LG240" s="1058"/>
      <c r="LH240" s="1058"/>
      <c r="LI240" s="1058"/>
      <c r="LJ240" s="1058"/>
      <c r="LK240" s="1058"/>
      <c r="LL240" s="1058"/>
      <c r="LM240" s="1060"/>
      <c r="LN240" s="1058"/>
      <c r="LO240" s="1058"/>
      <c r="LP240" s="1058"/>
      <c r="LQ240" s="1058"/>
      <c r="LR240" s="1058"/>
      <c r="LS240" s="1058"/>
      <c r="LT240" s="1058"/>
      <c r="LU240" s="1058"/>
      <c r="LV240" s="1058"/>
      <c r="LW240" s="1058"/>
      <c r="LX240" s="1058"/>
      <c r="LY240" s="1058"/>
      <c r="LZ240" s="1058"/>
      <c r="MA240" s="1058"/>
      <c r="MB240" s="1058"/>
      <c r="MC240" s="1060"/>
      <c r="MD240" s="1060"/>
      <c r="ME240" s="1058"/>
      <c r="MF240" s="1058"/>
      <c r="MG240" s="1058"/>
      <c r="MH240" s="1058"/>
      <c r="MI240" s="1058"/>
      <c r="MJ240" s="1058"/>
      <c r="MK240" s="1058"/>
      <c r="ML240" s="1058"/>
      <c r="MM240" s="1058"/>
      <c r="MN240" s="1058"/>
      <c r="MO240" s="1058"/>
      <c r="MP240" s="1058"/>
      <c r="MQ240" s="1058"/>
      <c r="MR240" s="1058"/>
      <c r="MS240" s="1058"/>
      <c r="MT240" s="1058"/>
      <c r="MU240" s="1058"/>
      <c r="MV240" s="1058"/>
      <c r="MW240" s="1058"/>
      <c r="MX240" s="1058"/>
      <c r="MY240" s="1058"/>
      <c r="MZ240" s="1058"/>
      <c r="NA240" s="1058"/>
      <c r="NB240" s="1058"/>
      <c r="NC240" s="1058"/>
      <c r="ND240" s="1058"/>
      <c r="NE240" s="1058"/>
      <c r="NF240" s="1058"/>
      <c r="NG240" s="1058"/>
      <c r="NH240" s="1058"/>
      <c r="NI240" s="1058"/>
      <c r="NJ240" s="1058"/>
      <c r="NK240" s="1058"/>
      <c r="NL240" s="1058"/>
      <c r="NM240" s="1058"/>
      <c r="NN240" s="1058"/>
      <c r="NO240" s="1058"/>
      <c r="NP240" s="1058"/>
      <c r="NQ240" s="1058"/>
      <c r="NR240" s="1058"/>
      <c r="NS240" s="1058"/>
      <c r="NT240" s="1058"/>
      <c r="NU240" s="1058"/>
      <c r="NV240" s="1058"/>
      <c r="NW240" s="1058"/>
      <c r="NX240" s="1058"/>
      <c r="NY240" s="1058"/>
      <c r="NZ240" s="1058"/>
      <c r="OA240" s="1058"/>
      <c r="OB240" s="1058"/>
      <c r="OC240" s="1058"/>
      <c r="OD240" s="1018"/>
      <c r="OE240" s="1018"/>
      <c r="OF240" s="1018"/>
      <c r="OG240" s="1018"/>
      <c r="OH240" s="1018"/>
      <c r="OI240" s="1018"/>
      <c r="OJ240" s="1018"/>
      <c r="OK240" s="1018"/>
      <c r="OL240" s="1018"/>
      <c r="OM240" s="1018"/>
      <c r="ON240" s="1018"/>
      <c r="OO240" s="1018"/>
      <c r="OP240" s="1018"/>
      <c r="OQ240" s="1018"/>
      <c r="OR240" s="1018"/>
      <c r="OS240" s="1018"/>
      <c r="OT240" s="1018"/>
      <c r="OU240" s="1018"/>
      <c r="OV240" s="1018"/>
      <c r="OW240" s="1018"/>
      <c r="OX240" s="1018"/>
      <c r="OY240" s="1018"/>
      <c r="OZ240" s="1018"/>
      <c r="PA240" s="1018"/>
      <c r="PB240" s="1018"/>
      <c r="PC240" s="1018"/>
      <c r="PD240" s="1018"/>
      <c r="PE240" s="1018"/>
      <c r="PF240" s="1018"/>
      <c r="PG240" s="1018"/>
      <c r="PH240" s="1018"/>
      <c r="PI240" s="1018"/>
      <c r="PJ240" s="1018"/>
      <c r="PK240" s="1018"/>
      <c r="PL240" s="1018"/>
      <c r="PM240" s="1018"/>
      <c r="PN240" s="1018"/>
      <c r="PO240" s="1018"/>
      <c r="PP240" s="1018"/>
      <c r="PQ240" s="1018"/>
      <c r="PR240" s="1018"/>
      <c r="PS240" s="1018"/>
      <c r="PT240" s="1018"/>
      <c r="PU240" s="1018"/>
      <c r="PV240" s="1018"/>
      <c r="PW240" s="1018"/>
      <c r="PX240" s="1018"/>
      <c r="PY240" s="1018"/>
      <c r="PZ240" s="1018"/>
      <c r="QA240" s="1018"/>
      <c r="QB240" s="1018"/>
      <c r="QC240" s="1018"/>
      <c r="QD240" s="1018"/>
      <c r="QE240" s="1018"/>
      <c r="QF240" s="1018"/>
      <c r="QG240" s="1018"/>
      <c r="QH240" s="1018"/>
      <c r="QI240" s="1018"/>
      <c r="QJ240" s="1018"/>
      <c r="QK240" s="1018"/>
      <c r="QL240" s="1018"/>
      <c r="QM240" s="1018"/>
      <c r="QN240" s="1018"/>
      <c r="QO240" s="1018"/>
      <c r="QP240" s="1018"/>
      <c r="QQ240" s="1018"/>
      <c r="QR240" s="1018"/>
      <c r="QS240" s="1018"/>
      <c r="QT240" s="1018"/>
      <c r="QU240" s="1018"/>
      <c r="QV240" s="1018"/>
      <c r="QW240" s="1018"/>
      <c r="QX240" s="1018"/>
      <c r="QY240" s="1018"/>
      <c r="QZ240" s="1018"/>
      <c r="RA240" s="1018"/>
      <c r="RB240" s="1018"/>
      <c r="RC240" s="1018"/>
      <c r="RD240" s="1018"/>
      <c r="RE240" s="1018"/>
      <c r="RF240" s="1018"/>
      <c r="RG240" s="1018"/>
      <c r="RH240" s="1018"/>
      <c r="RI240" s="1018"/>
      <c r="RJ240" s="1018"/>
      <c r="RK240" s="1018"/>
      <c r="RL240" s="1018"/>
      <c r="RM240" s="1018"/>
      <c r="RN240" s="1018"/>
      <c r="RO240" s="1018"/>
      <c r="RP240" s="1018"/>
      <c r="RQ240" s="1018"/>
      <c r="RR240" s="1018"/>
      <c r="RS240" s="1018"/>
      <c r="RT240" s="1018"/>
      <c r="RU240" s="1018"/>
      <c r="RV240" s="1018"/>
      <c r="RW240" s="1018"/>
      <c r="RX240" s="1018"/>
    </row>
    <row r="241" spans="1:492" s="1057" customFormat="1" ht="6" customHeight="1" thickBot="1">
      <c r="A241" s="1018"/>
      <c r="B241" s="1013"/>
      <c r="C241" s="1290"/>
      <c r="D241" s="1018"/>
      <c r="E241" s="1018"/>
      <c r="F241" s="1293"/>
      <c r="G241" s="1293"/>
      <c r="H241" s="1018"/>
      <c r="I241" s="1018"/>
      <c r="J241" s="1293"/>
      <c r="K241" s="1018"/>
      <c r="L241" s="1018"/>
      <c r="M241" s="1018"/>
      <c r="W241" s="1064"/>
      <c r="X241" s="1058"/>
      <c r="Y241" s="1058"/>
      <c r="Z241" s="1058"/>
      <c r="AA241" s="1058"/>
      <c r="AB241" s="1064"/>
      <c r="AC241" s="1058"/>
      <c r="AD241" s="1058"/>
      <c r="AE241" s="1058"/>
      <c r="AF241" s="1058"/>
      <c r="AG241" s="1064"/>
      <c r="AH241" s="1058"/>
      <c r="AI241" s="1058"/>
      <c r="AJ241" s="1058"/>
      <c r="AK241" s="1058"/>
      <c r="AL241" s="1064"/>
      <c r="AM241" s="1058"/>
      <c r="AN241" s="1058"/>
      <c r="AO241" s="1058"/>
      <c r="AP241" s="1058"/>
      <c r="AQ241" s="1058"/>
      <c r="AR241" s="1058"/>
      <c r="AS241" s="1058"/>
      <c r="AT241" s="1058"/>
      <c r="AU241" s="1058"/>
      <c r="AV241" s="1058"/>
      <c r="AW241" s="1058"/>
      <c r="AX241" s="1058"/>
      <c r="AY241" s="1058"/>
      <c r="AZ241" s="1058"/>
      <c r="BA241" s="1058"/>
      <c r="BB241" s="1058"/>
      <c r="BC241" s="1058"/>
      <c r="BD241" s="1058"/>
      <c r="BE241" s="1058"/>
      <c r="BF241" s="1058"/>
      <c r="BG241" s="1058"/>
      <c r="BH241" s="1058"/>
      <c r="BI241" s="1058"/>
      <c r="BJ241" s="1058"/>
      <c r="BK241" s="1058"/>
      <c r="BL241" s="1058"/>
      <c r="BM241" s="1058"/>
      <c r="BN241" s="1058"/>
      <c r="BO241" s="1058"/>
      <c r="BP241" s="1058"/>
      <c r="BQ241" s="1058"/>
      <c r="BR241" s="1058"/>
      <c r="BS241" s="1058"/>
      <c r="BT241" s="1058"/>
      <c r="BU241" s="1058"/>
      <c r="BV241" s="1058"/>
      <c r="BW241" s="1058"/>
      <c r="BX241" s="1058"/>
      <c r="BY241" s="1058"/>
      <c r="BZ241" s="1058"/>
      <c r="CA241" s="1058"/>
      <c r="CB241" s="1058"/>
      <c r="CC241" s="1058"/>
      <c r="CD241" s="1058"/>
      <c r="CE241" s="1058"/>
      <c r="CF241" s="1058"/>
      <c r="CG241" s="1058"/>
      <c r="CH241" s="1058"/>
      <c r="CI241" s="1058"/>
      <c r="CJ241" s="1058"/>
      <c r="CK241" s="1058"/>
      <c r="CL241" s="1058"/>
      <c r="CM241" s="1058"/>
      <c r="CN241" s="1058"/>
      <c r="CO241" s="1058"/>
      <c r="CP241" s="1058"/>
      <c r="CQ241" s="1058"/>
      <c r="CR241" s="1058"/>
      <c r="CS241" s="1058"/>
      <c r="CT241" s="1058"/>
      <c r="CU241" s="1058"/>
      <c r="CV241" s="1058"/>
      <c r="CW241" s="1058"/>
      <c r="CX241" s="1058"/>
      <c r="CY241" s="1058"/>
      <c r="CZ241" s="1058"/>
      <c r="DA241" s="1058"/>
      <c r="DB241" s="1058"/>
      <c r="DC241" s="1058"/>
      <c r="DD241" s="1058"/>
      <c r="DE241" s="1058"/>
      <c r="DF241" s="1058"/>
      <c r="DG241" s="1058"/>
      <c r="DH241" s="1058"/>
      <c r="DI241" s="1058"/>
      <c r="DJ241" s="1058"/>
      <c r="DK241" s="1058"/>
      <c r="DL241" s="1058"/>
      <c r="DM241" s="1058"/>
      <c r="DN241" s="1058"/>
      <c r="DO241" s="1058"/>
      <c r="DP241" s="1058"/>
      <c r="DQ241" s="1058"/>
      <c r="DR241" s="1058"/>
      <c r="DS241" s="1058"/>
      <c r="DT241" s="1058"/>
      <c r="DU241" s="1058"/>
      <c r="DV241" s="1058"/>
      <c r="DW241" s="1058"/>
      <c r="DX241" s="1058"/>
      <c r="DY241" s="1058"/>
      <c r="DZ241" s="1058"/>
      <c r="EA241" s="1058"/>
      <c r="EB241" s="1058"/>
      <c r="EC241" s="1058"/>
      <c r="ED241" s="1058"/>
      <c r="EE241" s="1058"/>
      <c r="EF241" s="1058"/>
      <c r="EG241" s="1058"/>
      <c r="EH241" s="1058"/>
      <c r="EI241" s="1058"/>
      <c r="EJ241" s="1058"/>
      <c r="EK241" s="1058"/>
      <c r="EL241" s="1058"/>
      <c r="EM241" s="1058"/>
      <c r="EN241" s="1058"/>
      <c r="EO241" s="1058"/>
      <c r="EP241" s="1058"/>
      <c r="EQ241" s="1058"/>
      <c r="ER241" s="1058"/>
      <c r="ES241" s="1058"/>
      <c r="ET241" s="1058"/>
      <c r="EU241" s="1058"/>
      <c r="EV241" s="1058"/>
      <c r="EW241" s="1058"/>
      <c r="EX241" s="1058"/>
      <c r="EY241" s="1058"/>
      <c r="EZ241" s="1058"/>
      <c r="FA241" s="1058"/>
      <c r="FB241" s="1058"/>
      <c r="FC241" s="1058"/>
      <c r="FD241" s="1058"/>
      <c r="FE241" s="1058"/>
      <c r="FF241" s="1058"/>
      <c r="FG241" s="1058"/>
      <c r="FH241" s="1058"/>
      <c r="FI241" s="1058"/>
      <c r="FJ241" s="1058"/>
      <c r="FK241" s="1058"/>
      <c r="FL241" s="1058"/>
      <c r="FM241" s="1058"/>
      <c r="FN241" s="1058"/>
      <c r="FO241" s="1058"/>
      <c r="FP241" s="1058"/>
      <c r="FQ241" s="1058"/>
      <c r="FR241" s="1058"/>
      <c r="FS241" s="1058"/>
      <c r="FT241" s="1058"/>
      <c r="FU241" s="1058"/>
      <c r="FV241" s="1058"/>
      <c r="FW241" s="1058"/>
      <c r="FX241" s="1058"/>
      <c r="FY241" s="1058"/>
      <c r="FZ241" s="1058"/>
      <c r="GA241" s="1058"/>
      <c r="GB241" s="1058"/>
      <c r="GC241" s="1058"/>
      <c r="GD241" s="1058"/>
      <c r="GE241" s="1058"/>
      <c r="GF241" s="1058"/>
      <c r="GG241" s="1058"/>
      <c r="GH241" s="1058"/>
      <c r="GI241" s="1058"/>
      <c r="GJ241" s="1058"/>
      <c r="GK241" s="1058"/>
      <c r="GL241" s="1058"/>
      <c r="GM241" s="1058"/>
      <c r="GN241" s="1058"/>
      <c r="GO241" s="1058"/>
      <c r="GP241" s="1058"/>
      <c r="GQ241" s="1058"/>
      <c r="GR241" s="1058"/>
      <c r="GS241" s="1058"/>
      <c r="GT241" s="1058"/>
      <c r="GU241" s="1058"/>
      <c r="GV241" s="1058"/>
      <c r="GW241" s="1058"/>
      <c r="GX241" s="1058"/>
      <c r="GY241" s="1058"/>
      <c r="GZ241" s="1058"/>
      <c r="HA241" s="1058"/>
      <c r="HB241" s="1058"/>
      <c r="HC241" s="1058"/>
      <c r="HD241" s="1058"/>
      <c r="HE241" s="1058"/>
      <c r="HF241" s="1058"/>
      <c r="HG241" s="1058"/>
      <c r="HH241" s="1058"/>
      <c r="HI241" s="1058"/>
      <c r="HJ241" s="1058"/>
      <c r="HK241" s="1058"/>
      <c r="HL241" s="1058"/>
      <c r="HM241" s="1058"/>
      <c r="HN241" s="1058"/>
      <c r="HO241" s="1058"/>
      <c r="HP241" s="1058"/>
      <c r="HQ241" s="1058"/>
      <c r="HR241" s="1058"/>
      <c r="HS241" s="1058"/>
      <c r="HT241" s="1058"/>
      <c r="HU241" s="1058"/>
      <c r="HV241" s="1058"/>
      <c r="HW241" s="1058"/>
      <c r="HX241" s="1058"/>
      <c r="HY241" s="1058"/>
      <c r="HZ241" s="1058"/>
      <c r="IA241" s="1058"/>
      <c r="IB241" s="1058"/>
      <c r="IC241" s="1058"/>
      <c r="ID241" s="1058"/>
      <c r="IE241" s="1058"/>
      <c r="IF241" s="1058"/>
      <c r="IG241" s="1058"/>
      <c r="IH241" s="1058"/>
      <c r="II241" s="1058"/>
      <c r="IJ241" s="1058"/>
      <c r="IK241" s="1058"/>
      <c r="IL241" s="1058"/>
      <c r="IM241" s="1058"/>
      <c r="IN241" s="1058"/>
      <c r="IO241" s="1058"/>
      <c r="IP241" s="1058"/>
      <c r="IQ241" s="1058"/>
      <c r="IR241" s="1058"/>
      <c r="IS241" s="1058"/>
      <c r="IT241" s="1058"/>
      <c r="IU241" s="1058"/>
      <c r="IV241" s="1058"/>
      <c r="IW241" s="1058"/>
      <c r="IX241" s="1058"/>
      <c r="IY241" s="1058"/>
      <c r="IZ241" s="1058"/>
      <c r="JA241" s="1058"/>
      <c r="JB241" s="1058"/>
      <c r="JC241" s="1058"/>
      <c r="JD241" s="1058"/>
      <c r="JE241" s="1058"/>
      <c r="JF241" s="1058"/>
      <c r="JG241" s="1058"/>
      <c r="JH241" s="1058"/>
      <c r="JI241" s="1058"/>
      <c r="JJ241" s="1058"/>
      <c r="JK241" s="1058"/>
      <c r="JL241" s="1058"/>
      <c r="JM241" s="1058"/>
      <c r="JN241" s="1058"/>
      <c r="JO241" s="1058"/>
      <c r="JP241" s="1058"/>
      <c r="JQ241" s="1058"/>
      <c r="JR241" s="1058"/>
      <c r="JS241" s="1058"/>
      <c r="JT241" s="1058"/>
      <c r="JU241" s="1058"/>
      <c r="JV241" s="1059"/>
      <c r="JW241" s="1058"/>
      <c r="JX241" s="1058"/>
      <c r="JY241" s="1058"/>
      <c r="JZ241" s="1058"/>
      <c r="KA241" s="1059"/>
      <c r="KB241" s="1059"/>
      <c r="KC241" s="1059"/>
      <c r="KD241" s="1059"/>
      <c r="KE241" s="1059"/>
      <c r="KF241" s="1059"/>
      <c r="KG241" s="1059"/>
      <c r="KH241" s="1059"/>
      <c r="KI241" s="1059"/>
      <c r="KJ241" s="1059"/>
      <c r="KK241" s="1059"/>
      <c r="KL241" s="1059"/>
      <c r="KM241" s="1059"/>
      <c r="KN241" s="1059"/>
      <c r="KO241" s="1059"/>
      <c r="KP241" s="1059"/>
      <c r="KQ241" s="1059"/>
      <c r="KR241" s="1059"/>
      <c r="KS241" s="1059"/>
      <c r="KT241" s="1059"/>
      <c r="KU241" s="1059"/>
      <c r="KV241" s="1059"/>
      <c r="KW241" s="1059"/>
      <c r="KX241" s="1059"/>
      <c r="KY241" s="1059"/>
      <c r="KZ241" s="1059"/>
      <c r="LA241" s="1059"/>
      <c r="LB241" s="1059"/>
      <c r="LC241" s="1059"/>
      <c r="LD241" s="1059"/>
      <c r="LE241" s="1059"/>
      <c r="LF241" s="1059"/>
      <c r="LG241" s="1058"/>
      <c r="LH241" s="1058"/>
      <c r="LI241" s="1058"/>
      <c r="LJ241" s="1058"/>
      <c r="LK241" s="1058"/>
      <c r="LL241" s="1058"/>
      <c r="LM241" s="1060"/>
      <c r="LN241" s="1058"/>
      <c r="LO241" s="1058"/>
      <c r="LP241" s="1058"/>
      <c r="LQ241" s="1058"/>
      <c r="LR241" s="1058"/>
      <c r="LS241" s="1058"/>
      <c r="LT241" s="1058"/>
      <c r="LU241" s="1058"/>
      <c r="LV241" s="1058"/>
      <c r="LW241" s="1058"/>
      <c r="LX241" s="1058"/>
      <c r="LY241" s="1058"/>
      <c r="LZ241" s="1058"/>
      <c r="MA241" s="1058"/>
      <c r="MB241" s="1058"/>
      <c r="MC241" s="1060"/>
      <c r="MD241" s="1060"/>
      <c r="ME241" s="1058"/>
      <c r="MF241" s="1058"/>
      <c r="MG241" s="1058"/>
      <c r="MH241" s="1058"/>
      <c r="MI241" s="1058"/>
      <c r="MJ241" s="1058"/>
      <c r="MK241" s="1058"/>
      <c r="ML241" s="1058"/>
      <c r="MM241" s="1058"/>
      <c r="MN241" s="1058"/>
      <c r="MO241" s="1058"/>
      <c r="MP241" s="1058"/>
      <c r="MQ241" s="1058"/>
      <c r="MR241" s="1058"/>
      <c r="MS241" s="1058"/>
      <c r="MT241" s="1058"/>
      <c r="MU241" s="1058"/>
      <c r="MV241" s="1058"/>
      <c r="MW241" s="1058"/>
      <c r="MX241" s="1058"/>
      <c r="MY241" s="1058"/>
      <c r="MZ241" s="1058"/>
      <c r="NA241" s="1058"/>
      <c r="NB241" s="1058"/>
      <c r="NC241" s="1058"/>
      <c r="ND241" s="1058"/>
      <c r="NE241" s="1058"/>
      <c r="NF241" s="1058"/>
      <c r="NG241" s="1058"/>
      <c r="NH241" s="1058"/>
      <c r="NI241" s="1058"/>
      <c r="NJ241" s="1058"/>
      <c r="NK241" s="1058"/>
      <c r="NL241" s="1058"/>
      <c r="NM241" s="1058"/>
      <c r="NN241" s="1058"/>
      <c r="NO241" s="1058"/>
      <c r="NP241" s="1058"/>
      <c r="NQ241" s="1058"/>
      <c r="NR241" s="1058"/>
      <c r="NS241" s="1058"/>
      <c r="NT241" s="1058"/>
      <c r="NU241" s="1058"/>
      <c r="NV241" s="1058"/>
      <c r="NW241" s="1058"/>
      <c r="NX241" s="1058"/>
      <c r="NY241" s="1058"/>
      <c r="NZ241" s="1058"/>
      <c r="OA241" s="1058"/>
      <c r="OB241" s="1058"/>
      <c r="OC241" s="1058"/>
      <c r="OD241" s="1018"/>
      <c r="OE241" s="1018"/>
      <c r="OF241" s="1018"/>
      <c r="OG241" s="1018"/>
      <c r="OH241" s="1018"/>
      <c r="OI241" s="1018"/>
      <c r="OJ241" s="1018"/>
      <c r="OK241" s="1018"/>
      <c r="OL241" s="1018"/>
      <c r="OM241" s="1018"/>
      <c r="ON241" s="1018"/>
      <c r="OO241" s="1018"/>
      <c r="OP241" s="1018"/>
      <c r="OQ241" s="1018"/>
      <c r="OR241" s="1018"/>
      <c r="OS241" s="1018"/>
      <c r="OT241" s="1018"/>
      <c r="OU241" s="1018"/>
      <c r="OV241" s="1018"/>
      <c r="OW241" s="1018"/>
      <c r="OX241" s="1018"/>
      <c r="OY241" s="1018"/>
      <c r="OZ241" s="1018"/>
      <c r="PA241" s="1018"/>
      <c r="PB241" s="1018"/>
      <c r="PC241" s="1018"/>
      <c r="PD241" s="1018"/>
      <c r="PE241" s="1018"/>
      <c r="PF241" s="1018"/>
      <c r="PG241" s="1018"/>
      <c r="PH241" s="1018"/>
      <c r="PI241" s="1018"/>
      <c r="PJ241" s="1018"/>
      <c r="PK241" s="1018"/>
      <c r="PL241" s="1018"/>
      <c r="PM241" s="1018"/>
      <c r="PN241" s="1018"/>
      <c r="PO241" s="1018"/>
      <c r="PP241" s="1018"/>
      <c r="PQ241" s="1018"/>
      <c r="PR241" s="1018"/>
      <c r="PS241" s="1018"/>
      <c r="PT241" s="1018"/>
      <c r="PU241" s="1018"/>
      <c r="PV241" s="1018"/>
      <c r="PW241" s="1018"/>
      <c r="PX241" s="1018"/>
      <c r="PY241" s="1018"/>
      <c r="PZ241" s="1018"/>
      <c r="QA241" s="1018"/>
      <c r="QB241" s="1018"/>
      <c r="QC241" s="1018"/>
      <c r="QD241" s="1018"/>
      <c r="QE241" s="1018"/>
      <c r="QF241" s="1018"/>
      <c r="QG241" s="1018"/>
      <c r="QH241" s="1018"/>
      <c r="QI241" s="1018"/>
      <c r="QJ241" s="1018"/>
      <c r="QK241" s="1018"/>
      <c r="QL241" s="1018"/>
      <c r="QM241" s="1018"/>
      <c r="QN241" s="1018"/>
      <c r="QO241" s="1018"/>
      <c r="QP241" s="1018"/>
      <c r="QQ241" s="1018"/>
      <c r="QR241" s="1018"/>
      <c r="QS241" s="1018"/>
      <c r="QT241" s="1018"/>
      <c r="QU241" s="1018"/>
      <c r="QV241" s="1018"/>
      <c r="QW241" s="1018"/>
      <c r="QX241" s="1018"/>
      <c r="QY241" s="1018"/>
      <c r="QZ241" s="1018"/>
      <c r="RA241" s="1018"/>
      <c r="RB241" s="1018"/>
      <c r="RC241" s="1018"/>
      <c r="RD241" s="1018"/>
      <c r="RE241" s="1018"/>
      <c r="RF241" s="1018"/>
      <c r="RG241" s="1018"/>
      <c r="RH241" s="1018"/>
      <c r="RI241" s="1018"/>
      <c r="RJ241" s="1018"/>
      <c r="RK241" s="1018"/>
      <c r="RL241" s="1018"/>
      <c r="RM241" s="1018"/>
      <c r="RN241" s="1018"/>
      <c r="RO241" s="1018"/>
      <c r="RP241" s="1018"/>
      <c r="RQ241" s="1018"/>
      <c r="RR241" s="1018"/>
      <c r="RS241" s="1018"/>
      <c r="RT241" s="1018"/>
      <c r="RU241" s="1018"/>
      <c r="RV241" s="1018"/>
      <c r="RW241" s="1018"/>
      <c r="RX241" s="1018"/>
    </row>
    <row r="242" spans="1:492" s="1057" customFormat="1" ht="15.6" customHeight="1" thickBot="1">
      <c r="A242" s="1018"/>
      <c r="B242" s="1013"/>
      <c r="C242" s="1290"/>
      <c r="D242" s="1018"/>
      <c r="E242" s="1018"/>
      <c r="F242" s="1293"/>
      <c r="G242" s="1293"/>
      <c r="H242" s="1018"/>
      <c r="I242" s="1018"/>
      <c r="J242" s="1293"/>
      <c r="K242" s="1018"/>
      <c r="L242" s="1018"/>
      <c r="M242" s="1018"/>
      <c r="N242" s="1013" t="s">
        <v>1950</v>
      </c>
      <c r="O242" s="1018"/>
      <c r="P242" s="1300">
        <f>P227+P231</f>
        <v>0</v>
      </c>
      <c r="Q242" s="1292"/>
      <c r="W242" s="1064"/>
      <c r="X242" s="1058"/>
      <c r="Y242" s="1058"/>
      <c r="Z242" s="1058"/>
      <c r="AA242" s="1058"/>
      <c r="AB242" s="1064"/>
      <c r="AC242" s="1058"/>
      <c r="AD242" s="1058"/>
      <c r="AE242" s="1058"/>
      <c r="AF242" s="1058"/>
      <c r="AG242" s="1064"/>
      <c r="AH242" s="1058"/>
      <c r="AI242" s="1058"/>
      <c r="AJ242" s="1058"/>
      <c r="AK242" s="1058"/>
      <c r="AL242" s="1064"/>
      <c r="AM242" s="1058"/>
      <c r="AN242" s="1058"/>
      <c r="AO242" s="1058"/>
      <c r="AP242" s="1058"/>
      <c r="AQ242" s="1058"/>
      <c r="AR242" s="1058"/>
      <c r="AS242" s="1058"/>
      <c r="AT242" s="1058"/>
      <c r="AU242" s="1058"/>
      <c r="AV242" s="1058"/>
      <c r="AW242" s="1058"/>
      <c r="AX242" s="1058"/>
      <c r="AY242" s="1058"/>
      <c r="AZ242" s="1058"/>
      <c r="BA242" s="1058"/>
      <c r="BB242" s="1058"/>
      <c r="BC242" s="1058"/>
      <c r="BD242" s="1058"/>
      <c r="BE242" s="1058"/>
      <c r="BF242" s="1058"/>
      <c r="BG242" s="1058"/>
      <c r="BH242" s="1058"/>
      <c r="BI242" s="1058"/>
      <c r="BJ242" s="1058"/>
      <c r="BK242" s="1058"/>
      <c r="BL242" s="1058"/>
      <c r="BM242" s="1058"/>
      <c r="BN242" s="1058"/>
      <c r="BO242" s="1058"/>
      <c r="BP242" s="1058"/>
      <c r="BQ242" s="1058"/>
      <c r="BR242" s="1058"/>
      <c r="BS242" s="1058"/>
      <c r="BT242" s="1058"/>
      <c r="BU242" s="1058"/>
      <c r="BV242" s="1058"/>
      <c r="BW242" s="1058"/>
      <c r="BX242" s="1058"/>
      <c r="BY242" s="1058"/>
      <c r="BZ242" s="1058"/>
      <c r="CA242" s="1058"/>
      <c r="CB242" s="1058"/>
      <c r="CC242" s="1058"/>
      <c r="CD242" s="1058"/>
      <c r="CE242" s="1058"/>
      <c r="CF242" s="1058"/>
      <c r="CG242" s="1058"/>
      <c r="CH242" s="1058"/>
      <c r="CI242" s="1058"/>
      <c r="CJ242" s="1058"/>
      <c r="CK242" s="1058"/>
      <c r="CL242" s="1058"/>
      <c r="CM242" s="1058"/>
      <c r="CN242" s="1058"/>
      <c r="CO242" s="1058"/>
      <c r="CP242" s="1058"/>
      <c r="CQ242" s="1058"/>
      <c r="CR242" s="1058"/>
      <c r="CS242" s="1058"/>
      <c r="CT242" s="1058"/>
      <c r="CU242" s="1058"/>
      <c r="CV242" s="1058"/>
      <c r="CW242" s="1058"/>
      <c r="CX242" s="1058"/>
      <c r="CY242" s="1058"/>
      <c r="CZ242" s="1058"/>
      <c r="DA242" s="1058"/>
      <c r="DB242" s="1058"/>
      <c r="DC242" s="1058"/>
      <c r="DD242" s="1058"/>
      <c r="DE242" s="1058"/>
      <c r="DF242" s="1058"/>
      <c r="DG242" s="1058"/>
      <c r="DH242" s="1058"/>
      <c r="DI242" s="1058"/>
      <c r="DJ242" s="1058"/>
      <c r="DK242" s="1058"/>
      <c r="DL242" s="1058"/>
      <c r="DM242" s="1058"/>
      <c r="DN242" s="1058"/>
      <c r="DO242" s="1058"/>
      <c r="DP242" s="1058"/>
      <c r="DQ242" s="1058"/>
      <c r="DR242" s="1058"/>
      <c r="DS242" s="1058"/>
      <c r="DT242" s="1058"/>
      <c r="DU242" s="1058"/>
      <c r="DV242" s="1058"/>
      <c r="DW242" s="1058"/>
      <c r="DX242" s="1058"/>
      <c r="DY242" s="1058"/>
      <c r="DZ242" s="1058"/>
      <c r="EA242" s="1058"/>
      <c r="EB242" s="1058"/>
      <c r="EC242" s="1058"/>
      <c r="ED242" s="1058"/>
      <c r="EE242" s="1058"/>
      <c r="EF242" s="1058"/>
      <c r="EG242" s="1058"/>
      <c r="EH242" s="1058"/>
      <c r="EI242" s="1058"/>
      <c r="EJ242" s="1058"/>
      <c r="EK242" s="1058"/>
      <c r="EL242" s="1058"/>
      <c r="EM242" s="1058"/>
      <c r="EN242" s="1058"/>
      <c r="EO242" s="1058"/>
      <c r="EP242" s="1058"/>
      <c r="EQ242" s="1058"/>
      <c r="ER242" s="1058"/>
      <c r="ES242" s="1058"/>
      <c r="ET242" s="1058"/>
      <c r="EU242" s="1058"/>
      <c r="EV242" s="1058"/>
      <c r="EW242" s="1058"/>
      <c r="EX242" s="1058"/>
      <c r="EY242" s="1058"/>
      <c r="EZ242" s="1058"/>
      <c r="FA242" s="1058"/>
      <c r="FB242" s="1058"/>
      <c r="FC242" s="1058"/>
      <c r="FD242" s="1058"/>
      <c r="FE242" s="1058"/>
      <c r="FF242" s="1058"/>
      <c r="FG242" s="1058"/>
      <c r="FH242" s="1058"/>
      <c r="FI242" s="1058"/>
      <c r="FJ242" s="1058"/>
      <c r="FK242" s="1058"/>
      <c r="FL242" s="1058"/>
      <c r="FM242" s="1058"/>
      <c r="FN242" s="1058"/>
      <c r="FO242" s="1058"/>
      <c r="FP242" s="1058"/>
      <c r="FQ242" s="1058"/>
      <c r="FR242" s="1058"/>
      <c r="FS242" s="1058"/>
      <c r="FT242" s="1058"/>
      <c r="FU242" s="1058"/>
      <c r="FV242" s="1058"/>
      <c r="FW242" s="1058"/>
      <c r="FX242" s="1058"/>
      <c r="FY242" s="1058"/>
      <c r="FZ242" s="1058"/>
      <c r="GA242" s="1058"/>
      <c r="GB242" s="1058"/>
      <c r="GC242" s="1058"/>
      <c r="GD242" s="1058"/>
      <c r="GE242" s="1058"/>
      <c r="GF242" s="1058"/>
      <c r="GG242" s="1058"/>
      <c r="GH242" s="1058"/>
      <c r="GI242" s="1058"/>
      <c r="GJ242" s="1058"/>
      <c r="GK242" s="1058"/>
      <c r="GL242" s="1058"/>
      <c r="GM242" s="1058"/>
      <c r="GN242" s="1058"/>
      <c r="GO242" s="1058"/>
      <c r="GP242" s="1058"/>
      <c r="GQ242" s="1058"/>
      <c r="GR242" s="1058"/>
      <c r="GS242" s="1058"/>
      <c r="GT242" s="1058"/>
      <c r="GU242" s="1058"/>
      <c r="GV242" s="1058"/>
      <c r="GW242" s="1058"/>
      <c r="GX242" s="1058"/>
      <c r="GY242" s="1058"/>
      <c r="GZ242" s="1058"/>
      <c r="HA242" s="1058"/>
      <c r="HB242" s="1058"/>
      <c r="HC242" s="1058"/>
      <c r="HD242" s="1058"/>
      <c r="HE242" s="1058"/>
      <c r="HF242" s="1058"/>
      <c r="HG242" s="1058"/>
      <c r="HH242" s="1058"/>
      <c r="HI242" s="1058"/>
      <c r="HJ242" s="1058"/>
      <c r="HK242" s="1058"/>
      <c r="HL242" s="1058"/>
      <c r="HM242" s="1058"/>
      <c r="HN242" s="1058"/>
      <c r="HO242" s="1058"/>
      <c r="HP242" s="1058"/>
      <c r="HQ242" s="1058"/>
      <c r="HR242" s="1058"/>
      <c r="HS242" s="1058"/>
      <c r="HT242" s="1058"/>
      <c r="HU242" s="1058"/>
      <c r="HV242" s="1058"/>
      <c r="HW242" s="1058"/>
      <c r="HX242" s="1058"/>
      <c r="HY242" s="1058"/>
      <c r="HZ242" s="1058"/>
      <c r="IA242" s="1058"/>
      <c r="IB242" s="1058"/>
      <c r="IC242" s="1058"/>
      <c r="ID242" s="1058"/>
      <c r="IE242" s="1058"/>
      <c r="IF242" s="1058"/>
      <c r="IG242" s="1058"/>
      <c r="IH242" s="1058"/>
      <c r="II242" s="1058"/>
      <c r="IJ242" s="1058"/>
      <c r="IK242" s="1058"/>
      <c r="IL242" s="1058"/>
      <c r="IM242" s="1058"/>
      <c r="IN242" s="1058"/>
      <c r="IO242" s="1058"/>
      <c r="IP242" s="1058"/>
      <c r="IQ242" s="1058"/>
      <c r="IR242" s="1058"/>
      <c r="IS242" s="1058"/>
      <c r="IT242" s="1058"/>
      <c r="IU242" s="1058"/>
      <c r="IV242" s="1058"/>
      <c r="IW242" s="1058"/>
      <c r="IX242" s="1058"/>
      <c r="IY242" s="1058"/>
      <c r="IZ242" s="1058"/>
      <c r="JA242" s="1058"/>
      <c r="JB242" s="1058"/>
      <c r="JC242" s="1058"/>
      <c r="JD242" s="1058"/>
      <c r="JE242" s="1058"/>
      <c r="JF242" s="1058"/>
      <c r="JG242" s="1058"/>
      <c r="JH242" s="1058"/>
      <c r="JI242" s="1058"/>
      <c r="JJ242" s="1058"/>
      <c r="JK242" s="1058"/>
      <c r="JL242" s="1058"/>
      <c r="JM242" s="1058"/>
      <c r="JN242" s="1058"/>
      <c r="JO242" s="1058"/>
      <c r="JP242" s="1058"/>
      <c r="JQ242" s="1058"/>
      <c r="JR242" s="1058"/>
      <c r="JS242" s="1058"/>
      <c r="JT242" s="1058"/>
      <c r="JU242" s="1058"/>
      <c r="JV242" s="1059"/>
      <c r="JW242" s="1058"/>
      <c r="JX242" s="1058"/>
      <c r="JY242" s="1058"/>
      <c r="JZ242" s="1058"/>
      <c r="KA242" s="1059"/>
      <c r="KB242" s="1059"/>
      <c r="KC242" s="1059"/>
      <c r="KD242" s="1059"/>
      <c r="KE242" s="1059"/>
      <c r="KF242" s="1059"/>
      <c r="KG242" s="1059"/>
      <c r="KH242" s="1059"/>
      <c r="KI242" s="1059"/>
      <c r="KJ242" s="1059"/>
      <c r="KK242" s="1059"/>
      <c r="KL242" s="1059"/>
      <c r="KM242" s="1059"/>
      <c r="KN242" s="1059"/>
      <c r="KO242" s="1059"/>
      <c r="KP242" s="1059"/>
      <c r="KQ242" s="1059"/>
      <c r="KR242" s="1059"/>
      <c r="KS242" s="1059"/>
      <c r="KT242" s="1059"/>
      <c r="KU242" s="1059"/>
      <c r="KV242" s="1059"/>
      <c r="KW242" s="1059"/>
      <c r="KX242" s="1059"/>
      <c r="KY242" s="1059"/>
      <c r="KZ242" s="1059"/>
      <c r="LA242" s="1059"/>
      <c r="LB242" s="1059"/>
      <c r="LC242" s="1059"/>
      <c r="LD242" s="1059"/>
      <c r="LE242" s="1059"/>
      <c r="LF242" s="1059"/>
      <c r="LG242" s="1058"/>
      <c r="LH242" s="1058"/>
      <c r="LI242" s="1058"/>
      <c r="LJ242" s="1058"/>
      <c r="LK242" s="1058"/>
      <c r="LL242" s="1058"/>
      <c r="LM242" s="1060"/>
      <c r="LN242" s="1058"/>
      <c r="LO242" s="1058"/>
      <c r="LP242" s="1058"/>
      <c r="LQ242" s="1058"/>
      <c r="LR242" s="1058"/>
      <c r="LS242" s="1058"/>
      <c r="LT242" s="1058"/>
      <c r="LU242" s="1058"/>
      <c r="LV242" s="1058"/>
      <c r="LW242" s="1058"/>
      <c r="LX242" s="1058"/>
      <c r="LY242" s="1058"/>
      <c r="LZ242" s="1058"/>
      <c r="MA242" s="1058"/>
      <c r="MB242" s="1058"/>
      <c r="MC242" s="1060"/>
      <c r="MD242" s="1060"/>
      <c r="ME242" s="1058"/>
      <c r="MF242" s="1058"/>
      <c r="MG242" s="1058"/>
      <c r="MH242" s="1058"/>
      <c r="MI242" s="1058"/>
      <c r="MJ242" s="1058"/>
      <c r="MK242" s="1058"/>
      <c r="ML242" s="1058"/>
      <c r="MM242" s="1058"/>
      <c r="MN242" s="1058"/>
      <c r="MO242" s="1058"/>
      <c r="MP242" s="1058"/>
      <c r="MQ242" s="1058"/>
      <c r="MR242" s="1058"/>
      <c r="MS242" s="1058"/>
      <c r="MT242" s="1058"/>
      <c r="MU242" s="1058"/>
      <c r="MV242" s="1058"/>
      <c r="MW242" s="1058"/>
      <c r="MX242" s="1058"/>
      <c r="MY242" s="1058"/>
      <c r="MZ242" s="1058"/>
      <c r="NA242" s="1058"/>
      <c r="NB242" s="1058"/>
      <c r="NC242" s="1058"/>
      <c r="ND242" s="1058"/>
      <c r="NE242" s="1058"/>
      <c r="NF242" s="1058"/>
      <c r="NG242" s="1058"/>
      <c r="NH242" s="1058"/>
      <c r="NI242" s="1058"/>
      <c r="NJ242" s="1058"/>
      <c r="NK242" s="1058"/>
      <c r="NL242" s="1058"/>
      <c r="NM242" s="1058"/>
      <c r="NN242" s="1058"/>
      <c r="NO242" s="1058"/>
      <c r="NP242" s="1058"/>
      <c r="NQ242" s="1058"/>
      <c r="NR242" s="1058"/>
      <c r="NS242" s="1058"/>
      <c r="NT242" s="1058"/>
      <c r="NU242" s="1058"/>
      <c r="NV242" s="1058"/>
      <c r="NW242" s="1058"/>
      <c r="NX242" s="1058"/>
      <c r="NY242" s="1058"/>
      <c r="NZ242" s="1058"/>
      <c r="OA242" s="1058"/>
      <c r="OB242" s="1058"/>
      <c r="OC242" s="1058"/>
      <c r="OD242" s="1018"/>
      <c r="OE242" s="1018"/>
      <c r="OF242" s="1018"/>
      <c r="OG242" s="1018"/>
      <c r="OH242" s="1018"/>
      <c r="OI242" s="1018"/>
      <c r="OJ242" s="1018"/>
      <c r="OK242" s="1018"/>
      <c r="OL242" s="1018"/>
      <c r="OM242" s="1018"/>
      <c r="ON242" s="1018"/>
      <c r="OO242" s="1018"/>
      <c r="OP242" s="1018"/>
      <c r="OQ242" s="1018"/>
      <c r="OR242" s="1018"/>
      <c r="OS242" s="1018"/>
      <c r="OT242" s="1018"/>
      <c r="OU242" s="1018"/>
      <c r="OV242" s="1018"/>
      <c r="OW242" s="1018"/>
      <c r="OX242" s="1018"/>
      <c r="OY242" s="1018"/>
      <c r="OZ242" s="1018"/>
      <c r="PA242" s="1018"/>
      <c r="PB242" s="1018"/>
      <c r="PC242" s="1018"/>
      <c r="PD242" s="1018"/>
      <c r="PE242" s="1018"/>
      <c r="PF242" s="1018"/>
      <c r="PG242" s="1018"/>
      <c r="PH242" s="1018"/>
      <c r="PI242" s="1018"/>
      <c r="PJ242" s="1018"/>
      <c r="PK242" s="1018"/>
      <c r="PL242" s="1018"/>
      <c r="PM242" s="1018"/>
      <c r="PN242" s="1018"/>
      <c r="PO242" s="1018"/>
      <c r="PP242" s="1018"/>
      <c r="PQ242" s="1018"/>
      <c r="PR242" s="1018"/>
      <c r="PS242" s="1018"/>
      <c r="PT242" s="1018"/>
      <c r="PU242" s="1018"/>
      <c r="PV242" s="1018"/>
      <c r="PW242" s="1018"/>
      <c r="PX242" s="1018"/>
      <c r="PY242" s="1018"/>
      <c r="PZ242" s="1018"/>
      <c r="QA242" s="1018"/>
      <c r="QB242" s="1018"/>
      <c r="QC242" s="1018"/>
      <c r="QD242" s="1018"/>
      <c r="QE242" s="1018"/>
      <c r="QF242" s="1018"/>
      <c r="QG242" s="1018"/>
      <c r="QH242" s="1018"/>
      <c r="QI242" s="1018"/>
      <c r="QJ242" s="1018"/>
      <c r="QK242" s="1018"/>
      <c r="QL242" s="1018"/>
      <c r="QM242" s="1018"/>
      <c r="QN242" s="1018"/>
      <c r="QO242" s="1018"/>
      <c r="QP242" s="1018"/>
      <c r="QQ242" s="1018"/>
      <c r="QR242" s="1018"/>
      <c r="QS242" s="1018"/>
      <c r="QT242" s="1018"/>
      <c r="QU242" s="1018"/>
      <c r="QV242" s="1018"/>
      <c r="QW242" s="1018"/>
      <c r="QX242" s="1018"/>
      <c r="QY242" s="1018"/>
      <c r="QZ242" s="1018"/>
      <c r="RA242" s="1018"/>
      <c r="RB242" s="1018"/>
      <c r="RC242" s="1018"/>
      <c r="RD242" s="1018"/>
      <c r="RE242" s="1018"/>
      <c r="RF242" s="1018"/>
      <c r="RG242" s="1018"/>
      <c r="RH242" s="1018"/>
      <c r="RI242" s="1018"/>
      <c r="RJ242" s="1018"/>
      <c r="RK242" s="1018"/>
      <c r="RL242" s="1018"/>
      <c r="RM242" s="1018"/>
      <c r="RN242" s="1018"/>
      <c r="RO242" s="1018"/>
      <c r="RP242" s="1018"/>
      <c r="RQ242" s="1018"/>
      <c r="RR242" s="1018"/>
      <c r="RS242" s="1018"/>
      <c r="RT242" s="1018"/>
      <c r="RU242" s="1018"/>
      <c r="RV242" s="1018"/>
      <c r="RW242" s="1018"/>
      <c r="RX242" s="1018"/>
    </row>
    <row r="243" spans="1:492" s="1057" customFormat="1" ht="25.5" customHeight="1" thickBot="1">
      <c r="A243" s="1018"/>
      <c r="B243" s="1013"/>
      <c r="C243" s="1290"/>
      <c r="D243" s="1018"/>
      <c r="E243" s="1018"/>
      <c r="F243" s="1293"/>
      <c r="G243" s="1293"/>
      <c r="H243" s="1018"/>
      <c r="I243" s="1018"/>
      <c r="J243" s="1293"/>
      <c r="K243" s="1018"/>
      <c r="L243" s="1018"/>
      <c r="M243" s="1018"/>
      <c r="N243" s="1013"/>
      <c r="O243" s="1018"/>
      <c r="P243" s="1292"/>
      <c r="Q243" s="1292"/>
      <c r="W243" s="1064"/>
      <c r="X243" s="1058"/>
      <c r="Y243" s="1058"/>
      <c r="Z243" s="1058"/>
      <c r="AA243" s="1058"/>
      <c r="AB243" s="1064"/>
      <c r="AC243" s="1058"/>
      <c r="AD243" s="1058"/>
      <c r="AE243" s="1058"/>
      <c r="AF243" s="1058"/>
      <c r="AG243" s="1064"/>
      <c r="AH243" s="1058"/>
      <c r="AI243" s="1058"/>
      <c r="AJ243" s="1058"/>
      <c r="AK243" s="1058"/>
      <c r="AL243" s="1064"/>
      <c r="AM243" s="1058"/>
      <c r="AN243" s="1058"/>
      <c r="AO243" s="1058"/>
      <c r="AP243" s="1058"/>
      <c r="AQ243" s="1058"/>
      <c r="AR243" s="1058"/>
      <c r="AS243" s="1058"/>
      <c r="AT243" s="1058"/>
      <c r="AU243" s="1058"/>
      <c r="AV243" s="1058"/>
      <c r="AW243" s="1058"/>
      <c r="AX243" s="1058"/>
      <c r="AY243" s="1058"/>
      <c r="AZ243" s="1058"/>
      <c r="BA243" s="1058"/>
      <c r="BB243" s="1058"/>
      <c r="BC243" s="1058"/>
      <c r="BD243" s="1058"/>
      <c r="BE243" s="1058"/>
      <c r="BF243" s="1058"/>
      <c r="BG243" s="1058"/>
      <c r="BH243" s="1058"/>
      <c r="BI243" s="1058"/>
      <c r="BJ243" s="1058"/>
      <c r="BK243" s="1058"/>
      <c r="BL243" s="1058"/>
      <c r="BM243" s="1058"/>
      <c r="BN243" s="1058"/>
      <c r="BO243" s="1058"/>
      <c r="BP243" s="1058"/>
      <c r="BQ243" s="1058"/>
      <c r="BR243" s="1058"/>
      <c r="BS243" s="1058"/>
      <c r="BT243" s="1058"/>
      <c r="BU243" s="1058"/>
      <c r="BV243" s="1058"/>
      <c r="BW243" s="1058"/>
      <c r="BX243" s="1058"/>
      <c r="BY243" s="1058"/>
      <c r="BZ243" s="1058"/>
      <c r="CA243" s="1058"/>
      <c r="CB243" s="1058"/>
      <c r="CC243" s="1058"/>
      <c r="CD243" s="1058"/>
      <c r="CE243" s="1058"/>
      <c r="CF243" s="1058"/>
      <c r="CG243" s="1058"/>
      <c r="CH243" s="1058"/>
      <c r="CI243" s="1058"/>
      <c r="CJ243" s="1058"/>
      <c r="CK243" s="1058"/>
      <c r="CL243" s="1058"/>
      <c r="CM243" s="1058"/>
      <c r="CN243" s="1058"/>
      <c r="CO243" s="1058"/>
      <c r="CP243" s="1058"/>
      <c r="CQ243" s="1058"/>
      <c r="CR243" s="1058"/>
      <c r="CS243" s="1058"/>
      <c r="CT243" s="1058"/>
      <c r="CU243" s="1058"/>
      <c r="CV243" s="1058"/>
      <c r="CW243" s="1058"/>
      <c r="CX243" s="1058"/>
      <c r="CY243" s="1058"/>
      <c r="CZ243" s="1058"/>
      <c r="DA243" s="1058"/>
      <c r="DB243" s="1058"/>
      <c r="DC243" s="1058"/>
      <c r="DD243" s="1058"/>
      <c r="DE243" s="1058"/>
      <c r="DF243" s="1058"/>
      <c r="DG243" s="1058"/>
      <c r="DH243" s="1058"/>
      <c r="DI243" s="1058"/>
      <c r="DJ243" s="1058"/>
      <c r="DK243" s="1058"/>
      <c r="DL243" s="1058"/>
      <c r="DM243" s="1058"/>
      <c r="DN243" s="1058"/>
      <c r="DO243" s="1058"/>
      <c r="DP243" s="1058"/>
      <c r="DQ243" s="1058"/>
      <c r="DR243" s="1058"/>
      <c r="DS243" s="1058"/>
      <c r="DT243" s="1058"/>
      <c r="DU243" s="1058"/>
      <c r="DV243" s="1058"/>
      <c r="DW243" s="1058"/>
      <c r="DX243" s="1058"/>
      <c r="DY243" s="1058"/>
      <c r="DZ243" s="1058"/>
      <c r="EA243" s="1058"/>
      <c r="EB243" s="1058"/>
      <c r="EC243" s="1058"/>
      <c r="ED243" s="1058"/>
      <c r="EE243" s="1058"/>
      <c r="EF243" s="1058"/>
      <c r="EG243" s="1058"/>
      <c r="EH243" s="1058"/>
      <c r="EI243" s="1058"/>
      <c r="EJ243" s="1058"/>
      <c r="EK243" s="1058"/>
      <c r="EL243" s="1058"/>
      <c r="EM243" s="1058"/>
      <c r="EN243" s="1058"/>
      <c r="EO243" s="1058"/>
      <c r="EP243" s="1058"/>
      <c r="EQ243" s="1058"/>
      <c r="ER243" s="1058"/>
      <c r="ES243" s="1058"/>
      <c r="ET243" s="1058"/>
      <c r="EU243" s="1058"/>
      <c r="EV243" s="1058"/>
      <c r="EW243" s="1058"/>
      <c r="EX243" s="1058"/>
      <c r="EY243" s="1058"/>
      <c r="EZ243" s="1058"/>
      <c r="FA243" s="1058"/>
      <c r="FB243" s="1058"/>
      <c r="FC243" s="1058"/>
      <c r="FD243" s="1058"/>
      <c r="FE243" s="1058"/>
      <c r="FF243" s="1058"/>
      <c r="FG243" s="1058"/>
      <c r="FH243" s="1058"/>
      <c r="FI243" s="1058"/>
      <c r="FJ243" s="1058"/>
      <c r="FK243" s="1058"/>
      <c r="FL243" s="1058"/>
      <c r="FM243" s="1058"/>
      <c r="FN243" s="1058"/>
      <c r="FO243" s="1058"/>
      <c r="FP243" s="1058"/>
      <c r="FQ243" s="1058"/>
      <c r="FR243" s="1058"/>
      <c r="FS243" s="1058"/>
      <c r="FT243" s="1058"/>
      <c r="FU243" s="1058"/>
      <c r="FV243" s="1058"/>
      <c r="FW243" s="1058"/>
      <c r="FX243" s="1058"/>
      <c r="FY243" s="1058"/>
      <c r="FZ243" s="1058"/>
      <c r="GA243" s="1058"/>
      <c r="GB243" s="1058"/>
      <c r="GC243" s="1058"/>
      <c r="GD243" s="1058"/>
      <c r="GE243" s="1058"/>
      <c r="GF243" s="1058"/>
      <c r="GG243" s="1058"/>
      <c r="GH243" s="1058"/>
      <c r="GI243" s="1058"/>
      <c r="GJ243" s="1058"/>
      <c r="GK243" s="1058"/>
      <c r="GL243" s="1058"/>
      <c r="GM243" s="1058"/>
      <c r="GN243" s="1058"/>
      <c r="GO243" s="1058"/>
      <c r="GP243" s="1058"/>
      <c r="GQ243" s="1058"/>
      <c r="GR243" s="1058"/>
      <c r="GS243" s="1058"/>
      <c r="GT243" s="1058"/>
      <c r="GU243" s="1058"/>
      <c r="GV243" s="1058"/>
      <c r="GW243" s="1058"/>
      <c r="GX243" s="1058"/>
      <c r="GY243" s="1058"/>
      <c r="GZ243" s="1058"/>
      <c r="HA243" s="1058"/>
      <c r="HB243" s="1058"/>
      <c r="HC243" s="1058"/>
      <c r="HD243" s="1058"/>
      <c r="HE243" s="1058"/>
      <c r="HF243" s="1058"/>
      <c r="HG243" s="1058"/>
      <c r="HH243" s="1058"/>
      <c r="HI243" s="1058"/>
      <c r="HJ243" s="1058"/>
      <c r="HK243" s="1058"/>
      <c r="HL243" s="1058"/>
      <c r="HM243" s="1058"/>
      <c r="HN243" s="1058"/>
      <c r="HO243" s="1058"/>
      <c r="HP243" s="1058"/>
      <c r="HQ243" s="1058"/>
      <c r="HR243" s="1058"/>
      <c r="HS243" s="1058"/>
      <c r="HT243" s="1058"/>
      <c r="HU243" s="1058"/>
      <c r="HV243" s="1058"/>
      <c r="HW243" s="1058"/>
      <c r="HX243" s="1058"/>
      <c r="HY243" s="1058"/>
      <c r="HZ243" s="1058"/>
      <c r="IA243" s="1058"/>
      <c r="IB243" s="1058"/>
      <c r="IC243" s="1058"/>
      <c r="ID243" s="1058"/>
      <c r="IE243" s="1058"/>
      <c r="IF243" s="1058"/>
      <c r="IG243" s="1058"/>
      <c r="IH243" s="1058"/>
      <c r="II243" s="1058"/>
      <c r="IJ243" s="1058"/>
      <c r="IK243" s="1058"/>
      <c r="IL243" s="1058"/>
      <c r="IM243" s="1058"/>
      <c r="IN243" s="1058"/>
      <c r="IO243" s="1058"/>
      <c r="IP243" s="1058"/>
      <c r="IQ243" s="1058"/>
      <c r="IR243" s="1058"/>
      <c r="IS243" s="1058"/>
      <c r="IT243" s="1058"/>
      <c r="IU243" s="1058"/>
      <c r="IV243" s="1058"/>
      <c r="IW243" s="1058"/>
      <c r="IX243" s="1058"/>
      <c r="IY243" s="1058"/>
      <c r="IZ243" s="1058"/>
      <c r="JA243" s="1058"/>
      <c r="JB243" s="1058"/>
      <c r="JC243" s="1058"/>
      <c r="JD243" s="1058"/>
      <c r="JE243" s="1058"/>
      <c r="JF243" s="1058"/>
      <c r="JG243" s="1058"/>
      <c r="JH243" s="1058"/>
      <c r="JI243" s="1058"/>
      <c r="JJ243" s="1058"/>
      <c r="JK243" s="1058"/>
      <c r="JL243" s="1058"/>
      <c r="JM243" s="1058"/>
      <c r="JN243" s="1058"/>
      <c r="JO243" s="1058"/>
      <c r="JP243" s="1058"/>
      <c r="JQ243" s="1058"/>
      <c r="JR243" s="1058"/>
      <c r="JS243" s="1058"/>
      <c r="JT243" s="1058"/>
      <c r="JU243" s="1058"/>
      <c r="JV243" s="1059"/>
      <c r="JW243" s="1058"/>
      <c r="JX243" s="1058"/>
      <c r="JY243" s="1058"/>
      <c r="JZ243" s="1058"/>
      <c r="KA243" s="1059"/>
      <c r="KB243" s="1059"/>
      <c r="KC243" s="1059"/>
      <c r="KD243" s="1059"/>
      <c r="KE243" s="1059"/>
      <c r="KF243" s="1059"/>
      <c r="KG243" s="1059"/>
      <c r="KH243" s="1059"/>
      <c r="KI243" s="1059"/>
      <c r="KJ243" s="1059"/>
      <c r="KK243" s="1059"/>
      <c r="KL243" s="1059"/>
      <c r="KM243" s="1059"/>
      <c r="KN243" s="1059"/>
      <c r="KO243" s="1059"/>
      <c r="KP243" s="1059"/>
      <c r="KQ243" s="1059"/>
      <c r="KR243" s="1059"/>
      <c r="KS243" s="1059"/>
      <c r="KT243" s="1059"/>
      <c r="KU243" s="1059"/>
      <c r="KV243" s="1059"/>
      <c r="KW243" s="1059"/>
      <c r="KX243" s="1059"/>
      <c r="KY243" s="1059"/>
      <c r="KZ243" s="1059"/>
      <c r="LA243" s="1059"/>
      <c r="LB243" s="1059"/>
      <c r="LC243" s="1059"/>
      <c r="LD243" s="1059"/>
      <c r="LE243" s="1059"/>
      <c r="LF243" s="1059"/>
      <c r="LG243" s="1058"/>
      <c r="LH243" s="1058"/>
      <c r="LI243" s="1058"/>
      <c r="LJ243" s="1058"/>
      <c r="LK243" s="1058"/>
      <c r="LL243" s="1058"/>
      <c r="LM243" s="1060"/>
      <c r="LN243" s="1058"/>
      <c r="LO243" s="1058"/>
      <c r="LP243" s="1058"/>
      <c r="LQ243" s="1058"/>
      <c r="LR243" s="1058"/>
      <c r="LS243" s="1058"/>
      <c r="LT243" s="1058"/>
      <c r="LU243" s="1058"/>
      <c r="LV243" s="1058"/>
      <c r="LW243" s="1058"/>
      <c r="LX243" s="1058"/>
      <c r="LY243" s="1058"/>
      <c r="LZ243" s="1058"/>
      <c r="MA243" s="1058"/>
      <c r="MB243" s="1058"/>
      <c r="MC243" s="1060"/>
      <c r="MD243" s="1060"/>
      <c r="ME243" s="1058"/>
      <c r="MF243" s="1058"/>
      <c r="MG243" s="1058"/>
      <c r="MH243" s="1058"/>
      <c r="MI243" s="1058"/>
      <c r="MJ243" s="1058"/>
      <c r="MK243" s="1058"/>
      <c r="ML243" s="1058"/>
      <c r="MM243" s="1058"/>
      <c r="MN243" s="1058"/>
      <c r="MO243" s="1058"/>
      <c r="MP243" s="1058"/>
      <c r="MQ243" s="1058"/>
      <c r="MR243" s="1058"/>
      <c r="MS243" s="1058"/>
      <c r="MT243" s="1058"/>
      <c r="MU243" s="1058"/>
      <c r="MV243" s="1058"/>
      <c r="MW243" s="1058"/>
      <c r="MX243" s="1058"/>
      <c r="MY243" s="1058"/>
      <c r="MZ243" s="1058"/>
      <c r="NA243" s="1058"/>
      <c r="NB243" s="1058"/>
      <c r="NC243" s="1058"/>
      <c r="ND243" s="1058"/>
      <c r="NE243" s="1058"/>
      <c r="NF243" s="1058"/>
      <c r="NG243" s="1058"/>
      <c r="NH243" s="1058"/>
      <c r="NI243" s="1058"/>
      <c r="NJ243" s="1058"/>
      <c r="NK243" s="1058"/>
      <c r="NL243" s="1058"/>
      <c r="NM243" s="1058"/>
      <c r="NN243" s="1058"/>
      <c r="NO243" s="1058"/>
      <c r="NP243" s="1058"/>
      <c r="NQ243" s="1058"/>
      <c r="NR243" s="1058"/>
      <c r="NS243" s="1058"/>
      <c r="NT243" s="1058"/>
      <c r="NU243" s="1058"/>
      <c r="NV243" s="1058"/>
      <c r="NW243" s="1058"/>
      <c r="NX243" s="1058"/>
      <c r="NY243" s="1058"/>
      <c r="NZ243" s="1058"/>
      <c r="OA243" s="1058"/>
      <c r="OB243" s="1058"/>
      <c r="OC243" s="1058"/>
      <c r="OD243" s="1018"/>
      <c r="OE243" s="1018"/>
      <c r="OF243" s="1018"/>
      <c r="OG243" s="1018"/>
      <c r="OH243" s="1018"/>
      <c r="OI243" s="1018"/>
      <c r="OJ243" s="1018"/>
      <c r="OK243" s="1018"/>
      <c r="OL243" s="1018"/>
      <c r="OM243" s="1018"/>
      <c r="ON243" s="1018"/>
      <c r="OO243" s="1018"/>
      <c r="OP243" s="1018"/>
      <c r="OQ243" s="1018"/>
      <c r="OR243" s="1018"/>
      <c r="OS243" s="1018"/>
      <c r="OT243" s="1018"/>
      <c r="OU243" s="1018"/>
      <c r="OV243" s="1018"/>
      <c r="OW243" s="1018"/>
      <c r="OX243" s="1018"/>
      <c r="OY243" s="1018"/>
      <c r="OZ243" s="1018"/>
      <c r="PA243" s="1018"/>
      <c r="PB243" s="1018"/>
      <c r="PC243" s="1018"/>
      <c r="PD243" s="1018"/>
      <c r="PE243" s="1018"/>
      <c r="PF243" s="1018"/>
      <c r="PG243" s="1018"/>
      <c r="PH243" s="1018"/>
      <c r="PI243" s="1018"/>
      <c r="PJ243" s="1018"/>
      <c r="PK243" s="1018"/>
      <c r="PL243" s="1018"/>
      <c r="PM243" s="1018"/>
      <c r="PN243" s="1018"/>
      <c r="PO243" s="1018"/>
      <c r="PP243" s="1018"/>
      <c r="PQ243" s="1018"/>
      <c r="PR243" s="1018"/>
      <c r="PS243" s="1018"/>
      <c r="PT243" s="1018"/>
      <c r="PU243" s="1018"/>
      <c r="PV243" s="1018"/>
      <c r="PW243" s="1018"/>
      <c r="PX243" s="1018"/>
      <c r="PY243" s="1018"/>
      <c r="PZ243" s="1018"/>
      <c r="QA243" s="1018"/>
      <c r="QB243" s="1018"/>
      <c r="QC243" s="1018"/>
      <c r="QD243" s="1018"/>
      <c r="QE243" s="1018"/>
      <c r="QF243" s="1018"/>
      <c r="QG243" s="1018"/>
      <c r="QH243" s="1018"/>
      <c r="QI243" s="1018"/>
      <c r="QJ243" s="1018"/>
      <c r="QK243" s="1018"/>
      <c r="QL243" s="1018"/>
      <c r="QM243" s="1018"/>
      <c r="QN243" s="1018"/>
      <c r="QO243" s="1018"/>
      <c r="QP243" s="1018"/>
      <c r="QQ243" s="1018"/>
      <c r="QR243" s="1018"/>
      <c r="QS243" s="1018"/>
      <c r="QT243" s="1018"/>
      <c r="QU243" s="1018"/>
      <c r="QV243" s="1018"/>
      <c r="QW243" s="1018"/>
      <c r="QX243" s="1018"/>
      <c r="QY243" s="1018"/>
      <c r="QZ243" s="1018"/>
      <c r="RA243" s="1018"/>
      <c r="RB243" s="1018"/>
      <c r="RC243" s="1018"/>
      <c r="RD243" s="1018"/>
      <c r="RE243" s="1018"/>
      <c r="RF243" s="1018"/>
      <c r="RG243" s="1018"/>
      <c r="RH243" s="1018"/>
      <c r="RI243" s="1018"/>
      <c r="RJ243" s="1018"/>
      <c r="RK243" s="1018"/>
      <c r="RL243" s="1018"/>
      <c r="RM243" s="1018"/>
      <c r="RN243" s="1018"/>
      <c r="RO243" s="1018"/>
      <c r="RP243" s="1018"/>
      <c r="RQ243" s="1018"/>
      <c r="RR243" s="1018"/>
      <c r="RS243" s="1018"/>
      <c r="RT243" s="1018"/>
      <c r="RU243" s="1018"/>
      <c r="RV243" s="1018"/>
      <c r="RW243" s="1018"/>
      <c r="RX243" s="1018"/>
    </row>
    <row r="244" spans="1:492" s="1057" customFormat="1" ht="15" customHeight="1" thickBot="1">
      <c r="A244" s="885" t="s">
        <v>1616</v>
      </c>
      <c r="B244" s="1013" t="s">
        <v>3406</v>
      </c>
      <c r="C244" s="1290"/>
      <c r="D244" s="1018"/>
      <c r="E244" s="1018"/>
      <c r="F244" s="1322" t="s">
        <v>3407</v>
      </c>
      <c r="G244" s="1293"/>
      <c r="H244" s="2336"/>
      <c r="I244" s="2337"/>
      <c r="J244" s="1323" t="s">
        <v>3408</v>
      </c>
      <c r="K244" s="1324"/>
      <c r="N244" s="1013" t="s">
        <v>3409</v>
      </c>
      <c r="O244" s="1018"/>
      <c r="P244" s="1325">
        <f>H244*K244</f>
        <v>0</v>
      </c>
      <c r="Q244" s="1292"/>
      <c r="R244" s="2338"/>
      <c r="S244" s="2339"/>
      <c r="T244" s="2339"/>
      <c r="U244" s="2339"/>
      <c r="V244" s="2340"/>
      <c r="W244" s="1064"/>
      <c r="X244" s="1058"/>
      <c r="Y244" s="1058"/>
      <c r="Z244" s="1058"/>
      <c r="AA244" s="1058"/>
      <c r="AB244" s="1064"/>
      <c r="AC244" s="1058"/>
      <c r="AD244" s="1058"/>
      <c r="AE244" s="1058"/>
      <c r="AF244" s="1058"/>
      <c r="AG244" s="1064"/>
      <c r="AH244" s="1058"/>
      <c r="AI244" s="1058"/>
      <c r="AJ244" s="1058"/>
      <c r="AK244" s="1058"/>
      <c r="AL244" s="1064"/>
      <c r="AM244" s="1058"/>
      <c r="AN244" s="1058"/>
      <c r="AO244" s="1058"/>
      <c r="AP244" s="1058"/>
      <c r="AQ244" s="1058"/>
      <c r="AR244" s="1058"/>
      <c r="AS244" s="1058"/>
      <c r="AT244" s="1058"/>
      <c r="AU244" s="1058"/>
      <c r="AV244" s="1058"/>
      <c r="AW244" s="1058"/>
      <c r="AX244" s="1058"/>
      <c r="AY244" s="1058"/>
      <c r="AZ244" s="1058"/>
      <c r="BA244" s="1058"/>
      <c r="BB244" s="1058"/>
      <c r="BC244" s="1058"/>
      <c r="BD244" s="1058"/>
      <c r="BE244" s="1058"/>
      <c r="BF244" s="1058"/>
      <c r="BG244" s="1058"/>
      <c r="BH244" s="1058"/>
      <c r="BI244" s="1058"/>
      <c r="BJ244" s="1058"/>
      <c r="BK244" s="1058"/>
      <c r="BL244" s="1058"/>
      <c r="BM244" s="1058"/>
      <c r="BN244" s="1058"/>
      <c r="BO244" s="1058"/>
      <c r="BP244" s="1058"/>
      <c r="BQ244" s="1058"/>
      <c r="BR244" s="1058"/>
      <c r="BS244" s="1058"/>
      <c r="BT244" s="1058"/>
      <c r="BU244" s="1058"/>
      <c r="BV244" s="1058"/>
      <c r="BW244" s="1058"/>
      <c r="BX244" s="1058"/>
      <c r="BY244" s="1058"/>
      <c r="BZ244" s="1058"/>
      <c r="CA244" s="1058"/>
      <c r="CB244" s="1058"/>
      <c r="CC244" s="1058"/>
      <c r="CD244" s="1058"/>
      <c r="CE244" s="1058"/>
      <c r="CF244" s="1058"/>
      <c r="CG244" s="1058"/>
      <c r="CH244" s="1058"/>
      <c r="CI244" s="1058"/>
      <c r="CJ244" s="1058"/>
      <c r="CK244" s="1058"/>
      <c r="CL244" s="1058"/>
      <c r="CM244" s="1058"/>
      <c r="CN244" s="1058"/>
      <c r="CO244" s="1058"/>
      <c r="CP244" s="1058"/>
      <c r="CQ244" s="1058"/>
      <c r="CR244" s="1058"/>
      <c r="CS244" s="1058"/>
      <c r="CT244" s="1058"/>
      <c r="CU244" s="1058"/>
      <c r="CV244" s="1058"/>
      <c r="CW244" s="1058"/>
      <c r="CX244" s="1058"/>
      <c r="CY244" s="1058"/>
      <c r="CZ244" s="1058"/>
      <c r="DA244" s="1058"/>
      <c r="DB244" s="1058"/>
      <c r="DC244" s="1058"/>
      <c r="DD244" s="1058"/>
      <c r="DE244" s="1058"/>
      <c r="DF244" s="1058"/>
      <c r="DG244" s="1058"/>
      <c r="DH244" s="1058"/>
      <c r="DI244" s="1058"/>
      <c r="DJ244" s="1058"/>
      <c r="DK244" s="1058"/>
      <c r="DL244" s="1058"/>
      <c r="DM244" s="1058"/>
      <c r="DN244" s="1058"/>
      <c r="DO244" s="1058"/>
      <c r="DP244" s="1058"/>
      <c r="DQ244" s="1058"/>
      <c r="DR244" s="1058"/>
      <c r="DS244" s="1058"/>
      <c r="DT244" s="1058"/>
      <c r="DU244" s="1058"/>
      <c r="DV244" s="1058"/>
      <c r="DW244" s="1058"/>
      <c r="DX244" s="1058"/>
      <c r="DY244" s="1058"/>
      <c r="DZ244" s="1058"/>
      <c r="EA244" s="1058"/>
      <c r="EB244" s="1058"/>
      <c r="EC244" s="1058"/>
      <c r="ED244" s="1058"/>
      <c r="EE244" s="1058"/>
      <c r="EF244" s="1058"/>
      <c r="EG244" s="1058"/>
      <c r="EH244" s="1058"/>
      <c r="EI244" s="1058"/>
      <c r="EJ244" s="1058"/>
      <c r="EK244" s="1058"/>
      <c r="EL244" s="1058"/>
      <c r="EM244" s="1058"/>
      <c r="EN244" s="1058"/>
      <c r="EO244" s="1058"/>
      <c r="EP244" s="1058"/>
      <c r="EQ244" s="1058"/>
      <c r="ER244" s="1058"/>
      <c r="ES244" s="1058"/>
      <c r="ET244" s="1058"/>
      <c r="EU244" s="1058"/>
      <c r="EV244" s="1058"/>
      <c r="EW244" s="1058"/>
      <c r="EX244" s="1058"/>
      <c r="EY244" s="1058"/>
      <c r="EZ244" s="1058"/>
      <c r="FA244" s="1058"/>
      <c r="FB244" s="1058"/>
      <c r="FC244" s="1058"/>
      <c r="FD244" s="1058"/>
      <c r="FE244" s="1058"/>
      <c r="FF244" s="1058"/>
      <c r="FG244" s="1058"/>
      <c r="FH244" s="1058"/>
      <c r="FI244" s="1058"/>
      <c r="FJ244" s="1058"/>
      <c r="FK244" s="1058"/>
      <c r="FL244" s="1058"/>
      <c r="FM244" s="1058"/>
      <c r="FN244" s="1058"/>
      <c r="FO244" s="1058"/>
      <c r="FP244" s="1058"/>
      <c r="FQ244" s="1058"/>
      <c r="FR244" s="1058"/>
      <c r="FS244" s="1058"/>
      <c r="FT244" s="1058"/>
      <c r="FU244" s="1058"/>
      <c r="FV244" s="1058"/>
      <c r="FW244" s="1058"/>
      <c r="FX244" s="1058"/>
      <c r="FY244" s="1058"/>
      <c r="FZ244" s="1058"/>
      <c r="GA244" s="1058"/>
      <c r="GB244" s="1058"/>
      <c r="GC244" s="1058"/>
      <c r="GD244" s="1058"/>
      <c r="GE244" s="1058"/>
      <c r="GF244" s="1058"/>
      <c r="GG244" s="1058"/>
      <c r="GH244" s="1058"/>
      <c r="GI244" s="1058"/>
      <c r="GJ244" s="1058"/>
      <c r="GK244" s="1058"/>
      <c r="GL244" s="1058"/>
      <c r="GM244" s="1058"/>
      <c r="GN244" s="1058"/>
      <c r="GO244" s="1058"/>
      <c r="GP244" s="1058"/>
      <c r="GQ244" s="1058"/>
      <c r="GR244" s="1058"/>
      <c r="GS244" s="1058"/>
      <c r="GT244" s="1058"/>
      <c r="GU244" s="1058"/>
      <c r="GV244" s="1058"/>
      <c r="GW244" s="1058"/>
      <c r="GX244" s="1058"/>
      <c r="GY244" s="1058"/>
      <c r="GZ244" s="1058"/>
      <c r="HA244" s="1058"/>
      <c r="HB244" s="1058"/>
      <c r="HC244" s="1058"/>
      <c r="HD244" s="1058"/>
      <c r="HE244" s="1058"/>
      <c r="HF244" s="1058"/>
      <c r="HG244" s="1058"/>
      <c r="HH244" s="1058"/>
      <c r="HI244" s="1058"/>
      <c r="HJ244" s="1058"/>
      <c r="HK244" s="1058"/>
      <c r="HL244" s="1058"/>
      <c r="HM244" s="1058"/>
      <c r="HN244" s="1058"/>
      <c r="HO244" s="1058"/>
      <c r="HP244" s="1058"/>
      <c r="HQ244" s="1058"/>
      <c r="HR244" s="1058"/>
      <c r="HS244" s="1058"/>
      <c r="HT244" s="1058"/>
      <c r="HU244" s="1058"/>
      <c r="HV244" s="1058"/>
      <c r="HW244" s="1058"/>
      <c r="HX244" s="1058"/>
      <c r="HY244" s="1058"/>
      <c r="HZ244" s="1058"/>
      <c r="IA244" s="1058"/>
      <c r="IB244" s="1058"/>
      <c r="IC244" s="1058"/>
      <c r="ID244" s="1058"/>
      <c r="IE244" s="1058"/>
      <c r="IF244" s="1058"/>
      <c r="IG244" s="1058"/>
      <c r="IH244" s="1058"/>
      <c r="II244" s="1058"/>
      <c r="IJ244" s="1058"/>
      <c r="IK244" s="1058"/>
      <c r="IL244" s="1058"/>
      <c r="IM244" s="1058"/>
      <c r="IN244" s="1058"/>
      <c r="IO244" s="1058"/>
      <c r="IP244" s="1058"/>
      <c r="IQ244" s="1058"/>
      <c r="IR244" s="1058"/>
      <c r="IS244" s="1058"/>
      <c r="IT244" s="1058"/>
      <c r="IU244" s="1058"/>
      <c r="IV244" s="1058"/>
      <c r="IW244" s="1058"/>
      <c r="IX244" s="1058"/>
      <c r="IY244" s="1058"/>
      <c r="IZ244" s="1058"/>
      <c r="JA244" s="1058"/>
      <c r="JB244" s="1058"/>
      <c r="JC244" s="1058"/>
      <c r="JD244" s="1058"/>
      <c r="JE244" s="1058"/>
      <c r="JF244" s="1058"/>
      <c r="JG244" s="1058"/>
      <c r="JH244" s="1058"/>
      <c r="JI244" s="1058"/>
      <c r="JJ244" s="1058"/>
      <c r="JK244" s="1058"/>
      <c r="JL244" s="1058"/>
      <c r="JM244" s="1058"/>
      <c r="JN244" s="1058"/>
      <c r="JO244" s="1058"/>
      <c r="JP244" s="1058"/>
      <c r="JQ244" s="1058"/>
      <c r="JR244" s="1058"/>
      <c r="JS244" s="1058"/>
      <c r="JT244" s="1058"/>
      <c r="JU244" s="1058"/>
      <c r="JV244" s="1059"/>
      <c r="JW244" s="1058"/>
      <c r="JX244" s="1058"/>
      <c r="JY244" s="1058"/>
      <c r="JZ244" s="1058"/>
      <c r="KA244" s="1059"/>
      <c r="KB244" s="1059"/>
      <c r="KC244" s="1059"/>
      <c r="KD244" s="1059"/>
      <c r="KE244" s="1059"/>
      <c r="KF244" s="1059"/>
      <c r="KG244" s="1059"/>
      <c r="KH244" s="1059"/>
      <c r="KI244" s="1059"/>
      <c r="KJ244" s="1059"/>
      <c r="KK244" s="1059"/>
      <c r="KL244" s="1059"/>
      <c r="KM244" s="1059"/>
      <c r="KN244" s="1059"/>
      <c r="KO244" s="1059"/>
      <c r="KP244" s="1059"/>
      <c r="KQ244" s="1059"/>
      <c r="KR244" s="1059"/>
      <c r="KS244" s="1059"/>
      <c r="KT244" s="1059"/>
      <c r="KU244" s="1059"/>
      <c r="KV244" s="1059"/>
      <c r="KW244" s="1059"/>
      <c r="KX244" s="1059"/>
      <c r="KY244" s="1059"/>
      <c r="KZ244" s="1059"/>
      <c r="LA244" s="1059"/>
      <c r="LB244" s="1059"/>
      <c r="LC244" s="1059"/>
      <c r="LD244" s="1059"/>
      <c r="LE244" s="1059"/>
      <c r="LF244" s="1059"/>
      <c r="LG244" s="1058"/>
      <c r="LH244" s="1058"/>
      <c r="LI244" s="1058"/>
      <c r="LJ244" s="1058"/>
      <c r="LK244" s="1058"/>
      <c r="LL244" s="1058"/>
      <c r="LM244" s="1060"/>
      <c r="LN244" s="1058"/>
      <c r="LO244" s="1058"/>
      <c r="LP244" s="1058"/>
      <c r="LQ244" s="1058"/>
      <c r="LR244" s="1058"/>
      <c r="LS244" s="1058"/>
      <c r="LT244" s="1058"/>
      <c r="LU244" s="1058"/>
      <c r="LV244" s="1058"/>
      <c r="LW244" s="1058"/>
      <c r="LX244" s="1058"/>
      <c r="LY244" s="1058"/>
      <c r="LZ244" s="1058"/>
      <c r="MA244" s="1058"/>
      <c r="MB244" s="1058"/>
      <c r="MC244" s="1060"/>
      <c r="MD244" s="1060"/>
      <c r="ME244" s="1058"/>
      <c r="MF244" s="1058"/>
      <c r="MG244" s="1058"/>
      <c r="MH244" s="1058"/>
      <c r="MI244" s="1058"/>
      <c r="MJ244" s="1058"/>
      <c r="MK244" s="1058"/>
      <c r="ML244" s="1058"/>
      <c r="MM244" s="1058"/>
      <c r="MN244" s="1058"/>
      <c r="MO244" s="1058"/>
      <c r="MP244" s="1058"/>
      <c r="MQ244" s="1058"/>
      <c r="MR244" s="1058"/>
      <c r="MS244" s="1058"/>
      <c r="MT244" s="1058"/>
      <c r="MU244" s="1058"/>
      <c r="MV244" s="1058"/>
      <c r="MW244" s="1058"/>
      <c r="MX244" s="1058"/>
      <c r="MY244" s="1058"/>
      <c r="MZ244" s="1058"/>
      <c r="NA244" s="1058"/>
      <c r="NB244" s="1058"/>
      <c r="NC244" s="1058"/>
      <c r="ND244" s="1058"/>
      <c r="NE244" s="1058"/>
      <c r="NF244" s="1058"/>
      <c r="NG244" s="1058"/>
      <c r="NH244" s="1058"/>
      <c r="NI244" s="1058"/>
      <c r="NJ244" s="1058"/>
      <c r="NK244" s="1058"/>
      <c r="NL244" s="1058"/>
      <c r="NM244" s="1058"/>
      <c r="NN244" s="1058"/>
      <c r="NO244" s="1058"/>
      <c r="NP244" s="1058"/>
      <c r="NQ244" s="1058"/>
      <c r="NR244" s="1058"/>
      <c r="NS244" s="1058"/>
      <c r="NT244" s="1058"/>
      <c r="NU244" s="1058"/>
      <c r="NV244" s="1058"/>
      <c r="NW244" s="1058"/>
      <c r="NX244" s="1058"/>
      <c r="NY244" s="1058"/>
      <c r="NZ244" s="1058"/>
      <c r="OA244" s="1058"/>
      <c r="OB244" s="1058"/>
      <c r="OC244" s="1058"/>
      <c r="OD244" s="1018"/>
      <c r="OE244" s="1018"/>
      <c r="OF244" s="1018"/>
      <c r="OG244" s="1018"/>
      <c r="OH244" s="1018"/>
      <c r="OI244" s="1018"/>
      <c r="OJ244" s="1018"/>
      <c r="OK244" s="1018"/>
      <c r="OL244" s="1018"/>
      <c r="OM244" s="1018"/>
      <c r="ON244" s="1018"/>
      <c r="OO244" s="1018"/>
      <c r="OP244" s="1018"/>
      <c r="OQ244" s="1018"/>
      <c r="OR244" s="1018"/>
      <c r="OS244" s="1018"/>
      <c r="OT244" s="1018"/>
      <c r="OU244" s="1018"/>
      <c r="OV244" s="1018"/>
      <c r="OW244" s="1018"/>
      <c r="OX244" s="1018"/>
      <c r="OY244" s="1018"/>
      <c r="OZ244" s="1018"/>
      <c r="PA244" s="1018"/>
      <c r="PB244" s="1018"/>
      <c r="PC244" s="1018"/>
      <c r="PD244" s="1018"/>
      <c r="PE244" s="1018"/>
      <c r="PF244" s="1018"/>
      <c r="PG244" s="1018"/>
      <c r="PH244" s="1018"/>
      <c r="PI244" s="1018"/>
      <c r="PJ244" s="1018"/>
      <c r="PK244" s="1018"/>
      <c r="PL244" s="1018"/>
      <c r="PM244" s="1018"/>
      <c r="PN244" s="1018"/>
      <c r="PO244" s="1018"/>
      <c r="PP244" s="1018"/>
      <c r="PQ244" s="1018"/>
      <c r="PR244" s="1018"/>
      <c r="PS244" s="1018"/>
      <c r="PT244" s="1018"/>
      <c r="PU244" s="1018"/>
      <c r="PV244" s="1018"/>
      <c r="PW244" s="1018"/>
      <c r="PX244" s="1018"/>
      <c r="PY244" s="1018"/>
      <c r="PZ244" s="1018"/>
      <c r="QA244" s="1018"/>
      <c r="QB244" s="1018"/>
      <c r="QC244" s="1018"/>
      <c r="QD244" s="1018"/>
      <c r="QE244" s="1018"/>
      <c r="QF244" s="1018"/>
      <c r="QG244" s="1018"/>
      <c r="QH244" s="1018"/>
      <c r="QI244" s="1018"/>
      <c r="QJ244" s="1018"/>
      <c r="QK244" s="1018"/>
      <c r="QL244" s="1018"/>
      <c r="QM244" s="1018"/>
      <c r="QN244" s="1018"/>
      <c r="QO244" s="1018"/>
      <c r="QP244" s="1018"/>
      <c r="QQ244" s="1018"/>
      <c r="QR244" s="1018"/>
      <c r="QS244" s="1018"/>
      <c r="QT244" s="1018"/>
      <c r="QU244" s="1018"/>
      <c r="QV244" s="1018"/>
      <c r="QW244" s="1018"/>
      <c r="QX244" s="1018"/>
      <c r="QY244" s="1018"/>
      <c r="QZ244" s="1018"/>
      <c r="RA244" s="1018"/>
      <c r="RB244" s="1018"/>
      <c r="RC244" s="1018"/>
      <c r="RD244" s="1018"/>
      <c r="RE244" s="1018"/>
      <c r="RF244" s="1018"/>
      <c r="RG244" s="1018"/>
      <c r="RH244" s="1018"/>
      <c r="RI244" s="1018"/>
      <c r="RJ244" s="1018"/>
      <c r="RK244" s="1018"/>
      <c r="RL244" s="1018"/>
      <c r="RM244" s="1018"/>
      <c r="RN244" s="1018"/>
      <c r="RO244" s="1018"/>
      <c r="RP244" s="1018"/>
      <c r="RQ244" s="1018"/>
      <c r="RR244" s="1018"/>
      <c r="RS244" s="1018"/>
      <c r="RT244" s="1018"/>
      <c r="RU244" s="1018"/>
      <c r="RV244" s="1018"/>
      <c r="RW244" s="1018"/>
      <c r="RX244" s="1018"/>
    </row>
    <row r="245" spans="1:492" s="1057" customFormat="1" ht="6" customHeight="1" thickBot="1">
      <c r="A245" s="1018"/>
      <c r="B245" s="1013"/>
      <c r="C245" s="1290"/>
      <c r="D245" s="1018"/>
      <c r="E245" s="1018"/>
      <c r="F245" s="1293"/>
      <c r="G245" s="1293"/>
      <c r="H245" s="1018"/>
      <c r="I245" s="1018"/>
      <c r="J245" s="1293"/>
      <c r="K245" s="1018"/>
      <c r="L245" s="1018"/>
      <c r="M245" s="1018"/>
      <c r="N245" s="1013"/>
      <c r="O245" s="1018"/>
      <c r="P245" s="1292"/>
      <c r="Q245" s="1292"/>
      <c r="W245" s="1064"/>
      <c r="X245" s="1058"/>
      <c r="Y245" s="1058"/>
      <c r="Z245" s="1058"/>
      <c r="AA245" s="1058"/>
      <c r="AB245" s="1064"/>
      <c r="AC245" s="1058"/>
      <c r="AD245" s="1058"/>
      <c r="AE245" s="1058"/>
      <c r="AF245" s="1058"/>
      <c r="AG245" s="1064"/>
      <c r="AH245" s="1058"/>
      <c r="AI245" s="1058"/>
      <c r="AJ245" s="1058"/>
      <c r="AK245" s="1058"/>
      <c r="AL245" s="1064"/>
      <c r="AM245" s="1058"/>
      <c r="AN245" s="1058"/>
      <c r="AO245" s="1058"/>
      <c r="AP245" s="1058"/>
      <c r="AQ245" s="1058"/>
      <c r="AR245" s="1058"/>
      <c r="AS245" s="1058"/>
      <c r="AT245" s="1058"/>
      <c r="AU245" s="1058"/>
      <c r="AV245" s="1058"/>
      <c r="AW245" s="1058"/>
      <c r="AX245" s="1058"/>
      <c r="AY245" s="1058"/>
      <c r="AZ245" s="1058"/>
      <c r="BA245" s="1058"/>
      <c r="BB245" s="1058"/>
      <c r="BC245" s="1058"/>
      <c r="BD245" s="1058"/>
      <c r="BE245" s="1058"/>
      <c r="BF245" s="1058"/>
      <c r="BG245" s="1058"/>
      <c r="BH245" s="1058"/>
      <c r="BI245" s="1058"/>
      <c r="BJ245" s="1058"/>
      <c r="BK245" s="1058"/>
      <c r="BL245" s="1058"/>
      <c r="BM245" s="1058"/>
      <c r="BN245" s="1058"/>
      <c r="BO245" s="1058"/>
      <c r="BP245" s="1058"/>
      <c r="BQ245" s="1058"/>
      <c r="BR245" s="1058"/>
      <c r="BS245" s="1058"/>
      <c r="BT245" s="1058"/>
      <c r="BU245" s="1058"/>
      <c r="BV245" s="1058"/>
      <c r="BW245" s="1058"/>
      <c r="BX245" s="1058"/>
      <c r="BY245" s="1058"/>
      <c r="BZ245" s="1058"/>
      <c r="CA245" s="1058"/>
      <c r="CB245" s="1058"/>
      <c r="CC245" s="1058"/>
      <c r="CD245" s="1058"/>
      <c r="CE245" s="1058"/>
      <c r="CF245" s="1058"/>
      <c r="CG245" s="1058"/>
      <c r="CH245" s="1058"/>
      <c r="CI245" s="1058"/>
      <c r="CJ245" s="1058"/>
      <c r="CK245" s="1058"/>
      <c r="CL245" s="1058"/>
      <c r="CM245" s="1058"/>
      <c r="CN245" s="1058"/>
      <c r="CO245" s="1058"/>
      <c r="CP245" s="1058"/>
      <c r="CQ245" s="1058"/>
      <c r="CR245" s="1058"/>
      <c r="CS245" s="1058"/>
      <c r="CT245" s="1058"/>
      <c r="CU245" s="1058"/>
      <c r="CV245" s="1058"/>
      <c r="CW245" s="1058"/>
      <c r="CX245" s="1058"/>
      <c r="CY245" s="1058"/>
      <c r="CZ245" s="1058"/>
      <c r="DA245" s="1058"/>
      <c r="DB245" s="1058"/>
      <c r="DC245" s="1058"/>
      <c r="DD245" s="1058"/>
      <c r="DE245" s="1058"/>
      <c r="DF245" s="1058"/>
      <c r="DG245" s="1058"/>
      <c r="DH245" s="1058"/>
      <c r="DI245" s="1058"/>
      <c r="DJ245" s="1058"/>
      <c r="DK245" s="1058"/>
      <c r="DL245" s="1058"/>
      <c r="DM245" s="1058"/>
      <c r="DN245" s="1058"/>
      <c r="DO245" s="1058"/>
      <c r="DP245" s="1058"/>
      <c r="DQ245" s="1058"/>
      <c r="DR245" s="1058"/>
      <c r="DS245" s="1058"/>
      <c r="DT245" s="1058"/>
      <c r="DU245" s="1058"/>
      <c r="DV245" s="1058"/>
      <c r="DW245" s="1058"/>
      <c r="DX245" s="1058"/>
      <c r="DY245" s="1058"/>
      <c r="DZ245" s="1058"/>
      <c r="EA245" s="1058"/>
      <c r="EB245" s="1058"/>
      <c r="EC245" s="1058"/>
      <c r="ED245" s="1058"/>
      <c r="EE245" s="1058"/>
      <c r="EF245" s="1058"/>
      <c r="EG245" s="1058"/>
      <c r="EH245" s="1058"/>
      <c r="EI245" s="1058"/>
      <c r="EJ245" s="1058"/>
      <c r="EK245" s="1058"/>
      <c r="EL245" s="1058"/>
      <c r="EM245" s="1058"/>
      <c r="EN245" s="1058"/>
      <c r="EO245" s="1058"/>
      <c r="EP245" s="1058"/>
      <c r="EQ245" s="1058"/>
      <c r="ER245" s="1058"/>
      <c r="ES245" s="1058"/>
      <c r="ET245" s="1058"/>
      <c r="EU245" s="1058"/>
      <c r="EV245" s="1058"/>
      <c r="EW245" s="1058"/>
      <c r="EX245" s="1058"/>
      <c r="EY245" s="1058"/>
      <c r="EZ245" s="1058"/>
      <c r="FA245" s="1058"/>
      <c r="FB245" s="1058"/>
      <c r="FC245" s="1058"/>
      <c r="FD245" s="1058"/>
      <c r="FE245" s="1058"/>
      <c r="FF245" s="1058"/>
      <c r="FG245" s="1058"/>
      <c r="FH245" s="1058"/>
      <c r="FI245" s="1058"/>
      <c r="FJ245" s="1058"/>
      <c r="FK245" s="1058"/>
      <c r="FL245" s="1058"/>
      <c r="FM245" s="1058"/>
      <c r="FN245" s="1058"/>
      <c r="FO245" s="1058"/>
      <c r="FP245" s="1058"/>
      <c r="FQ245" s="1058"/>
      <c r="FR245" s="1058"/>
      <c r="FS245" s="1058"/>
      <c r="FT245" s="1058"/>
      <c r="FU245" s="1058"/>
      <c r="FV245" s="1058"/>
      <c r="FW245" s="1058"/>
      <c r="FX245" s="1058"/>
      <c r="FY245" s="1058"/>
      <c r="FZ245" s="1058"/>
      <c r="GA245" s="1058"/>
      <c r="GB245" s="1058"/>
      <c r="GC245" s="1058"/>
      <c r="GD245" s="1058"/>
      <c r="GE245" s="1058"/>
      <c r="GF245" s="1058"/>
      <c r="GG245" s="1058"/>
      <c r="GH245" s="1058"/>
      <c r="GI245" s="1058"/>
      <c r="GJ245" s="1058"/>
      <c r="GK245" s="1058"/>
      <c r="GL245" s="1058"/>
      <c r="GM245" s="1058"/>
      <c r="GN245" s="1058"/>
      <c r="GO245" s="1058"/>
      <c r="GP245" s="1058"/>
      <c r="GQ245" s="1058"/>
      <c r="GR245" s="1058"/>
      <c r="GS245" s="1058"/>
      <c r="GT245" s="1058"/>
      <c r="GU245" s="1058"/>
      <c r="GV245" s="1058"/>
      <c r="GW245" s="1058"/>
      <c r="GX245" s="1058"/>
      <c r="GY245" s="1058"/>
      <c r="GZ245" s="1058"/>
      <c r="HA245" s="1058"/>
      <c r="HB245" s="1058"/>
      <c r="HC245" s="1058"/>
      <c r="HD245" s="1058"/>
      <c r="HE245" s="1058"/>
      <c r="HF245" s="1058"/>
      <c r="HG245" s="1058"/>
      <c r="HH245" s="1058"/>
      <c r="HI245" s="1058"/>
      <c r="HJ245" s="1058"/>
      <c r="HK245" s="1058"/>
      <c r="HL245" s="1058"/>
      <c r="HM245" s="1058"/>
      <c r="HN245" s="1058"/>
      <c r="HO245" s="1058"/>
      <c r="HP245" s="1058"/>
      <c r="HQ245" s="1058"/>
      <c r="HR245" s="1058"/>
      <c r="HS245" s="1058"/>
      <c r="HT245" s="1058"/>
      <c r="HU245" s="1058"/>
      <c r="HV245" s="1058"/>
      <c r="HW245" s="1058"/>
      <c r="HX245" s="1058"/>
      <c r="HY245" s="1058"/>
      <c r="HZ245" s="1058"/>
      <c r="IA245" s="1058"/>
      <c r="IB245" s="1058"/>
      <c r="IC245" s="1058"/>
      <c r="ID245" s="1058"/>
      <c r="IE245" s="1058"/>
      <c r="IF245" s="1058"/>
      <c r="IG245" s="1058"/>
      <c r="IH245" s="1058"/>
      <c r="II245" s="1058"/>
      <c r="IJ245" s="1058"/>
      <c r="IK245" s="1058"/>
      <c r="IL245" s="1058"/>
      <c r="IM245" s="1058"/>
      <c r="IN245" s="1058"/>
      <c r="IO245" s="1058"/>
      <c r="IP245" s="1058"/>
      <c r="IQ245" s="1058"/>
      <c r="IR245" s="1058"/>
      <c r="IS245" s="1058"/>
      <c r="IT245" s="1058"/>
      <c r="IU245" s="1058"/>
      <c r="IV245" s="1058"/>
      <c r="IW245" s="1058"/>
      <c r="IX245" s="1058"/>
      <c r="IY245" s="1058"/>
      <c r="IZ245" s="1058"/>
      <c r="JA245" s="1058"/>
      <c r="JB245" s="1058"/>
      <c r="JC245" s="1058"/>
      <c r="JD245" s="1058"/>
      <c r="JE245" s="1058"/>
      <c r="JF245" s="1058"/>
      <c r="JG245" s="1058"/>
      <c r="JH245" s="1058"/>
      <c r="JI245" s="1058"/>
      <c r="JJ245" s="1058"/>
      <c r="JK245" s="1058"/>
      <c r="JL245" s="1058"/>
      <c r="JM245" s="1058"/>
      <c r="JN245" s="1058"/>
      <c r="JO245" s="1058"/>
      <c r="JP245" s="1058"/>
      <c r="JQ245" s="1058"/>
      <c r="JR245" s="1058"/>
      <c r="JS245" s="1058"/>
      <c r="JT245" s="1058"/>
      <c r="JU245" s="1058"/>
      <c r="JV245" s="1059"/>
      <c r="JW245" s="1058"/>
      <c r="JX245" s="1058"/>
      <c r="JY245" s="1058"/>
      <c r="JZ245" s="1058"/>
      <c r="KA245" s="1059"/>
      <c r="KB245" s="1059"/>
      <c r="KC245" s="1059"/>
      <c r="KD245" s="1059"/>
      <c r="KE245" s="1059"/>
      <c r="KF245" s="1059"/>
      <c r="KG245" s="1059"/>
      <c r="KH245" s="1059"/>
      <c r="KI245" s="1059"/>
      <c r="KJ245" s="1059"/>
      <c r="KK245" s="1059"/>
      <c r="KL245" s="1059"/>
      <c r="KM245" s="1059"/>
      <c r="KN245" s="1059"/>
      <c r="KO245" s="1059"/>
      <c r="KP245" s="1059"/>
      <c r="KQ245" s="1059"/>
      <c r="KR245" s="1059"/>
      <c r="KS245" s="1059"/>
      <c r="KT245" s="1059"/>
      <c r="KU245" s="1059"/>
      <c r="KV245" s="1059"/>
      <c r="KW245" s="1059"/>
      <c r="KX245" s="1059"/>
      <c r="KY245" s="1059"/>
      <c r="KZ245" s="1059"/>
      <c r="LA245" s="1059"/>
      <c r="LB245" s="1059"/>
      <c r="LC245" s="1059"/>
      <c r="LD245" s="1059"/>
      <c r="LE245" s="1059"/>
      <c r="LF245" s="1059"/>
      <c r="LG245" s="1058"/>
      <c r="LH245" s="1058"/>
      <c r="LI245" s="1058"/>
      <c r="LJ245" s="1058"/>
      <c r="LK245" s="1058"/>
      <c r="LL245" s="1058"/>
      <c r="LM245" s="1060"/>
      <c r="LN245" s="1058"/>
      <c r="LO245" s="1058"/>
      <c r="LP245" s="1058"/>
      <c r="LQ245" s="1058"/>
      <c r="LR245" s="1058"/>
      <c r="LS245" s="1058"/>
      <c r="LT245" s="1058"/>
      <c r="LU245" s="1058"/>
      <c r="LV245" s="1058"/>
      <c r="LW245" s="1058"/>
      <c r="LX245" s="1058"/>
      <c r="LY245" s="1058"/>
      <c r="LZ245" s="1058"/>
      <c r="MA245" s="1058"/>
      <c r="MB245" s="1058"/>
      <c r="MC245" s="1060"/>
      <c r="MD245" s="1060"/>
      <c r="ME245" s="1058"/>
      <c r="MF245" s="1058"/>
      <c r="MG245" s="1058"/>
      <c r="MH245" s="1058"/>
      <c r="MI245" s="1058"/>
      <c r="MJ245" s="1058"/>
      <c r="MK245" s="1058"/>
      <c r="ML245" s="1058"/>
      <c r="MM245" s="1058"/>
      <c r="MN245" s="1058"/>
      <c r="MO245" s="1058"/>
      <c r="MP245" s="1058"/>
      <c r="MQ245" s="1058"/>
      <c r="MR245" s="1058"/>
      <c r="MS245" s="1058"/>
      <c r="MT245" s="1058"/>
      <c r="MU245" s="1058"/>
      <c r="MV245" s="1058"/>
      <c r="MW245" s="1058"/>
      <c r="MX245" s="1058"/>
      <c r="MY245" s="1058"/>
      <c r="MZ245" s="1058"/>
      <c r="NA245" s="1058"/>
      <c r="NB245" s="1058"/>
      <c r="NC245" s="1058"/>
      <c r="ND245" s="1058"/>
      <c r="NE245" s="1058"/>
      <c r="NF245" s="1058"/>
      <c r="NG245" s="1058"/>
      <c r="NH245" s="1058"/>
      <c r="NI245" s="1058"/>
      <c r="NJ245" s="1058"/>
      <c r="NK245" s="1058"/>
      <c r="NL245" s="1058"/>
      <c r="NM245" s="1058"/>
      <c r="NN245" s="1058"/>
      <c r="NO245" s="1058"/>
      <c r="NP245" s="1058"/>
      <c r="NQ245" s="1058"/>
      <c r="NR245" s="1058"/>
      <c r="NS245" s="1058"/>
      <c r="NT245" s="1058"/>
      <c r="NU245" s="1058"/>
      <c r="NV245" s="1058"/>
      <c r="NW245" s="1058"/>
      <c r="NX245" s="1058"/>
      <c r="NY245" s="1058"/>
      <c r="NZ245" s="1058"/>
      <c r="OA245" s="1058"/>
      <c r="OB245" s="1058"/>
      <c r="OC245" s="1058"/>
      <c r="OD245" s="1018"/>
      <c r="OE245" s="1018"/>
      <c r="OF245" s="1018"/>
      <c r="OG245" s="1018"/>
      <c r="OH245" s="1018"/>
      <c r="OI245" s="1018"/>
      <c r="OJ245" s="1018"/>
      <c r="OK245" s="1018"/>
      <c r="OL245" s="1018"/>
      <c r="OM245" s="1018"/>
      <c r="ON245" s="1018"/>
      <c r="OO245" s="1018"/>
      <c r="OP245" s="1018"/>
      <c r="OQ245" s="1018"/>
      <c r="OR245" s="1018"/>
      <c r="OS245" s="1018"/>
      <c r="OT245" s="1018"/>
      <c r="OU245" s="1018"/>
      <c r="OV245" s="1018"/>
      <c r="OW245" s="1018"/>
      <c r="OX245" s="1018"/>
      <c r="OY245" s="1018"/>
      <c r="OZ245" s="1018"/>
      <c r="PA245" s="1018"/>
      <c r="PB245" s="1018"/>
      <c r="PC245" s="1018"/>
      <c r="PD245" s="1018"/>
      <c r="PE245" s="1018"/>
      <c r="PF245" s="1018"/>
      <c r="PG245" s="1018"/>
      <c r="PH245" s="1018"/>
      <c r="PI245" s="1018"/>
      <c r="PJ245" s="1018"/>
      <c r="PK245" s="1018"/>
      <c r="PL245" s="1018"/>
      <c r="PM245" s="1018"/>
      <c r="PN245" s="1018"/>
      <c r="PO245" s="1018"/>
      <c r="PP245" s="1018"/>
      <c r="PQ245" s="1018"/>
      <c r="PR245" s="1018"/>
      <c r="PS245" s="1018"/>
      <c r="PT245" s="1018"/>
      <c r="PU245" s="1018"/>
      <c r="PV245" s="1018"/>
      <c r="PW245" s="1018"/>
      <c r="PX245" s="1018"/>
      <c r="PY245" s="1018"/>
      <c r="PZ245" s="1018"/>
      <c r="QA245" s="1018"/>
      <c r="QB245" s="1018"/>
      <c r="QC245" s="1018"/>
      <c r="QD245" s="1018"/>
      <c r="QE245" s="1018"/>
      <c r="QF245" s="1018"/>
      <c r="QG245" s="1018"/>
      <c r="QH245" s="1018"/>
      <c r="QI245" s="1018"/>
      <c r="QJ245" s="1018"/>
      <c r="QK245" s="1018"/>
      <c r="QL245" s="1018"/>
      <c r="QM245" s="1018"/>
      <c r="QN245" s="1018"/>
      <c r="QO245" s="1018"/>
      <c r="QP245" s="1018"/>
      <c r="QQ245" s="1018"/>
      <c r="QR245" s="1018"/>
      <c r="QS245" s="1018"/>
      <c r="QT245" s="1018"/>
      <c r="QU245" s="1018"/>
      <c r="QV245" s="1018"/>
      <c r="QW245" s="1018"/>
      <c r="QX245" s="1018"/>
      <c r="QY245" s="1018"/>
      <c r="QZ245" s="1018"/>
      <c r="RA245" s="1018"/>
      <c r="RB245" s="1018"/>
      <c r="RC245" s="1018"/>
      <c r="RD245" s="1018"/>
      <c r="RE245" s="1018"/>
      <c r="RF245" s="1018"/>
      <c r="RG245" s="1018"/>
      <c r="RH245" s="1018"/>
      <c r="RI245" s="1018"/>
      <c r="RJ245" s="1018"/>
      <c r="RK245" s="1018"/>
      <c r="RL245" s="1018"/>
      <c r="RM245" s="1018"/>
      <c r="RN245" s="1018"/>
      <c r="RO245" s="1018"/>
      <c r="RP245" s="1018"/>
      <c r="RQ245" s="1018"/>
      <c r="RR245" s="1018"/>
      <c r="RS245" s="1018"/>
      <c r="RT245" s="1018"/>
      <c r="RU245" s="1018"/>
      <c r="RV245" s="1018"/>
      <c r="RW245" s="1018"/>
      <c r="RX245" s="1018"/>
    </row>
    <row r="246" spans="1:492" s="1057" customFormat="1" ht="15" customHeight="1" thickBot="1">
      <c r="A246" s="1018"/>
      <c r="B246" s="1141" t="s">
        <v>3410</v>
      </c>
      <c r="C246" s="1290"/>
      <c r="D246" s="1018"/>
      <c r="E246" s="1018"/>
      <c r="F246" s="1293"/>
      <c r="G246" s="1293"/>
      <c r="H246" s="1018"/>
      <c r="I246" s="1046" t="s">
        <v>1595</v>
      </c>
      <c r="J246" s="1322" t="s">
        <v>3411</v>
      </c>
      <c r="K246" s="1046" t="s">
        <v>1595</v>
      </c>
      <c r="L246" s="1019" t="s">
        <v>3412</v>
      </c>
      <c r="M246" s="1324"/>
      <c r="N246" s="1141" t="s">
        <v>3413</v>
      </c>
      <c r="O246" s="1018"/>
      <c r="P246" s="1326"/>
      <c r="Q246" s="1292"/>
      <c r="R246" s="2338"/>
      <c r="S246" s="2339"/>
      <c r="T246" s="2339"/>
      <c r="U246" s="2339"/>
      <c r="V246" s="2340"/>
      <c r="W246" s="1064"/>
      <c r="X246" s="1058"/>
      <c r="Y246" s="1058"/>
      <c r="Z246" s="1058"/>
      <c r="AA246" s="1058"/>
      <c r="AB246" s="1064"/>
      <c r="AC246" s="1058"/>
      <c r="AD246" s="1058"/>
      <c r="AE246" s="1058"/>
      <c r="AF246" s="1058"/>
      <c r="AG246" s="1064"/>
      <c r="AH246" s="1058"/>
      <c r="AI246" s="1058"/>
      <c r="AJ246" s="1058"/>
      <c r="AK246" s="1058"/>
      <c r="AL246" s="1064"/>
      <c r="AM246" s="1058"/>
      <c r="AN246" s="1058"/>
      <c r="AO246" s="1058"/>
      <c r="AP246" s="1058"/>
      <c r="AQ246" s="1058"/>
      <c r="AR246" s="1058"/>
      <c r="AS246" s="1058"/>
      <c r="AT246" s="1058"/>
      <c r="AU246" s="1058"/>
      <c r="AV246" s="1058"/>
      <c r="AW246" s="1058"/>
      <c r="AX246" s="1058"/>
      <c r="AY246" s="1058"/>
      <c r="AZ246" s="1058"/>
      <c r="BA246" s="1058"/>
      <c r="BB246" s="1058"/>
      <c r="BC246" s="1058"/>
      <c r="BD246" s="1058"/>
      <c r="BE246" s="1058"/>
      <c r="BF246" s="1058"/>
      <c r="BG246" s="1058"/>
      <c r="BH246" s="1058"/>
      <c r="BI246" s="1058"/>
      <c r="BJ246" s="1058"/>
      <c r="BK246" s="1058"/>
      <c r="BL246" s="1058"/>
      <c r="BM246" s="1058"/>
      <c r="BN246" s="1058"/>
      <c r="BO246" s="1058"/>
      <c r="BP246" s="1058"/>
      <c r="BQ246" s="1058"/>
      <c r="BR246" s="1058"/>
      <c r="BS246" s="1058"/>
      <c r="BT246" s="1058"/>
      <c r="BU246" s="1058"/>
      <c r="BV246" s="1058"/>
      <c r="BW246" s="1058"/>
      <c r="BX246" s="1058"/>
      <c r="BY246" s="1058"/>
      <c r="BZ246" s="1058"/>
      <c r="CA246" s="1058"/>
      <c r="CB246" s="1058"/>
      <c r="CC246" s="1058"/>
      <c r="CD246" s="1058"/>
      <c r="CE246" s="1058"/>
      <c r="CF246" s="1058"/>
      <c r="CG246" s="1058"/>
      <c r="CH246" s="1058"/>
      <c r="CI246" s="1058"/>
      <c r="CJ246" s="1058"/>
      <c r="CK246" s="1058"/>
      <c r="CL246" s="1058"/>
      <c r="CM246" s="1058"/>
      <c r="CN246" s="1058"/>
      <c r="CO246" s="1058"/>
      <c r="CP246" s="1058"/>
      <c r="CQ246" s="1058"/>
      <c r="CR246" s="1058"/>
      <c r="CS246" s="1058"/>
      <c r="CT246" s="1058"/>
      <c r="CU246" s="1058"/>
      <c r="CV246" s="1058"/>
      <c r="CW246" s="1058"/>
      <c r="CX246" s="1058"/>
      <c r="CY246" s="1058"/>
      <c r="CZ246" s="1058"/>
      <c r="DA246" s="1058"/>
      <c r="DB246" s="1058"/>
      <c r="DC246" s="1058"/>
      <c r="DD246" s="1058"/>
      <c r="DE246" s="1058"/>
      <c r="DF246" s="1058"/>
      <c r="DG246" s="1058"/>
      <c r="DH246" s="1058"/>
      <c r="DI246" s="1058"/>
      <c r="DJ246" s="1058"/>
      <c r="DK246" s="1058"/>
      <c r="DL246" s="1058"/>
      <c r="DM246" s="1058"/>
      <c r="DN246" s="1058"/>
      <c r="DO246" s="1058"/>
      <c r="DP246" s="1058"/>
      <c r="DQ246" s="1058"/>
      <c r="DR246" s="1058"/>
      <c r="DS246" s="1058"/>
      <c r="DT246" s="1058"/>
      <c r="DU246" s="1058"/>
      <c r="DV246" s="1058"/>
      <c r="DW246" s="1058"/>
      <c r="DX246" s="1058"/>
      <c r="DY246" s="1058"/>
      <c r="DZ246" s="1058"/>
      <c r="EA246" s="1058"/>
      <c r="EB246" s="1058"/>
      <c r="EC246" s="1058"/>
      <c r="ED246" s="1058"/>
      <c r="EE246" s="1058"/>
      <c r="EF246" s="1058"/>
      <c r="EG246" s="1058"/>
      <c r="EH246" s="1058"/>
      <c r="EI246" s="1058"/>
      <c r="EJ246" s="1058"/>
      <c r="EK246" s="1058"/>
      <c r="EL246" s="1058"/>
      <c r="EM246" s="1058"/>
      <c r="EN246" s="1058"/>
      <c r="EO246" s="1058"/>
      <c r="EP246" s="1058"/>
      <c r="EQ246" s="1058"/>
      <c r="ER246" s="1058"/>
      <c r="ES246" s="1058"/>
      <c r="ET246" s="1058"/>
      <c r="EU246" s="1058"/>
      <c r="EV246" s="1058"/>
      <c r="EW246" s="1058"/>
      <c r="EX246" s="1058"/>
      <c r="EY246" s="1058"/>
      <c r="EZ246" s="1058"/>
      <c r="FA246" s="1058"/>
      <c r="FB246" s="1058"/>
      <c r="FC246" s="1058"/>
      <c r="FD246" s="1058"/>
      <c r="FE246" s="1058"/>
      <c r="FF246" s="1058"/>
      <c r="FG246" s="1058"/>
      <c r="FH246" s="1058"/>
      <c r="FI246" s="1058"/>
      <c r="FJ246" s="1058"/>
      <c r="FK246" s="1058"/>
      <c r="FL246" s="1058"/>
      <c r="FM246" s="1058"/>
      <c r="FN246" s="1058"/>
      <c r="FO246" s="1058"/>
      <c r="FP246" s="1058"/>
      <c r="FQ246" s="1058"/>
      <c r="FR246" s="1058"/>
      <c r="FS246" s="1058"/>
      <c r="FT246" s="1058"/>
      <c r="FU246" s="1058"/>
      <c r="FV246" s="1058"/>
      <c r="FW246" s="1058"/>
      <c r="FX246" s="1058"/>
      <c r="FY246" s="1058"/>
      <c r="FZ246" s="1058"/>
      <c r="GA246" s="1058"/>
      <c r="GB246" s="1058"/>
      <c r="GC246" s="1058"/>
      <c r="GD246" s="1058"/>
      <c r="GE246" s="1058"/>
      <c r="GF246" s="1058"/>
      <c r="GG246" s="1058"/>
      <c r="GH246" s="1058"/>
      <c r="GI246" s="1058"/>
      <c r="GJ246" s="1058"/>
      <c r="GK246" s="1058"/>
      <c r="GL246" s="1058"/>
      <c r="GM246" s="1058"/>
      <c r="GN246" s="1058"/>
      <c r="GO246" s="1058"/>
      <c r="GP246" s="1058"/>
      <c r="GQ246" s="1058"/>
      <c r="GR246" s="1058"/>
      <c r="GS246" s="1058"/>
      <c r="GT246" s="1058"/>
      <c r="GU246" s="1058"/>
      <c r="GV246" s="1058"/>
      <c r="GW246" s="1058"/>
      <c r="GX246" s="1058"/>
      <c r="GY246" s="1058"/>
      <c r="GZ246" s="1058"/>
      <c r="HA246" s="1058"/>
      <c r="HB246" s="1058"/>
      <c r="HC246" s="1058"/>
      <c r="HD246" s="1058"/>
      <c r="HE246" s="1058"/>
      <c r="HF246" s="1058"/>
      <c r="HG246" s="1058"/>
      <c r="HH246" s="1058"/>
      <c r="HI246" s="1058"/>
      <c r="HJ246" s="1058"/>
      <c r="HK246" s="1058"/>
      <c r="HL246" s="1058"/>
      <c r="HM246" s="1058"/>
      <c r="HN246" s="1058"/>
      <c r="HO246" s="1058"/>
      <c r="HP246" s="1058"/>
      <c r="HQ246" s="1058"/>
      <c r="HR246" s="1058"/>
      <c r="HS246" s="1058"/>
      <c r="HT246" s="1058"/>
      <c r="HU246" s="1058"/>
      <c r="HV246" s="1058"/>
      <c r="HW246" s="1058"/>
      <c r="HX246" s="1058"/>
      <c r="HY246" s="1058"/>
      <c r="HZ246" s="1058"/>
      <c r="IA246" s="1058"/>
      <c r="IB246" s="1058"/>
      <c r="IC246" s="1058"/>
      <c r="ID246" s="1058"/>
      <c r="IE246" s="1058"/>
      <c r="IF246" s="1058"/>
      <c r="IG246" s="1058"/>
      <c r="IH246" s="1058"/>
      <c r="II246" s="1058"/>
      <c r="IJ246" s="1058"/>
      <c r="IK246" s="1058"/>
      <c r="IL246" s="1058"/>
      <c r="IM246" s="1058"/>
      <c r="IN246" s="1058"/>
      <c r="IO246" s="1058"/>
      <c r="IP246" s="1058"/>
      <c r="IQ246" s="1058"/>
      <c r="IR246" s="1058"/>
      <c r="IS246" s="1058"/>
      <c r="IT246" s="1058"/>
      <c r="IU246" s="1058"/>
      <c r="IV246" s="1058"/>
      <c r="IW246" s="1058"/>
      <c r="IX246" s="1058"/>
      <c r="IY246" s="1058"/>
      <c r="IZ246" s="1058"/>
      <c r="JA246" s="1058"/>
      <c r="JB246" s="1058"/>
      <c r="JC246" s="1058"/>
      <c r="JD246" s="1058"/>
      <c r="JE246" s="1058"/>
      <c r="JF246" s="1058"/>
      <c r="JG246" s="1058"/>
      <c r="JH246" s="1058"/>
      <c r="JI246" s="1058"/>
      <c r="JJ246" s="1058"/>
      <c r="JK246" s="1058"/>
      <c r="JL246" s="1058"/>
      <c r="JM246" s="1058"/>
      <c r="JN246" s="1058"/>
      <c r="JO246" s="1058"/>
      <c r="JP246" s="1058"/>
      <c r="JQ246" s="1058"/>
      <c r="JR246" s="1058"/>
      <c r="JS246" s="1058"/>
      <c r="JT246" s="1058"/>
      <c r="JU246" s="1058"/>
      <c r="JV246" s="1059"/>
      <c r="JW246" s="1058"/>
      <c r="JX246" s="1058"/>
      <c r="JY246" s="1058"/>
      <c r="JZ246" s="1058"/>
      <c r="KA246" s="1059"/>
      <c r="KB246" s="1059"/>
      <c r="KC246" s="1059"/>
      <c r="KD246" s="1059"/>
      <c r="KE246" s="1059"/>
      <c r="KF246" s="1059"/>
      <c r="KG246" s="1059"/>
      <c r="KH246" s="1059"/>
      <c r="KI246" s="1059"/>
      <c r="KJ246" s="1059"/>
      <c r="KK246" s="1059"/>
      <c r="KL246" s="1059"/>
      <c r="KM246" s="1059"/>
      <c r="KN246" s="1059"/>
      <c r="KO246" s="1059"/>
      <c r="KP246" s="1059"/>
      <c r="KQ246" s="1059"/>
      <c r="KR246" s="1059"/>
      <c r="KS246" s="1059"/>
      <c r="KT246" s="1059"/>
      <c r="KU246" s="1059"/>
      <c r="KV246" s="1059"/>
      <c r="KW246" s="1059"/>
      <c r="KX246" s="1059"/>
      <c r="KY246" s="1059"/>
      <c r="KZ246" s="1059"/>
      <c r="LA246" s="1059"/>
      <c r="LB246" s="1059"/>
      <c r="LC246" s="1059"/>
      <c r="LD246" s="1059"/>
      <c r="LE246" s="1059"/>
      <c r="LF246" s="1059"/>
      <c r="LG246" s="1058"/>
      <c r="LH246" s="1058"/>
      <c r="LI246" s="1058"/>
      <c r="LJ246" s="1058"/>
      <c r="LK246" s="1058"/>
      <c r="LL246" s="1058"/>
      <c r="LM246" s="1060"/>
      <c r="LN246" s="1058"/>
      <c r="LO246" s="1058"/>
      <c r="LP246" s="1058"/>
      <c r="LQ246" s="1058"/>
      <c r="LR246" s="1058"/>
      <c r="LS246" s="1058"/>
      <c r="LT246" s="1058"/>
      <c r="LU246" s="1058"/>
      <c r="LV246" s="1058"/>
      <c r="LW246" s="1058"/>
      <c r="LX246" s="1058"/>
      <c r="LY246" s="1058"/>
      <c r="LZ246" s="1058"/>
      <c r="MA246" s="1058"/>
      <c r="MB246" s="1058"/>
      <c r="MC246" s="1060"/>
      <c r="MD246" s="1060"/>
      <c r="ME246" s="1058"/>
      <c r="MF246" s="1058"/>
      <c r="MG246" s="1058"/>
      <c r="MH246" s="1058"/>
      <c r="MI246" s="1058"/>
      <c r="MJ246" s="1058"/>
      <c r="MK246" s="1058"/>
      <c r="ML246" s="1058"/>
      <c r="MM246" s="1058"/>
      <c r="MN246" s="1058"/>
      <c r="MO246" s="1058"/>
      <c r="MP246" s="1058"/>
      <c r="MQ246" s="1058"/>
      <c r="MR246" s="1058"/>
      <c r="MS246" s="1058"/>
      <c r="MT246" s="1058"/>
      <c r="MU246" s="1058"/>
      <c r="MV246" s="1058"/>
      <c r="MW246" s="1058"/>
      <c r="MX246" s="1058"/>
      <c r="MY246" s="1058"/>
      <c r="MZ246" s="1058"/>
      <c r="NA246" s="1058"/>
      <c r="NB246" s="1058"/>
      <c r="NC246" s="1058"/>
      <c r="ND246" s="1058"/>
      <c r="NE246" s="1058"/>
      <c r="NF246" s="1058"/>
      <c r="NG246" s="1058"/>
      <c r="NH246" s="1058"/>
      <c r="NI246" s="1058"/>
      <c r="NJ246" s="1058"/>
      <c r="NK246" s="1058"/>
      <c r="NL246" s="1058"/>
      <c r="NM246" s="1058"/>
      <c r="NN246" s="1058"/>
      <c r="NO246" s="1058"/>
      <c r="NP246" s="1058"/>
      <c r="NQ246" s="1058"/>
      <c r="NR246" s="1058"/>
      <c r="NS246" s="1058"/>
      <c r="NT246" s="1058"/>
      <c r="NU246" s="1058"/>
      <c r="NV246" s="1058"/>
      <c r="NW246" s="1058"/>
      <c r="NX246" s="1058"/>
      <c r="NY246" s="1058"/>
      <c r="NZ246" s="1058"/>
      <c r="OA246" s="1058"/>
      <c r="OB246" s="1058"/>
      <c r="OC246" s="1058"/>
      <c r="OD246" s="1018"/>
      <c r="OE246" s="1018"/>
      <c r="OF246" s="1018"/>
      <c r="OG246" s="1018"/>
      <c r="OH246" s="1018"/>
      <c r="OI246" s="1018"/>
      <c r="OJ246" s="1018"/>
      <c r="OK246" s="1018"/>
      <c r="OL246" s="1018"/>
      <c r="OM246" s="1018"/>
      <c r="ON246" s="1018"/>
      <c r="OO246" s="1018"/>
      <c r="OP246" s="1018"/>
      <c r="OQ246" s="1018"/>
      <c r="OR246" s="1018"/>
      <c r="OS246" s="1018"/>
      <c r="OT246" s="1018"/>
      <c r="OU246" s="1018"/>
      <c r="OV246" s="1018"/>
      <c r="OW246" s="1018"/>
      <c r="OX246" s="1018"/>
      <c r="OY246" s="1018"/>
      <c r="OZ246" s="1018"/>
      <c r="PA246" s="1018"/>
      <c r="PB246" s="1018"/>
      <c r="PC246" s="1018"/>
      <c r="PD246" s="1018"/>
      <c r="PE246" s="1018"/>
      <c r="PF246" s="1018"/>
      <c r="PG246" s="1018"/>
      <c r="PH246" s="1018"/>
      <c r="PI246" s="1018"/>
      <c r="PJ246" s="1018"/>
      <c r="PK246" s="1018"/>
      <c r="PL246" s="1018"/>
      <c r="PM246" s="1018"/>
      <c r="PN246" s="1018"/>
      <c r="PO246" s="1018"/>
      <c r="PP246" s="1018"/>
      <c r="PQ246" s="1018"/>
      <c r="PR246" s="1018"/>
      <c r="PS246" s="1018"/>
      <c r="PT246" s="1018"/>
      <c r="PU246" s="1018"/>
      <c r="PV246" s="1018"/>
      <c r="PW246" s="1018"/>
      <c r="PX246" s="1018"/>
      <c r="PY246" s="1018"/>
      <c r="PZ246" s="1018"/>
      <c r="QA246" s="1018"/>
      <c r="QB246" s="1018"/>
      <c r="QC246" s="1018"/>
      <c r="QD246" s="1018"/>
      <c r="QE246" s="1018"/>
      <c r="QF246" s="1018"/>
      <c r="QG246" s="1018"/>
      <c r="QH246" s="1018"/>
      <c r="QI246" s="1018"/>
      <c r="QJ246" s="1018"/>
      <c r="QK246" s="1018"/>
      <c r="QL246" s="1018"/>
      <c r="QM246" s="1018"/>
      <c r="QN246" s="1018"/>
      <c r="QO246" s="1018"/>
      <c r="QP246" s="1018"/>
      <c r="QQ246" s="1018"/>
      <c r="QR246" s="1018"/>
      <c r="QS246" s="1018"/>
      <c r="QT246" s="1018"/>
      <c r="QU246" s="1018"/>
      <c r="QV246" s="1018"/>
      <c r="QW246" s="1018"/>
      <c r="QX246" s="1018"/>
      <c r="QY246" s="1018"/>
      <c r="QZ246" s="1018"/>
      <c r="RA246" s="1018"/>
      <c r="RB246" s="1018"/>
      <c r="RC246" s="1018"/>
      <c r="RD246" s="1018"/>
      <c r="RE246" s="1018"/>
      <c r="RF246" s="1018"/>
      <c r="RG246" s="1018"/>
      <c r="RH246" s="1018"/>
      <c r="RI246" s="1018"/>
      <c r="RJ246" s="1018"/>
      <c r="RK246" s="1018"/>
      <c r="RL246" s="1018"/>
      <c r="RM246" s="1018"/>
      <c r="RN246" s="1018"/>
      <c r="RO246" s="1018"/>
      <c r="RP246" s="1018"/>
      <c r="RQ246" s="1018"/>
      <c r="RR246" s="1018"/>
      <c r="RS246" s="1018"/>
      <c r="RT246" s="1018"/>
      <c r="RU246" s="1018"/>
      <c r="RV246" s="1018"/>
      <c r="RW246" s="1018"/>
      <c r="RX246" s="1018"/>
    </row>
    <row r="247" spans="1:492" s="1057" customFormat="1" ht="39" customHeight="1">
      <c r="A247" s="1018"/>
      <c r="B247" s="1013"/>
      <c r="C247" s="1290"/>
      <c r="D247" s="1018"/>
      <c r="E247" s="1018"/>
      <c r="F247" s="1293"/>
      <c r="G247" s="1293"/>
      <c r="H247" s="1018"/>
      <c r="I247" s="1018"/>
      <c r="J247" s="1293"/>
      <c r="K247" s="1018"/>
      <c r="L247" s="1018"/>
      <c r="M247" s="1018"/>
      <c r="N247" s="1013"/>
      <c r="O247" s="1018"/>
      <c r="P247" s="1292"/>
      <c r="Q247" s="1292"/>
      <c r="W247" s="1064"/>
      <c r="X247" s="1058"/>
      <c r="Y247" s="1058"/>
      <c r="Z247" s="1058"/>
      <c r="AA247" s="1058"/>
      <c r="AB247" s="1064"/>
      <c r="AC247" s="1058"/>
      <c r="AD247" s="1058"/>
      <c r="AE247" s="1058"/>
      <c r="AF247" s="1058"/>
      <c r="AG247" s="1064"/>
      <c r="AH247" s="1058"/>
      <c r="AI247" s="1058"/>
      <c r="AJ247" s="1058"/>
      <c r="AK247" s="1058"/>
      <c r="AL247" s="1064"/>
      <c r="AM247" s="1058"/>
      <c r="AN247" s="1058"/>
      <c r="AO247" s="1058"/>
      <c r="AP247" s="1058"/>
      <c r="AQ247" s="1058"/>
      <c r="AR247" s="1058"/>
      <c r="AS247" s="1058"/>
      <c r="AT247" s="1058"/>
      <c r="AU247" s="1058"/>
      <c r="AV247" s="1058"/>
      <c r="AW247" s="1058"/>
      <c r="AX247" s="1058"/>
      <c r="AY247" s="1058"/>
      <c r="AZ247" s="1058"/>
      <c r="BA247" s="1058"/>
      <c r="BB247" s="1058"/>
      <c r="BC247" s="1058"/>
      <c r="BD247" s="1058"/>
      <c r="BE247" s="1058"/>
      <c r="BF247" s="1058"/>
      <c r="BG247" s="1058"/>
      <c r="BH247" s="1058"/>
      <c r="BI247" s="1058"/>
      <c r="BJ247" s="1058"/>
      <c r="BK247" s="1058"/>
      <c r="BL247" s="1058"/>
      <c r="BM247" s="1058"/>
      <c r="BN247" s="1058"/>
      <c r="BO247" s="1058"/>
      <c r="BP247" s="1058"/>
      <c r="BQ247" s="1058"/>
      <c r="BR247" s="1058"/>
      <c r="BS247" s="1058"/>
      <c r="BT247" s="1058"/>
      <c r="BU247" s="1058"/>
      <c r="BV247" s="1058"/>
      <c r="BW247" s="1058"/>
      <c r="BX247" s="1058"/>
      <c r="BY247" s="1058"/>
      <c r="BZ247" s="1058"/>
      <c r="CA247" s="1058"/>
      <c r="CB247" s="1058"/>
      <c r="CC247" s="1058"/>
      <c r="CD247" s="1058"/>
      <c r="CE247" s="1058"/>
      <c r="CF247" s="1058"/>
      <c r="CG247" s="1058"/>
      <c r="CH247" s="1058"/>
      <c r="CI247" s="1058"/>
      <c r="CJ247" s="1058"/>
      <c r="CK247" s="1058"/>
      <c r="CL247" s="1058"/>
      <c r="CM247" s="1058"/>
      <c r="CN247" s="1058"/>
      <c r="CO247" s="1058"/>
      <c r="CP247" s="1058"/>
      <c r="CQ247" s="1058"/>
      <c r="CR247" s="1058"/>
      <c r="CS247" s="1058"/>
      <c r="CT247" s="1058"/>
      <c r="CU247" s="1058"/>
      <c r="CV247" s="1058"/>
      <c r="CW247" s="1058"/>
      <c r="CX247" s="1058"/>
      <c r="CY247" s="1058"/>
      <c r="CZ247" s="1058"/>
      <c r="DA247" s="1058"/>
      <c r="DB247" s="1058"/>
      <c r="DC247" s="1058"/>
      <c r="DD247" s="1058"/>
      <c r="DE247" s="1058"/>
      <c r="DF247" s="1058"/>
      <c r="DG247" s="1058"/>
      <c r="DH247" s="1058"/>
      <c r="DI247" s="1058"/>
      <c r="DJ247" s="1058"/>
      <c r="DK247" s="1058"/>
      <c r="DL247" s="1058"/>
      <c r="DM247" s="1058"/>
      <c r="DN247" s="1058"/>
      <c r="DO247" s="1058"/>
      <c r="DP247" s="1058"/>
      <c r="DQ247" s="1058"/>
      <c r="DR247" s="1058"/>
      <c r="DS247" s="1058"/>
      <c r="DT247" s="1058"/>
      <c r="DU247" s="1058"/>
      <c r="DV247" s="1058"/>
      <c r="DW247" s="1058"/>
      <c r="DX247" s="1058"/>
      <c r="DY247" s="1058"/>
      <c r="DZ247" s="1058"/>
      <c r="EA247" s="1058"/>
      <c r="EB247" s="1058"/>
      <c r="EC247" s="1058"/>
      <c r="ED247" s="1058"/>
      <c r="EE247" s="1058"/>
      <c r="EF247" s="1058"/>
      <c r="EG247" s="1058"/>
      <c r="EH247" s="1058"/>
      <c r="EI247" s="1058"/>
      <c r="EJ247" s="1058"/>
      <c r="EK247" s="1058"/>
      <c r="EL247" s="1058"/>
      <c r="EM247" s="1058"/>
      <c r="EN247" s="1058"/>
      <c r="EO247" s="1058"/>
      <c r="EP247" s="1058"/>
      <c r="EQ247" s="1058"/>
      <c r="ER247" s="1058"/>
      <c r="ES247" s="1058"/>
      <c r="ET247" s="1058"/>
      <c r="EU247" s="1058"/>
      <c r="EV247" s="1058"/>
      <c r="EW247" s="1058"/>
      <c r="EX247" s="1058"/>
      <c r="EY247" s="1058"/>
      <c r="EZ247" s="1058"/>
      <c r="FA247" s="1058"/>
      <c r="FB247" s="1058"/>
      <c r="FC247" s="1058"/>
      <c r="FD247" s="1058"/>
      <c r="FE247" s="1058"/>
      <c r="FF247" s="1058"/>
      <c r="FG247" s="1058"/>
      <c r="FH247" s="1058"/>
      <c r="FI247" s="1058"/>
      <c r="FJ247" s="1058"/>
      <c r="FK247" s="1058"/>
      <c r="FL247" s="1058"/>
      <c r="FM247" s="1058"/>
      <c r="FN247" s="1058"/>
      <c r="FO247" s="1058"/>
      <c r="FP247" s="1058"/>
      <c r="FQ247" s="1058"/>
      <c r="FR247" s="1058"/>
      <c r="FS247" s="1058"/>
      <c r="FT247" s="1058"/>
      <c r="FU247" s="1058"/>
      <c r="FV247" s="1058"/>
      <c r="FW247" s="1058"/>
      <c r="FX247" s="1058"/>
      <c r="FY247" s="1058"/>
      <c r="FZ247" s="1058"/>
      <c r="GA247" s="1058"/>
      <c r="GB247" s="1058"/>
      <c r="GC247" s="1058"/>
      <c r="GD247" s="1058"/>
      <c r="GE247" s="1058"/>
      <c r="GF247" s="1058"/>
      <c r="GG247" s="1058"/>
      <c r="GH247" s="1058"/>
      <c r="GI247" s="1058"/>
      <c r="GJ247" s="1058"/>
      <c r="GK247" s="1058"/>
      <c r="GL247" s="1058"/>
      <c r="GM247" s="1058"/>
      <c r="GN247" s="1058"/>
      <c r="GO247" s="1058"/>
      <c r="GP247" s="1058"/>
      <c r="GQ247" s="1058"/>
      <c r="GR247" s="1058"/>
      <c r="GS247" s="1058"/>
      <c r="GT247" s="1058"/>
      <c r="GU247" s="1058"/>
      <c r="GV247" s="1058"/>
      <c r="GW247" s="1058"/>
      <c r="GX247" s="1058"/>
      <c r="GY247" s="1058"/>
      <c r="GZ247" s="1058"/>
      <c r="HA247" s="1058"/>
      <c r="HB247" s="1058"/>
      <c r="HC247" s="1058"/>
      <c r="HD247" s="1058"/>
      <c r="HE247" s="1058"/>
      <c r="HF247" s="1058"/>
      <c r="HG247" s="1058"/>
      <c r="HH247" s="1058"/>
      <c r="HI247" s="1058"/>
      <c r="HJ247" s="1058"/>
      <c r="HK247" s="1058"/>
      <c r="HL247" s="1058"/>
      <c r="HM247" s="1058"/>
      <c r="HN247" s="1058"/>
      <c r="HO247" s="1058"/>
      <c r="HP247" s="1058"/>
      <c r="HQ247" s="1058"/>
      <c r="HR247" s="1058"/>
      <c r="HS247" s="1058"/>
      <c r="HT247" s="1058"/>
      <c r="HU247" s="1058"/>
      <c r="HV247" s="1058"/>
      <c r="HW247" s="1058"/>
      <c r="HX247" s="1058"/>
      <c r="HY247" s="1058"/>
      <c r="HZ247" s="1058"/>
      <c r="IA247" s="1058"/>
      <c r="IB247" s="1058"/>
      <c r="IC247" s="1058"/>
      <c r="ID247" s="1058"/>
      <c r="IE247" s="1058"/>
      <c r="IF247" s="1058"/>
      <c r="IG247" s="1058"/>
      <c r="IH247" s="1058"/>
      <c r="II247" s="1058"/>
      <c r="IJ247" s="1058"/>
      <c r="IK247" s="1058"/>
      <c r="IL247" s="1058"/>
      <c r="IM247" s="1058"/>
      <c r="IN247" s="1058"/>
      <c r="IO247" s="1058"/>
      <c r="IP247" s="1058"/>
      <c r="IQ247" s="1058"/>
      <c r="IR247" s="1058"/>
      <c r="IS247" s="1058"/>
      <c r="IT247" s="1058"/>
      <c r="IU247" s="1058"/>
      <c r="IV247" s="1058"/>
      <c r="IW247" s="1058"/>
      <c r="IX247" s="1058"/>
      <c r="IY247" s="1058"/>
      <c r="IZ247" s="1058"/>
      <c r="JA247" s="1058"/>
      <c r="JB247" s="1058"/>
      <c r="JC247" s="1058"/>
      <c r="JD247" s="1058"/>
      <c r="JE247" s="1058"/>
      <c r="JF247" s="1058"/>
      <c r="JG247" s="1058"/>
      <c r="JH247" s="1058"/>
      <c r="JI247" s="1058"/>
      <c r="JJ247" s="1058"/>
      <c r="JK247" s="1058"/>
      <c r="JL247" s="1058"/>
      <c r="JM247" s="1058"/>
      <c r="JN247" s="1058"/>
      <c r="JO247" s="1058"/>
      <c r="JP247" s="1058"/>
      <c r="JQ247" s="1058"/>
      <c r="JR247" s="1058"/>
      <c r="JS247" s="1058"/>
      <c r="JT247" s="1058"/>
      <c r="JU247" s="1058"/>
      <c r="JV247" s="1059"/>
      <c r="JW247" s="1058"/>
      <c r="JX247" s="1058"/>
      <c r="JY247" s="1058"/>
      <c r="JZ247" s="1058"/>
      <c r="KA247" s="1059"/>
      <c r="KB247" s="1059"/>
      <c r="KC247" s="1059"/>
      <c r="KD247" s="1059"/>
      <c r="KE247" s="1059"/>
      <c r="KF247" s="1059"/>
      <c r="KG247" s="1059"/>
      <c r="KH247" s="1059"/>
      <c r="KI247" s="1059"/>
      <c r="KJ247" s="1059"/>
      <c r="KK247" s="1059"/>
      <c r="KL247" s="1059"/>
      <c r="KM247" s="1059"/>
      <c r="KN247" s="1059"/>
      <c r="KO247" s="1059"/>
      <c r="KP247" s="1059"/>
      <c r="KQ247" s="1059"/>
      <c r="KR247" s="1059"/>
      <c r="KS247" s="1059"/>
      <c r="KT247" s="1059"/>
      <c r="KU247" s="1059"/>
      <c r="KV247" s="1059"/>
      <c r="KW247" s="1059"/>
      <c r="KX247" s="1059"/>
      <c r="KY247" s="1059"/>
      <c r="KZ247" s="1059"/>
      <c r="LA247" s="1059"/>
      <c r="LB247" s="1059"/>
      <c r="LC247" s="1059"/>
      <c r="LD247" s="1059"/>
      <c r="LE247" s="1059"/>
      <c r="LF247" s="1059"/>
      <c r="LG247" s="1058"/>
      <c r="LH247" s="1058"/>
      <c r="LI247" s="1058"/>
      <c r="LJ247" s="1058"/>
      <c r="LK247" s="1058"/>
      <c r="LL247" s="1058"/>
      <c r="LM247" s="1060"/>
      <c r="LN247" s="1058"/>
      <c r="LO247" s="1058"/>
      <c r="LP247" s="1058"/>
      <c r="LQ247" s="1058"/>
      <c r="LR247" s="1058"/>
      <c r="LS247" s="1058"/>
      <c r="LT247" s="1058"/>
      <c r="LU247" s="1058"/>
      <c r="LV247" s="1058"/>
      <c r="LW247" s="1058"/>
      <c r="LX247" s="1058"/>
      <c r="LY247" s="1058"/>
      <c r="LZ247" s="1058"/>
      <c r="MA247" s="1058"/>
      <c r="MB247" s="1058"/>
      <c r="MC247" s="1060"/>
      <c r="MD247" s="1060"/>
      <c r="ME247" s="1058"/>
      <c r="MF247" s="1058"/>
      <c r="MG247" s="1058"/>
      <c r="MH247" s="1058"/>
      <c r="MI247" s="1058"/>
      <c r="MJ247" s="1058"/>
      <c r="MK247" s="1058"/>
      <c r="ML247" s="1058"/>
      <c r="MM247" s="1058"/>
      <c r="MN247" s="1058"/>
      <c r="MO247" s="1058"/>
      <c r="MP247" s="1058"/>
      <c r="MQ247" s="1058"/>
      <c r="MR247" s="1058"/>
      <c r="MS247" s="1058"/>
      <c r="MT247" s="1058"/>
      <c r="MU247" s="1058"/>
      <c r="MV247" s="1058"/>
      <c r="MW247" s="1058"/>
      <c r="MX247" s="1058"/>
      <c r="MY247" s="1058"/>
      <c r="MZ247" s="1058"/>
      <c r="NA247" s="1058"/>
      <c r="NB247" s="1058"/>
      <c r="NC247" s="1058"/>
      <c r="ND247" s="1058"/>
      <c r="NE247" s="1058"/>
      <c r="NF247" s="1058"/>
      <c r="NG247" s="1058"/>
      <c r="NH247" s="1058"/>
      <c r="NI247" s="1058"/>
      <c r="NJ247" s="1058"/>
      <c r="NK247" s="1058"/>
      <c r="NL247" s="1058"/>
      <c r="NM247" s="1058"/>
      <c r="NN247" s="1058"/>
      <c r="NO247" s="1058"/>
      <c r="NP247" s="1058"/>
      <c r="NQ247" s="1058"/>
      <c r="NR247" s="1058"/>
      <c r="NS247" s="1058"/>
      <c r="NT247" s="1058"/>
      <c r="NU247" s="1058"/>
      <c r="NV247" s="1058"/>
      <c r="NW247" s="1058"/>
      <c r="NX247" s="1058"/>
      <c r="NY247" s="1058"/>
      <c r="NZ247" s="1058"/>
      <c r="OA247" s="1058"/>
      <c r="OB247" s="1058"/>
      <c r="OC247" s="1058"/>
      <c r="OD247" s="1018"/>
      <c r="OE247" s="1018"/>
      <c r="OF247" s="1018"/>
      <c r="OG247" s="1018"/>
      <c r="OH247" s="1018"/>
      <c r="OI247" s="1018"/>
      <c r="OJ247" s="1018"/>
      <c r="OK247" s="1018"/>
      <c r="OL247" s="1018"/>
      <c r="OM247" s="1018"/>
      <c r="ON247" s="1018"/>
      <c r="OO247" s="1018"/>
      <c r="OP247" s="1018"/>
      <c r="OQ247" s="1018"/>
      <c r="OR247" s="1018"/>
      <c r="OS247" s="1018"/>
      <c r="OT247" s="1018"/>
      <c r="OU247" s="1018"/>
      <c r="OV247" s="1018"/>
      <c r="OW247" s="1018"/>
      <c r="OX247" s="1018"/>
      <c r="OY247" s="1018"/>
      <c r="OZ247" s="1018"/>
      <c r="PA247" s="1018"/>
      <c r="PB247" s="1018"/>
      <c r="PC247" s="1018"/>
      <c r="PD247" s="1018"/>
      <c r="PE247" s="1018"/>
      <c r="PF247" s="1018"/>
      <c r="PG247" s="1018"/>
      <c r="PH247" s="1018"/>
      <c r="PI247" s="1018"/>
      <c r="PJ247" s="1018"/>
      <c r="PK247" s="1018"/>
      <c r="PL247" s="1018"/>
      <c r="PM247" s="1018"/>
      <c r="PN247" s="1018"/>
      <c r="PO247" s="1018"/>
      <c r="PP247" s="1018"/>
      <c r="PQ247" s="1018"/>
      <c r="PR247" s="1018"/>
      <c r="PS247" s="1018"/>
      <c r="PT247" s="1018"/>
      <c r="PU247" s="1018"/>
      <c r="PV247" s="1018"/>
      <c r="PW247" s="1018"/>
      <c r="PX247" s="1018"/>
      <c r="PY247" s="1018"/>
      <c r="PZ247" s="1018"/>
      <c r="QA247" s="1018"/>
      <c r="QB247" s="1018"/>
      <c r="QC247" s="1018"/>
      <c r="QD247" s="1018"/>
      <c r="QE247" s="1018"/>
      <c r="QF247" s="1018"/>
      <c r="QG247" s="1018"/>
      <c r="QH247" s="1018"/>
      <c r="QI247" s="1018"/>
      <c r="QJ247" s="1018"/>
      <c r="QK247" s="1018"/>
      <c r="QL247" s="1018"/>
      <c r="QM247" s="1018"/>
      <c r="QN247" s="1018"/>
      <c r="QO247" s="1018"/>
      <c r="QP247" s="1018"/>
      <c r="QQ247" s="1018"/>
      <c r="QR247" s="1018"/>
      <c r="QS247" s="1018"/>
      <c r="QT247" s="1018"/>
      <c r="QU247" s="1018"/>
      <c r="QV247" s="1018"/>
      <c r="QW247" s="1018"/>
      <c r="QX247" s="1018"/>
      <c r="QY247" s="1018"/>
      <c r="QZ247" s="1018"/>
      <c r="RA247" s="1018"/>
      <c r="RB247" s="1018"/>
      <c r="RC247" s="1018"/>
      <c r="RD247" s="1018"/>
      <c r="RE247" s="1018"/>
      <c r="RF247" s="1018"/>
      <c r="RG247" s="1018"/>
      <c r="RH247" s="1018"/>
      <c r="RI247" s="1018"/>
      <c r="RJ247" s="1018"/>
      <c r="RK247" s="1018"/>
      <c r="RL247" s="1018"/>
      <c r="RM247" s="1018"/>
      <c r="RN247" s="1018"/>
      <c r="RO247" s="1018"/>
      <c r="RP247" s="1018"/>
      <c r="RQ247" s="1018"/>
      <c r="RR247" s="1018"/>
      <c r="RS247" s="1018"/>
      <c r="RT247" s="1018"/>
      <c r="RU247" s="1018"/>
      <c r="RV247" s="1018"/>
      <c r="RW247" s="1018"/>
      <c r="RX247" s="1018"/>
    </row>
    <row r="248" spans="1:492" ht="12" customHeight="1">
      <c r="A248" s="885" t="s">
        <v>3414</v>
      </c>
      <c r="B248" s="885" t="s">
        <v>531</v>
      </c>
      <c r="M248" s="885" t="s">
        <v>3415</v>
      </c>
      <c r="N248" s="885"/>
    </row>
    <row r="249" spans="1:492" ht="408.75" customHeight="1">
      <c r="A249" s="2341" t="s">
        <v>3416</v>
      </c>
      <c r="B249" s="2341"/>
      <c r="C249" s="2341"/>
      <c r="D249" s="2341"/>
      <c r="E249" s="2341"/>
      <c r="F249" s="2341"/>
      <c r="G249" s="2341"/>
      <c r="H249" s="2341"/>
      <c r="I249" s="2341"/>
      <c r="J249" s="2341"/>
      <c r="K249" s="2341"/>
      <c r="L249" s="2341"/>
      <c r="M249" s="2342"/>
      <c r="N249" s="2342"/>
      <c r="O249" s="2342"/>
      <c r="P249" s="2342"/>
      <c r="Q249" s="2343" t="s">
        <v>3417</v>
      </c>
      <c r="R249" s="2287"/>
      <c r="S249" s="2287"/>
      <c r="T249" s="2287"/>
    </row>
    <row r="250" spans="1:492" ht="11.25" customHeight="1"/>
    <row r="251" spans="1:492" ht="12" customHeight="1"/>
    <row r="252" spans="1:492" ht="12" customHeight="1"/>
    <row r="253" spans="1:492" ht="14.1" customHeight="1"/>
    <row r="254" spans="1:492" s="1057" customFormat="1" ht="14.1" customHeight="1">
      <c r="A254" s="1018"/>
      <c r="B254" s="1018"/>
      <c r="C254" s="1018"/>
      <c r="D254" s="1018"/>
      <c r="E254" s="1018"/>
      <c r="F254" s="1018"/>
      <c r="G254" s="1018"/>
      <c r="H254" s="1018"/>
      <c r="I254" s="1018"/>
      <c r="J254" s="1018"/>
      <c r="K254" s="1018"/>
      <c r="L254" s="1018"/>
      <c r="M254" s="1018"/>
      <c r="N254" s="1018"/>
      <c r="O254" s="1018"/>
      <c r="W254" s="1058"/>
      <c r="X254" s="1058"/>
      <c r="Y254" s="1058"/>
      <c r="Z254" s="1058"/>
      <c r="AA254" s="1058"/>
      <c r="AB254" s="1058"/>
      <c r="AC254" s="1058"/>
      <c r="AD254" s="1058"/>
      <c r="AE254" s="1058"/>
      <c r="AF254" s="1058"/>
      <c r="AG254" s="1058"/>
      <c r="AH254" s="1058"/>
      <c r="AI254" s="1058"/>
      <c r="AJ254" s="1058"/>
      <c r="AK254" s="1058"/>
      <c r="AL254" s="1058"/>
      <c r="AM254" s="1058"/>
      <c r="AN254" s="1058"/>
      <c r="AO254" s="1058"/>
      <c r="AP254" s="1058"/>
      <c r="AQ254" s="1058"/>
      <c r="AR254" s="1058"/>
      <c r="AS254" s="1058"/>
      <c r="AT254" s="1058"/>
      <c r="AU254" s="1058"/>
      <c r="AV254" s="1058"/>
      <c r="AW254" s="1058"/>
      <c r="AX254" s="1058"/>
      <c r="AY254" s="1058"/>
      <c r="AZ254" s="1058"/>
      <c r="BA254" s="1058"/>
      <c r="BB254" s="1058"/>
      <c r="BC254" s="1058"/>
      <c r="BD254" s="1058"/>
      <c r="BE254" s="1058"/>
      <c r="BF254" s="1058"/>
      <c r="BG254" s="1058"/>
      <c r="BH254" s="1058"/>
      <c r="BI254" s="1058"/>
      <c r="BJ254" s="1058"/>
      <c r="BK254" s="1058"/>
      <c r="BL254" s="1058"/>
      <c r="BM254" s="1058"/>
      <c r="BN254" s="1058"/>
      <c r="BO254" s="1058"/>
      <c r="BP254" s="1058"/>
      <c r="BQ254" s="1058"/>
      <c r="BR254" s="1058"/>
      <c r="BS254" s="1058"/>
      <c r="BT254" s="1058"/>
      <c r="BU254" s="1058"/>
      <c r="BV254" s="1058"/>
      <c r="BW254" s="1058"/>
      <c r="BX254" s="1058"/>
      <c r="BY254" s="1058"/>
      <c r="BZ254" s="1058"/>
      <c r="CA254" s="1058"/>
      <c r="CB254" s="1058"/>
      <c r="CC254" s="1058"/>
      <c r="CD254" s="1058"/>
      <c r="CE254" s="1058"/>
      <c r="CF254" s="1058"/>
      <c r="CG254" s="1058"/>
      <c r="CH254" s="1058"/>
      <c r="CI254" s="1058"/>
      <c r="CJ254" s="1058"/>
      <c r="CK254" s="1058"/>
      <c r="CL254" s="1058"/>
      <c r="CM254" s="1058"/>
      <c r="CN254" s="1058"/>
      <c r="CO254" s="1058"/>
      <c r="CP254" s="1058"/>
      <c r="CQ254" s="1058"/>
      <c r="CR254" s="1058"/>
      <c r="CS254" s="1058"/>
      <c r="CT254" s="1058"/>
      <c r="CU254" s="1058"/>
      <c r="CV254" s="1058"/>
      <c r="CW254" s="1058"/>
      <c r="CX254" s="1058"/>
      <c r="CY254" s="1058"/>
      <c r="CZ254" s="1058"/>
      <c r="DA254" s="1058"/>
      <c r="DB254" s="1058"/>
      <c r="DC254" s="1058"/>
      <c r="DD254" s="1058"/>
      <c r="DE254" s="1058"/>
      <c r="DF254" s="1058"/>
      <c r="DG254" s="1058"/>
      <c r="DH254" s="1058"/>
      <c r="DI254" s="1058"/>
      <c r="DJ254" s="1058"/>
      <c r="DK254" s="1058"/>
      <c r="DL254" s="1058"/>
      <c r="DM254" s="1058"/>
      <c r="DN254" s="1058"/>
      <c r="DO254" s="1058"/>
      <c r="DP254" s="1058"/>
      <c r="DQ254" s="1058"/>
      <c r="DR254" s="1058"/>
      <c r="DS254" s="1058"/>
      <c r="DT254" s="1058"/>
      <c r="DU254" s="1058"/>
      <c r="DV254" s="1058"/>
      <c r="DW254" s="1058"/>
      <c r="DX254" s="1058"/>
      <c r="DY254" s="1058"/>
      <c r="DZ254" s="1058"/>
      <c r="EA254" s="1058"/>
      <c r="EB254" s="1058"/>
      <c r="EC254" s="1058"/>
      <c r="ED254" s="1058"/>
      <c r="EE254" s="1058"/>
      <c r="EF254" s="1058"/>
      <c r="EG254" s="1058"/>
      <c r="EH254" s="1058"/>
      <c r="EI254" s="1058"/>
      <c r="EJ254" s="1058"/>
      <c r="EK254" s="1058"/>
      <c r="EL254" s="1058"/>
      <c r="EM254" s="1058"/>
      <c r="EN254" s="1058"/>
      <c r="EO254" s="1058"/>
      <c r="EP254" s="1058"/>
      <c r="EQ254" s="1058"/>
      <c r="ER254" s="1058"/>
      <c r="ES254" s="1058"/>
      <c r="ET254" s="1058"/>
      <c r="EU254" s="1058"/>
      <c r="EV254" s="1058"/>
      <c r="EW254" s="1058"/>
      <c r="EX254" s="1058"/>
      <c r="EY254" s="1058"/>
      <c r="EZ254" s="1058"/>
      <c r="FA254" s="1058"/>
      <c r="FB254" s="1058"/>
      <c r="FC254" s="1058"/>
      <c r="FD254" s="1058"/>
      <c r="FE254" s="1058"/>
      <c r="FF254" s="1058"/>
      <c r="FG254" s="1058"/>
      <c r="FH254" s="1058"/>
      <c r="FI254" s="1058"/>
      <c r="FJ254" s="1058"/>
      <c r="FK254" s="1058"/>
      <c r="FL254" s="1058"/>
      <c r="FM254" s="1058"/>
      <c r="FN254" s="1058"/>
      <c r="FO254" s="1058"/>
      <c r="FP254" s="1058"/>
      <c r="FQ254" s="1058"/>
      <c r="FR254" s="1058"/>
      <c r="FS254" s="1058"/>
      <c r="FT254" s="1058"/>
      <c r="FU254" s="1058"/>
      <c r="FV254" s="1058"/>
      <c r="FW254" s="1058"/>
      <c r="FX254" s="1058"/>
      <c r="FY254" s="1058"/>
      <c r="FZ254" s="1058"/>
      <c r="GA254" s="1058"/>
      <c r="GB254" s="1058"/>
      <c r="GC254" s="1058"/>
      <c r="GD254" s="1058"/>
      <c r="GE254" s="1058"/>
      <c r="GF254" s="1058"/>
      <c r="GG254" s="1058"/>
      <c r="GH254" s="1058"/>
      <c r="GI254" s="1058"/>
      <c r="GJ254" s="1058"/>
      <c r="GK254" s="1058"/>
      <c r="GL254" s="1058"/>
      <c r="GM254" s="1058"/>
      <c r="GN254" s="1058"/>
      <c r="GO254" s="1058"/>
      <c r="GP254" s="1058"/>
      <c r="GQ254" s="1058"/>
      <c r="GR254" s="1058"/>
      <c r="GS254" s="1058"/>
      <c r="GT254" s="1058"/>
      <c r="GU254" s="1058"/>
      <c r="GV254" s="1058"/>
      <c r="GW254" s="1058"/>
      <c r="GX254" s="1058"/>
      <c r="GY254" s="1058"/>
      <c r="GZ254" s="1058"/>
      <c r="HA254" s="1058"/>
      <c r="HB254" s="1058"/>
      <c r="HC254" s="1058"/>
      <c r="HD254" s="1058"/>
      <c r="HE254" s="1058"/>
      <c r="HF254" s="1058"/>
      <c r="HG254" s="1058"/>
      <c r="HH254" s="1058"/>
      <c r="HI254" s="1058"/>
      <c r="HJ254" s="1058"/>
      <c r="HK254" s="1058"/>
      <c r="HL254" s="1058"/>
      <c r="HM254" s="1058"/>
      <c r="HN254" s="1058"/>
      <c r="HO254" s="1058"/>
      <c r="HP254" s="1058"/>
      <c r="HQ254" s="1058"/>
      <c r="HR254" s="1058"/>
      <c r="HS254" s="1058"/>
      <c r="HT254" s="1058"/>
      <c r="HU254" s="1058"/>
      <c r="HV254" s="1058"/>
      <c r="HW254" s="1058"/>
      <c r="HX254" s="1058"/>
      <c r="HY254" s="1058"/>
      <c r="HZ254" s="1058"/>
      <c r="IA254" s="1058"/>
      <c r="IB254" s="1058"/>
      <c r="IC254" s="1058"/>
      <c r="ID254" s="1058"/>
      <c r="IE254" s="1058"/>
      <c r="IF254" s="1058"/>
      <c r="IG254" s="1058"/>
      <c r="IH254" s="1058"/>
      <c r="II254" s="1058"/>
      <c r="IJ254" s="1058"/>
      <c r="IK254" s="1058"/>
      <c r="IL254" s="1058"/>
      <c r="IM254" s="1058"/>
      <c r="IN254" s="1058"/>
      <c r="IO254" s="1058"/>
      <c r="IP254" s="1058"/>
      <c r="IQ254" s="1058"/>
      <c r="IR254" s="1058"/>
      <c r="IS254" s="1058"/>
      <c r="IT254" s="1058"/>
      <c r="IU254" s="1058"/>
      <c r="IV254" s="1058"/>
      <c r="IW254" s="1058"/>
      <c r="IX254" s="1058"/>
      <c r="IY254" s="1058"/>
      <c r="IZ254" s="1058"/>
      <c r="JA254" s="1058"/>
      <c r="JB254" s="1058"/>
      <c r="JC254" s="1058"/>
      <c r="JD254" s="1058"/>
      <c r="JE254" s="1058"/>
      <c r="JF254" s="1058"/>
      <c r="JG254" s="1058"/>
      <c r="JH254" s="1058"/>
      <c r="JI254" s="1058"/>
      <c r="JJ254" s="1058"/>
      <c r="JK254" s="1058"/>
      <c r="JL254" s="1058"/>
      <c r="JM254" s="1058"/>
      <c r="JN254" s="1058"/>
      <c r="JO254" s="1058"/>
      <c r="JP254" s="1058"/>
      <c r="JQ254" s="1058"/>
      <c r="JR254" s="1058"/>
      <c r="JS254" s="1058"/>
      <c r="JT254" s="1058"/>
      <c r="JU254" s="1058"/>
      <c r="JV254" s="1059"/>
      <c r="JW254" s="1058"/>
      <c r="JX254" s="1058"/>
      <c r="JY254" s="1058"/>
      <c r="JZ254" s="1058"/>
      <c r="KA254" s="1059"/>
      <c r="KB254" s="1059"/>
      <c r="KC254" s="1059"/>
      <c r="KD254" s="1059"/>
      <c r="KE254" s="1059"/>
      <c r="KF254" s="1059"/>
      <c r="KG254" s="1059"/>
      <c r="KH254" s="1059"/>
      <c r="KI254" s="1059"/>
      <c r="KJ254" s="1059"/>
      <c r="KK254" s="1059"/>
      <c r="KL254" s="1059"/>
      <c r="KM254" s="1059"/>
      <c r="KN254" s="1059"/>
      <c r="KO254" s="1059"/>
      <c r="KP254" s="1059"/>
      <c r="KQ254" s="1059"/>
      <c r="KR254" s="1059"/>
      <c r="KS254" s="1059"/>
      <c r="KT254" s="1059"/>
      <c r="KU254" s="1059"/>
      <c r="KV254" s="1059"/>
      <c r="KW254" s="1059"/>
      <c r="KX254" s="1059"/>
      <c r="KY254" s="1059"/>
      <c r="KZ254" s="1059"/>
      <c r="LA254" s="1059"/>
      <c r="LB254" s="1059"/>
      <c r="LC254" s="1059"/>
      <c r="LD254" s="1059"/>
      <c r="LE254" s="1059"/>
      <c r="LF254" s="1059"/>
      <c r="LG254" s="1058"/>
      <c r="LH254" s="1058"/>
      <c r="LI254" s="1058"/>
      <c r="LJ254" s="1058"/>
      <c r="LK254" s="1058"/>
      <c r="LL254" s="1058"/>
      <c r="LM254" s="1060"/>
      <c r="LN254" s="1058"/>
      <c r="LO254" s="1058"/>
      <c r="LP254" s="1058"/>
      <c r="LQ254" s="1058"/>
      <c r="LR254" s="1058"/>
      <c r="LS254" s="1058"/>
      <c r="LT254" s="1058"/>
      <c r="LU254" s="1058"/>
      <c r="LV254" s="1058"/>
      <c r="LW254" s="1058"/>
      <c r="LX254" s="1058"/>
      <c r="LY254" s="1058"/>
      <c r="LZ254" s="1058"/>
      <c r="MA254" s="1058"/>
      <c r="MB254" s="1058"/>
      <c r="MC254" s="1060"/>
      <c r="MD254" s="1060"/>
      <c r="ME254" s="1058"/>
      <c r="MF254" s="1058"/>
      <c r="MG254" s="1058"/>
      <c r="MH254" s="1058"/>
      <c r="MI254" s="1058"/>
      <c r="MJ254" s="1058"/>
      <c r="MK254" s="1058"/>
      <c r="ML254" s="1058"/>
      <c r="MM254" s="1058"/>
      <c r="MN254" s="1058"/>
      <c r="MO254" s="1058"/>
      <c r="MP254" s="1058"/>
      <c r="MQ254" s="1058"/>
      <c r="MR254" s="1058"/>
      <c r="MS254" s="1058"/>
      <c r="MT254" s="1058"/>
      <c r="MU254" s="1058"/>
      <c r="MV254" s="1058"/>
      <c r="MW254" s="1058"/>
      <c r="MX254" s="1058"/>
      <c r="MY254" s="1058"/>
      <c r="MZ254" s="1058"/>
      <c r="NA254" s="1058"/>
      <c r="NB254" s="1058"/>
      <c r="NC254" s="1058"/>
      <c r="ND254" s="1058"/>
      <c r="NE254" s="1058"/>
      <c r="NF254" s="1058"/>
      <c r="NG254" s="1058"/>
      <c r="NH254" s="1058"/>
      <c r="NI254" s="1058"/>
      <c r="NJ254" s="1058"/>
      <c r="NK254" s="1058"/>
      <c r="NL254" s="1058"/>
      <c r="NM254" s="1058"/>
      <c r="NN254" s="1058"/>
      <c r="NO254" s="1058"/>
      <c r="NP254" s="1058"/>
      <c r="NQ254" s="1058"/>
      <c r="NR254" s="1058"/>
      <c r="NS254" s="1058"/>
      <c r="NT254" s="1058"/>
      <c r="NU254" s="1058"/>
      <c r="NV254" s="1058"/>
      <c r="NW254" s="1058"/>
      <c r="NX254" s="1058"/>
      <c r="NY254" s="1058"/>
      <c r="NZ254" s="1058"/>
      <c r="OA254" s="1058"/>
      <c r="OB254" s="1058"/>
      <c r="OC254" s="1058"/>
      <c r="OD254" s="1018"/>
      <c r="OE254" s="1018"/>
      <c r="OF254" s="1018"/>
      <c r="OG254" s="1018"/>
      <c r="OH254" s="1018"/>
      <c r="OI254" s="1018"/>
      <c r="OJ254" s="1018"/>
      <c r="OK254" s="1018"/>
      <c r="OL254" s="1018"/>
      <c r="OM254" s="1018"/>
      <c r="ON254" s="1018"/>
      <c r="OO254" s="1018"/>
      <c r="OP254" s="1018"/>
      <c r="OQ254" s="1018"/>
      <c r="OR254" s="1018"/>
      <c r="OS254" s="1018"/>
      <c r="OT254" s="1018"/>
      <c r="OU254" s="1018"/>
      <c r="OV254" s="1018"/>
      <c r="OW254" s="1018"/>
      <c r="OX254" s="1018"/>
      <c r="OY254" s="1018"/>
      <c r="OZ254" s="1018"/>
      <c r="PA254" s="1018"/>
      <c r="PB254" s="1018"/>
      <c r="PC254" s="1018"/>
      <c r="PD254" s="1018"/>
      <c r="PE254" s="1018"/>
      <c r="PF254" s="1018"/>
      <c r="PG254" s="1018"/>
      <c r="PH254" s="1018"/>
      <c r="PI254" s="1018"/>
      <c r="PJ254" s="1018"/>
      <c r="PK254" s="1018"/>
      <c r="PL254" s="1018"/>
      <c r="PM254" s="1018"/>
      <c r="PN254" s="1018"/>
      <c r="PO254" s="1018"/>
      <c r="PP254" s="1018"/>
      <c r="PQ254" s="1018"/>
      <c r="PR254" s="1018"/>
      <c r="PS254" s="1018"/>
      <c r="PT254" s="1018"/>
      <c r="PU254" s="1018"/>
      <c r="PV254" s="1018"/>
      <c r="PW254" s="1018"/>
      <c r="PX254" s="1018"/>
      <c r="PY254" s="1018"/>
      <c r="PZ254" s="1018"/>
      <c r="QA254" s="1018"/>
      <c r="QB254" s="1018"/>
      <c r="QC254" s="1018"/>
      <c r="QD254" s="1018"/>
      <c r="QE254" s="1018"/>
      <c r="QF254" s="1018"/>
      <c r="QG254" s="1018"/>
      <c r="QH254" s="1018"/>
      <c r="QI254" s="1018"/>
      <c r="QJ254" s="1018"/>
      <c r="QK254" s="1018"/>
      <c r="QL254" s="1018"/>
      <c r="QM254" s="1018"/>
      <c r="QN254" s="1018"/>
      <c r="QO254" s="1018"/>
      <c r="QP254" s="1018"/>
      <c r="QQ254" s="1018"/>
      <c r="QR254" s="1018"/>
      <c r="QS254" s="1018"/>
      <c r="QT254" s="1018"/>
      <c r="QU254" s="1018"/>
      <c r="QV254" s="1018"/>
      <c r="QW254" s="1018"/>
      <c r="QX254" s="1018"/>
      <c r="QY254" s="1018"/>
      <c r="QZ254" s="1018"/>
      <c r="RA254" s="1018"/>
      <c r="RB254" s="1018"/>
      <c r="RC254" s="1018"/>
      <c r="RD254" s="1018"/>
      <c r="RE254" s="1018"/>
      <c r="RF254" s="1018"/>
      <c r="RG254" s="1018"/>
      <c r="RH254" s="1018"/>
      <c r="RI254" s="1018"/>
      <c r="RJ254" s="1018"/>
      <c r="RK254" s="1018"/>
      <c r="RL254" s="1018"/>
      <c r="RM254" s="1018"/>
      <c r="RN254" s="1018"/>
      <c r="RO254" s="1018"/>
      <c r="RP254" s="1018"/>
      <c r="RQ254" s="1018"/>
      <c r="RR254" s="1018"/>
      <c r="RS254" s="1018"/>
      <c r="RT254" s="1018"/>
      <c r="RU254" s="1018"/>
      <c r="RV254" s="1018"/>
      <c r="RW254" s="1018"/>
      <c r="RX254" s="1018"/>
    </row>
    <row r="255" spans="1:492" s="1057" customFormat="1" ht="14.1" customHeight="1">
      <c r="A255" s="1018"/>
      <c r="B255" s="1018"/>
      <c r="C255" s="1018"/>
      <c r="D255" s="1018"/>
      <c r="E255" s="1018"/>
      <c r="F255" s="1018"/>
      <c r="G255" s="1018"/>
      <c r="H255" s="1018"/>
      <c r="I255" s="1018"/>
      <c r="J255" s="1018"/>
      <c r="K255" s="1018"/>
      <c r="L255" s="1018"/>
      <c r="M255" s="1018"/>
      <c r="N255" s="1018"/>
      <c r="O255" s="1018"/>
      <c r="W255" s="1058"/>
      <c r="X255" s="1058"/>
      <c r="Y255" s="1058"/>
      <c r="Z255" s="1058"/>
      <c r="AA255" s="1058"/>
      <c r="AB255" s="1058"/>
      <c r="AC255" s="1058"/>
      <c r="AD255" s="1058"/>
      <c r="AE255" s="1058"/>
      <c r="AF255" s="1058"/>
      <c r="AG255" s="1058"/>
      <c r="AH255" s="1058"/>
      <c r="AI255" s="1058"/>
      <c r="AJ255" s="1058"/>
      <c r="AK255" s="1058"/>
      <c r="AL255" s="1058"/>
      <c r="AM255" s="1058"/>
      <c r="AN255" s="1058"/>
      <c r="AO255" s="1058"/>
      <c r="AP255" s="1058"/>
      <c r="AQ255" s="1058"/>
      <c r="AR255" s="1058"/>
      <c r="AS255" s="1058"/>
      <c r="AT255" s="1058"/>
      <c r="AU255" s="1058"/>
      <c r="AV255" s="1058"/>
      <c r="AW255" s="1058"/>
      <c r="AX255" s="1058"/>
      <c r="AY255" s="1058"/>
      <c r="AZ255" s="1058"/>
      <c r="BA255" s="1058"/>
      <c r="BB255" s="1058"/>
      <c r="BC255" s="1058"/>
      <c r="BD255" s="1058"/>
      <c r="BE255" s="1058"/>
      <c r="BF255" s="1058"/>
      <c r="BG255" s="1058"/>
      <c r="BH255" s="1058"/>
      <c r="BI255" s="1058"/>
      <c r="BJ255" s="1058"/>
      <c r="BK255" s="1058"/>
      <c r="BL255" s="1058"/>
      <c r="BM255" s="1058"/>
      <c r="BN255" s="1058"/>
      <c r="BO255" s="1058"/>
      <c r="BP255" s="1058"/>
      <c r="BQ255" s="1058"/>
      <c r="BR255" s="1058"/>
      <c r="BS255" s="1058"/>
      <c r="BT255" s="1058"/>
      <c r="BU255" s="1058"/>
      <c r="BV255" s="1058"/>
      <c r="BW255" s="1058"/>
      <c r="BX255" s="1058"/>
      <c r="BY255" s="1058"/>
      <c r="BZ255" s="1058"/>
      <c r="CA255" s="1058"/>
      <c r="CB255" s="1058"/>
      <c r="CC255" s="1058"/>
      <c r="CD255" s="1058"/>
      <c r="CE255" s="1058"/>
      <c r="CF255" s="1058"/>
      <c r="CG255" s="1058"/>
      <c r="CH255" s="1058"/>
      <c r="CI255" s="1058"/>
      <c r="CJ255" s="1058"/>
      <c r="CK255" s="1058"/>
      <c r="CL255" s="1058"/>
      <c r="CM255" s="1058"/>
      <c r="CN255" s="1058"/>
      <c r="CO255" s="1058"/>
      <c r="CP255" s="1058"/>
      <c r="CQ255" s="1058"/>
      <c r="CR255" s="1058"/>
      <c r="CS255" s="1058"/>
      <c r="CT255" s="1058"/>
      <c r="CU255" s="1058"/>
      <c r="CV255" s="1058"/>
      <c r="CW255" s="1058"/>
      <c r="CX255" s="1058"/>
      <c r="CY255" s="1058"/>
      <c r="CZ255" s="1058"/>
      <c r="DA255" s="1058"/>
      <c r="DB255" s="1058"/>
      <c r="DC255" s="1058"/>
      <c r="DD255" s="1058"/>
      <c r="DE255" s="1058"/>
      <c r="DF255" s="1058"/>
      <c r="DG255" s="1058"/>
      <c r="DH255" s="1058"/>
      <c r="DI255" s="1058"/>
      <c r="DJ255" s="1058"/>
      <c r="DK255" s="1058"/>
      <c r="DL255" s="1058"/>
      <c r="DM255" s="1058"/>
      <c r="DN255" s="1058"/>
      <c r="DO255" s="1058"/>
      <c r="DP255" s="1058"/>
      <c r="DQ255" s="1058"/>
      <c r="DR255" s="1058"/>
      <c r="DS255" s="1058"/>
      <c r="DT255" s="1058"/>
      <c r="DU255" s="1058"/>
      <c r="DV255" s="1058"/>
      <c r="DW255" s="1058"/>
      <c r="DX255" s="1058"/>
      <c r="DY255" s="1058"/>
      <c r="DZ255" s="1058"/>
      <c r="EA255" s="1058"/>
      <c r="EB255" s="1058"/>
      <c r="EC255" s="1058"/>
      <c r="ED255" s="1058"/>
      <c r="EE255" s="1058"/>
      <c r="EF255" s="1058"/>
      <c r="EG255" s="1058"/>
      <c r="EH255" s="1058"/>
      <c r="EI255" s="1058"/>
      <c r="EJ255" s="1058"/>
      <c r="EK255" s="1058"/>
      <c r="EL255" s="1058"/>
      <c r="EM255" s="1058"/>
      <c r="EN255" s="1058"/>
      <c r="EO255" s="1058"/>
      <c r="EP255" s="1058"/>
      <c r="EQ255" s="1058"/>
      <c r="ER255" s="1058"/>
      <c r="ES255" s="1058"/>
      <c r="ET255" s="1058"/>
      <c r="EU255" s="1058"/>
      <c r="EV255" s="1058"/>
      <c r="EW255" s="1058"/>
      <c r="EX255" s="1058"/>
      <c r="EY255" s="1058"/>
      <c r="EZ255" s="1058"/>
      <c r="FA255" s="1058"/>
      <c r="FB255" s="1058"/>
      <c r="FC255" s="1058"/>
      <c r="FD255" s="1058"/>
      <c r="FE255" s="1058"/>
      <c r="FF255" s="1058"/>
      <c r="FG255" s="1058"/>
      <c r="FH255" s="1058"/>
      <c r="FI255" s="1058"/>
      <c r="FJ255" s="1058"/>
      <c r="FK255" s="1058"/>
      <c r="FL255" s="1058"/>
      <c r="FM255" s="1058"/>
      <c r="FN255" s="1058"/>
      <c r="FO255" s="1058"/>
      <c r="FP255" s="1058"/>
      <c r="FQ255" s="1058"/>
      <c r="FR255" s="1058"/>
      <c r="FS255" s="1058"/>
      <c r="FT255" s="1058"/>
      <c r="FU255" s="1058"/>
      <c r="FV255" s="1058"/>
      <c r="FW255" s="1058"/>
      <c r="FX255" s="1058"/>
      <c r="FY255" s="1058"/>
      <c r="FZ255" s="1058"/>
      <c r="GA255" s="1058"/>
      <c r="GB255" s="1058"/>
      <c r="GC255" s="1058"/>
      <c r="GD255" s="1058"/>
      <c r="GE255" s="1058"/>
      <c r="GF255" s="1058"/>
      <c r="GG255" s="1058"/>
      <c r="GH255" s="1058"/>
      <c r="GI255" s="1058"/>
      <c r="GJ255" s="1058"/>
      <c r="GK255" s="1058"/>
      <c r="GL255" s="1058"/>
      <c r="GM255" s="1058"/>
      <c r="GN255" s="1058"/>
      <c r="GO255" s="1058"/>
      <c r="GP255" s="1058"/>
      <c r="GQ255" s="1058"/>
      <c r="GR255" s="1058"/>
      <c r="GS255" s="1058"/>
      <c r="GT255" s="1058"/>
      <c r="GU255" s="1058"/>
      <c r="GV255" s="1058"/>
      <c r="GW255" s="1058"/>
      <c r="GX255" s="1058"/>
      <c r="GY255" s="1058"/>
      <c r="GZ255" s="1058"/>
      <c r="HA255" s="1058"/>
      <c r="HB255" s="1058"/>
      <c r="HC255" s="1058"/>
      <c r="HD255" s="1058"/>
      <c r="HE255" s="1058"/>
      <c r="HF255" s="1058"/>
      <c r="HG255" s="1058"/>
      <c r="HH255" s="1058"/>
      <c r="HI255" s="1058"/>
      <c r="HJ255" s="1058"/>
      <c r="HK255" s="1058"/>
      <c r="HL255" s="1058"/>
      <c r="HM255" s="1058"/>
      <c r="HN255" s="1058"/>
      <c r="HO255" s="1058"/>
      <c r="HP255" s="1058"/>
      <c r="HQ255" s="1058"/>
      <c r="HR255" s="1058"/>
      <c r="HS255" s="1058"/>
      <c r="HT255" s="1058"/>
      <c r="HU255" s="1058"/>
      <c r="HV255" s="1058"/>
      <c r="HW255" s="1058"/>
      <c r="HX255" s="1058"/>
      <c r="HY255" s="1058"/>
      <c r="HZ255" s="1058"/>
      <c r="IA255" s="1058"/>
      <c r="IB255" s="1058"/>
      <c r="IC255" s="1058"/>
      <c r="ID255" s="1058"/>
      <c r="IE255" s="1058"/>
      <c r="IF255" s="1058"/>
      <c r="IG255" s="1058"/>
      <c r="IH255" s="1058"/>
      <c r="II255" s="1058"/>
      <c r="IJ255" s="1058"/>
      <c r="IK255" s="1058"/>
      <c r="IL255" s="1058"/>
      <c r="IM255" s="1058"/>
      <c r="IN255" s="1058"/>
      <c r="IO255" s="1058"/>
      <c r="IP255" s="1058"/>
      <c r="IQ255" s="1058"/>
      <c r="IR255" s="1058"/>
      <c r="IS255" s="1058"/>
      <c r="IT255" s="1058"/>
      <c r="IU255" s="1058"/>
      <c r="IV255" s="1058"/>
      <c r="IW255" s="1058"/>
      <c r="IX255" s="1058"/>
      <c r="IY255" s="1058"/>
      <c r="IZ255" s="1058"/>
      <c r="JA255" s="1058"/>
      <c r="JB255" s="1058"/>
      <c r="JC255" s="1058"/>
      <c r="JD255" s="1058"/>
      <c r="JE255" s="1058"/>
      <c r="JF255" s="1058"/>
      <c r="JG255" s="1058"/>
      <c r="JH255" s="1058"/>
      <c r="JI255" s="1058"/>
      <c r="JJ255" s="1058"/>
      <c r="JK255" s="1058"/>
      <c r="JL255" s="1058"/>
      <c r="JM255" s="1058"/>
      <c r="JN255" s="1058"/>
      <c r="JO255" s="1058"/>
      <c r="JP255" s="1058"/>
      <c r="JQ255" s="1058"/>
      <c r="JR255" s="1058"/>
      <c r="JS255" s="1058"/>
      <c r="JT255" s="1058"/>
      <c r="JU255" s="1058"/>
      <c r="JV255" s="1059"/>
      <c r="JW255" s="1058"/>
      <c r="JX255" s="1058"/>
      <c r="JY255" s="1058"/>
      <c r="JZ255" s="1058"/>
      <c r="KA255" s="1059"/>
      <c r="KB255" s="1059"/>
      <c r="KC255" s="1059"/>
      <c r="KD255" s="1059"/>
      <c r="KE255" s="1059"/>
      <c r="KF255" s="1059"/>
      <c r="KG255" s="1059"/>
      <c r="KH255" s="1059"/>
      <c r="KI255" s="1059"/>
      <c r="KJ255" s="1059"/>
      <c r="KK255" s="1059"/>
      <c r="KL255" s="1059"/>
      <c r="KM255" s="1059"/>
      <c r="KN255" s="1059"/>
      <c r="KO255" s="1059"/>
      <c r="KP255" s="1059"/>
      <c r="KQ255" s="1059"/>
      <c r="KR255" s="1059"/>
      <c r="KS255" s="1059"/>
      <c r="KT255" s="1059"/>
      <c r="KU255" s="1059"/>
      <c r="KV255" s="1059"/>
      <c r="KW255" s="1059"/>
      <c r="KX255" s="1059"/>
      <c r="KY255" s="1059"/>
      <c r="KZ255" s="1059"/>
      <c r="LA255" s="1059"/>
      <c r="LB255" s="1059"/>
      <c r="LC255" s="1059"/>
      <c r="LD255" s="1059"/>
      <c r="LE255" s="1059"/>
      <c r="LF255" s="1059"/>
      <c r="LG255" s="1058"/>
      <c r="LH255" s="1058"/>
      <c r="LI255" s="1058"/>
      <c r="LJ255" s="1058"/>
      <c r="LK255" s="1058"/>
      <c r="LL255" s="1058"/>
      <c r="LM255" s="1060"/>
      <c r="LN255" s="1058"/>
      <c r="LO255" s="1058"/>
      <c r="LP255" s="1058"/>
      <c r="LQ255" s="1058"/>
      <c r="LR255" s="1058"/>
      <c r="LS255" s="1058"/>
      <c r="LT255" s="1058"/>
      <c r="LU255" s="1058"/>
      <c r="LV255" s="1058"/>
      <c r="LW255" s="1058"/>
      <c r="LX255" s="1058"/>
      <c r="LY255" s="1058"/>
      <c r="LZ255" s="1058"/>
      <c r="MA255" s="1058"/>
      <c r="MB255" s="1058"/>
      <c r="MC255" s="1060"/>
      <c r="MD255" s="1060"/>
      <c r="ME255" s="1058"/>
      <c r="MF255" s="1058"/>
      <c r="MG255" s="1058"/>
      <c r="MH255" s="1058"/>
      <c r="MI255" s="1058"/>
      <c r="MJ255" s="1058"/>
      <c r="MK255" s="1058"/>
      <c r="ML255" s="1058"/>
      <c r="MM255" s="1058"/>
      <c r="MN255" s="1058"/>
      <c r="MO255" s="1058"/>
      <c r="MP255" s="1058"/>
      <c r="MQ255" s="1058"/>
      <c r="MR255" s="1058"/>
      <c r="MS255" s="1058"/>
      <c r="MT255" s="1058"/>
      <c r="MU255" s="1058"/>
      <c r="MV255" s="1058"/>
      <c r="MW255" s="1058"/>
      <c r="MX255" s="1058"/>
      <c r="MY255" s="1058"/>
      <c r="MZ255" s="1058"/>
      <c r="NA255" s="1058"/>
      <c r="NB255" s="1058"/>
      <c r="NC255" s="1058"/>
      <c r="ND255" s="1058"/>
      <c r="NE255" s="1058"/>
      <c r="NF255" s="1058"/>
      <c r="NG255" s="1058"/>
      <c r="NH255" s="1058"/>
      <c r="NI255" s="1058"/>
      <c r="NJ255" s="1058"/>
      <c r="NK255" s="1058"/>
      <c r="NL255" s="1058"/>
      <c r="NM255" s="1058"/>
      <c r="NN255" s="1058"/>
      <c r="NO255" s="1058"/>
      <c r="NP255" s="1058"/>
      <c r="NQ255" s="1058"/>
      <c r="NR255" s="1058"/>
      <c r="NS255" s="1058"/>
      <c r="NT255" s="1058"/>
      <c r="NU255" s="1058"/>
      <c r="NV255" s="1058"/>
      <c r="NW255" s="1058"/>
      <c r="NX255" s="1058"/>
      <c r="NY255" s="1058"/>
      <c r="NZ255" s="1058"/>
      <c r="OA255" s="1058"/>
      <c r="OB255" s="1058"/>
      <c r="OC255" s="1058"/>
      <c r="OD255" s="1018"/>
      <c r="OE255" s="1018"/>
      <c r="OF255" s="1018"/>
      <c r="OG255" s="1018"/>
      <c r="OH255" s="1018"/>
      <c r="OI255" s="1018"/>
      <c r="OJ255" s="1018"/>
      <c r="OK255" s="1018"/>
      <c r="OL255" s="1018"/>
      <c r="OM255" s="1018"/>
      <c r="ON255" s="1018"/>
      <c r="OO255" s="1018"/>
      <c r="OP255" s="1018"/>
      <c r="OQ255" s="1018"/>
      <c r="OR255" s="1018"/>
      <c r="OS255" s="1018"/>
      <c r="OT255" s="1018"/>
      <c r="OU255" s="1018"/>
      <c r="OV255" s="1018"/>
      <c r="OW255" s="1018"/>
      <c r="OX255" s="1018"/>
      <c r="OY255" s="1018"/>
      <c r="OZ255" s="1018"/>
      <c r="PA255" s="1018"/>
      <c r="PB255" s="1018"/>
      <c r="PC255" s="1018"/>
      <c r="PD255" s="1018"/>
      <c r="PE255" s="1018"/>
      <c r="PF255" s="1018"/>
      <c r="PG255" s="1018"/>
      <c r="PH255" s="1018"/>
      <c r="PI255" s="1018"/>
      <c r="PJ255" s="1018"/>
      <c r="PK255" s="1018"/>
      <c r="PL255" s="1018"/>
      <c r="PM255" s="1018"/>
      <c r="PN255" s="1018"/>
      <c r="PO255" s="1018"/>
      <c r="PP255" s="1018"/>
      <c r="PQ255" s="1018"/>
      <c r="PR255" s="1018"/>
      <c r="PS255" s="1018"/>
      <c r="PT255" s="1018"/>
      <c r="PU255" s="1018"/>
      <c r="PV255" s="1018"/>
      <c r="PW255" s="1018"/>
      <c r="PX255" s="1018"/>
      <c r="PY255" s="1018"/>
      <c r="PZ255" s="1018"/>
      <c r="QA255" s="1018"/>
      <c r="QB255" s="1018"/>
      <c r="QC255" s="1018"/>
      <c r="QD255" s="1018"/>
      <c r="QE255" s="1018"/>
      <c r="QF255" s="1018"/>
      <c r="QG255" s="1018"/>
      <c r="QH255" s="1018"/>
      <c r="QI255" s="1018"/>
      <c r="QJ255" s="1018"/>
      <c r="QK255" s="1018"/>
      <c r="QL255" s="1018"/>
      <c r="QM255" s="1018"/>
      <c r="QN255" s="1018"/>
      <c r="QO255" s="1018"/>
      <c r="QP255" s="1018"/>
      <c r="QQ255" s="1018"/>
      <c r="QR255" s="1018"/>
      <c r="QS255" s="1018"/>
      <c r="QT255" s="1018"/>
      <c r="QU255" s="1018"/>
      <c r="QV255" s="1018"/>
      <c r="QW255" s="1018"/>
      <c r="QX255" s="1018"/>
      <c r="QY255" s="1018"/>
      <c r="QZ255" s="1018"/>
      <c r="RA255" s="1018"/>
      <c r="RB255" s="1018"/>
      <c r="RC255" s="1018"/>
      <c r="RD255" s="1018"/>
      <c r="RE255" s="1018"/>
      <c r="RF255" s="1018"/>
      <c r="RG255" s="1018"/>
      <c r="RH255" s="1018"/>
      <c r="RI255" s="1018"/>
      <c r="RJ255" s="1018"/>
      <c r="RK255" s="1018"/>
      <c r="RL255" s="1018"/>
      <c r="RM255" s="1018"/>
      <c r="RN255" s="1018"/>
      <c r="RO255" s="1018"/>
      <c r="RP255" s="1018"/>
      <c r="RQ255" s="1018"/>
      <c r="RR255" s="1018"/>
      <c r="RS255" s="1018"/>
      <c r="RT255" s="1018"/>
      <c r="RU255" s="1018"/>
      <c r="RV255" s="1018"/>
      <c r="RW255" s="1018"/>
      <c r="RX255" s="1018"/>
    </row>
    <row r="256" spans="1:492" s="1057" customFormat="1" ht="14.1" customHeight="1">
      <c r="A256" s="1018"/>
      <c r="B256" s="1018"/>
      <c r="C256" s="1018"/>
      <c r="D256" s="1018"/>
      <c r="E256" s="1018"/>
      <c r="F256" s="1018"/>
      <c r="G256" s="1018"/>
      <c r="H256" s="1018"/>
      <c r="I256" s="1018"/>
      <c r="J256" s="1018"/>
      <c r="K256" s="1018"/>
      <c r="L256" s="1018"/>
      <c r="M256" s="1018"/>
      <c r="N256" s="1018"/>
      <c r="O256" s="1018"/>
      <c r="W256" s="1058"/>
      <c r="X256" s="1058"/>
      <c r="Y256" s="1058"/>
      <c r="Z256" s="1058"/>
      <c r="AA256" s="1058"/>
      <c r="AB256" s="1058"/>
      <c r="AC256" s="1058"/>
      <c r="AD256" s="1058"/>
      <c r="AE256" s="1058"/>
      <c r="AF256" s="1058"/>
      <c r="AG256" s="1058"/>
      <c r="AH256" s="1058"/>
      <c r="AI256" s="1058"/>
      <c r="AJ256" s="1058"/>
      <c r="AK256" s="1058"/>
      <c r="AL256" s="1058"/>
      <c r="AM256" s="1058"/>
      <c r="AN256" s="1058"/>
      <c r="AO256" s="1058"/>
      <c r="AP256" s="1058"/>
      <c r="AQ256" s="1058"/>
      <c r="AR256" s="1058"/>
      <c r="AS256" s="1058"/>
      <c r="AT256" s="1058"/>
      <c r="AU256" s="1058"/>
      <c r="AV256" s="1058"/>
      <c r="AW256" s="1058"/>
      <c r="AX256" s="1058"/>
      <c r="AY256" s="1058"/>
      <c r="AZ256" s="1058"/>
      <c r="BA256" s="1058"/>
      <c r="BB256" s="1058"/>
      <c r="BC256" s="1058"/>
      <c r="BD256" s="1058"/>
      <c r="BE256" s="1058"/>
      <c r="BF256" s="1058"/>
      <c r="BG256" s="1058"/>
      <c r="BH256" s="1058"/>
      <c r="BI256" s="1058"/>
      <c r="BJ256" s="1058"/>
      <c r="BK256" s="1058"/>
      <c r="BL256" s="1058"/>
      <c r="BM256" s="1058"/>
      <c r="BN256" s="1058"/>
      <c r="BO256" s="1058"/>
      <c r="BP256" s="1058"/>
      <c r="BQ256" s="1058"/>
      <c r="BR256" s="1058"/>
      <c r="BS256" s="1058"/>
      <c r="BT256" s="1058"/>
      <c r="BU256" s="1058"/>
      <c r="BV256" s="1058"/>
      <c r="BW256" s="1058"/>
      <c r="BX256" s="1058"/>
      <c r="BY256" s="1058"/>
      <c r="BZ256" s="1058"/>
      <c r="CA256" s="1058"/>
      <c r="CB256" s="1058"/>
      <c r="CC256" s="1058"/>
      <c r="CD256" s="1058"/>
      <c r="CE256" s="1058"/>
      <c r="CF256" s="1058"/>
      <c r="CG256" s="1058"/>
      <c r="CH256" s="1058"/>
      <c r="CI256" s="1058"/>
      <c r="CJ256" s="1058"/>
      <c r="CK256" s="1058"/>
      <c r="CL256" s="1058"/>
      <c r="CM256" s="1058"/>
      <c r="CN256" s="1058"/>
      <c r="CO256" s="1058"/>
      <c r="CP256" s="1058"/>
      <c r="CQ256" s="1058"/>
      <c r="CR256" s="1058"/>
      <c r="CS256" s="1058"/>
      <c r="CT256" s="1058"/>
      <c r="CU256" s="1058"/>
      <c r="CV256" s="1058"/>
      <c r="CW256" s="1058"/>
      <c r="CX256" s="1058"/>
      <c r="CY256" s="1058"/>
      <c r="CZ256" s="1058"/>
      <c r="DA256" s="1058"/>
      <c r="DB256" s="1058"/>
      <c r="DC256" s="1058"/>
      <c r="DD256" s="1058"/>
      <c r="DE256" s="1058"/>
      <c r="DF256" s="1058"/>
      <c r="DG256" s="1058"/>
      <c r="DH256" s="1058"/>
      <c r="DI256" s="1058"/>
      <c r="DJ256" s="1058"/>
      <c r="DK256" s="1058"/>
      <c r="DL256" s="1058"/>
      <c r="DM256" s="1058"/>
      <c r="DN256" s="1058"/>
      <c r="DO256" s="1058"/>
      <c r="DP256" s="1058"/>
      <c r="DQ256" s="1058"/>
      <c r="DR256" s="1058"/>
      <c r="DS256" s="1058"/>
      <c r="DT256" s="1058"/>
      <c r="DU256" s="1058"/>
      <c r="DV256" s="1058"/>
      <c r="DW256" s="1058"/>
      <c r="DX256" s="1058"/>
      <c r="DY256" s="1058"/>
      <c r="DZ256" s="1058"/>
      <c r="EA256" s="1058"/>
      <c r="EB256" s="1058"/>
      <c r="EC256" s="1058"/>
      <c r="ED256" s="1058"/>
      <c r="EE256" s="1058"/>
      <c r="EF256" s="1058"/>
      <c r="EG256" s="1058"/>
      <c r="EH256" s="1058"/>
      <c r="EI256" s="1058"/>
      <c r="EJ256" s="1058"/>
      <c r="EK256" s="1058"/>
      <c r="EL256" s="1058"/>
      <c r="EM256" s="1058"/>
      <c r="EN256" s="1058"/>
      <c r="EO256" s="1058"/>
      <c r="EP256" s="1058"/>
      <c r="EQ256" s="1058"/>
      <c r="ER256" s="1058"/>
      <c r="ES256" s="1058"/>
      <c r="ET256" s="1058"/>
      <c r="EU256" s="1058"/>
      <c r="EV256" s="1058"/>
      <c r="EW256" s="1058"/>
      <c r="EX256" s="1058"/>
      <c r="EY256" s="1058"/>
      <c r="EZ256" s="1058"/>
      <c r="FA256" s="1058"/>
      <c r="FB256" s="1058"/>
      <c r="FC256" s="1058"/>
      <c r="FD256" s="1058"/>
      <c r="FE256" s="1058"/>
      <c r="FF256" s="1058"/>
      <c r="FG256" s="1058"/>
      <c r="FH256" s="1058"/>
      <c r="FI256" s="1058"/>
      <c r="FJ256" s="1058"/>
      <c r="FK256" s="1058"/>
      <c r="FL256" s="1058"/>
      <c r="FM256" s="1058"/>
      <c r="FN256" s="1058"/>
      <c r="FO256" s="1058"/>
      <c r="FP256" s="1058"/>
      <c r="FQ256" s="1058"/>
      <c r="FR256" s="1058"/>
      <c r="FS256" s="1058"/>
      <c r="FT256" s="1058"/>
      <c r="FU256" s="1058"/>
      <c r="FV256" s="1058"/>
      <c r="FW256" s="1058"/>
      <c r="FX256" s="1058"/>
      <c r="FY256" s="1058"/>
      <c r="FZ256" s="1058"/>
      <c r="GA256" s="1058"/>
      <c r="GB256" s="1058"/>
      <c r="GC256" s="1058"/>
      <c r="GD256" s="1058"/>
      <c r="GE256" s="1058"/>
      <c r="GF256" s="1058"/>
      <c r="GG256" s="1058"/>
      <c r="GH256" s="1058"/>
      <c r="GI256" s="1058"/>
      <c r="GJ256" s="1058"/>
      <c r="GK256" s="1058"/>
      <c r="GL256" s="1058"/>
      <c r="GM256" s="1058"/>
      <c r="GN256" s="1058"/>
      <c r="GO256" s="1058"/>
      <c r="GP256" s="1058"/>
      <c r="GQ256" s="1058"/>
      <c r="GR256" s="1058"/>
      <c r="GS256" s="1058"/>
      <c r="GT256" s="1058"/>
      <c r="GU256" s="1058"/>
      <c r="GV256" s="1058"/>
      <c r="GW256" s="1058"/>
      <c r="GX256" s="1058"/>
      <c r="GY256" s="1058"/>
      <c r="GZ256" s="1058"/>
      <c r="HA256" s="1058"/>
      <c r="HB256" s="1058"/>
      <c r="HC256" s="1058"/>
      <c r="HD256" s="1058"/>
      <c r="HE256" s="1058"/>
      <c r="HF256" s="1058"/>
      <c r="HG256" s="1058"/>
      <c r="HH256" s="1058"/>
      <c r="HI256" s="1058"/>
      <c r="HJ256" s="1058"/>
      <c r="HK256" s="1058"/>
      <c r="HL256" s="1058"/>
      <c r="HM256" s="1058"/>
      <c r="HN256" s="1058"/>
      <c r="HO256" s="1058"/>
      <c r="HP256" s="1058"/>
      <c r="HQ256" s="1058"/>
      <c r="HR256" s="1058"/>
      <c r="HS256" s="1058"/>
      <c r="HT256" s="1058"/>
      <c r="HU256" s="1058"/>
      <c r="HV256" s="1058"/>
      <c r="HW256" s="1058"/>
      <c r="HX256" s="1058"/>
      <c r="HY256" s="1058"/>
      <c r="HZ256" s="1058"/>
      <c r="IA256" s="1058"/>
      <c r="IB256" s="1058"/>
      <c r="IC256" s="1058"/>
      <c r="ID256" s="1058"/>
      <c r="IE256" s="1058"/>
      <c r="IF256" s="1058"/>
      <c r="IG256" s="1058"/>
      <c r="IH256" s="1058"/>
      <c r="II256" s="1058"/>
      <c r="IJ256" s="1058"/>
      <c r="IK256" s="1058"/>
      <c r="IL256" s="1058"/>
      <c r="IM256" s="1058"/>
      <c r="IN256" s="1058"/>
      <c r="IO256" s="1058"/>
      <c r="IP256" s="1058"/>
      <c r="IQ256" s="1058"/>
      <c r="IR256" s="1058"/>
      <c r="IS256" s="1058"/>
      <c r="IT256" s="1058"/>
      <c r="IU256" s="1058"/>
      <c r="IV256" s="1058"/>
      <c r="IW256" s="1058"/>
      <c r="IX256" s="1058"/>
      <c r="IY256" s="1058"/>
      <c r="IZ256" s="1058"/>
      <c r="JA256" s="1058"/>
      <c r="JB256" s="1058"/>
      <c r="JC256" s="1058"/>
      <c r="JD256" s="1058"/>
      <c r="JE256" s="1058"/>
      <c r="JF256" s="1058"/>
      <c r="JG256" s="1058"/>
      <c r="JH256" s="1058"/>
      <c r="JI256" s="1058"/>
      <c r="JJ256" s="1058"/>
      <c r="JK256" s="1058"/>
      <c r="JL256" s="1058"/>
      <c r="JM256" s="1058"/>
      <c r="JN256" s="1058"/>
      <c r="JO256" s="1058"/>
      <c r="JP256" s="1058"/>
      <c r="JQ256" s="1058"/>
      <c r="JR256" s="1058"/>
      <c r="JS256" s="1058"/>
      <c r="JT256" s="1058"/>
      <c r="JU256" s="1058"/>
      <c r="JV256" s="1059"/>
      <c r="JW256" s="1058"/>
      <c r="JX256" s="1058"/>
      <c r="JY256" s="1058"/>
      <c r="JZ256" s="1058"/>
      <c r="KA256" s="1059"/>
      <c r="KB256" s="1059"/>
      <c r="KC256" s="1059"/>
      <c r="KD256" s="1059"/>
      <c r="KE256" s="1059"/>
      <c r="KF256" s="1059"/>
      <c r="KG256" s="1059"/>
      <c r="KH256" s="1059"/>
      <c r="KI256" s="1059"/>
      <c r="KJ256" s="1059"/>
      <c r="KK256" s="1059"/>
      <c r="KL256" s="1059"/>
      <c r="KM256" s="1059"/>
      <c r="KN256" s="1059"/>
      <c r="KO256" s="1059"/>
      <c r="KP256" s="1059"/>
      <c r="KQ256" s="1059"/>
      <c r="KR256" s="1059"/>
      <c r="KS256" s="1059"/>
      <c r="KT256" s="1059"/>
      <c r="KU256" s="1059"/>
      <c r="KV256" s="1059"/>
      <c r="KW256" s="1059"/>
      <c r="KX256" s="1059"/>
      <c r="KY256" s="1059"/>
      <c r="KZ256" s="1059"/>
      <c r="LA256" s="1059"/>
      <c r="LB256" s="1059"/>
      <c r="LC256" s="1059"/>
      <c r="LD256" s="1059"/>
      <c r="LE256" s="1059"/>
      <c r="LF256" s="1059"/>
      <c r="LG256" s="1058"/>
      <c r="LH256" s="1058"/>
      <c r="LI256" s="1058"/>
      <c r="LJ256" s="1058"/>
      <c r="LK256" s="1058"/>
      <c r="LL256" s="1058"/>
      <c r="LM256" s="1060"/>
      <c r="LN256" s="1058"/>
      <c r="LO256" s="1058"/>
      <c r="LP256" s="1058"/>
      <c r="LQ256" s="1058"/>
      <c r="LR256" s="1058"/>
      <c r="LS256" s="1058"/>
      <c r="LT256" s="1058"/>
      <c r="LU256" s="1058"/>
      <c r="LV256" s="1058"/>
      <c r="LW256" s="1058"/>
      <c r="LX256" s="1058"/>
      <c r="LY256" s="1058"/>
      <c r="LZ256" s="1058"/>
      <c r="MA256" s="1058"/>
      <c r="MB256" s="1058"/>
      <c r="MC256" s="1060"/>
      <c r="MD256" s="1060"/>
      <c r="ME256" s="1058"/>
      <c r="MF256" s="1058"/>
      <c r="MG256" s="1058"/>
      <c r="MH256" s="1058"/>
      <c r="MI256" s="1058"/>
      <c r="MJ256" s="1058"/>
      <c r="MK256" s="1058"/>
      <c r="ML256" s="1058"/>
      <c r="MM256" s="1058"/>
      <c r="MN256" s="1058"/>
      <c r="MO256" s="1058"/>
      <c r="MP256" s="1058"/>
      <c r="MQ256" s="1058"/>
      <c r="MR256" s="1058"/>
      <c r="MS256" s="1058"/>
      <c r="MT256" s="1058"/>
      <c r="MU256" s="1058"/>
      <c r="MV256" s="1058"/>
      <c r="MW256" s="1058"/>
      <c r="MX256" s="1058"/>
      <c r="MY256" s="1058"/>
      <c r="MZ256" s="1058"/>
      <c r="NA256" s="1058"/>
      <c r="NB256" s="1058"/>
      <c r="NC256" s="1058"/>
      <c r="ND256" s="1058"/>
      <c r="NE256" s="1058"/>
      <c r="NF256" s="1058"/>
      <c r="NG256" s="1058"/>
      <c r="NH256" s="1058"/>
      <c r="NI256" s="1058"/>
      <c r="NJ256" s="1058"/>
      <c r="NK256" s="1058"/>
      <c r="NL256" s="1058"/>
      <c r="NM256" s="1058"/>
      <c r="NN256" s="1058"/>
      <c r="NO256" s="1058"/>
      <c r="NP256" s="1058"/>
      <c r="NQ256" s="1058"/>
      <c r="NR256" s="1058"/>
      <c r="NS256" s="1058"/>
      <c r="NT256" s="1058"/>
      <c r="NU256" s="1058"/>
      <c r="NV256" s="1058"/>
      <c r="NW256" s="1058"/>
      <c r="NX256" s="1058"/>
      <c r="NY256" s="1058"/>
      <c r="NZ256" s="1058"/>
      <c r="OA256" s="1058"/>
      <c r="OB256" s="1058"/>
      <c r="OC256" s="1058"/>
      <c r="OD256" s="1018"/>
      <c r="OE256" s="1018"/>
      <c r="OF256" s="1018"/>
      <c r="OG256" s="1018"/>
      <c r="OH256" s="1018"/>
      <c r="OI256" s="1018"/>
      <c r="OJ256" s="1018"/>
      <c r="OK256" s="1018"/>
      <c r="OL256" s="1018"/>
      <c r="OM256" s="1018"/>
      <c r="ON256" s="1018"/>
      <c r="OO256" s="1018"/>
      <c r="OP256" s="1018"/>
      <c r="OQ256" s="1018"/>
      <c r="OR256" s="1018"/>
      <c r="OS256" s="1018"/>
      <c r="OT256" s="1018"/>
      <c r="OU256" s="1018"/>
      <c r="OV256" s="1018"/>
      <c r="OW256" s="1018"/>
      <c r="OX256" s="1018"/>
      <c r="OY256" s="1018"/>
      <c r="OZ256" s="1018"/>
      <c r="PA256" s="1018"/>
      <c r="PB256" s="1018"/>
      <c r="PC256" s="1018"/>
      <c r="PD256" s="1018"/>
      <c r="PE256" s="1018"/>
      <c r="PF256" s="1018"/>
      <c r="PG256" s="1018"/>
      <c r="PH256" s="1018"/>
      <c r="PI256" s="1018"/>
      <c r="PJ256" s="1018"/>
      <c r="PK256" s="1018"/>
      <c r="PL256" s="1018"/>
      <c r="PM256" s="1018"/>
      <c r="PN256" s="1018"/>
      <c r="PO256" s="1018"/>
      <c r="PP256" s="1018"/>
      <c r="PQ256" s="1018"/>
      <c r="PR256" s="1018"/>
      <c r="PS256" s="1018"/>
      <c r="PT256" s="1018"/>
      <c r="PU256" s="1018"/>
      <c r="PV256" s="1018"/>
      <c r="PW256" s="1018"/>
      <c r="PX256" s="1018"/>
      <c r="PY256" s="1018"/>
      <c r="PZ256" s="1018"/>
      <c r="QA256" s="1018"/>
      <c r="QB256" s="1018"/>
      <c r="QC256" s="1018"/>
      <c r="QD256" s="1018"/>
      <c r="QE256" s="1018"/>
      <c r="QF256" s="1018"/>
      <c r="QG256" s="1018"/>
      <c r="QH256" s="1018"/>
      <c r="QI256" s="1018"/>
      <c r="QJ256" s="1018"/>
      <c r="QK256" s="1018"/>
      <c r="QL256" s="1018"/>
      <c r="QM256" s="1018"/>
      <c r="QN256" s="1018"/>
      <c r="QO256" s="1018"/>
      <c r="QP256" s="1018"/>
      <c r="QQ256" s="1018"/>
      <c r="QR256" s="1018"/>
      <c r="QS256" s="1018"/>
      <c r="QT256" s="1018"/>
      <c r="QU256" s="1018"/>
      <c r="QV256" s="1018"/>
      <c r="QW256" s="1018"/>
      <c r="QX256" s="1018"/>
      <c r="QY256" s="1018"/>
      <c r="QZ256" s="1018"/>
      <c r="RA256" s="1018"/>
      <c r="RB256" s="1018"/>
      <c r="RC256" s="1018"/>
      <c r="RD256" s="1018"/>
      <c r="RE256" s="1018"/>
      <c r="RF256" s="1018"/>
      <c r="RG256" s="1018"/>
      <c r="RH256" s="1018"/>
      <c r="RI256" s="1018"/>
      <c r="RJ256" s="1018"/>
      <c r="RK256" s="1018"/>
      <c r="RL256" s="1018"/>
      <c r="RM256" s="1018"/>
      <c r="RN256" s="1018"/>
      <c r="RO256" s="1018"/>
      <c r="RP256" s="1018"/>
      <c r="RQ256" s="1018"/>
      <c r="RR256" s="1018"/>
      <c r="RS256" s="1018"/>
      <c r="RT256" s="1018"/>
      <c r="RU256" s="1018"/>
      <c r="RV256" s="1018"/>
      <c r="RW256" s="1018"/>
      <c r="RX256" s="1018"/>
    </row>
    <row r="257" spans="1:492" s="1057" customFormat="1" ht="14.1" customHeight="1">
      <c r="A257" s="1265"/>
      <c r="B257" s="1018"/>
      <c r="C257" s="1018"/>
      <c r="D257" s="1018"/>
      <c r="E257" s="1018"/>
      <c r="F257" s="1018"/>
      <c r="G257" s="1018"/>
      <c r="H257" s="1018"/>
      <c r="I257" s="1018"/>
      <c r="J257" s="1018"/>
      <c r="K257" s="1018"/>
      <c r="L257" s="1018"/>
      <c r="M257" s="1018"/>
      <c r="N257" s="1018"/>
      <c r="O257" s="1018"/>
      <c r="W257" s="1058"/>
      <c r="X257" s="1058"/>
      <c r="Y257" s="1058"/>
      <c r="Z257" s="1058"/>
      <c r="AA257" s="1058"/>
      <c r="AB257" s="1058"/>
      <c r="AC257" s="1058"/>
      <c r="AD257" s="1058"/>
      <c r="AE257" s="1058"/>
      <c r="AF257" s="1058"/>
      <c r="AG257" s="1058"/>
      <c r="AH257" s="1058"/>
      <c r="AI257" s="1058"/>
      <c r="AJ257" s="1058"/>
      <c r="AK257" s="1058"/>
      <c r="AL257" s="1058"/>
      <c r="AM257" s="1058"/>
      <c r="AN257" s="1058"/>
      <c r="AO257" s="1058"/>
      <c r="AP257" s="1058"/>
      <c r="AQ257" s="1058"/>
      <c r="AR257" s="1058"/>
      <c r="AS257" s="1058"/>
      <c r="AT257" s="1058"/>
      <c r="AU257" s="1058"/>
      <c r="AV257" s="1058"/>
      <c r="AW257" s="1058"/>
      <c r="AX257" s="1058"/>
      <c r="AY257" s="1058"/>
      <c r="AZ257" s="1058"/>
      <c r="BA257" s="1058"/>
      <c r="BB257" s="1058"/>
      <c r="BC257" s="1058"/>
      <c r="BD257" s="1058"/>
      <c r="BE257" s="1058"/>
      <c r="BF257" s="1058"/>
      <c r="BG257" s="1058"/>
      <c r="BH257" s="1058"/>
      <c r="BI257" s="1058"/>
      <c r="BJ257" s="1058"/>
      <c r="BK257" s="1058"/>
      <c r="BL257" s="1058"/>
      <c r="BM257" s="1058"/>
      <c r="BN257" s="1058"/>
      <c r="BO257" s="1058"/>
      <c r="BP257" s="1058"/>
      <c r="BQ257" s="1058"/>
      <c r="BR257" s="1058"/>
      <c r="BS257" s="1058"/>
      <c r="BT257" s="1058"/>
      <c r="BU257" s="1058"/>
      <c r="BV257" s="1058"/>
      <c r="BW257" s="1058"/>
      <c r="BX257" s="1058"/>
      <c r="BY257" s="1058"/>
      <c r="BZ257" s="1058"/>
      <c r="CA257" s="1058"/>
      <c r="CB257" s="1058"/>
      <c r="CC257" s="1058"/>
      <c r="CD257" s="1058"/>
      <c r="CE257" s="1058"/>
      <c r="CF257" s="1058"/>
      <c r="CG257" s="1058"/>
      <c r="CH257" s="1058"/>
      <c r="CI257" s="1058"/>
      <c r="CJ257" s="1058"/>
      <c r="CK257" s="1058"/>
      <c r="CL257" s="1058"/>
      <c r="CM257" s="1058"/>
      <c r="CN257" s="1058"/>
      <c r="CO257" s="1058"/>
      <c r="CP257" s="1058"/>
      <c r="CQ257" s="1058"/>
      <c r="CR257" s="1058"/>
      <c r="CS257" s="1058"/>
      <c r="CT257" s="1058"/>
      <c r="CU257" s="1058"/>
      <c r="CV257" s="1058"/>
      <c r="CW257" s="1058"/>
      <c r="CX257" s="1058"/>
      <c r="CY257" s="1058"/>
      <c r="CZ257" s="1058"/>
      <c r="DA257" s="1058"/>
      <c r="DB257" s="1058"/>
      <c r="DC257" s="1058"/>
      <c r="DD257" s="1058"/>
      <c r="DE257" s="1058"/>
      <c r="DF257" s="1058"/>
      <c r="DG257" s="1058"/>
      <c r="DH257" s="1058"/>
      <c r="DI257" s="1058"/>
      <c r="DJ257" s="1058"/>
      <c r="DK257" s="1058"/>
      <c r="DL257" s="1058"/>
      <c r="DM257" s="1058"/>
      <c r="DN257" s="1058"/>
      <c r="DO257" s="1058"/>
      <c r="DP257" s="1058"/>
      <c r="DQ257" s="1058"/>
      <c r="DR257" s="1058"/>
      <c r="DS257" s="1058"/>
      <c r="DT257" s="1058"/>
      <c r="DU257" s="1058"/>
      <c r="DV257" s="1058"/>
      <c r="DW257" s="1058"/>
      <c r="DX257" s="1058"/>
      <c r="DY257" s="1058"/>
      <c r="DZ257" s="1058"/>
      <c r="EA257" s="1058"/>
      <c r="EB257" s="1058"/>
      <c r="EC257" s="1058"/>
      <c r="ED257" s="1058"/>
      <c r="EE257" s="1058"/>
      <c r="EF257" s="1058"/>
      <c r="EG257" s="1058"/>
      <c r="EH257" s="1058"/>
      <c r="EI257" s="1058"/>
      <c r="EJ257" s="1058"/>
      <c r="EK257" s="1058"/>
      <c r="EL257" s="1058"/>
      <c r="EM257" s="1058"/>
      <c r="EN257" s="1058"/>
      <c r="EO257" s="1058"/>
      <c r="EP257" s="1058"/>
      <c r="EQ257" s="1058"/>
      <c r="ER257" s="1058"/>
      <c r="ES257" s="1058"/>
      <c r="ET257" s="1058"/>
      <c r="EU257" s="1058"/>
      <c r="EV257" s="1058"/>
      <c r="EW257" s="1058"/>
      <c r="EX257" s="1058"/>
      <c r="EY257" s="1058"/>
      <c r="EZ257" s="1058"/>
      <c r="FA257" s="1058"/>
      <c r="FB257" s="1058"/>
      <c r="FC257" s="1058"/>
      <c r="FD257" s="1058"/>
      <c r="FE257" s="1058"/>
      <c r="FF257" s="1058"/>
      <c r="FG257" s="1058"/>
      <c r="FH257" s="1058"/>
      <c r="FI257" s="1058"/>
      <c r="FJ257" s="1058"/>
      <c r="FK257" s="1058"/>
      <c r="FL257" s="1058"/>
      <c r="FM257" s="1058"/>
      <c r="FN257" s="1058"/>
      <c r="FO257" s="1058"/>
      <c r="FP257" s="1058"/>
      <c r="FQ257" s="1058"/>
      <c r="FR257" s="1058"/>
      <c r="FS257" s="1058"/>
      <c r="FT257" s="1058"/>
      <c r="FU257" s="1058"/>
      <c r="FV257" s="1058"/>
      <c r="FW257" s="1058"/>
      <c r="FX257" s="1058"/>
      <c r="FY257" s="1058"/>
      <c r="FZ257" s="1058"/>
      <c r="GA257" s="1058"/>
      <c r="GB257" s="1058"/>
      <c r="GC257" s="1058"/>
      <c r="GD257" s="1058"/>
      <c r="GE257" s="1058"/>
      <c r="GF257" s="1058"/>
      <c r="GG257" s="1058"/>
      <c r="GH257" s="1058"/>
      <c r="GI257" s="1058"/>
      <c r="GJ257" s="1058"/>
      <c r="GK257" s="1058"/>
      <c r="GL257" s="1058"/>
      <c r="GM257" s="1058"/>
      <c r="GN257" s="1058"/>
      <c r="GO257" s="1058"/>
      <c r="GP257" s="1058"/>
      <c r="GQ257" s="1058"/>
      <c r="GR257" s="1058"/>
      <c r="GS257" s="1058"/>
      <c r="GT257" s="1058"/>
      <c r="GU257" s="1058"/>
      <c r="GV257" s="1058"/>
      <c r="GW257" s="1058"/>
      <c r="GX257" s="1058"/>
      <c r="GY257" s="1058"/>
      <c r="GZ257" s="1058"/>
      <c r="HA257" s="1058"/>
      <c r="HB257" s="1058"/>
      <c r="HC257" s="1058"/>
      <c r="HD257" s="1058"/>
      <c r="HE257" s="1058"/>
      <c r="HF257" s="1058"/>
      <c r="HG257" s="1058"/>
      <c r="HH257" s="1058"/>
      <c r="HI257" s="1058"/>
      <c r="HJ257" s="1058"/>
      <c r="HK257" s="1058"/>
      <c r="HL257" s="1058"/>
      <c r="HM257" s="1058"/>
      <c r="HN257" s="1058"/>
      <c r="HO257" s="1058"/>
      <c r="HP257" s="1058"/>
      <c r="HQ257" s="1058"/>
      <c r="HR257" s="1058"/>
      <c r="HS257" s="1058"/>
      <c r="HT257" s="1058"/>
      <c r="HU257" s="1058"/>
      <c r="HV257" s="1058"/>
      <c r="HW257" s="1058"/>
      <c r="HX257" s="1058"/>
      <c r="HY257" s="1058"/>
      <c r="HZ257" s="1058"/>
      <c r="IA257" s="1058"/>
      <c r="IB257" s="1058"/>
      <c r="IC257" s="1058"/>
      <c r="ID257" s="1058"/>
      <c r="IE257" s="1058"/>
      <c r="IF257" s="1058"/>
      <c r="IG257" s="1058"/>
      <c r="IH257" s="1058"/>
      <c r="II257" s="1058"/>
      <c r="IJ257" s="1058"/>
      <c r="IK257" s="1058"/>
      <c r="IL257" s="1058"/>
      <c r="IM257" s="1058"/>
      <c r="IN257" s="1058"/>
      <c r="IO257" s="1058"/>
      <c r="IP257" s="1058"/>
      <c r="IQ257" s="1058"/>
      <c r="IR257" s="1058"/>
      <c r="IS257" s="1058"/>
      <c r="IT257" s="1058"/>
      <c r="IU257" s="1058"/>
      <c r="IV257" s="1058"/>
      <c r="IW257" s="1058"/>
      <c r="IX257" s="1058"/>
      <c r="IY257" s="1058"/>
      <c r="IZ257" s="1058"/>
      <c r="JA257" s="1058"/>
      <c r="JB257" s="1058"/>
      <c r="JC257" s="1058"/>
      <c r="JD257" s="1058"/>
      <c r="JE257" s="1058"/>
      <c r="JF257" s="1058"/>
      <c r="JG257" s="1058"/>
      <c r="JH257" s="1058"/>
      <c r="JI257" s="1058"/>
      <c r="JJ257" s="1058"/>
      <c r="JK257" s="1058"/>
      <c r="JL257" s="1058"/>
      <c r="JM257" s="1058"/>
      <c r="JN257" s="1058"/>
      <c r="JO257" s="1058"/>
      <c r="JP257" s="1058"/>
      <c r="JQ257" s="1058"/>
      <c r="JR257" s="1058"/>
      <c r="JS257" s="1058"/>
      <c r="JT257" s="1058"/>
      <c r="JU257" s="1058"/>
      <c r="JV257" s="1059"/>
      <c r="JW257" s="1058"/>
      <c r="JX257" s="1058"/>
      <c r="JY257" s="1058"/>
      <c r="JZ257" s="1058"/>
      <c r="KA257" s="1059"/>
      <c r="KB257" s="1059"/>
      <c r="KC257" s="1059"/>
      <c r="KD257" s="1059"/>
      <c r="KE257" s="1059"/>
      <c r="KF257" s="1059"/>
      <c r="KG257" s="1059"/>
      <c r="KH257" s="1059"/>
      <c r="KI257" s="1059"/>
      <c r="KJ257" s="1059"/>
      <c r="KK257" s="1059"/>
      <c r="KL257" s="1059"/>
      <c r="KM257" s="1059"/>
      <c r="KN257" s="1059"/>
      <c r="KO257" s="1059"/>
      <c r="KP257" s="1059"/>
      <c r="KQ257" s="1059"/>
      <c r="KR257" s="1059"/>
      <c r="KS257" s="1059"/>
      <c r="KT257" s="1059"/>
      <c r="KU257" s="1059"/>
      <c r="KV257" s="1059"/>
      <c r="KW257" s="1059"/>
      <c r="KX257" s="1059"/>
      <c r="KY257" s="1059"/>
      <c r="KZ257" s="1059"/>
      <c r="LA257" s="1059"/>
      <c r="LB257" s="1059"/>
      <c r="LC257" s="1059"/>
      <c r="LD257" s="1059"/>
      <c r="LE257" s="1059"/>
      <c r="LF257" s="1059"/>
      <c r="LG257" s="1058"/>
      <c r="LH257" s="1058"/>
      <c r="LI257" s="1058"/>
      <c r="LJ257" s="1058"/>
      <c r="LK257" s="1058"/>
      <c r="LL257" s="1058"/>
      <c r="LM257" s="1060"/>
      <c r="LN257" s="1058"/>
      <c r="LO257" s="1058"/>
      <c r="LP257" s="1058"/>
      <c r="LQ257" s="1058"/>
      <c r="LR257" s="1058"/>
      <c r="LS257" s="1058"/>
      <c r="LT257" s="1058"/>
      <c r="LU257" s="1058"/>
      <c r="LV257" s="1058"/>
      <c r="LW257" s="1058"/>
      <c r="LX257" s="1058"/>
      <c r="LY257" s="1058"/>
      <c r="LZ257" s="1058"/>
      <c r="MA257" s="1058"/>
      <c r="MB257" s="1058"/>
      <c r="MC257" s="1060"/>
      <c r="MD257" s="1060"/>
      <c r="ME257" s="1058"/>
      <c r="MF257" s="1058"/>
      <c r="MG257" s="1058"/>
      <c r="MH257" s="1058"/>
      <c r="MI257" s="1058"/>
      <c r="MJ257" s="1058"/>
      <c r="MK257" s="1058"/>
      <c r="ML257" s="1058"/>
      <c r="MM257" s="1058"/>
      <c r="MN257" s="1058"/>
      <c r="MO257" s="1058"/>
      <c r="MP257" s="1058"/>
      <c r="MQ257" s="1058"/>
      <c r="MR257" s="1058"/>
      <c r="MS257" s="1058"/>
      <c r="MT257" s="1058"/>
      <c r="MU257" s="1058"/>
      <c r="MV257" s="1058"/>
      <c r="MW257" s="1058"/>
      <c r="MX257" s="1058"/>
      <c r="MY257" s="1058"/>
      <c r="MZ257" s="1058"/>
      <c r="NA257" s="1058"/>
      <c r="NB257" s="1058"/>
      <c r="NC257" s="1058"/>
      <c r="ND257" s="1058"/>
      <c r="NE257" s="1058"/>
      <c r="NF257" s="1058"/>
      <c r="NG257" s="1058"/>
      <c r="NH257" s="1058"/>
      <c r="NI257" s="1058"/>
      <c r="NJ257" s="1058"/>
      <c r="NK257" s="1058"/>
      <c r="NL257" s="1058"/>
      <c r="NM257" s="1058"/>
      <c r="NN257" s="1058"/>
      <c r="NO257" s="1058"/>
      <c r="NP257" s="1058"/>
      <c r="NQ257" s="1058"/>
      <c r="NR257" s="1058"/>
      <c r="NS257" s="1058"/>
      <c r="NT257" s="1058"/>
      <c r="NU257" s="1058"/>
      <c r="NV257" s="1058"/>
      <c r="NW257" s="1058"/>
      <c r="NX257" s="1058"/>
      <c r="NY257" s="1058"/>
      <c r="NZ257" s="1058"/>
      <c r="OA257" s="1058"/>
      <c r="OB257" s="1058"/>
      <c r="OC257" s="1058"/>
      <c r="OD257" s="1018"/>
      <c r="OE257" s="1018"/>
      <c r="OF257" s="1018"/>
      <c r="OG257" s="1018"/>
      <c r="OH257" s="1018"/>
      <c r="OI257" s="1018"/>
      <c r="OJ257" s="1018"/>
      <c r="OK257" s="1018"/>
      <c r="OL257" s="1018"/>
      <c r="OM257" s="1018"/>
      <c r="ON257" s="1018"/>
      <c r="OO257" s="1018"/>
      <c r="OP257" s="1018"/>
      <c r="OQ257" s="1018"/>
      <c r="OR257" s="1018"/>
      <c r="OS257" s="1018"/>
      <c r="OT257" s="1018"/>
      <c r="OU257" s="1018"/>
      <c r="OV257" s="1018"/>
      <c r="OW257" s="1018"/>
      <c r="OX257" s="1018"/>
      <c r="OY257" s="1018"/>
      <c r="OZ257" s="1018"/>
      <c r="PA257" s="1018"/>
      <c r="PB257" s="1018"/>
      <c r="PC257" s="1018"/>
      <c r="PD257" s="1018"/>
      <c r="PE257" s="1018"/>
      <c r="PF257" s="1018"/>
      <c r="PG257" s="1018"/>
      <c r="PH257" s="1018"/>
      <c r="PI257" s="1018"/>
      <c r="PJ257" s="1018"/>
      <c r="PK257" s="1018"/>
      <c r="PL257" s="1018"/>
      <c r="PM257" s="1018"/>
      <c r="PN257" s="1018"/>
      <c r="PO257" s="1018"/>
      <c r="PP257" s="1018"/>
      <c r="PQ257" s="1018"/>
      <c r="PR257" s="1018"/>
      <c r="PS257" s="1018"/>
      <c r="PT257" s="1018"/>
      <c r="PU257" s="1018"/>
      <c r="PV257" s="1018"/>
      <c r="PW257" s="1018"/>
      <c r="PX257" s="1018"/>
      <c r="PY257" s="1018"/>
      <c r="PZ257" s="1018"/>
      <c r="QA257" s="1018"/>
      <c r="QB257" s="1018"/>
      <c r="QC257" s="1018"/>
      <c r="QD257" s="1018"/>
      <c r="QE257" s="1018"/>
      <c r="QF257" s="1018"/>
      <c r="QG257" s="1018"/>
      <c r="QH257" s="1018"/>
      <c r="QI257" s="1018"/>
      <c r="QJ257" s="1018"/>
      <c r="QK257" s="1018"/>
      <c r="QL257" s="1018"/>
      <c r="QM257" s="1018"/>
      <c r="QN257" s="1018"/>
      <c r="QO257" s="1018"/>
      <c r="QP257" s="1018"/>
      <c r="QQ257" s="1018"/>
      <c r="QR257" s="1018"/>
      <c r="QS257" s="1018"/>
      <c r="QT257" s="1018"/>
      <c r="QU257" s="1018"/>
      <c r="QV257" s="1018"/>
      <c r="QW257" s="1018"/>
      <c r="QX257" s="1018"/>
      <c r="QY257" s="1018"/>
      <c r="QZ257" s="1018"/>
      <c r="RA257" s="1018"/>
      <c r="RB257" s="1018"/>
      <c r="RC257" s="1018"/>
      <c r="RD257" s="1018"/>
      <c r="RE257" s="1018"/>
      <c r="RF257" s="1018"/>
      <c r="RG257" s="1018"/>
      <c r="RH257" s="1018"/>
      <c r="RI257" s="1018"/>
      <c r="RJ257" s="1018"/>
      <c r="RK257" s="1018"/>
      <c r="RL257" s="1018"/>
      <c r="RM257" s="1018"/>
      <c r="RN257" s="1018"/>
      <c r="RO257" s="1018"/>
      <c r="RP257" s="1018"/>
      <c r="RQ257" s="1018"/>
      <c r="RR257" s="1018"/>
      <c r="RS257" s="1018"/>
      <c r="RT257" s="1018"/>
      <c r="RU257" s="1018"/>
      <c r="RV257" s="1018"/>
      <c r="RW257" s="1018"/>
      <c r="RX257" s="1018"/>
    </row>
    <row r="258" spans="1:492" s="1057" customFormat="1" ht="14.1" customHeight="1">
      <c r="A258" s="1265"/>
      <c r="B258" s="1018"/>
      <c r="C258" s="1018"/>
      <c r="D258" s="1018"/>
      <c r="E258" s="1018"/>
      <c r="F258" s="1018"/>
      <c r="G258" s="1018"/>
      <c r="H258" s="1018"/>
      <c r="I258" s="1018"/>
      <c r="J258" s="1018"/>
      <c r="K258" s="1018"/>
      <c r="L258" s="1018"/>
      <c r="M258" s="1018"/>
      <c r="N258" s="1018"/>
      <c r="O258" s="1018"/>
      <c r="W258" s="1058"/>
      <c r="X258" s="1058"/>
      <c r="Y258" s="1058"/>
      <c r="Z258" s="1058"/>
      <c r="AA258" s="1058"/>
      <c r="AB258" s="1058"/>
      <c r="AC258" s="1058"/>
      <c r="AD258" s="1058"/>
      <c r="AE258" s="1058"/>
      <c r="AF258" s="1058"/>
      <c r="AG258" s="1058"/>
      <c r="AH258" s="1058"/>
      <c r="AI258" s="1058"/>
      <c r="AJ258" s="1058"/>
      <c r="AK258" s="1058"/>
      <c r="AL258" s="1058"/>
      <c r="AM258" s="1058"/>
      <c r="AN258" s="1058"/>
      <c r="AO258" s="1058"/>
      <c r="AP258" s="1058"/>
      <c r="AQ258" s="1058"/>
      <c r="AR258" s="1058"/>
      <c r="AS258" s="1058"/>
      <c r="AT258" s="1058"/>
      <c r="AU258" s="1058"/>
      <c r="AV258" s="1058"/>
      <c r="AW258" s="1058"/>
      <c r="AX258" s="1058"/>
      <c r="AY258" s="1058"/>
      <c r="AZ258" s="1058"/>
      <c r="BA258" s="1058"/>
      <c r="BB258" s="1058"/>
      <c r="BC258" s="1058"/>
      <c r="BD258" s="1058"/>
      <c r="BE258" s="1058"/>
      <c r="BF258" s="1058"/>
      <c r="BG258" s="1058"/>
      <c r="BH258" s="1058"/>
      <c r="BI258" s="1058"/>
      <c r="BJ258" s="1058"/>
      <c r="BK258" s="1058"/>
      <c r="BL258" s="1058"/>
      <c r="BM258" s="1058"/>
      <c r="BN258" s="1058"/>
      <c r="BO258" s="1058"/>
      <c r="BP258" s="1058"/>
      <c r="BQ258" s="1058"/>
      <c r="BR258" s="1058"/>
      <c r="BS258" s="1058"/>
      <c r="BT258" s="1058"/>
      <c r="BU258" s="1058"/>
      <c r="BV258" s="1058"/>
      <c r="BW258" s="1058"/>
      <c r="BX258" s="1058"/>
      <c r="BY258" s="1058"/>
      <c r="BZ258" s="1058"/>
      <c r="CA258" s="1058"/>
      <c r="CB258" s="1058"/>
      <c r="CC258" s="1058"/>
      <c r="CD258" s="1058"/>
      <c r="CE258" s="1058"/>
      <c r="CF258" s="1058"/>
      <c r="CG258" s="1058"/>
      <c r="CH258" s="1058"/>
      <c r="CI258" s="1058"/>
      <c r="CJ258" s="1058"/>
      <c r="CK258" s="1058"/>
      <c r="CL258" s="1058"/>
      <c r="CM258" s="1058"/>
      <c r="CN258" s="1058"/>
      <c r="CO258" s="1058"/>
      <c r="CP258" s="1058"/>
      <c r="CQ258" s="1058"/>
      <c r="CR258" s="1058"/>
      <c r="CS258" s="1058"/>
      <c r="CT258" s="1058"/>
      <c r="CU258" s="1058"/>
      <c r="CV258" s="1058"/>
      <c r="CW258" s="1058"/>
      <c r="CX258" s="1058"/>
      <c r="CY258" s="1058"/>
      <c r="CZ258" s="1058"/>
      <c r="DA258" s="1058"/>
      <c r="DB258" s="1058"/>
      <c r="DC258" s="1058"/>
      <c r="DD258" s="1058"/>
      <c r="DE258" s="1058"/>
      <c r="DF258" s="1058"/>
      <c r="DG258" s="1058"/>
      <c r="DH258" s="1058"/>
      <c r="DI258" s="1058"/>
      <c r="DJ258" s="1058"/>
      <c r="DK258" s="1058"/>
      <c r="DL258" s="1058"/>
      <c r="DM258" s="1058"/>
      <c r="DN258" s="1058"/>
      <c r="DO258" s="1058"/>
      <c r="DP258" s="1058"/>
      <c r="DQ258" s="1058"/>
      <c r="DR258" s="1058"/>
      <c r="DS258" s="1058"/>
      <c r="DT258" s="1058"/>
      <c r="DU258" s="1058"/>
      <c r="DV258" s="1058"/>
      <c r="DW258" s="1058"/>
      <c r="DX258" s="1058"/>
      <c r="DY258" s="1058"/>
      <c r="DZ258" s="1058"/>
      <c r="EA258" s="1058"/>
      <c r="EB258" s="1058"/>
      <c r="EC258" s="1058"/>
      <c r="ED258" s="1058"/>
      <c r="EE258" s="1058"/>
      <c r="EF258" s="1058"/>
      <c r="EG258" s="1058"/>
      <c r="EH258" s="1058"/>
      <c r="EI258" s="1058"/>
      <c r="EJ258" s="1058"/>
      <c r="EK258" s="1058"/>
      <c r="EL258" s="1058"/>
      <c r="EM258" s="1058"/>
      <c r="EN258" s="1058"/>
      <c r="EO258" s="1058"/>
      <c r="EP258" s="1058"/>
      <c r="EQ258" s="1058"/>
      <c r="ER258" s="1058"/>
      <c r="ES258" s="1058"/>
      <c r="ET258" s="1058"/>
      <c r="EU258" s="1058"/>
      <c r="EV258" s="1058"/>
      <c r="EW258" s="1058"/>
      <c r="EX258" s="1058"/>
      <c r="EY258" s="1058"/>
      <c r="EZ258" s="1058"/>
      <c r="FA258" s="1058"/>
      <c r="FB258" s="1058"/>
      <c r="FC258" s="1058"/>
      <c r="FD258" s="1058"/>
      <c r="FE258" s="1058"/>
      <c r="FF258" s="1058"/>
      <c r="FG258" s="1058"/>
      <c r="FH258" s="1058"/>
      <c r="FI258" s="1058"/>
      <c r="FJ258" s="1058"/>
      <c r="FK258" s="1058"/>
      <c r="FL258" s="1058"/>
      <c r="FM258" s="1058"/>
      <c r="FN258" s="1058"/>
      <c r="FO258" s="1058"/>
      <c r="FP258" s="1058"/>
      <c r="FQ258" s="1058"/>
      <c r="FR258" s="1058"/>
      <c r="FS258" s="1058"/>
      <c r="FT258" s="1058"/>
      <c r="FU258" s="1058"/>
      <c r="FV258" s="1058"/>
      <c r="FW258" s="1058"/>
      <c r="FX258" s="1058"/>
      <c r="FY258" s="1058"/>
      <c r="FZ258" s="1058"/>
      <c r="GA258" s="1058"/>
      <c r="GB258" s="1058"/>
      <c r="GC258" s="1058"/>
      <c r="GD258" s="1058"/>
      <c r="GE258" s="1058"/>
      <c r="GF258" s="1058"/>
      <c r="GG258" s="1058"/>
      <c r="GH258" s="1058"/>
      <c r="GI258" s="1058"/>
      <c r="GJ258" s="1058"/>
      <c r="GK258" s="1058"/>
      <c r="GL258" s="1058"/>
      <c r="GM258" s="1058"/>
      <c r="GN258" s="1058"/>
      <c r="GO258" s="1058"/>
      <c r="GP258" s="1058"/>
      <c r="GQ258" s="1058"/>
      <c r="GR258" s="1058"/>
      <c r="GS258" s="1058"/>
      <c r="GT258" s="1058"/>
      <c r="GU258" s="1058"/>
      <c r="GV258" s="1058"/>
      <c r="GW258" s="1058"/>
      <c r="GX258" s="1058"/>
      <c r="GY258" s="1058"/>
      <c r="GZ258" s="1058"/>
      <c r="HA258" s="1058"/>
      <c r="HB258" s="1058"/>
      <c r="HC258" s="1058"/>
      <c r="HD258" s="1058"/>
      <c r="HE258" s="1058"/>
      <c r="HF258" s="1058"/>
      <c r="HG258" s="1058"/>
      <c r="HH258" s="1058"/>
      <c r="HI258" s="1058"/>
      <c r="HJ258" s="1058"/>
      <c r="HK258" s="1058"/>
      <c r="HL258" s="1058"/>
      <c r="HM258" s="1058"/>
      <c r="HN258" s="1058"/>
      <c r="HO258" s="1058"/>
      <c r="HP258" s="1058"/>
      <c r="HQ258" s="1058"/>
      <c r="HR258" s="1058"/>
      <c r="HS258" s="1058"/>
      <c r="HT258" s="1058"/>
      <c r="HU258" s="1058"/>
      <c r="HV258" s="1058"/>
      <c r="HW258" s="1058"/>
      <c r="HX258" s="1058"/>
      <c r="HY258" s="1058"/>
      <c r="HZ258" s="1058"/>
      <c r="IA258" s="1058"/>
      <c r="IB258" s="1058"/>
      <c r="IC258" s="1058"/>
      <c r="ID258" s="1058"/>
      <c r="IE258" s="1058"/>
      <c r="IF258" s="1058"/>
      <c r="IG258" s="1058"/>
      <c r="IH258" s="1058"/>
      <c r="II258" s="1058"/>
      <c r="IJ258" s="1058"/>
      <c r="IK258" s="1058"/>
      <c r="IL258" s="1058"/>
      <c r="IM258" s="1058"/>
      <c r="IN258" s="1058"/>
      <c r="IO258" s="1058"/>
      <c r="IP258" s="1058"/>
      <c r="IQ258" s="1058"/>
      <c r="IR258" s="1058"/>
      <c r="IS258" s="1058"/>
      <c r="IT258" s="1058"/>
      <c r="IU258" s="1058"/>
      <c r="IV258" s="1058"/>
      <c r="IW258" s="1058"/>
      <c r="IX258" s="1058"/>
      <c r="IY258" s="1058"/>
      <c r="IZ258" s="1058"/>
      <c r="JA258" s="1058"/>
      <c r="JB258" s="1058"/>
      <c r="JC258" s="1058"/>
      <c r="JD258" s="1058"/>
      <c r="JE258" s="1058"/>
      <c r="JF258" s="1058"/>
      <c r="JG258" s="1058"/>
      <c r="JH258" s="1058"/>
      <c r="JI258" s="1058"/>
      <c r="JJ258" s="1058"/>
      <c r="JK258" s="1058"/>
      <c r="JL258" s="1058"/>
      <c r="JM258" s="1058"/>
      <c r="JN258" s="1058"/>
      <c r="JO258" s="1058"/>
      <c r="JP258" s="1058"/>
      <c r="JQ258" s="1058"/>
      <c r="JR258" s="1058"/>
      <c r="JS258" s="1058"/>
      <c r="JT258" s="1058"/>
      <c r="JU258" s="1058"/>
      <c r="JV258" s="1059"/>
      <c r="JW258" s="1058"/>
      <c r="JX258" s="1058"/>
      <c r="JY258" s="1058"/>
      <c r="JZ258" s="1058"/>
      <c r="KA258" s="1059"/>
      <c r="KB258" s="1059"/>
      <c r="KC258" s="1059"/>
      <c r="KD258" s="1059"/>
      <c r="KE258" s="1059"/>
      <c r="KF258" s="1059"/>
      <c r="KG258" s="1059"/>
      <c r="KH258" s="1059"/>
      <c r="KI258" s="1059"/>
      <c r="KJ258" s="1059"/>
      <c r="KK258" s="1059"/>
      <c r="KL258" s="1059"/>
      <c r="KM258" s="1059"/>
      <c r="KN258" s="1059"/>
      <c r="KO258" s="1059"/>
      <c r="KP258" s="1059"/>
      <c r="KQ258" s="1059"/>
      <c r="KR258" s="1059"/>
      <c r="KS258" s="1059"/>
      <c r="KT258" s="1059"/>
      <c r="KU258" s="1059"/>
      <c r="KV258" s="1059"/>
      <c r="KW258" s="1059"/>
      <c r="KX258" s="1059"/>
      <c r="KY258" s="1059"/>
      <c r="KZ258" s="1059"/>
      <c r="LA258" s="1059"/>
      <c r="LB258" s="1059"/>
      <c r="LC258" s="1059"/>
      <c r="LD258" s="1059"/>
      <c r="LE258" s="1059"/>
      <c r="LF258" s="1059"/>
      <c r="LG258" s="1058"/>
      <c r="LH258" s="1058"/>
      <c r="LI258" s="1058"/>
      <c r="LJ258" s="1058"/>
      <c r="LK258" s="1058"/>
      <c r="LL258" s="1058"/>
      <c r="LM258" s="1060"/>
      <c r="LN258" s="1058"/>
      <c r="LO258" s="1058"/>
      <c r="LP258" s="1058"/>
      <c r="LQ258" s="1058"/>
      <c r="LR258" s="1058"/>
      <c r="LS258" s="1058"/>
      <c r="LT258" s="1058"/>
      <c r="LU258" s="1058"/>
      <c r="LV258" s="1058"/>
      <c r="LW258" s="1058"/>
      <c r="LX258" s="1058"/>
      <c r="LY258" s="1058"/>
      <c r="LZ258" s="1058"/>
      <c r="MA258" s="1058"/>
      <c r="MB258" s="1058"/>
      <c r="MC258" s="1060"/>
      <c r="MD258" s="1060"/>
      <c r="ME258" s="1058"/>
      <c r="MF258" s="1058"/>
      <c r="MG258" s="1058"/>
      <c r="MH258" s="1058"/>
      <c r="MI258" s="1058"/>
      <c r="MJ258" s="1058"/>
      <c r="MK258" s="1058"/>
      <c r="ML258" s="1058"/>
      <c r="MM258" s="1058"/>
      <c r="MN258" s="1058"/>
      <c r="MO258" s="1058"/>
      <c r="MP258" s="1058"/>
      <c r="MQ258" s="1058"/>
      <c r="MR258" s="1058"/>
      <c r="MS258" s="1058"/>
      <c r="MT258" s="1058"/>
      <c r="MU258" s="1058"/>
      <c r="MV258" s="1058"/>
      <c r="MW258" s="1058"/>
      <c r="MX258" s="1058"/>
      <c r="MY258" s="1058"/>
      <c r="MZ258" s="1058"/>
      <c r="NA258" s="1058"/>
      <c r="NB258" s="1058"/>
      <c r="NC258" s="1058"/>
      <c r="ND258" s="1058"/>
      <c r="NE258" s="1058"/>
      <c r="NF258" s="1058"/>
      <c r="NG258" s="1058"/>
      <c r="NH258" s="1058"/>
      <c r="NI258" s="1058"/>
      <c r="NJ258" s="1058"/>
      <c r="NK258" s="1058"/>
      <c r="NL258" s="1058"/>
      <c r="NM258" s="1058"/>
      <c r="NN258" s="1058"/>
      <c r="NO258" s="1058"/>
      <c r="NP258" s="1058"/>
      <c r="NQ258" s="1058"/>
      <c r="NR258" s="1058"/>
      <c r="NS258" s="1058"/>
      <c r="NT258" s="1058"/>
      <c r="NU258" s="1058"/>
      <c r="NV258" s="1058"/>
      <c r="NW258" s="1058"/>
      <c r="NX258" s="1058"/>
      <c r="NY258" s="1058"/>
      <c r="NZ258" s="1058"/>
      <c r="OA258" s="1058"/>
      <c r="OB258" s="1058"/>
      <c r="OC258" s="1058"/>
      <c r="OD258" s="1018"/>
      <c r="OE258" s="1018"/>
      <c r="OF258" s="1018"/>
      <c r="OG258" s="1018"/>
      <c r="OH258" s="1018"/>
      <c r="OI258" s="1018"/>
      <c r="OJ258" s="1018"/>
      <c r="OK258" s="1018"/>
      <c r="OL258" s="1018"/>
      <c r="OM258" s="1018"/>
      <c r="ON258" s="1018"/>
      <c r="OO258" s="1018"/>
      <c r="OP258" s="1018"/>
      <c r="OQ258" s="1018"/>
      <c r="OR258" s="1018"/>
      <c r="OS258" s="1018"/>
      <c r="OT258" s="1018"/>
      <c r="OU258" s="1018"/>
      <c r="OV258" s="1018"/>
      <c r="OW258" s="1018"/>
      <c r="OX258" s="1018"/>
      <c r="OY258" s="1018"/>
      <c r="OZ258" s="1018"/>
      <c r="PA258" s="1018"/>
      <c r="PB258" s="1018"/>
      <c r="PC258" s="1018"/>
      <c r="PD258" s="1018"/>
      <c r="PE258" s="1018"/>
      <c r="PF258" s="1018"/>
      <c r="PG258" s="1018"/>
      <c r="PH258" s="1018"/>
      <c r="PI258" s="1018"/>
      <c r="PJ258" s="1018"/>
      <c r="PK258" s="1018"/>
      <c r="PL258" s="1018"/>
      <c r="PM258" s="1018"/>
      <c r="PN258" s="1018"/>
      <c r="PO258" s="1018"/>
      <c r="PP258" s="1018"/>
      <c r="PQ258" s="1018"/>
      <c r="PR258" s="1018"/>
      <c r="PS258" s="1018"/>
      <c r="PT258" s="1018"/>
      <c r="PU258" s="1018"/>
      <c r="PV258" s="1018"/>
      <c r="PW258" s="1018"/>
      <c r="PX258" s="1018"/>
      <c r="PY258" s="1018"/>
      <c r="PZ258" s="1018"/>
      <c r="QA258" s="1018"/>
      <c r="QB258" s="1018"/>
      <c r="QC258" s="1018"/>
      <c r="QD258" s="1018"/>
      <c r="QE258" s="1018"/>
      <c r="QF258" s="1018"/>
      <c r="QG258" s="1018"/>
      <c r="QH258" s="1018"/>
      <c r="QI258" s="1018"/>
      <c r="QJ258" s="1018"/>
      <c r="QK258" s="1018"/>
      <c r="QL258" s="1018"/>
      <c r="QM258" s="1018"/>
      <c r="QN258" s="1018"/>
      <c r="QO258" s="1018"/>
      <c r="QP258" s="1018"/>
      <c r="QQ258" s="1018"/>
      <c r="QR258" s="1018"/>
      <c r="QS258" s="1018"/>
      <c r="QT258" s="1018"/>
      <c r="QU258" s="1018"/>
      <c r="QV258" s="1018"/>
      <c r="QW258" s="1018"/>
      <c r="QX258" s="1018"/>
      <c r="QY258" s="1018"/>
      <c r="QZ258" s="1018"/>
      <c r="RA258" s="1018"/>
      <c r="RB258" s="1018"/>
      <c r="RC258" s="1018"/>
      <c r="RD258" s="1018"/>
      <c r="RE258" s="1018"/>
      <c r="RF258" s="1018"/>
      <c r="RG258" s="1018"/>
      <c r="RH258" s="1018"/>
      <c r="RI258" s="1018"/>
      <c r="RJ258" s="1018"/>
      <c r="RK258" s="1018"/>
      <c r="RL258" s="1018"/>
      <c r="RM258" s="1018"/>
      <c r="RN258" s="1018"/>
      <c r="RO258" s="1018"/>
      <c r="RP258" s="1018"/>
      <c r="RQ258" s="1018"/>
      <c r="RR258" s="1018"/>
      <c r="RS258" s="1018"/>
      <c r="RT258" s="1018"/>
      <c r="RU258" s="1018"/>
      <c r="RV258" s="1018"/>
      <c r="RW258" s="1018"/>
      <c r="RX258" s="1018"/>
    </row>
    <row r="259" spans="1:492" s="1057" customFormat="1" ht="14.1" customHeight="1">
      <c r="A259" s="1074"/>
      <c r="B259" s="1018"/>
      <c r="C259" s="1018"/>
      <c r="D259" s="1018"/>
      <c r="E259" s="1018"/>
      <c r="F259" s="1018"/>
      <c r="G259" s="1018"/>
      <c r="H259" s="1018"/>
      <c r="I259" s="1018"/>
      <c r="J259" s="1018"/>
      <c r="K259" s="1018"/>
      <c r="L259" s="1018"/>
      <c r="M259" s="1018"/>
      <c r="N259" s="1018"/>
      <c r="O259" s="1018"/>
      <c r="W259" s="1058"/>
      <c r="X259" s="1058"/>
      <c r="Y259" s="1058"/>
      <c r="Z259" s="1058"/>
      <c r="AA259" s="1058"/>
      <c r="AB259" s="1058"/>
      <c r="AC259" s="1058"/>
      <c r="AD259" s="1058"/>
      <c r="AE259" s="1058"/>
      <c r="AF259" s="1058"/>
      <c r="AG259" s="1058"/>
      <c r="AH259" s="1058"/>
      <c r="AI259" s="1058"/>
      <c r="AJ259" s="1058"/>
      <c r="AK259" s="1058"/>
      <c r="AL259" s="1058"/>
      <c r="AM259" s="1058"/>
      <c r="AN259" s="1058"/>
      <c r="AO259" s="1058"/>
      <c r="AP259" s="1058"/>
      <c r="AQ259" s="1058"/>
      <c r="AR259" s="1058"/>
      <c r="AS259" s="1058"/>
      <c r="AT259" s="1058"/>
      <c r="AU259" s="1058"/>
      <c r="AV259" s="1058"/>
      <c r="AW259" s="1058"/>
      <c r="AX259" s="1058"/>
      <c r="AY259" s="1058"/>
      <c r="AZ259" s="1058"/>
      <c r="BA259" s="1058"/>
      <c r="BB259" s="1058"/>
      <c r="BC259" s="1058"/>
      <c r="BD259" s="1058"/>
      <c r="BE259" s="1058"/>
      <c r="BF259" s="1058"/>
      <c r="BG259" s="1058"/>
      <c r="BH259" s="1058"/>
      <c r="BI259" s="1058"/>
      <c r="BJ259" s="1058"/>
      <c r="BK259" s="1058"/>
      <c r="BL259" s="1058"/>
      <c r="BM259" s="1058"/>
      <c r="BN259" s="1058"/>
      <c r="BO259" s="1058"/>
      <c r="BP259" s="1058"/>
      <c r="BQ259" s="1058"/>
      <c r="BR259" s="1058"/>
      <c r="BS259" s="1058"/>
      <c r="BT259" s="1058"/>
      <c r="BU259" s="1058"/>
      <c r="BV259" s="1058"/>
      <c r="BW259" s="1058"/>
      <c r="BX259" s="1058"/>
      <c r="BY259" s="1058"/>
      <c r="BZ259" s="1058"/>
      <c r="CA259" s="1058"/>
      <c r="CB259" s="1058"/>
      <c r="CC259" s="1058"/>
      <c r="CD259" s="1058"/>
      <c r="CE259" s="1058"/>
      <c r="CF259" s="1058"/>
      <c r="CG259" s="1058"/>
      <c r="CH259" s="1058"/>
      <c r="CI259" s="1058"/>
      <c r="CJ259" s="1058"/>
      <c r="CK259" s="1058"/>
      <c r="CL259" s="1058"/>
      <c r="CM259" s="1058"/>
      <c r="CN259" s="1058"/>
      <c r="CO259" s="1058"/>
      <c r="CP259" s="1058"/>
      <c r="CQ259" s="1058"/>
      <c r="CR259" s="1058"/>
      <c r="CS259" s="1058"/>
      <c r="CT259" s="1058"/>
      <c r="CU259" s="1058"/>
      <c r="CV259" s="1058"/>
      <c r="CW259" s="1058"/>
      <c r="CX259" s="1058"/>
      <c r="CY259" s="1058"/>
      <c r="CZ259" s="1058"/>
      <c r="DA259" s="1058"/>
      <c r="DB259" s="1058"/>
      <c r="DC259" s="1058"/>
      <c r="DD259" s="1058"/>
      <c r="DE259" s="1058"/>
      <c r="DF259" s="1058"/>
      <c r="DG259" s="1058"/>
      <c r="DH259" s="1058"/>
      <c r="DI259" s="1058"/>
      <c r="DJ259" s="1058"/>
      <c r="DK259" s="1058"/>
      <c r="DL259" s="1058"/>
      <c r="DM259" s="1058"/>
      <c r="DN259" s="1058"/>
      <c r="DO259" s="1058"/>
      <c r="DP259" s="1058"/>
      <c r="DQ259" s="1058"/>
      <c r="DR259" s="1058"/>
      <c r="DS259" s="1058"/>
      <c r="DT259" s="1058"/>
      <c r="DU259" s="1058"/>
      <c r="DV259" s="1058"/>
      <c r="DW259" s="1058"/>
      <c r="DX259" s="1058"/>
      <c r="DY259" s="1058"/>
      <c r="DZ259" s="1058"/>
      <c r="EA259" s="1058"/>
      <c r="EB259" s="1058"/>
      <c r="EC259" s="1058"/>
      <c r="ED259" s="1058"/>
      <c r="EE259" s="1058"/>
      <c r="EF259" s="1058"/>
      <c r="EG259" s="1058"/>
      <c r="EH259" s="1058"/>
      <c r="EI259" s="1058"/>
      <c r="EJ259" s="1058"/>
      <c r="EK259" s="1058"/>
      <c r="EL259" s="1058"/>
      <c r="EM259" s="1058"/>
      <c r="EN259" s="1058"/>
      <c r="EO259" s="1058"/>
      <c r="EP259" s="1058"/>
      <c r="EQ259" s="1058"/>
      <c r="ER259" s="1058"/>
      <c r="ES259" s="1058"/>
      <c r="ET259" s="1058"/>
      <c r="EU259" s="1058"/>
      <c r="EV259" s="1058"/>
      <c r="EW259" s="1058"/>
      <c r="EX259" s="1058"/>
      <c r="EY259" s="1058"/>
      <c r="EZ259" s="1058"/>
      <c r="FA259" s="1058"/>
      <c r="FB259" s="1058"/>
      <c r="FC259" s="1058"/>
      <c r="FD259" s="1058"/>
      <c r="FE259" s="1058"/>
      <c r="FF259" s="1058"/>
      <c r="FG259" s="1058"/>
      <c r="FH259" s="1058"/>
      <c r="FI259" s="1058"/>
      <c r="FJ259" s="1058"/>
      <c r="FK259" s="1058"/>
      <c r="FL259" s="1058"/>
      <c r="FM259" s="1058"/>
      <c r="FN259" s="1058"/>
      <c r="FO259" s="1058"/>
      <c r="FP259" s="1058"/>
      <c r="FQ259" s="1058"/>
      <c r="FR259" s="1058"/>
      <c r="FS259" s="1058"/>
      <c r="FT259" s="1058"/>
      <c r="FU259" s="1058"/>
      <c r="FV259" s="1058"/>
      <c r="FW259" s="1058"/>
      <c r="FX259" s="1058"/>
      <c r="FY259" s="1058"/>
      <c r="FZ259" s="1058"/>
      <c r="GA259" s="1058"/>
      <c r="GB259" s="1058"/>
      <c r="GC259" s="1058"/>
      <c r="GD259" s="1058"/>
      <c r="GE259" s="1058"/>
      <c r="GF259" s="1058"/>
      <c r="GG259" s="1058"/>
      <c r="GH259" s="1058"/>
      <c r="GI259" s="1058"/>
      <c r="GJ259" s="1058"/>
      <c r="GK259" s="1058"/>
      <c r="GL259" s="1058"/>
      <c r="GM259" s="1058"/>
      <c r="GN259" s="1058"/>
      <c r="GO259" s="1058"/>
      <c r="GP259" s="1058"/>
      <c r="GQ259" s="1058"/>
      <c r="GR259" s="1058"/>
      <c r="GS259" s="1058"/>
      <c r="GT259" s="1058"/>
      <c r="GU259" s="1058"/>
      <c r="GV259" s="1058"/>
      <c r="GW259" s="1058"/>
      <c r="GX259" s="1058"/>
      <c r="GY259" s="1058"/>
      <c r="GZ259" s="1058"/>
      <c r="HA259" s="1058"/>
      <c r="HB259" s="1058"/>
      <c r="HC259" s="1058"/>
      <c r="HD259" s="1058"/>
      <c r="HE259" s="1058"/>
      <c r="HF259" s="1058"/>
      <c r="HG259" s="1058"/>
      <c r="HH259" s="1058"/>
      <c r="HI259" s="1058"/>
      <c r="HJ259" s="1058"/>
      <c r="HK259" s="1058"/>
      <c r="HL259" s="1058"/>
      <c r="HM259" s="1058"/>
      <c r="HN259" s="1058"/>
      <c r="HO259" s="1058"/>
      <c r="HP259" s="1058"/>
      <c r="HQ259" s="1058"/>
      <c r="HR259" s="1058"/>
      <c r="HS259" s="1058"/>
      <c r="HT259" s="1058"/>
      <c r="HU259" s="1058"/>
      <c r="HV259" s="1058"/>
      <c r="HW259" s="1058"/>
      <c r="HX259" s="1058"/>
      <c r="HY259" s="1058"/>
      <c r="HZ259" s="1058"/>
      <c r="IA259" s="1058"/>
      <c r="IB259" s="1058"/>
      <c r="IC259" s="1058"/>
      <c r="ID259" s="1058"/>
      <c r="IE259" s="1058"/>
      <c r="IF259" s="1058"/>
      <c r="IG259" s="1058"/>
      <c r="IH259" s="1058"/>
      <c r="II259" s="1058"/>
      <c r="IJ259" s="1058"/>
      <c r="IK259" s="1058"/>
      <c r="IL259" s="1058"/>
      <c r="IM259" s="1058"/>
      <c r="IN259" s="1058"/>
      <c r="IO259" s="1058"/>
      <c r="IP259" s="1058"/>
      <c r="IQ259" s="1058"/>
      <c r="IR259" s="1058"/>
      <c r="IS259" s="1058"/>
      <c r="IT259" s="1058"/>
      <c r="IU259" s="1058"/>
      <c r="IV259" s="1058"/>
      <c r="IW259" s="1058"/>
      <c r="IX259" s="1058"/>
      <c r="IY259" s="1058"/>
      <c r="IZ259" s="1058"/>
      <c r="JA259" s="1058"/>
      <c r="JB259" s="1058"/>
      <c r="JC259" s="1058"/>
      <c r="JD259" s="1058"/>
      <c r="JE259" s="1058"/>
      <c r="JF259" s="1058"/>
      <c r="JG259" s="1058"/>
      <c r="JH259" s="1058"/>
      <c r="JI259" s="1058"/>
      <c r="JJ259" s="1058"/>
      <c r="JK259" s="1058"/>
      <c r="JL259" s="1058"/>
      <c r="JM259" s="1058"/>
      <c r="JN259" s="1058"/>
      <c r="JO259" s="1058"/>
      <c r="JP259" s="1058"/>
      <c r="JQ259" s="1058"/>
      <c r="JR259" s="1058"/>
      <c r="JS259" s="1058"/>
      <c r="JT259" s="1058"/>
      <c r="JU259" s="1058"/>
      <c r="JV259" s="1059"/>
      <c r="JW259" s="1058"/>
      <c r="JX259" s="1058"/>
      <c r="JY259" s="1058"/>
      <c r="JZ259" s="1058"/>
      <c r="KA259" s="1059"/>
      <c r="KB259" s="1059"/>
      <c r="KC259" s="1059"/>
      <c r="KD259" s="1059"/>
      <c r="KE259" s="1059"/>
      <c r="KF259" s="1059"/>
      <c r="KG259" s="1059"/>
      <c r="KH259" s="1059"/>
      <c r="KI259" s="1059"/>
      <c r="KJ259" s="1059"/>
      <c r="KK259" s="1059"/>
      <c r="KL259" s="1059"/>
      <c r="KM259" s="1059"/>
      <c r="KN259" s="1059"/>
      <c r="KO259" s="1059"/>
      <c r="KP259" s="1059"/>
      <c r="KQ259" s="1059"/>
      <c r="KR259" s="1059"/>
      <c r="KS259" s="1059"/>
      <c r="KT259" s="1059"/>
      <c r="KU259" s="1059"/>
      <c r="KV259" s="1059"/>
      <c r="KW259" s="1059"/>
      <c r="KX259" s="1059"/>
      <c r="KY259" s="1059"/>
      <c r="KZ259" s="1059"/>
      <c r="LA259" s="1059"/>
      <c r="LB259" s="1059"/>
      <c r="LC259" s="1059"/>
      <c r="LD259" s="1059"/>
      <c r="LE259" s="1059"/>
      <c r="LF259" s="1059"/>
      <c r="LG259" s="1058"/>
      <c r="LH259" s="1058"/>
      <c r="LI259" s="1058"/>
      <c r="LJ259" s="1058"/>
      <c r="LK259" s="1058"/>
      <c r="LL259" s="1058"/>
      <c r="LM259" s="1060"/>
      <c r="LN259" s="1058"/>
      <c r="LO259" s="1058"/>
      <c r="LP259" s="1058"/>
      <c r="LQ259" s="1058"/>
      <c r="LR259" s="1058"/>
      <c r="LS259" s="1058"/>
      <c r="LT259" s="1058"/>
      <c r="LU259" s="1058"/>
      <c r="LV259" s="1058"/>
      <c r="LW259" s="1058"/>
      <c r="LX259" s="1058"/>
      <c r="LY259" s="1058"/>
      <c r="LZ259" s="1058"/>
      <c r="MA259" s="1058"/>
      <c r="MB259" s="1058"/>
      <c r="MC259" s="1060"/>
      <c r="MD259" s="1060"/>
      <c r="ME259" s="1058"/>
      <c r="MF259" s="1058"/>
      <c r="MG259" s="1058"/>
      <c r="MH259" s="1058"/>
      <c r="MI259" s="1058"/>
      <c r="MJ259" s="1058"/>
      <c r="MK259" s="1058"/>
      <c r="ML259" s="1058"/>
      <c r="MM259" s="1058"/>
      <c r="MN259" s="1058"/>
      <c r="MO259" s="1058"/>
      <c r="MP259" s="1058"/>
      <c r="MQ259" s="1058"/>
      <c r="MR259" s="1058"/>
      <c r="MS259" s="1058"/>
      <c r="MT259" s="1058"/>
      <c r="MU259" s="1058"/>
      <c r="MV259" s="1058"/>
      <c r="MW259" s="1058"/>
      <c r="MX259" s="1058"/>
      <c r="MY259" s="1058"/>
      <c r="MZ259" s="1058"/>
      <c r="NA259" s="1058"/>
      <c r="NB259" s="1058"/>
      <c r="NC259" s="1058"/>
      <c r="ND259" s="1058"/>
      <c r="NE259" s="1058"/>
      <c r="NF259" s="1058"/>
      <c r="NG259" s="1058"/>
      <c r="NH259" s="1058"/>
      <c r="NI259" s="1058"/>
      <c r="NJ259" s="1058"/>
      <c r="NK259" s="1058"/>
      <c r="NL259" s="1058"/>
      <c r="NM259" s="1058"/>
      <c r="NN259" s="1058"/>
      <c r="NO259" s="1058"/>
      <c r="NP259" s="1058"/>
      <c r="NQ259" s="1058"/>
      <c r="NR259" s="1058"/>
      <c r="NS259" s="1058"/>
      <c r="NT259" s="1058"/>
      <c r="NU259" s="1058"/>
      <c r="NV259" s="1058"/>
      <c r="NW259" s="1058"/>
      <c r="NX259" s="1058"/>
      <c r="NY259" s="1058"/>
      <c r="NZ259" s="1058"/>
      <c r="OA259" s="1058"/>
      <c r="OB259" s="1058"/>
      <c r="OC259" s="1058"/>
      <c r="OD259" s="1018"/>
      <c r="OE259" s="1018"/>
      <c r="OF259" s="1018"/>
      <c r="OG259" s="1018"/>
      <c r="OH259" s="1018"/>
      <c r="OI259" s="1018"/>
      <c r="OJ259" s="1018"/>
      <c r="OK259" s="1018"/>
      <c r="OL259" s="1018"/>
      <c r="OM259" s="1018"/>
      <c r="ON259" s="1018"/>
      <c r="OO259" s="1018"/>
      <c r="OP259" s="1018"/>
      <c r="OQ259" s="1018"/>
      <c r="OR259" s="1018"/>
      <c r="OS259" s="1018"/>
      <c r="OT259" s="1018"/>
      <c r="OU259" s="1018"/>
      <c r="OV259" s="1018"/>
      <c r="OW259" s="1018"/>
      <c r="OX259" s="1018"/>
      <c r="OY259" s="1018"/>
      <c r="OZ259" s="1018"/>
      <c r="PA259" s="1018"/>
      <c r="PB259" s="1018"/>
      <c r="PC259" s="1018"/>
      <c r="PD259" s="1018"/>
      <c r="PE259" s="1018"/>
      <c r="PF259" s="1018"/>
      <c r="PG259" s="1018"/>
      <c r="PH259" s="1018"/>
      <c r="PI259" s="1018"/>
      <c r="PJ259" s="1018"/>
      <c r="PK259" s="1018"/>
      <c r="PL259" s="1018"/>
      <c r="PM259" s="1018"/>
      <c r="PN259" s="1018"/>
      <c r="PO259" s="1018"/>
      <c r="PP259" s="1018"/>
      <c r="PQ259" s="1018"/>
      <c r="PR259" s="1018"/>
      <c r="PS259" s="1018"/>
      <c r="PT259" s="1018"/>
      <c r="PU259" s="1018"/>
      <c r="PV259" s="1018"/>
      <c r="PW259" s="1018"/>
      <c r="PX259" s="1018"/>
      <c r="PY259" s="1018"/>
      <c r="PZ259" s="1018"/>
      <c r="QA259" s="1018"/>
      <c r="QB259" s="1018"/>
      <c r="QC259" s="1018"/>
      <c r="QD259" s="1018"/>
      <c r="QE259" s="1018"/>
      <c r="QF259" s="1018"/>
      <c r="QG259" s="1018"/>
      <c r="QH259" s="1018"/>
      <c r="QI259" s="1018"/>
      <c r="QJ259" s="1018"/>
      <c r="QK259" s="1018"/>
      <c r="QL259" s="1018"/>
      <c r="QM259" s="1018"/>
      <c r="QN259" s="1018"/>
      <c r="QO259" s="1018"/>
      <c r="QP259" s="1018"/>
      <c r="QQ259" s="1018"/>
      <c r="QR259" s="1018"/>
      <c r="QS259" s="1018"/>
      <c r="QT259" s="1018"/>
      <c r="QU259" s="1018"/>
      <c r="QV259" s="1018"/>
      <c r="QW259" s="1018"/>
      <c r="QX259" s="1018"/>
      <c r="QY259" s="1018"/>
      <c r="QZ259" s="1018"/>
      <c r="RA259" s="1018"/>
      <c r="RB259" s="1018"/>
      <c r="RC259" s="1018"/>
      <c r="RD259" s="1018"/>
      <c r="RE259" s="1018"/>
      <c r="RF259" s="1018"/>
      <c r="RG259" s="1018"/>
      <c r="RH259" s="1018"/>
      <c r="RI259" s="1018"/>
      <c r="RJ259" s="1018"/>
      <c r="RK259" s="1018"/>
      <c r="RL259" s="1018"/>
      <c r="RM259" s="1018"/>
      <c r="RN259" s="1018"/>
      <c r="RO259" s="1018"/>
      <c r="RP259" s="1018"/>
      <c r="RQ259" s="1018"/>
      <c r="RR259" s="1018"/>
      <c r="RS259" s="1018"/>
      <c r="RT259" s="1018"/>
      <c r="RU259" s="1018"/>
      <c r="RV259" s="1018"/>
      <c r="RW259" s="1018"/>
      <c r="RX259" s="1018"/>
    </row>
    <row r="260" spans="1:492" s="1057" customFormat="1" ht="14.1" customHeight="1">
      <c r="A260" s="1018"/>
      <c r="B260" s="1018"/>
      <c r="C260" s="1018"/>
      <c r="D260" s="1018"/>
      <c r="E260" s="1018"/>
      <c r="F260" s="1018"/>
      <c r="G260" s="1018"/>
      <c r="H260" s="1018"/>
      <c r="I260" s="1018"/>
      <c r="J260" s="1018"/>
      <c r="K260" s="1018"/>
      <c r="L260" s="1018"/>
      <c r="M260" s="1018"/>
      <c r="N260" s="1018"/>
      <c r="O260" s="1018"/>
      <c r="W260" s="1058"/>
      <c r="X260" s="1058"/>
      <c r="Y260" s="1058"/>
      <c r="Z260" s="1058"/>
      <c r="AA260" s="1058"/>
      <c r="AB260" s="1058"/>
      <c r="AC260" s="1058"/>
      <c r="AD260" s="1058"/>
      <c r="AE260" s="1058"/>
      <c r="AF260" s="1058"/>
      <c r="AG260" s="1058"/>
      <c r="AH260" s="1058"/>
      <c r="AI260" s="1058"/>
      <c r="AJ260" s="1058"/>
      <c r="AK260" s="1058"/>
      <c r="AL260" s="1058"/>
      <c r="AM260" s="1058"/>
      <c r="AN260" s="1058"/>
      <c r="AO260" s="1058"/>
      <c r="AP260" s="1058"/>
      <c r="AQ260" s="1058"/>
      <c r="AR260" s="1058"/>
      <c r="AS260" s="1058"/>
      <c r="AT260" s="1058"/>
      <c r="AU260" s="1058"/>
      <c r="AV260" s="1058"/>
      <c r="AW260" s="1058"/>
      <c r="AX260" s="1058"/>
      <c r="AY260" s="1058"/>
      <c r="AZ260" s="1058"/>
      <c r="BA260" s="1058"/>
      <c r="BB260" s="1058"/>
      <c r="BC260" s="1058"/>
      <c r="BD260" s="1058"/>
      <c r="BE260" s="1058"/>
      <c r="BF260" s="1058"/>
      <c r="BG260" s="1058"/>
      <c r="BH260" s="1058"/>
      <c r="BI260" s="1058"/>
      <c r="BJ260" s="1058"/>
      <c r="BK260" s="1058"/>
      <c r="BL260" s="1058"/>
      <c r="BM260" s="1058"/>
      <c r="BN260" s="1058"/>
      <c r="BO260" s="1058"/>
      <c r="BP260" s="1058"/>
      <c r="BQ260" s="1058"/>
      <c r="BR260" s="1058"/>
      <c r="BS260" s="1058"/>
      <c r="BT260" s="1058"/>
      <c r="BU260" s="1058"/>
      <c r="BV260" s="1058"/>
      <c r="BW260" s="1058"/>
      <c r="BX260" s="1058"/>
      <c r="BY260" s="1058"/>
      <c r="BZ260" s="1058"/>
      <c r="CA260" s="1058"/>
      <c r="CB260" s="1058"/>
      <c r="CC260" s="1058"/>
      <c r="CD260" s="1058"/>
      <c r="CE260" s="1058"/>
      <c r="CF260" s="1058"/>
      <c r="CG260" s="1058"/>
      <c r="CH260" s="1058"/>
      <c r="CI260" s="1058"/>
      <c r="CJ260" s="1058"/>
      <c r="CK260" s="1058"/>
      <c r="CL260" s="1058"/>
      <c r="CM260" s="1058"/>
      <c r="CN260" s="1058"/>
      <c r="CO260" s="1058"/>
      <c r="CP260" s="1058"/>
      <c r="CQ260" s="1058"/>
      <c r="CR260" s="1058"/>
      <c r="CS260" s="1058"/>
      <c r="CT260" s="1058"/>
      <c r="CU260" s="1058"/>
      <c r="CV260" s="1058"/>
      <c r="CW260" s="1058"/>
      <c r="CX260" s="1058"/>
      <c r="CY260" s="1058"/>
      <c r="CZ260" s="1058"/>
      <c r="DA260" s="1058"/>
      <c r="DB260" s="1058"/>
      <c r="DC260" s="1058"/>
      <c r="DD260" s="1058"/>
      <c r="DE260" s="1058"/>
      <c r="DF260" s="1058"/>
      <c r="DG260" s="1058"/>
      <c r="DH260" s="1058"/>
      <c r="DI260" s="1058"/>
      <c r="DJ260" s="1058"/>
      <c r="DK260" s="1058"/>
      <c r="DL260" s="1058"/>
      <c r="DM260" s="1058"/>
      <c r="DN260" s="1058"/>
      <c r="DO260" s="1058"/>
      <c r="DP260" s="1058"/>
      <c r="DQ260" s="1058"/>
      <c r="DR260" s="1058"/>
      <c r="DS260" s="1058"/>
      <c r="DT260" s="1058"/>
      <c r="DU260" s="1058"/>
      <c r="DV260" s="1058"/>
      <c r="DW260" s="1058"/>
      <c r="DX260" s="1058"/>
      <c r="DY260" s="1058"/>
      <c r="DZ260" s="1058"/>
      <c r="EA260" s="1058"/>
      <c r="EB260" s="1058"/>
      <c r="EC260" s="1058"/>
      <c r="ED260" s="1058"/>
      <c r="EE260" s="1058"/>
      <c r="EF260" s="1058"/>
      <c r="EG260" s="1058"/>
      <c r="EH260" s="1058"/>
      <c r="EI260" s="1058"/>
      <c r="EJ260" s="1058"/>
      <c r="EK260" s="1058"/>
      <c r="EL260" s="1058"/>
      <c r="EM260" s="1058"/>
      <c r="EN260" s="1058"/>
      <c r="EO260" s="1058"/>
      <c r="EP260" s="1058"/>
      <c r="EQ260" s="1058"/>
      <c r="ER260" s="1058"/>
      <c r="ES260" s="1058"/>
      <c r="ET260" s="1058"/>
      <c r="EU260" s="1058"/>
      <c r="EV260" s="1058"/>
      <c r="EW260" s="1058"/>
      <c r="EX260" s="1058"/>
      <c r="EY260" s="1058"/>
      <c r="EZ260" s="1058"/>
      <c r="FA260" s="1058"/>
      <c r="FB260" s="1058"/>
      <c r="FC260" s="1058"/>
      <c r="FD260" s="1058"/>
      <c r="FE260" s="1058"/>
      <c r="FF260" s="1058"/>
      <c r="FG260" s="1058"/>
      <c r="FH260" s="1058"/>
      <c r="FI260" s="1058"/>
      <c r="FJ260" s="1058"/>
      <c r="FK260" s="1058"/>
      <c r="FL260" s="1058"/>
      <c r="FM260" s="1058"/>
      <c r="FN260" s="1058"/>
      <c r="FO260" s="1058"/>
      <c r="FP260" s="1058"/>
      <c r="FQ260" s="1058"/>
      <c r="FR260" s="1058"/>
      <c r="FS260" s="1058"/>
      <c r="FT260" s="1058"/>
      <c r="FU260" s="1058"/>
      <c r="FV260" s="1058"/>
      <c r="FW260" s="1058"/>
      <c r="FX260" s="1058"/>
      <c r="FY260" s="1058"/>
      <c r="FZ260" s="1058"/>
      <c r="GA260" s="1058"/>
      <c r="GB260" s="1058"/>
      <c r="GC260" s="1058"/>
      <c r="GD260" s="1058"/>
      <c r="GE260" s="1058"/>
      <c r="GF260" s="1058"/>
      <c r="GG260" s="1058"/>
      <c r="GH260" s="1058"/>
      <c r="GI260" s="1058"/>
      <c r="GJ260" s="1058"/>
      <c r="GK260" s="1058"/>
      <c r="GL260" s="1058"/>
      <c r="GM260" s="1058"/>
      <c r="GN260" s="1058"/>
      <c r="GO260" s="1058"/>
      <c r="GP260" s="1058"/>
      <c r="GQ260" s="1058"/>
      <c r="GR260" s="1058"/>
      <c r="GS260" s="1058"/>
      <c r="GT260" s="1058"/>
      <c r="GU260" s="1058"/>
      <c r="GV260" s="1058"/>
      <c r="GW260" s="1058"/>
      <c r="GX260" s="1058"/>
      <c r="GY260" s="1058"/>
      <c r="GZ260" s="1058"/>
      <c r="HA260" s="1058"/>
      <c r="HB260" s="1058"/>
      <c r="HC260" s="1058"/>
      <c r="HD260" s="1058"/>
      <c r="HE260" s="1058"/>
      <c r="HF260" s="1058"/>
      <c r="HG260" s="1058"/>
      <c r="HH260" s="1058"/>
      <c r="HI260" s="1058"/>
      <c r="HJ260" s="1058"/>
      <c r="HK260" s="1058"/>
      <c r="HL260" s="1058"/>
      <c r="HM260" s="1058"/>
      <c r="HN260" s="1058"/>
      <c r="HO260" s="1058"/>
      <c r="HP260" s="1058"/>
      <c r="HQ260" s="1058"/>
      <c r="HR260" s="1058"/>
      <c r="HS260" s="1058"/>
      <c r="HT260" s="1058"/>
      <c r="HU260" s="1058"/>
      <c r="HV260" s="1058"/>
      <c r="HW260" s="1058"/>
      <c r="HX260" s="1058"/>
      <c r="HY260" s="1058"/>
      <c r="HZ260" s="1058"/>
      <c r="IA260" s="1058"/>
      <c r="IB260" s="1058"/>
      <c r="IC260" s="1058"/>
      <c r="ID260" s="1058"/>
      <c r="IE260" s="1058"/>
      <c r="IF260" s="1058"/>
      <c r="IG260" s="1058"/>
      <c r="IH260" s="1058"/>
      <c r="II260" s="1058"/>
      <c r="IJ260" s="1058"/>
      <c r="IK260" s="1058"/>
      <c r="IL260" s="1058"/>
      <c r="IM260" s="1058"/>
      <c r="IN260" s="1058"/>
      <c r="IO260" s="1058"/>
      <c r="IP260" s="1058"/>
      <c r="IQ260" s="1058"/>
      <c r="IR260" s="1058"/>
      <c r="IS260" s="1058"/>
      <c r="IT260" s="1058"/>
      <c r="IU260" s="1058"/>
      <c r="IV260" s="1058"/>
      <c r="IW260" s="1058"/>
      <c r="IX260" s="1058"/>
      <c r="IY260" s="1058"/>
      <c r="IZ260" s="1058"/>
      <c r="JA260" s="1058"/>
      <c r="JB260" s="1058"/>
      <c r="JC260" s="1058"/>
      <c r="JD260" s="1058"/>
      <c r="JE260" s="1058"/>
      <c r="JF260" s="1058"/>
      <c r="JG260" s="1058"/>
      <c r="JH260" s="1058"/>
      <c r="JI260" s="1058"/>
      <c r="JJ260" s="1058"/>
      <c r="JK260" s="1058"/>
      <c r="JL260" s="1058"/>
      <c r="JM260" s="1058"/>
      <c r="JN260" s="1058"/>
      <c r="JO260" s="1058"/>
      <c r="JP260" s="1058"/>
      <c r="JQ260" s="1058"/>
      <c r="JR260" s="1058"/>
      <c r="JS260" s="1058"/>
      <c r="JT260" s="1058"/>
      <c r="JU260" s="1058"/>
      <c r="JV260" s="1059"/>
      <c r="JW260" s="1058"/>
      <c r="JX260" s="1058"/>
      <c r="JY260" s="1058"/>
      <c r="JZ260" s="1058"/>
      <c r="KA260" s="1059"/>
      <c r="KB260" s="1059"/>
      <c r="KC260" s="1059"/>
      <c r="KD260" s="1059"/>
      <c r="KE260" s="1059"/>
      <c r="KF260" s="1059"/>
      <c r="KG260" s="1059"/>
      <c r="KH260" s="1059"/>
      <c r="KI260" s="1059"/>
      <c r="KJ260" s="1059"/>
      <c r="KK260" s="1059"/>
      <c r="KL260" s="1059"/>
      <c r="KM260" s="1059"/>
      <c r="KN260" s="1059"/>
      <c r="KO260" s="1059"/>
      <c r="KP260" s="1059"/>
      <c r="KQ260" s="1059"/>
      <c r="KR260" s="1059"/>
      <c r="KS260" s="1059"/>
      <c r="KT260" s="1059"/>
      <c r="KU260" s="1059"/>
      <c r="KV260" s="1059"/>
      <c r="KW260" s="1059"/>
      <c r="KX260" s="1059"/>
      <c r="KY260" s="1059"/>
      <c r="KZ260" s="1059"/>
      <c r="LA260" s="1059"/>
      <c r="LB260" s="1059"/>
      <c r="LC260" s="1059"/>
      <c r="LD260" s="1059"/>
      <c r="LE260" s="1059"/>
      <c r="LF260" s="1059"/>
      <c r="LG260" s="1058"/>
      <c r="LH260" s="1058"/>
      <c r="LI260" s="1058"/>
      <c r="LJ260" s="1058"/>
      <c r="LK260" s="1058"/>
      <c r="LL260" s="1058"/>
      <c r="LM260" s="1060"/>
      <c r="LN260" s="1058"/>
      <c r="LO260" s="1058"/>
      <c r="LP260" s="1058"/>
      <c r="LQ260" s="1058"/>
      <c r="LR260" s="1058"/>
      <c r="LS260" s="1058"/>
      <c r="LT260" s="1058"/>
      <c r="LU260" s="1058"/>
      <c r="LV260" s="1058"/>
      <c r="LW260" s="1058"/>
      <c r="LX260" s="1058"/>
      <c r="LY260" s="1058"/>
      <c r="LZ260" s="1058"/>
      <c r="MA260" s="1058"/>
      <c r="MB260" s="1058"/>
      <c r="MC260" s="1060"/>
      <c r="MD260" s="1060"/>
      <c r="ME260" s="1058"/>
      <c r="MF260" s="1058"/>
      <c r="MG260" s="1058"/>
      <c r="MH260" s="1058"/>
      <c r="MI260" s="1058"/>
      <c r="MJ260" s="1058"/>
      <c r="MK260" s="1058"/>
      <c r="ML260" s="1058"/>
      <c r="MM260" s="1058"/>
      <c r="MN260" s="1058"/>
      <c r="MO260" s="1058"/>
      <c r="MP260" s="1058"/>
      <c r="MQ260" s="1058"/>
      <c r="MR260" s="1058"/>
      <c r="MS260" s="1058"/>
      <c r="MT260" s="1058"/>
      <c r="MU260" s="1058"/>
      <c r="MV260" s="1058"/>
      <c r="MW260" s="1058"/>
      <c r="MX260" s="1058"/>
      <c r="MY260" s="1058"/>
      <c r="MZ260" s="1058"/>
      <c r="NA260" s="1058"/>
      <c r="NB260" s="1058"/>
      <c r="NC260" s="1058"/>
      <c r="ND260" s="1058"/>
      <c r="NE260" s="1058"/>
      <c r="NF260" s="1058"/>
      <c r="NG260" s="1058"/>
      <c r="NH260" s="1058"/>
      <c r="NI260" s="1058"/>
      <c r="NJ260" s="1058"/>
      <c r="NK260" s="1058"/>
      <c r="NL260" s="1058"/>
      <c r="NM260" s="1058"/>
      <c r="NN260" s="1058"/>
      <c r="NO260" s="1058"/>
      <c r="NP260" s="1058"/>
      <c r="NQ260" s="1058"/>
      <c r="NR260" s="1058"/>
      <c r="NS260" s="1058"/>
      <c r="NT260" s="1058"/>
      <c r="NU260" s="1058"/>
      <c r="NV260" s="1058"/>
      <c r="NW260" s="1058"/>
      <c r="NX260" s="1058"/>
      <c r="NY260" s="1058"/>
      <c r="NZ260" s="1058"/>
      <c r="OA260" s="1058"/>
      <c r="OB260" s="1058"/>
      <c r="OC260" s="1058"/>
      <c r="OD260" s="1018"/>
      <c r="OE260" s="1018"/>
      <c r="OF260" s="1018"/>
      <c r="OG260" s="1018"/>
      <c r="OH260" s="1018"/>
      <c r="OI260" s="1018"/>
      <c r="OJ260" s="1018"/>
      <c r="OK260" s="1018"/>
      <c r="OL260" s="1018"/>
      <c r="OM260" s="1018"/>
      <c r="ON260" s="1018"/>
      <c r="OO260" s="1018"/>
      <c r="OP260" s="1018"/>
      <c r="OQ260" s="1018"/>
      <c r="OR260" s="1018"/>
      <c r="OS260" s="1018"/>
      <c r="OT260" s="1018"/>
      <c r="OU260" s="1018"/>
      <c r="OV260" s="1018"/>
      <c r="OW260" s="1018"/>
      <c r="OX260" s="1018"/>
      <c r="OY260" s="1018"/>
      <c r="OZ260" s="1018"/>
      <c r="PA260" s="1018"/>
      <c r="PB260" s="1018"/>
      <c r="PC260" s="1018"/>
      <c r="PD260" s="1018"/>
      <c r="PE260" s="1018"/>
      <c r="PF260" s="1018"/>
      <c r="PG260" s="1018"/>
      <c r="PH260" s="1018"/>
      <c r="PI260" s="1018"/>
      <c r="PJ260" s="1018"/>
      <c r="PK260" s="1018"/>
      <c r="PL260" s="1018"/>
      <c r="PM260" s="1018"/>
      <c r="PN260" s="1018"/>
      <c r="PO260" s="1018"/>
      <c r="PP260" s="1018"/>
      <c r="PQ260" s="1018"/>
      <c r="PR260" s="1018"/>
      <c r="PS260" s="1018"/>
      <c r="PT260" s="1018"/>
      <c r="PU260" s="1018"/>
      <c r="PV260" s="1018"/>
      <c r="PW260" s="1018"/>
      <c r="PX260" s="1018"/>
      <c r="PY260" s="1018"/>
      <c r="PZ260" s="1018"/>
      <c r="QA260" s="1018"/>
      <c r="QB260" s="1018"/>
      <c r="QC260" s="1018"/>
      <c r="QD260" s="1018"/>
      <c r="QE260" s="1018"/>
      <c r="QF260" s="1018"/>
      <c r="QG260" s="1018"/>
      <c r="QH260" s="1018"/>
      <c r="QI260" s="1018"/>
      <c r="QJ260" s="1018"/>
      <c r="QK260" s="1018"/>
      <c r="QL260" s="1018"/>
      <c r="QM260" s="1018"/>
      <c r="QN260" s="1018"/>
      <c r="QO260" s="1018"/>
      <c r="QP260" s="1018"/>
      <c r="QQ260" s="1018"/>
      <c r="QR260" s="1018"/>
      <c r="QS260" s="1018"/>
      <c r="QT260" s="1018"/>
      <c r="QU260" s="1018"/>
      <c r="QV260" s="1018"/>
      <c r="QW260" s="1018"/>
      <c r="QX260" s="1018"/>
      <c r="QY260" s="1018"/>
      <c r="QZ260" s="1018"/>
      <c r="RA260" s="1018"/>
      <c r="RB260" s="1018"/>
      <c r="RC260" s="1018"/>
      <c r="RD260" s="1018"/>
      <c r="RE260" s="1018"/>
      <c r="RF260" s="1018"/>
      <c r="RG260" s="1018"/>
      <c r="RH260" s="1018"/>
      <c r="RI260" s="1018"/>
      <c r="RJ260" s="1018"/>
      <c r="RK260" s="1018"/>
      <c r="RL260" s="1018"/>
      <c r="RM260" s="1018"/>
      <c r="RN260" s="1018"/>
      <c r="RO260" s="1018"/>
      <c r="RP260" s="1018"/>
      <c r="RQ260" s="1018"/>
      <c r="RR260" s="1018"/>
      <c r="RS260" s="1018"/>
      <c r="RT260" s="1018"/>
      <c r="RU260" s="1018"/>
      <c r="RV260" s="1018"/>
      <c r="RW260" s="1018"/>
      <c r="RX260" s="1018"/>
    </row>
    <row r="261" spans="1:492" ht="14.1" customHeight="1"/>
    <row r="262" spans="1:492" ht="14.1" customHeight="1"/>
    <row r="263" spans="1:492" ht="14.1" customHeight="1"/>
    <row r="264" spans="1:492" ht="14.1" customHeight="1"/>
    <row r="265" spans="1:492" s="1057" customFormat="1" ht="14.1" customHeight="1">
      <c r="A265" s="1265"/>
      <c r="B265" s="1018"/>
      <c r="C265" s="1018"/>
      <c r="D265" s="1018"/>
      <c r="E265" s="1018"/>
      <c r="F265" s="1018"/>
      <c r="G265" s="1018"/>
      <c r="H265" s="1018"/>
      <c r="I265" s="1018"/>
      <c r="J265" s="1018"/>
      <c r="K265" s="1018"/>
      <c r="L265" s="1018"/>
      <c r="M265" s="1018"/>
      <c r="N265" s="1018"/>
      <c r="O265" s="1018"/>
      <c r="W265" s="1058"/>
      <c r="X265" s="1058"/>
      <c r="Y265" s="1058"/>
      <c r="Z265" s="1058"/>
      <c r="AA265" s="1058"/>
      <c r="AB265" s="1058"/>
      <c r="AC265" s="1058"/>
      <c r="AD265" s="1058"/>
      <c r="AE265" s="1058"/>
      <c r="AF265" s="1058"/>
      <c r="AG265" s="1058"/>
      <c r="AH265" s="1058"/>
      <c r="AI265" s="1058"/>
      <c r="AJ265" s="1058"/>
      <c r="AK265" s="1058"/>
      <c r="AL265" s="1058"/>
      <c r="AM265" s="1058"/>
      <c r="AN265" s="1058"/>
      <c r="AO265" s="1058"/>
      <c r="AP265" s="1058"/>
      <c r="AQ265" s="1058"/>
      <c r="AR265" s="1058"/>
      <c r="AS265" s="1058"/>
      <c r="AT265" s="1058"/>
      <c r="AU265" s="1058"/>
      <c r="AV265" s="1058"/>
      <c r="AW265" s="1058"/>
      <c r="AX265" s="1058"/>
      <c r="AY265" s="1058"/>
      <c r="AZ265" s="1058"/>
      <c r="BA265" s="1058"/>
      <c r="BB265" s="1058"/>
      <c r="BC265" s="1058"/>
      <c r="BD265" s="1058"/>
      <c r="BE265" s="1058"/>
      <c r="BF265" s="1058"/>
      <c r="BG265" s="1058"/>
      <c r="BH265" s="1058"/>
      <c r="BI265" s="1058"/>
      <c r="BJ265" s="1058"/>
      <c r="BK265" s="1058"/>
      <c r="BL265" s="1058"/>
      <c r="BM265" s="1058"/>
      <c r="BN265" s="1058"/>
      <c r="BO265" s="1058"/>
      <c r="BP265" s="1058"/>
      <c r="BQ265" s="1058"/>
      <c r="BR265" s="1058"/>
      <c r="BS265" s="1058"/>
      <c r="BT265" s="1058"/>
      <c r="BU265" s="1058"/>
      <c r="BV265" s="1058"/>
      <c r="BW265" s="1058"/>
      <c r="BX265" s="1058"/>
      <c r="BY265" s="1058"/>
      <c r="BZ265" s="1058"/>
      <c r="CA265" s="1058"/>
      <c r="CB265" s="1058"/>
      <c r="CC265" s="1058"/>
      <c r="CD265" s="1058"/>
      <c r="CE265" s="1058"/>
      <c r="CF265" s="1058"/>
      <c r="CG265" s="1058"/>
      <c r="CH265" s="1058"/>
      <c r="CI265" s="1058"/>
      <c r="CJ265" s="1058"/>
      <c r="CK265" s="1058"/>
      <c r="CL265" s="1058"/>
      <c r="CM265" s="1058"/>
      <c r="CN265" s="1058"/>
      <c r="CO265" s="1058"/>
      <c r="CP265" s="1058"/>
      <c r="CQ265" s="1058"/>
      <c r="CR265" s="1058"/>
      <c r="CS265" s="1058"/>
      <c r="CT265" s="1058"/>
      <c r="CU265" s="1058"/>
      <c r="CV265" s="1058"/>
      <c r="CW265" s="1058"/>
      <c r="CX265" s="1058"/>
      <c r="CY265" s="1058"/>
      <c r="CZ265" s="1058"/>
      <c r="DA265" s="1058"/>
      <c r="DB265" s="1058"/>
      <c r="DC265" s="1058"/>
      <c r="DD265" s="1058"/>
      <c r="DE265" s="1058"/>
      <c r="DF265" s="1058"/>
      <c r="DG265" s="1058"/>
      <c r="DH265" s="1058"/>
      <c r="DI265" s="1058"/>
      <c r="DJ265" s="1058"/>
      <c r="DK265" s="1058"/>
      <c r="DL265" s="1058"/>
      <c r="DM265" s="1058"/>
      <c r="DN265" s="1058"/>
      <c r="DO265" s="1058"/>
      <c r="DP265" s="1058"/>
      <c r="DQ265" s="1058"/>
      <c r="DR265" s="1058"/>
      <c r="DS265" s="1058"/>
      <c r="DT265" s="1058"/>
      <c r="DU265" s="1058"/>
      <c r="DV265" s="1058"/>
      <c r="DW265" s="1058"/>
      <c r="DX265" s="1058"/>
      <c r="DY265" s="1058"/>
      <c r="DZ265" s="1058"/>
      <c r="EA265" s="1058"/>
      <c r="EB265" s="1058"/>
      <c r="EC265" s="1058"/>
      <c r="ED265" s="1058"/>
      <c r="EE265" s="1058"/>
      <c r="EF265" s="1058"/>
      <c r="EG265" s="1058"/>
      <c r="EH265" s="1058"/>
      <c r="EI265" s="1058"/>
      <c r="EJ265" s="1058"/>
      <c r="EK265" s="1058"/>
      <c r="EL265" s="1058"/>
      <c r="EM265" s="1058"/>
      <c r="EN265" s="1058"/>
      <c r="EO265" s="1058"/>
      <c r="EP265" s="1058"/>
      <c r="EQ265" s="1058"/>
      <c r="ER265" s="1058"/>
      <c r="ES265" s="1058"/>
      <c r="ET265" s="1058"/>
      <c r="EU265" s="1058"/>
      <c r="EV265" s="1058"/>
      <c r="EW265" s="1058"/>
      <c r="EX265" s="1058"/>
      <c r="EY265" s="1058"/>
      <c r="EZ265" s="1058"/>
      <c r="FA265" s="1058"/>
      <c r="FB265" s="1058"/>
      <c r="FC265" s="1058"/>
      <c r="FD265" s="1058"/>
      <c r="FE265" s="1058"/>
      <c r="FF265" s="1058"/>
      <c r="FG265" s="1058"/>
      <c r="FH265" s="1058"/>
      <c r="FI265" s="1058"/>
      <c r="FJ265" s="1058"/>
      <c r="FK265" s="1058"/>
      <c r="FL265" s="1058"/>
      <c r="FM265" s="1058"/>
      <c r="FN265" s="1058"/>
      <c r="FO265" s="1058"/>
      <c r="FP265" s="1058"/>
      <c r="FQ265" s="1058"/>
      <c r="FR265" s="1058"/>
      <c r="FS265" s="1058"/>
      <c r="FT265" s="1058"/>
      <c r="FU265" s="1058"/>
      <c r="FV265" s="1058"/>
      <c r="FW265" s="1058"/>
      <c r="FX265" s="1058"/>
      <c r="FY265" s="1058"/>
      <c r="FZ265" s="1058"/>
      <c r="GA265" s="1058"/>
      <c r="GB265" s="1058"/>
      <c r="GC265" s="1058"/>
      <c r="GD265" s="1058"/>
      <c r="GE265" s="1058"/>
      <c r="GF265" s="1058"/>
      <c r="GG265" s="1058"/>
      <c r="GH265" s="1058"/>
      <c r="GI265" s="1058"/>
      <c r="GJ265" s="1058"/>
      <c r="GK265" s="1058"/>
      <c r="GL265" s="1058"/>
      <c r="GM265" s="1058"/>
      <c r="GN265" s="1058"/>
      <c r="GO265" s="1058"/>
      <c r="GP265" s="1058"/>
      <c r="GQ265" s="1058"/>
      <c r="GR265" s="1058"/>
      <c r="GS265" s="1058"/>
      <c r="GT265" s="1058"/>
      <c r="GU265" s="1058"/>
      <c r="GV265" s="1058"/>
      <c r="GW265" s="1058"/>
      <c r="GX265" s="1058"/>
      <c r="GY265" s="1058"/>
      <c r="GZ265" s="1058"/>
      <c r="HA265" s="1058"/>
      <c r="HB265" s="1058"/>
      <c r="HC265" s="1058"/>
      <c r="HD265" s="1058"/>
      <c r="HE265" s="1058"/>
      <c r="HF265" s="1058"/>
      <c r="HG265" s="1058"/>
      <c r="HH265" s="1058"/>
      <c r="HI265" s="1058"/>
      <c r="HJ265" s="1058"/>
      <c r="HK265" s="1058"/>
      <c r="HL265" s="1058"/>
      <c r="HM265" s="1058"/>
      <c r="HN265" s="1058"/>
      <c r="HO265" s="1058"/>
      <c r="HP265" s="1058"/>
      <c r="HQ265" s="1058"/>
      <c r="HR265" s="1058"/>
      <c r="HS265" s="1058"/>
      <c r="HT265" s="1058"/>
      <c r="HU265" s="1058"/>
      <c r="HV265" s="1058"/>
      <c r="HW265" s="1058"/>
      <c r="HX265" s="1058"/>
      <c r="HY265" s="1058"/>
      <c r="HZ265" s="1058"/>
      <c r="IA265" s="1058"/>
      <c r="IB265" s="1058"/>
      <c r="IC265" s="1058"/>
      <c r="ID265" s="1058"/>
      <c r="IE265" s="1058"/>
      <c r="IF265" s="1058"/>
      <c r="IG265" s="1058"/>
      <c r="IH265" s="1058"/>
      <c r="II265" s="1058"/>
      <c r="IJ265" s="1058"/>
      <c r="IK265" s="1058"/>
      <c r="IL265" s="1058"/>
      <c r="IM265" s="1058"/>
      <c r="IN265" s="1058"/>
      <c r="IO265" s="1058"/>
      <c r="IP265" s="1058"/>
      <c r="IQ265" s="1058"/>
      <c r="IR265" s="1058"/>
      <c r="IS265" s="1058"/>
      <c r="IT265" s="1058"/>
      <c r="IU265" s="1058"/>
      <c r="IV265" s="1058"/>
      <c r="IW265" s="1058"/>
      <c r="IX265" s="1058"/>
      <c r="IY265" s="1058"/>
      <c r="IZ265" s="1058"/>
      <c r="JA265" s="1058"/>
      <c r="JB265" s="1058"/>
      <c r="JC265" s="1058"/>
      <c r="JD265" s="1058"/>
      <c r="JE265" s="1058"/>
      <c r="JF265" s="1058"/>
      <c r="JG265" s="1058"/>
      <c r="JH265" s="1058"/>
      <c r="JI265" s="1058"/>
      <c r="JJ265" s="1058"/>
      <c r="JK265" s="1058"/>
      <c r="JL265" s="1058"/>
      <c r="JM265" s="1058"/>
      <c r="JN265" s="1058"/>
      <c r="JO265" s="1058"/>
      <c r="JP265" s="1058"/>
      <c r="JQ265" s="1058"/>
      <c r="JR265" s="1058"/>
      <c r="JS265" s="1058"/>
      <c r="JT265" s="1058"/>
      <c r="JU265" s="1058"/>
      <c r="JV265" s="1059"/>
      <c r="JW265" s="1058"/>
      <c r="JX265" s="1058"/>
      <c r="JY265" s="1058"/>
      <c r="JZ265" s="1058"/>
      <c r="KA265" s="1059"/>
      <c r="KB265" s="1059"/>
      <c r="KC265" s="1059"/>
      <c r="KD265" s="1059"/>
      <c r="KE265" s="1059"/>
      <c r="KF265" s="1059"/>
      <c r="KG265" s="1059"/>
      <c r="KH265" s="1059"/>
      <c r="KI265" s="1059"/>
      <c r="KJ265" s="1059"/>
      <c r="KK265" s="1059"/>
      <c r="KL265" s="1059"/>
      <c r="KM265" s="1059"/>
      <c r="KN265" s="1059"/>
      <c r="KO265" s="1059"/>
      <c r="KP265" s="1059"/>
      <c r="KQ265" s="1059"/>
      <c r="KR265" s="1059"/>
      <c r="KS265" s="1059"/>
      <c r="KT265" s="1059"/>
      <c r="KU265" s="1059"/>
      <c r="KV265" s="1059"/>
      <c r="KW265" s="1059"/>
      <c r="KX265" s="1059"/>
      <c r="KY265" s="1059"/>
      <c r="KZ265" s="1059"/>
      <c r="LA265" s="1059"/>
      <c r="LB265" s="1059"/>
      <c r="LC265" s="1059"/>
      <c r="LD265" s="1059"/>
      <c r="LE265" s="1059"/>
      <c r="LF265" s="1059"/>
      <c r="LG265" s="1058"/>
      <c r="LH265" s="1058"/>
      <c r="LI265" s="1058"/>
      <c r="LJ265" s="1058"/>
      <c r="LK265" s="1058"/>
      <c r="LL265" s="1058"/>
      <c r="LM265" s="1060"/>
      <c r="LN265" s="1058"/>
      <c r="LO265" s="1058"/>
      <c r="LP265" s="1058"/>
      <c r="LQ265" s="1058"/>
      <c r="LR265" s="1058"/>
      <c r="LS265" s="1058"/>
      <c r="LT265" s="1058"/>
      <c r="LU265" s="1058"/>
      <c r="LV265" s="1058"/>
      <c r="LW265" s="1058"/>
      <c r="LX265" s="1058"/>
      <c r="LY265" s="1058"/>
      <c r="LZ265" s="1058"/>
      <c r="MA265" s="1058"/>
      <c r="MB265" s="1058"/>
      <c r="MC265" s="1060"/>
      <c r="MD265" s="1060"/>
      <c r="ME265" s="1058"/>
      <c r="MF265" s="1058"/>
      <c r="MG265" s="1058"/>
      <c r="MH265" s="1058"/>
      <c r="MI265" s="1058"/>
      <c r="MJ265" s="1058"/>
      <c r="MK265" s="1058"/>
      <c r="ML265" s="1058"/>
      <c r="MM265" s="1058"/>
      <c r="MN265" s="1058"/>
      <c r="MO265" s="1058"/>
      <c r="MP265" s="1058"/>
      <c r="MQ265" s="1058"/>
      <c r="MR265" s="1058"/>
      <c r="MS265" s="1058"/>
      <c r="MT265" s="1058"/>
      <c r="MU265" s="1058"/>
      <c r="MV265" s="1058"/>
      <c r="MW265" s="1058"/>
      <c r="MX265" s="1058"/>
      <c r="MY265" s="1058"/>
      <c r="MZ265" s="1058"/>
      <c r="NA265" s="1058"/>
      <c r="NB265" s="1058"/>
      <c r="NC265" s="1058"/>
      <c r="ND265" s="1058"/>
      <c r="NE265" s="1058"/>
      <c r="NF265" s="1058"/>
      <c r="NG265" s="1058"/>
      <c r="NH265" s="1058"/>
      <c r="NI265" s="1058"/>
      <c r="NJ265" s="1058"/>
      <c r="NK265" s="1058"/>
      <c r="NL265" s="1058"/>
      <c r="NM265" s="1058"/>
      <c r="NN265" s="1058"/>
      <c r="NO265" s="1058"/>
      <c r="NP265" s="1058"/>
      <c r="NQ265" s="1058"/>
      <c r="NR265" s="1058"/>
      <c r="NS265" s="1058"/>
      <c r="NT265" s="1058"/>
      <c r="NU265" s="1058"/>
      <c r="NV265" s="1058"/>
      <c r="NW265" s="1058"/>
      <c r="NX265" s="1058"/>
      <c r="NY265" s="1058"/>
      <c r="NZ265" s="1058"/>
      <c r="OA265" s="1058"/>
      <c r="OB265" s="1058"/>
      <c r="OC265" s="1058"/>
      <c r="OD265" s="1018"/>
      <c r="OE265" s="1018"/>
      <c r="OF265" s="1018"/>
      <c r="OG265" s="1018"/>
      <c r="OH265" s="1018"/>
      <c r="OI265" s="1018"/>
      <c r="OJ265" s="1018"/>
      <c r="OK265" s="1018"/>
      <c r="OL265" s="1018"/>
      <c r="OM265" s="1018"/>
      <c r="ON265" s="1018"/>
      <c r="OO265" s="1018"/>
      <c r="OP265" s="1018"/>
      <c r="OQ265" s="1018"/>
      <c r="OR265" s="1018"/>
      <c r="OS265" s="1018"/>
      <c r="OT265" s="1018"/>
      <c r="OU265" s="1018"/>
      <c r="OV265" s="1018"/>
      <c r="OW265" s="1018"/>
      <c r="OX265" s="1018"/>
      <c r="OY265" s="1018"/>
      <c r="OZ265" s="1018"/>
      <c r="PA265" s="1018"/>
      <c r="PB265" s="1018"/>
      <c r="PC265" s="1018"/>
      <c r="PD265" s="1018"/>
      <c r="PE265" s="1018"/>
      <c r="PF265" s="1018"/>
      <c r="PG265" s="1018"/>
      <c r="PH265" s="1018"/>
      <c r="PI265" s="1018"/>
      <c r="PJ265" s="1018"/>
      <c r="PK265" s="1018"/>
      <c r="PL265" s="1018"/>
      <c r="PM265" s="1018"/>
      <c r="PN265" s="1018"/>
      <c r="PO265" s="1018"/>
      <c r="PP265" s="1018"/>
      <c r="PQ265" s="1018"/>
      <c r="PR265" s="1018"/>
      <c r="PS265" s="1018"/>
      <c r="PT265" s="1018"/>
      <c r="PU265" s="1018"/>
      <c r="PV265" s="1018"/>
      <c r="PW265" s="1018"/>
      <c r="PX265" s="1018"/>
      <c r="PY265" s="1018"/>
      <c r="PZ265" s="1018"/>
      <c r="QA265" s="1018"/>
      <c r="QB265" s="1018"/>
      <c r="QC265" s="1018"/>
      <c r="QD265" s="1018"/>
      <c r="QE265" s="1018"/>
      <c r="QF265" s="1018"/>
      <c r="QG265" s="1018"/>
      <c r="QH265" s="1018"/>
      <c r="QI265" s="1018"/>
      <c r="QJ265" s="1018"/>
      <c r="QK265" s="1018"/>
      <c r="QL265" s="1018"/>
      <c r="QM265" s="1018"/>
      <c r="QN265" s="1018"/>
      <c r="QO265" s="1018"/>
      <c r="QP265" s="1018"/>
      <c r="QQ265" s="1018"/>
      <c r="QR265" s="1018"/>
      <c r="QS265" s="1018"/>
      <c r="QT265" s="1018"/>
      <c r="QU265" s="1018"/>
      <c r="QV265" s="1018"/>
      <c r="QW265" s="1018"/>
      <c r="QX265" s="1018"/>
      <c r="QY265" s="1018"/>
      <c r="QZ265" s="1018"/>
      <c r="RA265" s="1018"/>
      <c r="RB265" s="1018"/>
      <c r="RC265" s="1018"/>
      <c r="RD265" s="1018"/>
      <c r="RE265" s="1018"/>
      <c r="RF265" s="1018"/>
      <c r="RG265" s="1018"/>
      <c r="RH265" s="1018"/>
      <c r="RI265" s="1018"/>
      <c r="RJ265" s="1018"/>
      <c r="RK265" s="1018"/>
      <c r="RL265" s="1018"/>
      <c r="RM265" s="1018"/>
      <c r="RN265" s="1018"/>
      <c r="RO265" s="1018"/>
      <c r="RP265" s="1018"/>
      <c r="RQ265" s="1018"/>
      <c r="RR265" s="1018"/>
      <c r="RS265" s="1018"/>
      <c r="RT265" s="1018"/>
      <c r="RU265" s="1018"/>
      <c r="RV265" s="1018"/>
      <c r="RW265" s="1018"/>
      <c r="RX265" s="1018"/>
    </row>
    <row r="266" spans="1:492" s="1057" customFormat="1" ht="14.1" customHeight="1">
      <c r="A266" s="1265"/>
      <c r="B266" s="1018"/>
      <c r="C266" s="1018"/>
      <c r="D266" s="1018"/>
      <c r="E266" s="1018"/>
      <c r="F266" s="1018"/>
      <c r="G266" s="1018"/>
      <c r="H266" s="1018"/>
      <c r="I266" s="1018"/>
      <c r="J266" s="1018"/>
      <c r="K266" s="1018"/>
      <c r="L266" s="1018"/>
      <c r="M266" s="1018"/>
      <c r="N266" s="1018"/>
      <c r="O266" s="1018"/>
      <c r="W266" s="1058"/>
      <c r="X266" s="1058"/>
      <c r="Y266" s="1058"/>
      <c r="Z266" s="1058"/>
      <c r="AA266" s="1058"/>
      <c r="AB266" s="1058"/>
      <c r="AC266" s="1058"/>
      <c r="AD266" s="1058"/>
      <c r="AE266" s="1058"/>
      <c r="AF266" s="1058"/>
      <c r="AG266" s="1058"/>
      <c r="AH266" s="1058"/>
      <c r="AI266" s="1058"/>
      <c r="AJ266" s="1058"/>
      <c r="AK266" s="1058"/>
      <c r="AL266" s="1058"/>
      <c r="AM266" s="1058"/>
      <c r="AN266" s="1058"/>
      <c r="AO266" s="1058"/>
      <c r="AP266" s="1058"/>
      <c r="AQ266" s="1058"/>
      <c r="AR266" s="1058"/>
      <c r="AS266" s="1058"/>
      <c r="AT266" s="1058"/>
      <c r="AU266" s="1058"/>
      <c r="AV266" s="1058"/>
      <c r="AW266" s="1058"/>
      <c r="AX266" s="1058"/>
      <c r="AY266" s="1058"/>
      <c r="AZ266" s="1058"/>
      <c r="BA266" s="1058"/>
      <c r="BB266" s="1058"/>
      <c r="BC266" s="1058"/>
      <c r="BD266" s="1058"/>
      <c r="BE266" s="1058"/>
      <c r="BF266" s="1058"/>
      <c r="BG266" s="1058"/>
      <c r="BH266" s="1058"/>
      <c r="BI266" s="1058"/>
      <c r="BJ266" s="1058"/>
      <c r="BK266" s="1058"/>
      <c r="BL266" s="1058"/>
      <c r="BM266" s="1058"/>
      <c r="BN266" s="1058"/>
      <c r="BO266" s="1058"/>
      <c r="BP266" s="1058"/>
      <c r="BQ266" s="1058"/>
      <c r="BR266" s="1058"/>
      <c r="BS266" s="1058"/>
      <c r="BT266" s="1058"/>
      <c r="BU266" s="1058"/>
      <c r="BV266" s="1058"/>
      <c r="BW266" s="1058"/>
      <c r="BX266" s="1058"/>
      <c r="BY266" s="1058"/>
      <c r="BZ266" s="1058"/>
      <c r="CA266" s="1058"/>
      <c r="CB266" s="1058"/>
      <c r="CC266" s="1058"/>
      <c r="CD266" s="1058"/>
      <c r="CE266" s="1058"/>
      <c r="CF266" s="1058"/>
      <c r="CG266" s="1058"/>
      <c r="CH266" s="1058"/>
      <c r="CI266" s="1058"/>
      <c r="CJ266" s="1058"/>
      <c r="CK266" s="1058"/>
      <c r="CL266" s="1058"/>
      <c r="CM266" s="1058"/>
      <c r="CN266" s="1058"/>
      <c r="CO266" s="1058"/>
      <c r="CP266" s="1058"/>
      <c r="CQ266" s="1058"/>
      <c r="CR266" s="1058"/>
      <c r="CS266" s="1058"/>
      <c r="CT266" s="1058"/>
      <c r="CU266" s="1058"/>
      <c r="CV266" s="1058"/>
      <c r="CW266" s="1058"/>
      <c r="CX266" s="1058"/>
      <c r="CY266" s="1058"/>
      <c r="CZ266" s="1058"/>
      <c r="DA266" s="1058"/>
      <c r="DB266" s="1058"/>
      <c r="DC266" s="1058"/>
      <c r="DD266" s="1058"/>
      <c r="DE266" s="1058"/>
      <c r="DF266" s="1058"/>
      <c r="DG266" s="1058"/>
      <c r="DH266" s="1058"/>
      <c r="DI266" s="1058"/>
      <c r="DJ266" s="1058"/>
      <c r="DK266" s="1058"/>
      <c r="DL266" s="1058"/>
      <c r="DM266" s="1058"/>
      <c r="DN266" s="1058"/>
      <c r="DO266" s="1058"/>
      <c r="DP266" s="1058"/>
      <c r="DQ266" s="1058"/>
      <c r="DR266" s="1058"/>
      <c r="DS266" s="1058"/>
      <c r="DT266" s="1058"/>
      <c r="DU266" s="1058"/>
      <c r="DV266" s="1058"/>
      <c r="DW266" s="1058"/>
      <c r="DX266" s="1058"/>
      <c r="DY266" s="1058"/>
      <c r="DZ266" s="1058"/>
      <c r="EA266" s="1058"/>
      <c r="EB266" s="1058"/>
      <c r="EC266" s="1058"/>
      <c r="ED266" s="1058"/>
      <c r="EE266" s="1058"/>
      <c r="EF266" s="1058"/>
      <c r="EG266" s="1058"/>
      <c r="EH266" s="1058"/>
      <c r="EI266" s="1058"/>
      <c r="EJ266" s="1058"/>
      <c r="EK266" s="1058"/>
      <c r="EL266" s="1058"/>
      <c r="EM266" s="1058"/>
      <c r="EN266" s="1058"/>
      <c r="EO266" s="1058"/>
      <c r="EP266" s="1058"/>
      <c r="EQ266" s="1058"/>
      <c r="ER266" s="1058"/>
      <c r="ES266" s="1058"/>
      <c r="ET266" s="1058"/>
      <c r="EU266" s="1058"/>
      <c r="EV266" s="1058"/>
      <c r="EW266" s="1058"/>
      <c r="EX266" s="1058"/>
      <c r="EY266" s="1058"/>
      <c r="EZ266" s="1058"/>
      <c r="FA266" s="1058"/>
      <c r="FB266" s="1058"/>
      <c r="FC266" s="1058"/>
      <c r="FD266" s="1058"/>
      <c r="FE266" s="1058"/>
      <c r="FF266" s="1058"/>
      <c r="FG266" s="1058"/>
      <c r="FH266" s="1058"/>
      <c r="FI266" s="1058"/>
      <c r="FJ266" s="1058"/>
      <c r="FK266" s="1058"/>
      <c r="FL266" s="1058"/>
      <c r="FM266" s="1058"/>
      <c r="FN266" s="1058"/>
      <c r="FO266" s="1058"/>
      <c r="FP266" s="1058"/>
      <c r="FQ266" s="1058"/>
      <c r="FR266" s="1058"/>
      <c r="FS266" s="1058"/>
      <c r="FT266" s="1058"/>
      <c r="FU266" s="1058"/>
      <c r="FV266" s="1058"/>
      <c r="FW266" s="1058"/>
      <c r="FX266" s="1058"/>
      <c r="FY266" s="1058"/>
      <c r="FZ266" s="1058"/>
      <c r="GA266" s="1058"/>
      <c r="GB266" s="1058"/>
      <c r="GC266" s="1058"/>
      <c r="GD266" s="1058"/>
      <c r="GE266" s="1058"/>
      <c r="GF266" s="1058"/>
      <c r="GG266" s="1058"/>
      <c r="GH266" s="1058"/>
      <c r="GI266" s="1058"/>
      <c r="GJ266" s="1058"/>
      <c r="GK266" s="1058"/>
      <c r="GL266" s="1058"/>
      <c r="GM266" s="1058"/>
      <c r="GN266" s="1058"/>
      <c r="GO266" s="1058"/>
      <c r="GP266" s="1058"/>
      <c r="GQ266" s="1058"/>
      <c r="GR266" s="1058"/>
      <c r="GS266" s="1058"/>
      <c r="GT266" s="1058"/>
      <c r="GU266" s="1058"/>
      <c r="GV266" s="1058"/>
      <c r="GW266" s="1058"/>
      <c r="GX266" s="1058"/>
      <c r="GY266" s="1058"/>
      <c r="GZ266" s="1058"/>
      <c r="HA266" s="1058"/>
      <c r="HB266" s="1058"/>
      <c r="HC266" s="1058"/>
      <c r="HD266" s="1058"/>
      <c r="HE266" s="1058"/>
      <c r="HF266" s="1058"/>
      <c r="HG266" s="1058"/>
      <c r="HH266" s="1058"/>
      <c r="HI266" s="1058"/>
      <c r="HJ266" s="1058"/>
      <c r="HK266" s="1058"/>
      <c r="HL266" s="1058"/>
      <c r="HM266" s="1058"/>
      <c r="HN266" s="1058"/>
      <c r="HO266" s="1058"/>
      <c r="HP266" s="1058"/>
      <c r="HQ266" s="1058"/>
      <c r="HR266" s="1058"/>
      <c r="HS266" s="1058"/>
      <c r="HT266" s="1058"/>
      <c r="HU266" s="1058"/>
      <c r="HV266" s="1058"/>
      <c r="HW266" s="1058"/>
      <c r="HX266" s="1058"/>
      <c r="HY266" s="1058"/>
      <c r="HZ266" s="1058"/>
      <c r="IA266" s="1058"/>
      <c r="IB266" s="1058"/>
      <c r="IC266" s="1058"/>
      <c r="ID266" s="1058"/>
      <c r="IE266" s="1058"/>
      <c r="IF266" s="1058"/>
      <c r="IG266" s="1058"/>
      <c r="IH266" s="1058"/>
      <c r="II266" s="1058"/>
      <c r="IJ266" s="1058"/>
      <c r="IK266" s="1058"/>
      <c r="IL266" s="1058"/>
      <c r="IM266" s="1058"/>
      <c r="IN266" s="1058"/>
      <c r="IO266" s="1058"/>
      <c r="IP266" s="1058"/>
      <c r="IQ266" s="1058"/>
      <c r="IR266" s="1058"/>
      <c r="IS266" s="1058"/>
      <c r="IT266" s="1058"/>
      <c r="IU266" s="1058"/>
      <c r="IV266" s="1058"/>
      <c r="IW266" s="1058"/>
      <c r="IX266" s="1058"/>
      <c r="IY266" s="1058"/>
      <c r="IZ266" s="1058"/>
      <c r="JA266" s="1058"/>
      <c r="JB266" s="1058"/>
      <c r="JC266" s="1058"/>
      <c r="JD266" s="1058"/>
      <c r="JE266" s="1058"/>
      <c r="JF266" s="1058"/>
      <c r="JG266" s="1058"/>
      <c r="JH266" s="1058"/>
      <c r="JI266" s="1058"/>
      <c r="JJ266" s="1058"/>
      <c r="JK266" s="1058"/>
      <c r="JL266" s="1058"/>
      <c r="JM266" s="1058"/>
      <c r="JN266" s="1058"/>
      <c r="JO266" s="1058"/>
      <c r="JP266" s="1058"/>
      <c r="JQ266" s="1058"/>
      <c r="JR266" s="1058"/>
      <c r="JS266" s="1058"/>
      <c r="JT266" s="1058"/>
      <c r="JU266" s="1058"/>
      <c r="JV266" s="1059"/>
      <c r="JW266" s="1058"/>
      <c r="JX266" s="1058"/>
      <c r="JY266" s="1058"/>
      <c r="JZ266" s="1058"/>
      <c r="KA266" s="1059"/>
      <c r="KB266" s="1059"/>
      <c r="KC266" s="1059"/>
      <c r="KD266" s="1059"/>
      <c r="KE266" s="1059"/>
      <c r="KF266" s="1059"/>
      <c r="KG266" s="1059"/>
      <c r="KH266" s="1059"/>
      <c r="KI266" s="1059"/>
      <c r="KJ266" s="1059"/>
      <c r="KK266" s="1059"/>
      <c r="KL266" s="1059"/>
      <c r="KM266" s="1059"/>
      <c r="KN266" s="1059"/>
      <c r="KO266" s="1059"/>
      <c r="KP266" s="1059"/>
      <c r="KQ266" s="1059"/>
      <c r="KR266" s="1059"/>
      <c r="KS266" s="1059"/>
      <c r="KT266" s="1059"/>
      <c r="KU266" s="1059"/>
      <c r="KV266" s="1059"/>
      <c r="KW266" s="1059"/>
      <c r="KX266" s="1059"/>
      <c r="KY266" s="1059"/>
      <c r="KZ266" s="1059"/>
      <c r="LA266" s="1059"/>
      <c r="LB266" s="1059"/>
      <c r="LC266" s="1059"/>
      <c r="LD266" s="1059"/>
      <c r="LE266" s="1059"/>
      <c r="LF266" s="1059"/>
      <c r="LG266" s="1058"/>
      <c r="LH266" s="1058"/>
      <c r="LI266" s="1058"/>
      <c r="LJ266" s="1058"/>
      <c r="LK266" s="1058"/>
      <c r="LL266" s="1058"/>
      <c r="LM266" s="1060"/>
      <c r="LN266" s="1058"/>
      <c r="LO266" s="1058"/>
      <c r="LP266" s="1058"/>
      <c r="LQ266" s="1058"/>
      <c r="LR266" s="1058"/>
      <c r="LS266" s="1058"/>
      <c r="LT266" s="1058"/>
      <c r="LU266" s="1058"/>
      <c r="LV266" s="1058"/>
      <c r="LW266" s="1058"/>
      <c r="LX266" s="1058"/>
      <c r="LY266" s="1058"/>
      <c r="LZ266" s="1058"/>
      <c r="MA266" s="1058"/>
      <c r="MB266" s="1058"/>
      <c r="MC266" s="1060"/>
      <c r="MD266" s="1060"/>
      <c r="ME266" s="1058"/>
      <c r="MF266" s="1058"/>
      <c r="MG266" s="1058"/>
      <c r="MH266" s="1058"/>
      <c r="MI266" s="1058"/>
      <c r="MJ266" s="1058"/>
      <c r="MK266" s="1058"/>
      <c r="ML266" s="1058"/>
      <c r="MM266" s="1058"/>
      <c r="MN266" s="1058"/>
      <c r="MO266" s="1058"/>
      <c r="MP266" s="1058"/>
      <c r="MQ266" s="1058"/>
      <c r="MR266" s="1058"/>
      <c r="MS266" s="1058"/>
      <c r="MT266" s="1058"/>
      <c r="MU266" s="1058"/>
      <c r="MV266" s="1058"/>
      <c r="MW266" s="1058"/>
      <c r="MX266" s="1058"/>
      <c r="MY266" s="1058"/>
      <c r="MZ266" s="1058"/>
      <c r="NA266" s="1058"/>
      <c r="NB266" s="1058"/>
      <c r="NC266" s="1058"/>
      <c r="ND266" s="1058"/>
      <c r="NE266" s="1058"/>
      <c r="NF266" s="1058"/>
      <c r="NG266" s="1058"/>
      <c r="NH266" s="1058"/>
      <c r="NI266" s="1058"/>
      <c r="NJ266" s="1058"/>
      <c r="NK266" s="1058"/>
      <c r="NL266" s="1058"/>
      <c r="NM266" s="1058"/>
      <c r="NN266" s="1058"/>
      <c r="NO266" s="1058"/>
      <c r="NP266" s="1058"/>
      <c r="NQ266" s="1058"/>
      <c r="NR266" s="1058"/>
      <c r="NS266" s="1058"/>
      <c r="NT266" s="1058"/>
      <c r="NU266" s="1058"/>
      <c r="NV266" s="1058"/>
      <c r="NW266" s="1058"/>
      <c r="NX266" s="1058"/>
      <c r="NY266" s="1058"/>
      <c r="NZ266" s="1058"/>
      <c r="OA266" s="1058"/>
      <c r="OB266" s="1058"/>
      <c r="OC266" s="1058"/>
      <c r="OD266" s="1018"/>
      <c r="OE266" s="1018"/>
      <c r="OF266" s="1018"/>
      <c r="OG266" s="1018"/>
      <c r="OH266" s="1018"/>
      <c r="OI266" s="1018"/>
      <c r="OJ266" s="1018"/>
      <c r="OK266" s="1018"/>
      <c r="OL266" s="1018"/>
      <c r="OM266" s="1018"/>
      <c r="ON266" s="1018"/>
      <c r="OO266" s="1018"/>
      <c r="OP266" s="1018"/>
      <c r="OQ266" s="1018"/>
      <c r="OR266" s="1018"/>
      <c r="OS266" s="1018"/>
      <c r="OT266" s="1018"/>
      <c r="OU266" s="1018"/>
      <c r="OV266" s="1018"/>
      <c r="OW266" s="1018"/>
      <c r="OX266" s="1018"/>
      <c r="OY266" s="1018"/>
      <c r="OZ266" s="1018"/>
      <c r="PA266" s="1018"/>
      <c r="PB266" s="1018"/>
      <c r="PC266" s="1018"/>
      <c r="PD266" s="1018"/>
      <c r="PE266" s="1018"/>
      <c r="PF266" s="1018"/>
      <c r="PG266" s="1018"/>
      <c r="PH266" s="1018"/>
      <c r="PI266" s="1018"/>
      <c r="PJ266" s="1018"/>
      <c r="PK266" s="1018"/>
      <c r="PL266" s="1018"/>
      <c r="PM266" s="1018"/>
      <c r="PN266" s="1018"/>
      <c r="PO266" s="1018"/>
      <c r="PP266" s="1018"/>
      <c r="PQ266" s="1018"/>
      <c r="PR266" s="1018"/>
      <c r="PS266" s="1018"/>
      <c r="PT266" s="1018"/>
      <c r="PU266" s="1018"/>
      <c r="PV266" s="1018"/>
      <c r="PW266" s="1018"/>
      <c r="PX266" s="1018"/>
      <c r="PY266" s="1018"/>
      <c r="PZ266" s="1018"/>
      <c r="QA266" s="1018"/>
      <c r="QB266" s="1018"/>
      <c r="QC266" s="1018"/>
      <c r="QD266" s="1018"/>
      <c r="QE266" s="1018"/>
      <c r="QF266" s="1018"/>
      <c r="QG266" s="1018"/>
      <c r="QH266" s="1018"/>
      <c r="QI266" s="1018"/>
      <c r="QJ266" s="1018"/>
      <c r="QK266" s="1018"/>
      <c r="QL266" s="1018"/>
      <c r="QM266" s="1018"/>
      <c r="QN266" s="1018"/>
      <c r="QO266" s="1018"/>
      <c r="QP266" s="1018"/>
      <c r="QQ266" s="1018"/>
      <c r="QR266" s="1018"/>
      <c r="QS266" s="1018"/>
      <c r="QT266" s="1018"/>
      <c r="QU266" s="1018"/>
      <c r="QV266" s="1018"/>
      <c r="QW266" s="1018"/>
      <c r="QX266" s="1018"/>
      <c r="QY266" s="1018"/>
      <c r="QZ266" s="1018"/>
      <c r="RA266" s="1018"/>
      <c r="RB266" s="1018"/>
      <c r="RC266" s="1018"/>
      <c r="RD266" s="1018"/>
      <c r="RE266" s="1018"/>
      <c r="RF266" s="1018"/>
      <c r="RG266" s="1018"/>
      <c r="RH266" s="1018"/>
      <c r="RI266" s="1018"/>
      <c r="RJ266" s="1018"/>
      <c r="RK266" s="1018"/>
      <c r="RL266" s="1018"/>
      <c r="RM266" s="1018"/>
      <c r="RN266" s="1018"/>
      <c r="RO266" s="1018"/>
      <c r="RP266" s="1018"/>
      <c r="RQ266" s="1018"/>
      <c r="RR266" s="1018"/>
      <c r="RS266" s="1018"/>
      <c r="RT266" s="1018"/>
      <c r="RU266" s="1018"/>
      <c r="RV266" s="1018"/>
      <c r="RW266" s="1018"/>
      <c r="RX266" s="1018"/>
    </row>
    <row r="267" spans="1:492" s="1057" customFormat="1" ht="14.1" customHeight="1">
      <c r="A267" s="1074"/>
      <c r="B267" s="1018"/>
      <c r="C267" s="1018"/>
      <c r="D267" s="1018"/>
      <c r="E267" s="1018"/>
      <c r="F267" s="1018"/>
      <c r="G267" s="1018"/>
      <c r="H267" s="1018"/>
      <c r="I267" s="1018"/>
      <c r="J267" s="1018"/>
      <c r="K267" s="1018"/>
      <c r="L267" s="1018"/>
      <c r="M267" s="1018"/>
      <c r="N267" s="1018"/>
      <c r="O267" s="1018"/>
      <c r="W267" s="1058"/>
      <c r="X267" s="1058"/>
      <c r="Y267" s="1058"/>
      <c r="Z267" s="1058"/>
      <c r="AA267" s="1058"/>
      <c r="AB267" s="1058"/>
      <c r="AC267" s="1058"/>
      <c r="AD267" s="1058"/>
      <c r="AE267" s="1058"/>
      <c r="AF267" s="1058"/>
      <c r="AG267" s="1058"/>
      <c r="AH267" s="1058"/>
      <c r="AI267" s="1058"/>
      <c r="AJ267" s="1058"/>
      <c r="AK267" s="1058"/>
      <c r="AL267" s="1058"/>
      <c r="AM267" s="1058"/>
      <c r="AN267" s="1058"/>
      <c r="AO267" s="1058"/>
      <c r="AP267" s="1058"/>
      <c r="AQ267" s="1058"/>
      <c r="AR267" s="1058"/>
      <c r="AS267" s="1058"/>
      <c r="AT267" s="1058"/>
      <c r="AU267" s="1058"/>
      <c r="AV267" s="1058"/>
      <c r="AW267" s="1058"/>
      <c r="AX267" s="1058"/>
      <c r="AY267" s="1058"/>
      <c r="AZ267" s="1058"/>
      <c r="BA267" s="1058"/>
      <c r="BB267" s="1058"/>
      <c r="BC267" s="1058"/>
      <c r="BD267" s="1058"/>
      <c r="BE267" s="1058"/>
      <c r="BF267" s="1058"/>
      <c r="BG267" s="1058"/>
      <c r="BH267" s="1058"/>
      <c r="BI267" s="1058"/>
      <c r="BJ267" s="1058"/>
      <c r="BK267" s="1058"/>
      <c r="BL267" s="1058"/>
      <c r="BM267" s="1058"/>
      <c r="BN267" s="1058"/>
      <c r="BO267" s="1058"/>
      <c r="BP267" s="1058"/>
      <c r="BQ267" s="1058"/>
      <c r="BR267" s="1058"/>
      <c r="BS267" s="1058"/>
      <c r="BT267" s="1058"/>
      <c r="BU267" s="1058"/>
      <c r="BV267" s="1058"/>
      <c r="BW267" s="1058"/>
      <c r="BX267" s="1058"/>
      <c r="BY267" s="1058"/>
      <c r="BZ267" s="1058"/>
      <c r="CA267" s="1058"/>
      <c r="CB267" s="1058"/>
      <c r="CC267" s="1058"/>
      <c r="CD267" s="1058"/>
      <c r="CE267" s="1058"/>
      <c r="CF267" s="1058"/>
      <c r="CG267" s="1058"/>
      <c r="CH267" s="1058"/>
      <c r="CI267" s="1058"/>
      <c r="CJ267" s="1058"/>
      <c r="CK267" s="1058"/>
      <c r="CL267" s="1058"/>
      <c r="CM267" s="1058"/>
      <c r="CN267" s="1058"/>
      <c r="CO267" s="1058"/>
      <c r="CP267" s="1058"/>
      <c r="CQ267" s="1058"/>
      <c r="CR267" s="1058"/>
      <c r="CS267" s="1058"/>
      <c r="CT267" s="1058"/>
      <c r="CU267" s="1058"/>
      <c r="CV267" s="1058"/>
      <c r="CW267" s="1058"/>
      <c r="CX267" s="1058"/>
      <c r="CY267" s="1058"/>
      <c r="CZ267" s="1058"/>
      <c r="DA267" s="1058"/>
      <c r="DB267" s="1058"/>
      <c r="DC267" s="1058"/>
      <c r="DD267" s="1058"/>
      <c r="DE267" s="1058"/>
      <c r="DF267" s="1058"/>
      <c r="DG267" s="1058"/>
      <c r="DH267" s="1058"/>
      <c r="DI267" s="1058"/>
      <c r="DJ267" s="1058"/>
      <c r="DK267" s="1058"/>
      <c r="DL267" s="1058"/>
      <c r="DM267" s="1058"/>
      <c r="DN267" s="1058"/>
      <c r="DO267" s="1058"/>
      <c r="DP267" s="1058"/>
      <c r="DQ267" s="1058"/>
      <c r="DR267" s="1058"/>
      <c r="DS267" s="1058"/>
      <c r="DT267" s="1058"/>
      <c r="DU267" s="1058"/>
      <c r="DV267" s="1058"/>
      <c r="DW267" s="1058"/>
      <c r="DX267" s="1058"/>
      <c r="DY267" s="1058"/>
      <c r="DZ267" s="1058"/>
      <c r="EA267" s="1058"/>
      <c r="EB267" s="1058"/>
      <c r="EC267" s="1058"/>
      <c r="ED267" s="1058"/>
      <c r="EE267" s="1058"/>
      <c r="EF267" s="1058"/>
      <c r="EG267" s="1058"/>
      <c r="EH267" s="1058"/>
      <c r="EI267" s="1058"/>
      <c r="EJ267" s="1058"/>
      <c r="EK267" s="1058"/>
      <c r="EL267" s="1058"/>
      <c r="EM267" s="1058"/>
      <c r="EN267" s="1058"/>
      <c r="EO267" s="1058"/>
      <c r="EP267" s="1058"/>
      <c r="EQ267" s="1058"/>
      <c r="ER267" s="1058"/>
      <c r="ES267" s="1058"/>
      <c r="ET267" s="1058"/>
      <c r="EU267" s="1058"/>
      <c r="EV267" s="1058"/>
      <c r="EW267" s="1058"/>
      <c r="EX267" s="1058"/>
      <c r="EY267" s="1058"/>
      <c r="EZ267" s="1058"/>
      <c r="FA267" s="1058"/>
      <c r="FB267" s="1058"/>
      <c r="FC267" s="1058"/>
      <c r="FD267" s="1058"/>
      <c r="FE267" s="1058"/>
      <c r="FF267" s="1058"/>
      <c r="FG267" s="1058"/>
      <c r="FH267" s="1058"/>
      <c r="FI267" s="1058"/>
      <c r="FJ267" s="1058"/>
      <c r="FK267" s="1058"/>
      <c r="FL267" s="1058"/>
      <c r="FM267" s="1058"/>
      <c r="FN267" s="1058"/>
      <c r="FO267" s="1058"/>
      <c r="FP267" s="1058"/>
      <c r="FQ267" s="1058"/>
      <c r="FR267" s="1058"/>
      <c r="FS267" s="1058"/>
      <c r="FT267" s="1058"/>
      <c r="FU267" s="1058"/>
      <c r="FV267" s="1058"/>
      <c r="FW267" s="1058"/>
      <c r="FX267" s="1058"/>
      <c r="FY267" s="1058"/>
      <c r="FZ267" s="1058"/>
      <c r="GA267" s="1058"/>
      <c r="GB267" s="1058"/>
      <c r="GC267" s="1058"/>
      <c r="GD267" s="1058"/>
      <c r="GE267" s="1058"/>
      <c r="GF267" s="1058"/>
      <c r="GG267" s="1058"/>
      <c r="GH267" s="1058"/>
      <c r="GI267" s="1058"/>
      <c r="GJ267" s="1058"/>
      <c r="GK267" s="1058"/>
      <c r="GL267" s="1058"/>
      <c r="GM267" s="1058"/>
      <c r="GN267" s="1058"/>
      <c r="GO267" s="1058"/>
      <c r="GP267" s="1058"/>
      <c r="GQ267" s="1058"/>
      <c r="GR267" s="1058"/>
      <c r="GS267" s="1058"/>
      <c r="GT267" s="1058"/>
      <c r="GU267" s="1058"/>
      <c r="GV267" s="1058"/>
      <c r="GW267" s="1058"/>
      <c r="GX267" s="1058"/>
      <c r="GY267" s="1058"/>
      <c r="GZ267" s="1058"/>
      <c r="HA267" s="1058"/>
      <c r="HB267" s="1058"/>
      <c r="HC267" s="1058"/>
      <c r="HD267" s="1058"/>
      <c r="HE267" s="1058"/>
      <c r="HF267" s="1058"/>
      <c r="HG267" s="1058"/>
      <c r="HH267" s="1058"/>
      <c r="HI267" s="1058"/>
      <c r="HJ267" s="1058"/>
      <c r="HK267" s="1058"/>
      <c r="HL267" s="1058"/>
      <c r="HM267" s="1058"/>
      <c r="HN267" s="1058"/>
      <c r="HO267" s="1058"/>
      <c r="HP267" s="1058"/>
      <c r="HQ267" s="1058"/>
      <c r="HR267" s="1058"/>
      <c r="HS267" s="1058"/>
      <c r="HT267" s="1058"/>
      <c r="HU267" s="1058"/>
      <c r="HV267" s="1058"/>
      <c r="HW267" s="1058"/>
      <c r="HX267" s="1058"/>
      <c r="HY267" s="1058"/>
      <c r="HZ267" s="1058"/>
      <c r="IA267" s="1058"/>
      <c r="IB267" s="1058"/>
      <c r="IC267" s="1058"/>
      <c r="ID267" s="1058"/>
      <c r="IE267" s="1058"/>
      <c r="IF267" s="1058"/>
      <c r="IG267" s="1058"/>
      <c r="IH267" s="1058"/>
      <c r="II267" s="1058"/>
      <c r="IJ267" s="1058"/>
      <c r="IK267" s="1058"/>
      <c r="IL267" s="1058"/>
      <c r="IM267" s="1058"/>
      <c r="IN267" s="1058"/>
      <c r="IO267" s="1058"/>
      <c r="IP267" s="1058"/>
      <c r="IQ267" s="1058"/>
      <c r="IR267" s="1058"/>
      <c r="IS267" s="1058"/>
      <c r="IT267" s="1058"/>
      <c r="IU267" s="1058"/>
      <c r="IV267" s="1058"/>
      <c r="IW267" s="1058"/>
      <c r="IX267" s="1058"/>
      <c r="IY267" s="1058"/>
      <c r="IZ267" s="1058"/>
      <c r="JA267" s="1058"/>
      <c r="JB267" s="1058"/>
      <c r="JC267" s="1058"/>
      <c r="JD267" s="1058"/>
      <c r="JE267" s="1058"/>
      <c r="JF267" s="1058"/>
      <c r="JG267" s="1058"/>
      <c r="JH267" s="1058"/>
      <c r="JI267" s="1058"/>
      <c r="JJ267" s="1058"/>
      <c r="JK267" s="1058"/>
      <c r="JL267" s="1058"/>
      <c r="JM267" s="1058"/>
      <c r="JN267" s="1058"/>
      <c r="JO267" s="1058"/>
      <c r="JP267" s="1058"/>
      <c r="JQ267" s="1058"/>
      <c r="JR267" s="1058"/>
      <c r="JS267" s="1058"/>
      <c r="JT267" s="1058"/>
      <c r="JU267" s="1058"/>
      <c r="JV267" s="1059"/>
      <c r="JW267" s="1058"/>
      <c r="JX267" s="1058"/>
      <c r="JY267" s="1058"/>
      <c r="JZ267" s="1058"/>
      <c r="KA267" s="1059"/>
      <c r="KB267" s="1059"/>
      <c r="KC267" s="1059"/>
      <c r="KD267" s="1059"/>
      <c r="KE267" s="1059"/>
      <c r="KF267" s="1059"/>
      <c r="KG267" s="1059"/>
      <c r="KH267" s="1059"/>
      <c r="KI267" s="1059"/>
      <c r="KJ267" s="1059"/>
      <c r="KK267" s="1059"/>
      <c r="KL267" s="1059"/>
      <c r="KM267" s="1059"/>
      <c r="KN267" s="1059"/>
      <c r="KO267" s="1059"/>
      <c r="KP267" s="1059"/>
      <c r="KQ267" s="1059"/>
      <c r="KR267" s="1059"/>
      <c r="KS267" s="1059"/>
      <c r="KT267" s="1059"/>
      <c r="KU267" s="1059"/>
      <c r="KV267" s="1059"/>
      <c r="KW267" s="1059"/>
      <c r="KX267" s="1059"/>
      <c r="KY267" s="1059"/>
      <c r="KZ267" s="1059"/>
      <c r="LA267" s="1059"/>
      <c r="LB267" s="1059"/>
      <c r="LC267" s="1059"/>
      <c r="LD267" s="1059"/>
      <c r="LE267" s="1059"/>
      <c r="LF267" s="1059"/>
      <c r="LG267" s="1058"/>
      <c r="LH267" s="1058"/>
      <c r="LI267" s="1058"/>
      <c r="LJ267" s="1058"/>
      <c r="LK267" s="1058"/>
      <c r="LL267" s="1058"/>
      <c r="LM267" s="1060"/>
      <c r="LN267" s="1058"/>
      <c r="LO267" s="1058"/>
      <c r="LP267" s="1058"/>
      <c r="LQ267" s="1058"/>
      <c r="LR267" s="1058"/>
      <c r="LS267" s="1058"/>
      <c r="LT267" s="1058"/>
      <c r="LU267" s="1058"/>
      <c r="LV267" s="1058"/>
      <c r="LW267" s="1058"/>
      <c r="LX267" s="1058"/>
      <c r="LY267" s="1058"/>
      <c r="LZ267" s="1058"/>
      <c r="MA267" s="1058"/>
      <c r="MB267" s="1058"/>
      <c r="MC267" s="1060"/>
      <c r="MD267" s="1060"/>
      <c r="ME267" s="1058"/>
      <c r="MF267" s="1058"/>
      <c r="MG267" s="1058"/>
      <c r="MH267" s="1058"/>
      <c r="MI267" s="1058"/>
      <c r="MJ267" s="1058"/>
      <c r="MK267" s="1058"/>
      <c r="ML267" s="1058"/>
      <c r="MM267" s="1058"/>
      <c r="MN267" s="1058"/>
      <c r="MO267" s="1058"/>
      <c r="MP267" s="1058"/>
      <c r="MQ267" s="1058"/>
      <c r="MR267" s="1058"/>
      <c r="MS267" s="1058"/>
      <c r="MT267" s="1058"/>
      <c r="MU267" s="1058"/>
      <c r="MV267" s="1058"/>
      <c r="MW267" s="1058"/>
      <c r="MX267" s="1058"/>
      <c r="MY267" s="1058"/>
      <c r="MZ267" s="1058"/>
      <c r="NA267" s="1058"/>
      <c r="NB267" s="1058"/>
      <c r="NC267" s="1058"/>
      <c r="ND267" s="1058"/>
      <c r="NE267" s="1058"/>
      <c r="NF267" s="1058"/>
      <c r="NG267" s="1058"/>
      <c r="NH267" s="1058"/>
      <c r="NI267" s="1058"/>
      <c r="NJ267" s="1058"/>
      <c r="NK267" s="1058"/>
      <c r="NL267" s="1058"/>
      <c r="NM267" s="1058"/>
      <c r="NN267" s="1058"/>
      <c r="NO267" s="1058"/>
      <c r="NP267" s="1058"/>
      <c r="NQ267" s="1058"/>
      <c r="NR267" s="1058"/>
      <c r="NS267" s="1058"/>
      <c r="NT267" s="1058"/>
      <c r="NU267" s="1058"/>
      <c r="NV267" s="1058"/>
      <c r="NW267" s="1058"/>
      <c r="NX267" s="1058"/>
      <c r="NY267" s="1058"/>
      <c r="NZ267" s="1058"/>
      <c r="OA267" s="1058"/>
      <c r="OB267" s="1058"/>
      <c r="OC267" s="1058"/>
      <c r="OD267" s="1018"/>
      <c r="OE267" s="1018"/>
      <c r="OF267" s="1018"/>
      <c r="OG267" s="1018"/>
      <c r="OH267" s="1018"/>
      <c r="OI267" s="1018"/>
      <c r="OJ267" s="1018"/>
      <c r="OK267" s="1018"/>
      <c r="OL267" s="1018"/>
      <c r="OM267" s="1018"/>
      <c r="ON267" s="1018"/>
      <c r="OO267" s="1018"/>
      <c r="OP267" s="1018"/>
      <c r="OQ267" s="1018"/>
      <c r="OR267" s="1018"/>
      <c r="OS267" s="1018"/>
      <c r="OT267" s="1018"/>
      <c r="OU267" s="1018"/>
      <c r="OV267" s="1018"/>
      <c r="OW267" s="1018"/>
      <c r="OX267" s="1018"/>
      <c r="OY267" s="1018"/>
      <c r="OZ267" s="1018"/>
      <c r="PA267" s="1018"/>
      <c r="PB267" s="1018"/>
      <c r="PC267" s="1018"/>
      <c r="PD267" s="1018"/>
      <c r="PE267" s="1018"/>
      <c r="PF267" s="1018"/>
      <c r="PG267" s="1018"/>
      <c r="PH267" s="1018"/>
      <c r="PI267" s="1018"/>
      <c r="PJ267" s="1018"/>
      <c r="PK267" s="1018"/>
      <c r="PL267" s="1018"/>
      <c r="PM267" s="1018"/>
      <c r="PN267" s="1018"/>
      <c r="PO267" s="1018"/>
      <c r="PP267" s="1018"/>
      <c r="PQ267" s="1018"/>
      <c r="PR267" s="1018"/>
      <c r="PS267" s="1018"/>
      <c r="PT267" s="1018"/>
      <c r="PU267" s="1018"/>
      <c r="PV267" s="1018"/>
      <c r="PW267" s="1018"/>
      <c r="PX267" s="1018"/>
      <c r="PY267" s="1018"/>
      <c r="PZ267" s="1018"/>
      <c r="QA267" s="1018"/>
      <c r="QB267" s="1018"/>
      <c r="QC267" s="1018"/>
      <c r="QD267" s="1018"/>
      <c r="QE267" s="1018"/>
      <c r="QF267" s="1018"/>
      <c r="QG267" s="1018"/>
      <c r="QH267" s="1018"/>
      <c r="QI267" s="1018"/>
      <c r="QJ267" s="1018"/>
      <c r="QK267" s="1018"/>
      <c r="QL267" s="1018"/>
      <c r="QM267" s="1018"/>
      <c r="QN267" s="1018"/>
      <c r="QO267" s="1018"/>
      <c r="QP267" s="1018"/>
      <c r="QQ267" s="1018"/>
      <c r="QR267" s="1018"/>
      <c r="QS267" s="1018"/>
      <c r="QT267" s="1018"/>
      <c r="QU267" s="1018"/>
      <c r="QV267" s="1018"/>
      <c r="QW267" s="1018"/>
      <c r="QX267" s="1018"/>
      <c r="QY267" s="1018"/>
      <c r="QZ267" s="1018"/>
      <c r="RA267" s="1018"/>
      <c r="RB267" s="1018"/>
      <c r="RC267" s="1018"/>
      <c r="RD267" s="1018"/>
      <c r="RE267" s="1018"/>
      <c r="RF267" s="1018"/>
      <c r="RG267" s="1018"/>
      <c r="RH267" s="1018"/>
      <c r="RI267" s="1018"/>
      <c r="RJ267" s="1018"/>
      <c r="RK267" s="1018"/>
      <c r="RL267" s="1018"/>
      <c r="RM267" s="1018"/>
      <c r="RN267" s="1018"/>
      <c r="RO267" s="1018"/>
      <c r="RP267" s="1018"/>
      <c r="RQ267" s="1018"/>
      <c r="RR267" s="1018"/>
      <c r="RS267" s="1018"/>
      <c r="RT267" s="1018"/>
      <c r="RU267" s="1018"/>
      <c r="RV267" s="1018"/>
      <c r="RW267" s="1018"/>
      <c r="RX267" s="1018"/>
    </row>
    <row r="268" spans="1:492" s="1057" customFormat="1" ht="14.1" customHeight="1">
      <c r="A268" s="1018"/>
      <c r="B268" s="1018"/>
      <c r="C268" s="1018"/>
      <c r="D268" s="1018"/>
      <c r="E268" s="1018"/>
      <c r="F268" s="1018"/>
      <c r="G268" s="1018"/>
      <c r="H268" s="1018"/>
      <c r="I268" s="1018"/>
      <c r="J268" s="1018"/>
      <c r="K268" s="1018"/>
      <c r="L268" s="1018"/>
      <c r="M268" s="1018"/>
      <c r="N268" s="1018"/>
      <c r="O268" s="1018"/>
      <c r="W268" s="1058"/>
      <c r="X268" s="1058"/>
      <c r="Y268" s="1058"/>
      <c r="Z268" s="1058"/>
      <c r="AA268" s="1058"/>
      <c r="AB268" s="1058"/>
      <c r="AC268" s="1058"/>
      <c r="AD268" s="1058"/>
      <c r="AE268" s="1058"/>
      <c r="AF268" s="1058"/>
      <c r="AG268" s="1058"/>
      <c r="AH268" s="1058"/>
      <c r="AI268" s="1058"/>
      <c r="AJ268" s="1058"/>
      <c r="AK268" s="1058"/>
      <c r="AL268" s="1058"/>
      <c r="AM268" s="1058"/>
      <c r="AN268" s="1058"/>
      <c r="AO268" s="1058"/>
      <c r="AP268" s="1058"/>
      <c r="AQ268" s="1058"/>
      <c r="AR268" s="1058"/>
      <c r="AS268" s="1058"/>
      <c r="AT268" s="1058"/>
      <c r="AU268" s="1058"/>
      <c r="AV268" s="1058"/>
      <c r="AW268" s="1058"/>
      <c r="AX268" s="1058"/>
      <c r="AY268" s="1058"/>
      <c r="AZ268" s="1058"/>
      <c r="BA268" s="1058"/>
      <c r="BB268" s="1058"/>
      <c r="BC268" s="1058"/>
      <c r="BD268" s="1058"/>
      <c r="BE268" s="1058"/>
      <c r="BF268" s="1058"/>
      <c r="BG268" s="1058"/>
      <c r="BH268" s="1058"/>
      <c r="BI268" s="1058"/>
      <c r="BJ268" s="1058"/>
      <c r="BK268" s="1058"/>
      <c r="BL268" s="1058"/>
      <c r="BM268" s="1058"/>
      <c r="BN268" s="1058"/>
      <c r="BO268" s="1058"/>
      <c r="BP268" s="1058"/>
      <c r="BQ268" s="1058"/>
      <c r="BR268" s="1058"/>
      <c r="BS268" s="1058"/>
      <c r="BT268" s="1058"/>
      <c r="BU268" s="1058"/>
      <c r="BV268" s="1058"/>
      <c r="BW268" s="1058"/>
      <c r="BX268" s="1058"/>
      <c r="BY268" s="1058"/>
      <c r="BZ268" s="1058"/>
      <c r="CA268" s="1058"/>
      <c r="CB268" s="1058"/>
      <c r="CC268" s="1058"/>
      <c r="CD268" s="1058"/>
      <c r="CE268" s="1058"/>
      <c r="CF268" s="1058"/>
      <c r="CG268" s="1058"/>
      <c r="CH268" s="1058"/>
      <c r="CI268" s="1058"/>
      <c r="CJ268" s="1058"/>
      <c r="CK268" s="1058"/>
      <c r="CL268" s="1058"/>
      <c r="CM268" s="1058"/>
      <c r="CN268" s="1058"/>
      <c r="CO268" s="1058"/>
      <c r="CP268" s="1058"/>
      <c r="CQ268" s="1058"/>
      <c r="CR268" s="1058"/>
      <c r="CS268" s="1058"/>
      <c r="CT268" s="1058"/>
      <c r="CU268" s="1058"/>
      <c r="CV268" s="1058"/>
      <c r="CW268" s="1058"/>
      <c r="CX268" s="1058"/>
      <c r="CY268" s="1058"/>
      <c r="CZ268" s="1058"/>
      <c r="DA268" s="1058"/>
      <c r="DB268" s="1058"/>
      <c r="DC268" s="1058"/>
      <c r="DD268" s="1058"/>
      <c r="DE268" s="1058"/>
      <c r="DF268" s="1058"/>
      <c r="DG268" s="1058"/>
      <c r="DH268" s="1058"/>
      <c r="DI268" s="1058"/>
      <c r="DJ268" s="1058"/>
      <c r="DK268" s="1058"/>
      <c r="DL268" s="1058"/>
      <c r="DM268" s="1058"/>
      <c r="DN268" s="1058"/>
      <c r="DO268" s="1058"/>
      <c r="DP268" s="1058"/>
      <c r="DQ268" s="1058"/>
      <c r="DR268" s="1058"/>
      <c r="DS268" s="1058"/>
      <c r="DT268" s="1058"/>
      <c r="DU268" s="1058"/>
      <c r="DV268" s="1058"/>
      <c r="DW268" s="1058"/>
      <c r="DX268" s="1058"/>
      <c r="DY268" s="1058"/>
      <c r="DZ268" s="1058"/>
      <c r="EA268" s="1058"/>
      <c r="EB268" s="1058"/>
      <c r="EC268" s="1058"/>
      <c r="ED268" s="1058"/>
      <c r="EE268" s="1058"/>
      <c r="EF268" s="1058"/>
      <c r="EG268" s="1058"/>
      <c r="EH268" s="1058"/>
      <c r="EI268" s="1058"/>
      <c r="EJ268" s="1058"/>
      <c r="EK268" s="1058"/>
      <c r="EL268" s="1058"/>
      <c r="EM268" s="1058"/>
      <c r="EN268" s="1058"/>
      <c r="EO268" s="1058"/>
      <c r="EP268" s="1058"/>
      <c r="EQ268" s="1058"/>
      <c r="ER268" s="1058"/>
      <c r="ES268" s="1058"/>
      <c r="ET268" s="1058"/>
      <c r="EU268" s="1058"/>
      <c r="EV268" s="1058"/>
      <c r="EW268" s="1058"/>
      <c r="EX268" s="1058"/>
      <c r="EY268" s="1058"/>
      <c r="EZ268" s="1058"/>
      <c r="FA268" s="1058"/>
      <c r="FB268" s="1058"/>
      <c r="FC268" s="1058"/>
      <c r="FD268" s="1058"/>
      <c r="FE268" s="1058"/>
      <c r="FF268" s="1058"/>
      <c r="FG268" s="1058"/>
      <c r="FH268" s="1058"/>
      <c r="FI268" s="1058"/>
      <c r="FJ268" s="1058"/>
      <c r="FK268" s="1058"/>
      <c r="FL268" s="1058"/>
      <c r="FM268" s="1058"/>
      <c r="FN268" s="1058"/>
      <c r="FO268" s="1058"/>
      <c r="FP268" s="1058"/>
      <c r="FQ268" s="1058"/>
      <c r="FR268" s="1058"/>
      <c r="FS268" s="1058"/>
      <c r="FT268" s="1058"/>
      <c r="FU268" s="1058"/>
      <c r="FV268" s="1058"/>
      <c r="FW268" s="1058"/>
      <c r="FX268" s="1058"/>
      <c r="FY268" s="1058"/>
      <c r="FZ268" s="1058"/>
      <c r="GA268" s="1058"/>
      <c r="GB268" s="1058"/>
      <c r="GC268" s="1058"/>
      <c r="GD268" s="1058"/>
      <c r="GE268" s="1058"/>
      <c r="GF268" s="1058"/>
      <c r="GG268" s="1058"/>
      <c r="GH268" s="1058"/>
      <c r="GI268" s="1058"/>
      <c r="GJ268" s="1058"/>
      <c r="GK268" s="1058"/>
      <c r="GL268" s="1058"/>
      <c r="GM268" s="1058"/>
      <c r="GN268" s="1058"/>
      <c r="GO268" s="1058"/>
      <c r="GP268" s="1058"/>
      <c r="GQ268" s="1058"/>
      <c r="GR268" s="1058"/>
      <c r="GS268" s="1058"/>
      <c r="GT268" s="1058"/>
      <c r="GU268" s="1058"/>
      <c r="GV268" s="1058"/>
      <c r="GW268" s="1058"/>
      <c r="GX268" s="1058"/>
      <c r="GY268" s="1058"/>
      <c r="GZ268" s="1058"/>
      <c r="HA268" s="1058"/>
      <c r="HB268" s="1058"/>
      <c r="HC268" s="1058"/>
      <c r="HD268" s="1058"/>
      <c r="HE268" s="1058"/>
      <c r="HF268" s="1058"/>
      <c r="HG268" s="1058"/>
      <c r="HH268" s="1058"/>
      <c r="HI268" s="1058"/>
      <c r="HJ268" s="1058"/>
      <c r="HK268" s="1058"/>
      <c r="HL268" s="1058"/>
      <c r="HM268" s="1058"/>
      <c r="HN268" s="1058"/>
      <c r="HO268" s="1058"/>
      <c r="HP268" s="1058"/>
      <c r="HQ268" s="1058"/>
      <c r="HR268" s="1058"/>
      <c r="HS268" s="1058"/>
      <c r="HT268" s="1058"/>
      <c r="HU268" s="1058"/>
      <c r="HV268" s="1058"/>
      <c r="HW268" s="1058"/>
      <c r="HX268" s="1058"/>
      <c r="HY268" s="1058"/>
      <c r="HZ268" s="1058"/>
      <c r="IA268" s="1058"/>
      <c r="IB268" s="1058"/>
      <c r="IC268" s="1058"/>
      <c r="ID268" s="1058"/>
      <c r="IE268" s="1058"/>
      <c r="IF268" s="1058"/>
      <c r="IG268" s="1058"/>
      <c r="IH268" s="1058"/>
      <c r="II268" s="1058"/>
      <c r="IJ268" s="1058"/>
      <c r="IK268" s="1058"/>
      <c r="IL268" s="1058"/>
      <c r="IM268" s="1058"/>
      <c r="IN268" s="1058"/>
      <c r="IO268" s="1058"/>
      <c r="IP268" s="1058"/>
      <c r="IQ268" s="1058"/>
      <c r="IR268" s="1058"/>
      <c r="IS268" s="1058"/>
      <c r="IT268" s="1058"/>
      <c r="IU268" s="1058"/>
      <c r="IV268" s="1058"/>
      <c r="IW268" s="1058"/>
      <c r="IX268" s="1058"/>
      <c r="IY268" s="1058"/>
      <c r="IZ268" s="1058"/>
      <c r="JA268" s="1058"/>
      <c r="JB268" s="1058"/>
      <c r="JC268" s="1058"/>
      <c r="JD268" s="1058"/>
      <c r="JE268" s="1058"/>
      <c r="JF268" s="1058"/>
      <c r="JG268" s="1058"/>
      <c r="JH268" s="1058"/>
      <c r="JI268" s="1058"/>
      <c r="JJ268" s="1058"/>
      <c r="JK268" s="1058"/>
      <c r="JL268" s="1058"/>
      <c r="JM268" s="1058"/>
      <c r="JN268" s="1058"/>
      <c r="JO268" s="1058"/>
      <c r="JP268" s="1058"/>
      <c r="JQ268" s="1058"/>
      <c r="JR268" s="1058"/>
      <c r="JS268" s="1058"/>
      <c r="JT268" s="1058"/>
      <c r="JU268" s="1058"/>
      <c r="JV268" s="1059"/>
      <c r="JW268" s="1058"/>
      <c r="JX268" s="1058"/>
      <c r="JY268" s="1058"/>
      <c r="JZ268" s="1058"/>
      <c r="KA268" s="1059"/>
      <c r="KB268" s="1059"/>
      <c r="KC268" s="1059"/>
      <c r="KD268" s="1059"/>
      <c r="KE268" s="1059"/>
      <c r="KF268" s="1059"/>
      <c r="KG268" s="1059"/>
      <c r="KH268" s="1059"/>
      <c r="KI268" s="1059"/>
      <c r="KJ268" s="1059"/>
      <c r="KK268" s="1059"/>
      <c r="KL268" s="1059"/>
      <c r="KM268" s="1059"/>
      <c r="KN268" s="1059"/>
      <c r="KO268" s="1059"/>
      <c r="KP268" s="1059"/>
      <c r="KQ268" s="1059"/>
      <c r="KR268" s="1059"/>
      <c r="KS268" s="1059"/>
      <c r="KT268" s="1059"/>
      <c r="KU268" s="1059"/>
      <c r="KV268" s="1059"/>
      <c r="KW268" s="1059"/>
      <c r="KX268" s="1059"/>
      <c r="KY268" s="1059"/>
      <c r="KZ268" s="1059"/>
      <c r="LA268" s="1059"/>
      <c r="LB268" s="1059"/>
      <c r="LC268" s="1059"/>
      <c r="LD268" s="1059"/>
      <c r="LE268" s="1059"/>
      <c r="LF268" s="1059"/>
      <c r="LG268" s="1058"/>
      <c r="LH268" s="1058"/>
      <c r="LI268" s="1058"/>
      <c r="LJ268" s="1058"/>
      <c r="LK268" s="1058"/>
      <c r="LL268" s="1058"/>
      <c r="LM268" s="1060"/>
      <c r="LN268" s="1058"/>
      <c r="LO268" s="1058"/>
      <c r="LP268" s="1058"/>
      <c r="LQ268" s="1058"/>
      <c r="LR268" s="1058"/>
      <c r="LS268" s="1058"/>
      <c r="LT268" s="1058"/>
      <c r="LU268" s="1058"/>
      <c r="LV268" s="1058"/>
      <c r="LW268" s="1058"/>
      <c r="LX268" s="1058"/>
      <c r="LY268" s="1058"/>
      <c r="LZ268" s="1058"/>
      <c r="MA268" s="1058"/>
      <c r="MB268" s="1058"/>
      <c r="MC268" s="1060"/>
      <c r="MD268" s="1060"/>
      <c r="ME268" s="1058"/>
      <c r="MF268" s="1058"/>
      <c r="MG268" s="1058"/>
      <c r="MH268" s="1058"/>
      <c r="MI268" s="1058"/>
      <c r="MJ268" s="1058"/>
      <c r="MK268" s="1058"/>
      <c r="ML268" s="1058"/>
      <c r="MM268" s="1058"/>
      <c r="MN268" s="1058"/>
      <c r="MO268" s="1058"/>
      <c r="MP268" s="1058"/>
      <c r="MQ268" s="1058"/>
      <c r="MR268" s="1058"/>
      <c r="MS268" s="1058"/>
      <c r="MT268" s="1058"/>
      <c r="MU268" s="1058"/>
      <c r="MV268" s="1058"/>
      <c r="MW268" s="1058"/>
      <c r="MX268" s="1058"/>
      <c r="MY268" s="1058"/>
      <c r="MZ268" s="1058"/>
      <c r="NA268" s="1058"/>
      <c r="NB268" s="1058"/>
      <c r="NC268" s="1058"/>
      <c r="ND268" s="1058"/>
      <c r="NE268" s="1058"/>
      <c r="NF268" s="1058"/>
      <c r="NG268" s="1058"/>
      <c r="NH268" s="1058"/>
      <c r="NI268" s="1058"/>
      <c r="NJ268" s="1058"/>
      <c r="NK268" s="1058"/>
      <c r="NL268" s="1058"/>
      <c r="NM268" s="1058"/>
      <c r="NN268" s="1058"/>
      <c r="NO268" s="1058"/>
      <c r="NP268" s="1058"/>
      <c r="NQ268" s="1058"/>
      <c r="NR268" s="1058"/>
      <c r="NS268" s="1058"/>
      <c r="NT268" s="1058"/>
      <c r="NU268" s="1058"/>
      <c r="NV268" s="1058"/>
      <c r="NW268" s="1058"/>
      <c r="NX268" s="1058"/>
      <c r="NY268" s="1058"/>
      <c r="NZ268" s="1058"/>
      <c r="OA268" s="1058"/>
      <c r="OB268" s="1058"/>
      <c r="OC268" s="1058"/>
      <c r="OD268" s="1018"/>
      <c r="OE268" s="1018"/>
      <c r="OF268" s="1018"/>
      <c r="OG268" s="1018"/>
      <c r="OH268" s="1018"/>
      <c r="OI268" s="1018"/>
      <c r="OJ268" s="1018"/>
      <c r="OK268" s="1018"/>
      <c r="OL268" s="1018"/>
      <c r="OM268" s="1018"/>
      <c r="ON268" s="1018"/>
      <c r="OO268" s="1018"/>
      <c r="OP268" s="1018"/>
      <c r="OQ268" s="1018"/>
      <c r="OR268" s="1018"/>
      <c r="OS268" s="1018"/>
      <c r="OT268" s="1018"/>
      <c r="OU268" s="1018"/>
      <c r="OV268" s="1018"/>
      <c r="OW268" s="1018"/>
      <c r="OX268" s="1018"/>
      <c r="OY268" s="1018"/>
      <c r="OZ268" s="1018"/>
      <c r="PA268" s="1018"/>
      <c r="PB268" s="1018"/>
      <c r="PC268" s="1018"/>
      <c r="PD268" s="1018"/>
      <c r="PE268" s="1018"/>
      <c r="PF268" s="1018"/>
      <c r="PG268" s="1018"/>
      <c r="PH268" s="1018"/>
      <c r="PI268" s="1018"/>
      <c r="PJ268" s="1018"/>
      <c r="PK268" s="1018"/>
      <c r="PL268" s="1018"/>
      <c r="PM268" s="1018"/>
      <c r="PN268" s="1018"/>
      <c r="PO268" s="1018"/>
      <c r="PP268" s="1018"/>
      <c r="PQ268" s="1018"/>
      <c r="PR268" s="1018"/>
      <c r="PS268" s="1018"/>
      <c r="PT268" s="1018"/>
      <c r="PU268" s="1018"/>
      <c r="PV268" s="1018"/>
      <c r="PW268" s="1018"/>
      <c r="PX268" s="1018"/>
      <c r="PY268" s="1018"/>
      <c r="PZ268" s="1018"/>
      <c r="QA268" s="1018"/>
      <c r="QB268" s="1018"/>
      <c r="QC268" s="1018"/>
      <c r="QD268" s="1018"/>
      <c r="QE268" s="1018"/>
      <c r="QF268" s="1018"/>
      <c r="QG268" s="1018"/>
      <c r="QH268" s="1018"/>
      <c r="QI268" s="1018"/>
      <c r="QJ268" s="1018"/>
      <c r="QK268" s="1018"/>
      <c r="QL268" s="1018"/>
      <c r="QM268" s="1018"/>
      <c r="QN268" s="1018"/>
      <c r="QO268" s="1018"/>
      <c r="QP268" s="1018"/>
      <c r="QQ268" s="1018"/>
      <c r="QR268" s="1018"/>
      <c r="QS268" s="1018"/>
      <c r="QT268" s="1018"/>
      <c r="QU268" s="1018"/>
      <c r="QV268" s="1018"/>
      <c r="QW268" s="1018"/>
      <c r="QX268" s="1018"/>
      <c r="QY268" s="1018"/>
      <c r="QZ268" s="1018"/>
      <c r="RA268" s="1018"/>
      <c r="RB268" s="1018"/>
      <c r="RC268" s="1018"/>
      <c r="RD268" s="1018"/>
      <c r="RE268" s="1018"/>
      <c r="RF268" s="1018"/>
      <c r="RG268" s="1018"/>
      <c r="RH268" s="1018"/>
      <c r="RI268" s="1018"/>
      <c r="RJ268" s="1018"/>
      <c r="RK268" s="1018"/>
      <c r="RL268" s="1018"/>
      <c r="RM268" s="1018"/>
      <c r="RN268" s="1018"/>
      <c r="RO268" s="1018"/>
      <c r="RP268" s="1018"/>
      <c r="RQ268" s="1018"/>
      <c r="RR268" s="1018"/>
      <c r="RS268" s="1018"/>
      <c r="RT268" s="1018"/>
      <c r="RU268" s="1018"/>
      <c r="RV268" s="1018"/>
      <c r="RW268" s="1018"/>
      <c r="RX268" s="1018"/>
    </row>
    <row r="269" spans="1:492" s="1057" customFormat="1" ht="14.1" customHeight="1">
      <c r="A269" s="1018"/>
      <c r="B269" s="1018"/>
      <c r="C269" s="1018"/>
      <c r="D269" s="1018"/>
      <c r="E269" s="1018"/>
      <c r="F269" s="1018"/>
      <c r="G269" s="1018"/>
      <c r="H269" s="1018"/>
      <c r="I269" s="1018"/>
      <c r="J269" s="1018"/>
      <c r="K269" s="1018"/>
      <c r="L269" s="1018"/>
      <c r="M269" s="1018"/>
      <c r="N269" s="1018"/>
      <c r="O269" s="1018"/>
      <c r="W269" s="1058"/>
      <c r="X269" s="1058"/>
      <c r="Y269" s="1058"/>
      <c r="Z269" s="1058"/>
      <c r="AA269" s="1058"/>
      <c r="AB269" s="1058"/>
      <c r="AC269" s="1058"/>
      <c r="AD269" s="1058"/>
      <c r="AE269" s="1058"/>
      <c r="AF269" s="1058"/>
      <c r="AG269" s="1058"/>
      <c r="AH269" s="1058"/>
      <c r="AI269" s="1058"/>
      <c r="AJ269" s="1058"/>
      <c r="AK269" s="1058"/>
      <c r="AL269" s="1058"/>
      <c r="AM269" s="1058"/>
      <c r="AN269" s="1058"/>
      <c r="AO269" s="1058"/>
      <c r="AP269" s="1058"/>
      <c r="AQ269" s="1058"/>
      <c r="AR269" s="1058"/>
      <c r="AS269" s="1058"/>
      <c r="AT269" s="1058"/>
      <c r="AU269" s="1058"/>
      <c r="AV269" s="1058"/>
      <c r="AW269" s="1058"/>
      <c r="AX269" s="1058"/>
      <c r="AY269" s="1058"/>
      <c r="AZ269" s="1058"/>
      <c r="BA269" s="1058"/>
      <c r="BB269" s="1058"/>
      <c r="BC269" s="1058"/>
      <c r="BD269" s="1058"/>
      <c r="BE269" s="1058"/>
      <c r="BF269" s="1058"/>
      <c r="BG269" s="1058"/>
      <c r="BH269" s="1058"/>
      <c r="BI269" s="1058"/>
      <c r="BJ269" s="1058"/>
      <c r="BK269" s="1058"/>
      <c r="BL269" s="1058"/>
      <c r="BM269" s="1058"/>
      <c r="BN269" s="1058"/>
      <c r="BO269" s="1058"/>
      <c r="BP269" s="1058"/>
      <c r="BQ269" s="1058"/>
      <c r="BR269" s="1058"/>
      <c r="BS269" s="1058"/>
      <c r="BT269" s="1058"/>
      <c r="BU269" s="1058"/>
      <c r="BV269" s="1058"/>
      <c r="BW269" s="1058"/>
      <c r="BX269" s="1058"/>
      <c r="BY269" s="1058"/>
      <c r="BZ269" s="1058"/>
      <c r="CA269" s="1058"/>
      <c r="CB269" s="1058"/>
      <c r="CC269" s="1058"/>
      <c r="CD269" s="1058"/>
      <c r="CE269" s="1058"/>
      <c r="CF269" s="1058"/>
      <c r="CG269" s="1058"/>
      <c r="CH269" s="1058"/>
      <c r="CI269" s="1058"/>
      <c r="CJ269" s="1058"/>
      <c r="CK269" s="1058"/>
      <c r="CL269" s="1058"/>
      <c r="CM269" s="1058"/>
      <c r="CN269" s="1058"/>
      <c r="CO269" s="1058"/>
      <c r="CP269" s="1058"/>
      <c r="CQ269" s="1058"/>
      <c r="CR269" s="1058"/>
      <c r="CS269" s="1058"/>
      <c r="CT269" s="1058"/>
      <c r="CU269" s="1058"/>
      <c r="CV269" s="1058"/>
      <c r="CW269" s="1058"/>
      <c r="CX269" s="1058"/>
      <c r="CY269" s="1058"/>
      <c r="CZ269" s="1058"/>
      <c r="DA269" s="1058"/>
      <c r="DB269" s="1058"/>
      <c r="DC269" s="1058"/>
      <c r="DD269" s="1058"/>
      <c r="DE269" s="1058"/>
      <c r="DF269" s="1058"/>
      <c r="DG269" s="1058"/>
      <c r="DH269" s="1058"/>
      <c r="DI269" s="1058"/>
      <c r="DJ269" s="1058"/>
      <c r="DK269" s="1058"/>
      <c r="DL269" s="1058"/>
      <c r="DM269" s="1058"/>
      <c r="DN269" s="1058"/>
      <c r="DO269" s="1058"/>
      <c r="DP269" s="1058"/>
      <c r="DQ269" s="1058"/>
      <c r="DR269" s="1058"/>
      <c r="DS269" s="1058"/>
      <c r="DT269" s="1058"/>
      <c r="DU269" s="1058"/>
      <c r="DV269" s="1058"/>
      <c r="DW269" s="1058"/>
      <c r="DX269" s="1058"/>
      <c r="DY269" s="1058"/>
      <c r="DZ269" s="1058"/>
      <c r="EA269" s="1058"/>
      <c r="EB269" s="1058"/>
      <c r="EC269" s="1058"/>
      <c r="ED269" s="1058"/>
      <c r="EE269" s="1058"/>
      <c r="EF269" s="1058"/>
      <c r="EG269" s="1058"/>
      <c r="EH269" s="1058"/>
      <c r="EI269" s="1058"/>
      <c r="EJ269" s="1058"/>
      <c r="EK269" s="1058"/>
      <c r="EL269" s="1058"/>
      <c r="EM269" s="1058"/>
      <c r="EN269" s="1058"/>
      <c r="EO269" s="1058"/>
      <c r="EP269" s="1058"/>
      <c r="EQ269" s="1058"/>
      <c r="ER269" s="1058"/>
      <c r="ES269" s="1058"/>
      <c r="ET269" s="1058"/>
      <c r="EU269" s="1058"/>
      <c r="EV269" s="1058"/>
      <c r="EW269" s="1058"/>
      <c r="EX269" s="1058"/>
      <c r="EY269" s="1058"/>
      <c r="EZ269" s="1058"/>
      <c r="FA269" s="1058"/>
      <c r="FB269" s="1058"/>
      <c r="FC269" s="1058"/>
      <c r="FD269" s="1058"/>
      <c r="FE269" s="1058"/>
      <c r="FF269" s="1058"/>
      <c r="FG269" s="1058"/>
      <c r="FH269" s="1058"/>
      <c r="FI269" s="1058"/>
      <c r="FJ269" s="1058"/>
      <c r="FK269" s="1058"/>
      <c r="FL269" s="1058"/>
      <c r="FM269" s="1058"/>
      <c r="FN269" s="1058"/>
      <c r="FO269" s="1058"/>
      <c r="FP269" s="1058"/>
      <c r="FQ269" s="1058"/>
      <c r="FR269" s="1058"/>
      <c r="FS269" s="1058"/>
      <c r="FT269" s="1058"/>
      <c r="FU269" s="1058"/>
      <c r="FV269" s="1058"/>
      <c r="FW269" s="1058"/>
      <c r="FX269" s="1058"/>
      <c r="FY269" s="1058"/>
      <c r="FZ269" s="1058"/>
      <c r="GA269" s="1058"/>
      <c r="GB269" s="1058"/>
      <c r="GC269" s="1058"/>
      <c r="GD269" s="1058"/>
      <c r="GE269" s="1058"/>
      <c r="GF269" s="1058"/>
      <c r="GG269" s="1058"/>
      <c r="GH269" s="1058"/>
      <c r="GI269" s="1058"/>
      <c r="GJ269" s="1058"/>
      <c r="GK269" s="1058"/>
      <c r="GL269" s="1058"/>
      <c r="GM269" s="1058"/>
      <c r="GN269" s="1058"/>
      <c r="GO269" s="1058"/>
      <c r="GP269" s="1058"/>
      <c r="GQ269" s="1058"/>
      <c r="GR269" s="1058"/>
      <c r="GS269" s="1058"/>
      <c r="GT269" s="1058"/>
      <c r="GU269" s="1058"/>
      <c r="GV269" s="1058"/>
      <c r="GW269" s="1058"/>
      <c r="GX269" s="1058"/>
      <c r="GY269" s="1058"/>
      <c r="GZ269" s="1058"/>
      <c r="HA269" s="1058"/>
      <c r="HB269" s="1058"/>
      <c r="HC269" s="1058"/>
      <c r="HD269" s="1058"/>
      <c r="HE269" s="1058"/>
      <c r="HF269" s="1058"/>
      <c r="HG269" s="1058"/>
      <c r="HH269" s="1058"/>
      <c r="HI269" s="1058"/>
      <c r="HJ269" s="1058"/>
      <c r="HK269" s="1058"/>
      <c r="HL269" s="1058"/>
      <c r="HM269" s="1058"/>
      <c r="HN269" s="1058"/>
      <c r="HO269" s="1058"/>
      <c r="HP269" s="1058"/>
      <c r="HQ269" s="1058"/>
      <c r="HR269" s="1058"/>
      <c r="HS269" s="1058"/>
      <c r="HT269" s="1058"/>
      <c r="HU269" s="1058"/>
      <c r="HV269" s="1058"/>
      <c r="HW269" s="1058"/>
      <c r="HX269" s="1058"/>
      <c r="HY269" s="1058"/>
      <c r="HZ269" s="1058"/>
      <c r="IA269" s="1058"/>
      <c r="IB269" s="1058"/>
      <c r="IC269" s="1058"/>
      <c r="ID269" s="1058"/>
      <c r="IE269" s="1058"/>
      <c r="IF269" s="1058"/>
      <c r="IG269" s="1058"/>
      <c r="IH269" s="1058"/>
      <c r="II269" s="1058"/>
      <c r="IJ269" s="1058"/>
      <c r="IK269" s="1058"/>
      <c r="IL269" s="1058"/>
      <c r="IM269" s="1058"/>
      <c r="IN269" s="1058"/>
      <c r="IO269" s="1058"/>
      <c r="IP269" s="1058"/>
      <c r="IQ269" s="1058"/>
      <c r="IR269" s="1058"/>
      <c r="IS269" s="1058"/>
      <c r="IT269" s="1058"/>
      <c r="IU269" s="1058"/>
      <c r="IV269" s="1058"/>
      <c r="IW269" s="1058"/>
      <c r="IX269" s="1058"/>
      <c r="IY269" s="1058"/>
      <c r="IZ269" s="1058"/>
      <c r="JA269" s="1058"/>
      <c r="JB269" s="1058"/>
      <c r="JC269" s="1058"/>
      <c r="JD269" s="1058"/>
      <c r="JE269" s="1058"/>
      <c r="JF269" s="1058"/>
      <c r="JG269" s="1058"/>
      <c r="JH269" s="1058"/>
      <c r="JI269" s="1058"/>
      <c r="JJ269" s="1058"/>
      <c r="JK269" s="1058"/>
      <c r="JL269" s="1058"/>
      <c r="JM269" s="1058"/>
      <c r="JN269" s="1058"/>
      <c r="JO269" s="1058"/>
      <c r="JP269" s="1058"/>
      <c r="JQ269" s="1058"/>
      <c r="JR269" s="1058"/>
      <c r="JS269" s="1058"/>
      <c r="JT269" s="1058"/>
      <c r="JU269" s="1058"/>
      <c r="JV269" s="1059"/>
      <c r="JW269" s="1058"/>
      <c r="JX269" s="1058"/>
      <c r="JY269" s="1058"/>
      <c r="JZ269" s="1058"/>
      <c r="KA269" s="1059"/>
      <c r="KB269" s="1059"/>
      <c r="KC269" s="1059"/>
      <c r="KD269" s="1059"/>
      <c r="KE269" s="1059"/>
      <c r="KF269" s="1059"/>
      <c r="KG269" s="1059"/>
      <c r="KH269" s="1059"/>
      <c r="KI269" s="1059"/>
      <c r="KJ269" s="1059"/>
      <c r="KK269" s="1059"/>
      <c r="KL269" s="1059"/>
      <c r="KM269" s="1059"/>
      <c r="KN269" s="1059"/>
      <c r="KO269" s="1059"/>
      <c r="KP269" s="1059"/>
      <c r="KQ269" s="1059"/>
      <c r="KR269" s="1059"/>
      <c r="KS269" s="1059"/>
      <c r="KT269" s="1059"/>
      <c r="KU269" s="1059"/>
      <c r="KV269" s="1059"/>
      <c r="KW269" s="1059"/>
      <c r="KX269" s="1059"/>
      <c r="KY269" s="1059"/>
      <c r="KZ269" s="1059"/>
      <c r="LA269" s="1059"/>
      <c r="LB269" s="1059"/>
      <c r="LC269" s="1059"/>
      <c r="LD269" s="1059"/>
      <c r="LE269" s="1059"/>
      <c r="LF269" s="1059"/>
      <c r="LG269" s="1058"/>
      <c r="LH269" s="1058"/>
      <c r="LI269" s="1058"/>
      <c r="LJ269" s="1058"/>
      <c r="LK269" s="1058"/>
      <c r="LL269" s="1058"/>
      <c r="LM269" s="1060"/>
      <c r="LN269" s="1058"/>
      <c r="LO269" s="1058"/>
      <c r="LP269" s="1058"/>
      <c r="LQ269" s="1058"/>
      <c r="LR269" s="1058"/>
      <c r="LS269" s="1058"/>
      <c r="LT269" s="1058"/>
      <c r="LU269" s="1058"/>
      <c r="LV269" s="1058"/>
      <c r="LW269" s="1058"/>
      <c r="LX269" s="1058"/>
      <c r="LY269" s="1058"/>
      <c r="LZ269" s="1058"/>
      <c r="MA269" s="1058"/>
      <c r="MB269" s="1058"/>
      <c r="MC269" s="1060"/>
      <c r="MD269" s="1060"/>
      <c r="ME269" s="1058"/>
      <c r="MF269" s="1058"/>
      <c r="MG269" s="1058"/>
      <c r="MH269" s="1058"/>
      <c r="MI269" s="1058"/>
      <c r="MJ269" s="1058"/>
      <c r="MK269" s="1058"/>
      <c r="ML269" s="1058"/>
      <c r="MM269" s="1058"/>
      <c r="MN269" s="1058"/>
      <c r="MO269" s="1058"/>
      <c r="MP269" s="1058"/>
      <c r="MQ269" s="1058"/>
      <c r="MR269" s="1058"/>
      <c r="MS269" s="1058"/>
      <c r="MT269" s="1058"/>
      <c r="MU269" s="1058"/>
      <c r="MV269" s="1058"/>
      <c r="MW269" s="1058"/>
      <c r="MX269" s="1058"/>
      <c r="MY269" s="1058"/>
      <c r="MZ269" s="1058"/>
      <c r="NA269" s="1058"/>
      <c r="NB269" s="1058"/>
      <c r="NC269" s="1058"/>
      <c r="ND269" s="1058"/>
      <c r="NE269" s="1058"/>
      <c r="NF269" s="1058"/>
      <c r="NG269" s="1058"/>
      <c r="NH269" s="1058"/>
      <c r="NI269" s="1058"/>
      <c r="NJ269" s="1058"/>
      <c r="NK269" s="1058"/>
      <c r="NL269" s="1058"/>
      <c r="NM269" s="1058"/>
      <c r="NN269" s="1058"/>
      <c r="NO269" s="1058"/>
      <c r="NP269" s="1058"/>
      <c r="NQ269" s="1058"/>
      <c r="NR269" s="1058"/>
      <c r="NS269" s="1058"/>
      <c r="NT269" s="1058"/>
      <c r="NU269" s="1058"/>
      <c r="NV269" s="1058"/>
      <c r="NW269" s="1058"/>
      <c r="NX269" s="1058"/>
      <c r="NY269" s="1058"/>
      <c r="NZ269" s="1058"/>
      <c r="OA269" s="1058"/>
      <c r="OB269" s="1058"/>
      <c r="OC269" s="1058"/>
      <c r="OD269" s="1018"/>
      <c r="OE269" s="1018"/>
      <c r="OF269" s="1018"/>
      <c r="OG269" s="1018"/>
      <c r="OH269" s="1018"/>
      <c r="OI269" s="1018"/>
      <c r="OJ269" s="1018"/>
      <c r="OK269" s="1018"/>
      <c r="OL269" s="1018"/>
      <c r="OM269" s="1018"/>
      <c r="ON269" s="1018"/>
      <c r="OO269" s="1018"/>
      <c r="OP269" s="1018"/>
      <c r="OQ269" s="1018"/>
      <c r="OR269" s="1018"/>
      <c r="OS269" s="1018"/>
      <c r="OT269" s="1018"/>
      <c r="OU269" s="1018"/>
      <c r="OV269" s="1018"/>
      <c r="OW269" s="1018"/>
      <c r="OX269" s="1018"/>
      <c r="OY269" s="1018"/>
      <c r="OZ269" s="1018"/>
      <c r="PA269" s="1018"/>
      <c r="PB269" s="1018"/>
      <c r="PC269" s="1018"/>
      <c r="PD269" s="1018"/>
      <c r="PE269" s="1018"/>
      <c r="PF269" s="1018"/>
      <c r="PG269" s="1018"/>
      <c r="PH269" s="1018"/>
      <c r="PI269" s="1018"/>
      <c r="PJ269" s="1018"/>
      <c r="PK269" s="1018"/>
      <c r="PL269" s="1018"/>
      <c r="PM269" s="1018"/>
      <c r="PN269" s="1018"/>
      <c r="PO269" s="1018"/>
      <c r="PP269" s="1018"/>
      <c r="PQ269" s="1018"/>
      <c r="PR269" s="1018"/>
      <c r="PS269" s="1018"/>
      <c r="PT269" s="1018"/>
      <c r="PU269" s="1018"/>
      <c r="PV269" s="1018"/>
      <c r="PW269" s="1018"/>
      <c r="PX269" s="1018"/>
      <c r="PY269" s="1018"/>
      <c r="PZ269" s="1018"/>
      <c r="QA269" s="1018"/>
      <c r="QB269" s="1018"/>
      <c r="QC269" s="1018"/>
      <c r="QD269" s="1018"/>
      <c r="QE269" s="1018"/>
      <c r="QF269" s="1018"/>
      <c r="QG269" s="1018"/>
      <c r="QH269" s="1018"/>
      <c r="QI269" s="1018"/>
      <c r="QJ269" s="1018"/>
      <c r="QK269" s="1018"/>
      <c r="QL269" s="1018"/>
      <c r="QM269" s="1018"/>
      <c r="QN269" s="1018"/>
      <c r="QO269" s="1018"/>
      <c r="QP269" s="1018"/>
      <c r="QQ269" s="1018"/>
      <c r="QR269" s="1018"/>
      <c r="QS269" s="1018"/>
      <c r="QT269" s="1018"/>
      <c r="QU269" s="1018"/>
      <c r="QV269" s="1018"/>
      <c r="QW269" s="1018"/>
      <c r="QX269" s="1018"/>
      <c r="QY269" s="1018"/>
      <c r="QZ269" s="1018"/>
      <c r="RA269" s="1018"/>
      <c r="RB269" s="1018"/>
      <c r="RC269" s="1018"/>
      <c r="RD269" s="1018"/>
      <c r="RE269" s="1018"/>
      <c r="RF269" s="1018"/>
      <c r="RG269" s="1018"/>
      <c r="RH269" s="1018"/>
      <c r="RI269" s="1018"/>
      <c r="RJ269" s="1018"/>
      <c r="RK269" s="1018"/>
      <c r="RL269" s="1018"/>
      <c r="RM269" s="1018"/>
      <c r="RN269" s="1018"/>
      <c r="RO269" s="1018"/>
      <c r="RP269" s="1018"/>
      <c r="RQ269" s="1018"/>
      <c r="RR269" s="1018"/>
      <c r="RS269" s="1018"/>
      <c r="RT269" s="1018"/>
      <c r="RU269" s="1018"/>
      <c r="RV269" s="1018"/>
      <c r="RW269" s="1018"/>
      <c r="RX269" s="1018"/>
    </row>
    <row r="270" spans="1:492" ht="14.1" customHeight="1"/>
    <row r="271" spans="1:492" ht="14.1" customHeight="1">
      <c r="A271" s="885"/>
    </row>
    <row r="272" spans="1:492" ht="14.1" customHeight="1"/>
    <row r="273" spans="1:492" ht="14.1" customHeight="1"/>
    <row r="274" spans="1:492" ht="14.1" customHeight="1"/>
    <row r="275" spans="1:492" ht="14.1" customHeight="1"/>
    <row r="276" spans="1:492" ht="14.1" customHeight="1"/>
    <row r="277" spans="1:492" s="1057" customFormat="1" ht="14.1" customHeight="1">
      <c r="A277" s="1265"/>
      <c r="B277" s="1018"/>
      <c r="C277" s="1018"/>
      <c r="D277" s="1018"/>
      <c r="E277" s="1018"/>
      <c r="F277" s="1018"/>
      <c r="G277" s="1018"/>
      <c r="H277" s="1018"/>
      <c r="I277" s="1018"/>
      <c r="J277" s="1018"/>
      <c r="K277" s="1018"/>
      <c r="L277" s="1018"/>
      <c r="M277" s="1018"/>
      <c r="N277" s="1018"/>
      <c r="O277" s="1018"/>
      <c r="W277" s="1058"/>
      <c r="X277" s="1058"/>
      <c r="Y277" s="1058"/>
      <c r="Z277" s="1058"/>
      <c r="AA277" s="1058"/>
      <c r="AB277" s="1058"/>
      <c r="AC277" s="1058"/>
      <c r="AD277" s="1058"/>
      <c r="AE277" s="1058"/>
      <c r="AF277" s="1058"/>
      <c r="AG277" s="1058"/>
      <c r="AH277" s="1058"/>
      <c r="AI277" s="1058"/>
      <c r="AJ277" s="1058"/>
      <c r="AK277" s="1058"/>
      <c r="AL277" s="1058"/>
      <c r="AM277" s="1058"/>
      <c r="AN277" s="1058"/>
      <c r="AO277" s="1058"/>
      <c r="AP277" s="1058"/>
      <c r="AQ277" s="1058"/>
      <c r="AR277" s="1058"/>
      <c r="AS277" s="1058"/>
      <c r="AT277" s="1058"/>
      <c r="AU277" s="1058"/>
      <c r="AV277" s="1058"/>
      <c r="AW277" s="1058"/>
      <c r="AX277" s="1058"/>
      <c r="AY277" s="1058"/>
      <c r="AZ277" s="1058"/>
      <c r="BA277" s="1058"/>
      <c r="BB277" s="1058"/>
      <c r="BC277" s="1058"/>
      <c r="BD277" s="1058"/>
      <c r="BE277" s="1058"/>
      <c r="BF277" s="1058"/>
      <c r="BG277" s="1058"/>
      <c r="BH277" s="1058"/>
      <c r="BI277" s="1058"/>
      <c r="BJ277" s="1058"/>
      <c r="BK277" s="1058"/>
      <c r="BL277" s="1058"/>
      <c r="BM277" s="1058"/>
      <c r="BN277" s="1058"/>
      <c r="BO277" s="1058"/>
      <c r="BP277" s="1058"/>
      <c r="BQ277" s="1058"/>
      <c r="BR277" s="1058"/>
      <c r="BS277" s="1058"/>
      <c r="BT277" s="1058"/>
      <c r="BU277" s="1058"/>
      <c r="BV277" s="1058"/>
      <c r="BW277" s="1058"/>
      <c r="BX277" s="1058"/>
      <c r="BY277" s="1058"/>
      <c r="BZ277" s="1058"/>
      <c r="CA277" s="1058"/>
      <c r="CB277" s="1058"/>
      <c r="CC277" s="1058"/>
      <c r="CD277" s="1058"/>
      <c r="CE277" s="1058"/>
      <c r="CF277" s="1058"/>
      <c r="CG277" s="1058"/>
      <c r="CH277" s="1058"/>
      <c r="CI277" s="1058"/>
      <c r="CJ277" s="1058"/>
      <c r="CK277" s="1058"/>
      <c r="CL277" s="1058"/>
      <c r="CM277" s="1058"/>
      <c r="CN277" s="1058"/>
      <c r="CO277" s="1058"/>
      <c r="CP277" s="1058"/>
      <c r="CQ277" s="1058"/>
      <c r="CR277" s="1058"/>
      <c r="CS277" s="1058"/>
      <c r="CT277" s="1058"/>
      <c r="CU277" s="1058"/>
      <c r="CV277" s="1058"/>
      <c r="CW277" s="1058"/>
      <c r="CX277" s="1058"/>
      <c r="CY277" s="1058"/>
      <c r="CZ277" s="1058"/>
      <c r="DA277" s="1058"/>
      <c r="DB277" s="1058"/>
      <c r="DC277" s="1058"/>
      <c r="DD277" s="1058"/>
      <c r="DE277" s="1058"/>
      <c r="DF277" s="1058"/>
      <c r="DG277" s="1058"/>
      <c r="DH277" s="1058"/>
      <c r="DI277" s="1058"/>
      <c r="DJ277" s="1058"/>
      <c r="DK277" s="1058"/>
      <c r="DL277" s="1058"/>
      <c r="DM277" s="1058"/>
      <c r="DN277" s="1058"/>
      <c r="DO277" s="1058"/>
      <c r="DP277" s="1058"/>
      <c r="DQ277" s="1058"/>
      <c r="DR277" s="1058"/>
      <c r="DS277" s="1058"/>
      <c r="DT277" s="1058"/>
      <c r="DU277" s="1058"/>
      <c r="DV277" s="1058"/>
      <c r="DW277" s="1058"/>
      <c r="DX277" s="1058"/>
      <c r="DY277" s="1058"/>
      <c r="DZ277" s="1058"/>
      <c r="EA277" s="1058"/>
      <c r="EB277" s="1058"/>
      <c r="EC277" s="1058"/>
      <c r="ED277" s="1058"/>
      <c r="EE277" s="1058"/>
      <c r="EF277" s="1058"/>
      <c r="EG277" s="1058"/>
      <c r="EH277" s="1058"/>
      <c r="EI277" s="1058"/>
      <c r="EJ277" s="1058"/>
      <c r="EK277" s="1058"/>
      <c r="EL277" s="1058"/>
      <c r="EM277" s="1058"/>
      <c r="EN277" s="1058"/>
      <c r="EO277" s="1058"/>
      <c r="EP277" s="1058"/>
      <c r="EQ277" s="1058"/>
      <c r="ER277" s="1058"/>
      <c r="ES277" s="1058"/>
      <c r="ET277" s="1058"/>
      <c r="EU277" s="1058"/>
      <c r="EV277" s="1058"/>
      <c r="EW277" s="1058"/>
      <c r="EX277" s="1058"/>
      <c r="EY277" s="1058"/>
      <c r="EZ277" s="1058"/>
      <c r="FA277" s="1058"/>
      <c r="FB277" s="1058"/>
      <c r="FC277" s="1058"/>
      <c r="FD277" s="1058"/>
      <c r="FE277" s="1058"/>
      <c r="FF277" s="1058"/>
      <c r="FG277" s="1058"/>
      <c r="FH277" s="1058"/>
      <c r="FI277" s="1058"/>
      <c r="FJ277" s="1058"/>
      <c r="FK277" s="1058"/>
      <c r="FL277" s="1058"/>
      <c r="FM277" s="1058"/>
      <c r="FN277" s="1058"/>
      <c r="FO277" s="1058"/>
      <c r="FP277" s="1058"/>
      <c r="FQ277" s="1058"/>
      <c r="FR277" s="1058"/>
      <c r="FS277" s="1058"/>
      <c r="FT277" s="1058"/>
      <c r="FU277" s="1058"/>
      <c r="FV277" s="1058"/>
      <c r="FW277" s="1058"/>
      <c r="FX277" s="1058"/>
      <c r="FY277" s="1058"/>
      <c r="FZ277" s="1058"/>
      <c r="GA277" s="1058"/>
      <c r="GB277" s="1058"/>
      <c r="GC277" s="1058"/>
      <c r="GD277" s="1058"/>
      <c r="GE277" s="1058"/>
      <c r="GF277" s="1058"/>
      <c r="GG277" s="1058"/>
      <c r="GH277" s="1058"/>
      <c r="GI277" s="1058"/>
      <c r="GJ277" s="1058"/>
      <c r="GK277" s="1058"/>
      <c r="GL277" s="1058"/>
      <c r="GM277" s="1058"/>
      <c r="GN277" s="1058"/>
      <c r="GO277" s="1058"/>
      <c r="GP277" s="1058"/>
      <c r="GQ277" s="1058"/>
      <c r="GR277" s="1058"/>
      <c r="GS277" s="1058"/>
      <c r="GT277" s="1058"/>
      <c r="GU277" s="1058"/>
      <c r="GV277" s="1058"/>
      <c r="GW277" s="1058"/>
      <c r="GX277" s="1058"/>
      <c r="GY277" s="1058"/>
      <c r="GZ277" s="1058"/>
      <c r="HA277" s="1058"/>
      <c r="HB277" s="1058"/>
      <c r="HC277" s="1058"/>
      <c r="HD277" s="1058"/>
      <c r="HE277" s="1058"/>
      <c r="HF277" s="1058"/>
      <c r="HG277" s="1058"/>
      <c r="HH277" s="1058"/>
      <c r="HI277" s="1058"/>
      <c r="HJ277" s="1058"/>
      <c r="HK277" s="1058"/>
      <c r="HL277" s="1058"/>
      <c r="HM277" s="1058"/>
      <c r="HN277" s="1058"/>
      <c r="HO277" s="1058"/>
      <c r="HP277" s="1058"/>
      <c r="HQ277" s="1058"/>
      <c r="HR277" s="1058"/>
      <c r="HS277" s="1058"/>
      <c r="HT277" s="1058"/>
      <c r="HU277" s="1058"/>
      <c r="HV277" s="1058"/>
      <c r="HW277" s="1058"/>
      <c r="HX277" s="1058"/>
      <c r="HY277" s="1058"/>
      <c r="HZ277" s="1058"/>
      <c r="IA277" s="1058"/>
      <c r="IB277" s="1058"/>
      <c r="IC277" s="1058"/>
      <c r="ID277" s="1058"/>
      <c r="IE277" s="1058"/>
      <c r="IF277" s="1058"/>
      <c r="IG277" s="1058"/>
      <c r="IH277" s="1058"/>
      <c r="II277" s="1058"/>
      <c r="IJ277" s="1058"/>
      <c r="IK277" s="1058"/>
      <c r="IL277" s="1058"/>
      <c r="IM277" s="1058"/>
      <c r="IN277" s="1058"/>
      <c r="IO277" s="1058"/>
      <c r="IP277" s="1058"/>
      <c r="IQ277" s="1058"/>
      <c r="IR277" s="1058"/>
      <c r="IS277" s="1058"/>
      <c r="IT277" s="1058"/>
      <c r="IU277" s="1058"/>
      <c r="IV277" s="1058"/>
      <c r="IW277" s="1058"/>
      <c r="IX277" s="1058"/>
      <c r="IY277" s="1058"/>
      <c r="IZ277" s="1058"/>
      <c r="JA277" s="1058"/>
      <c r="JB277" s="1058"/>
      <c r="JC277" s="1058"/>
      <c r="JD277" s="1058"/>
      <c r="JE277" s="1058"/>
      <c r="JF277" s="1058"/>
      <c r="JG277" s="1058"/>
      <c r="JH277" s="1058"/>
      <c r="JI277" s="1058"/>
      <c r="JJ277" s="1058"/>
      <c r="JK277" s="1058"/>
      <c r="JL277" s="1058"/>
      <c r="JM277" s="1058"/>
      <c r="JN277" s="1058"/>
      <c r="JO277" s="1058"/>
      <c r="JP277" s="1058"/>
      <c r="JQ277" s="1058"/>
      <c r="JR277" s="1058"/>
      <c r="JS277" s="1058"/>
      <c r="JT277" s="1058"/>
      <c r="JU277" s="1058"/>
      <c r="JV277" s="1059"/>
      <c r="JW277" s="1058"/>
      <c r="JX277" s="1058"/>
      <c r="JY277" s="1058"/>
      <c r="JZ277" s="1058"/>
      <c r="KA277" s="1059"/>
      <c r="KB277" s="1059"/>
      <c r="KC277" s="1059"/>
      <c r="KD277" s="1059"/>
      <c r="KE277" s="1059"/>
      <c r="KF277" s="1059"/>
      <c r="KG277" s="1059"/>
      <c r="KH277" s="1059"/>
      <c r="KI277" s="1059"/>
      <c r="KJ277" s="1059"/>
      <c r="KK277" s="1059"/>
      <c r="KL277" s="1059"/>
      <c r="KM277" s="1059"/>
      <c r="KN277" s="1059"/>
      <c r="KO277" s="1059"/>
      <c r="KP277" s="1059"/>
      <c r="KQ277" s="1059"/>
      <c r="KR277" s="1059"/>
      <c r="KS277" s="1059"/>
      <c r="KT277" s="1059"/>
      <c r="KU277" s="1059"/>
      <c r="KV277" s="1059"/>
      <c r="KW277" s="1059"/>
      <c r="KX277" s="1059"/>
      <c r="KY277" s="1059"/>
      <c r="KZ277" s="1059"/>
      <c r="LA277" s="1059"/>
      <c r="LB277" s="1059"/>
      <c r="LC277" s="1059"/>
      <c r="LD277" s="1059"/>
      <c r="LE277" s="1059"/>
      <c r="LF277" s="1059"/>
      <c r="LG277" s="1058"/>
      <c r="LH277" s="1058"/>
      <c r="LI277" s="1058"/>
      <c r="LJ277" s="1058"/>
      <c r="LK277" s="1058"/>
      <c r="LL277" s="1058"/>
      <c r="LM277" s="1060"/>
      <c r="LN277" s="1058"/>
      <c r="LO277" s="1058"/>
      <c r="LP277" s="1058"/>
      <c r="LQ277" s="1058"/>
      <c r="LR277" s="1058"/>
      <c r="LS277" s="1058"/>
      <c r="LT277" s="1058"/>
      <c r="LU277" s="1058"/>
      <c r="LV277" s="1058"/>
      <c r="LW277" s="1058"/>
      <c r="LX277" s="1058"/>
      <c r="LY277" s="1058"/>
      <c r="LZ277" s="1058"/>
      <c r="MA277" s="1058"/>
      <c r="MB277" s="1058"/>
      <c r="MC277" s="1060"/>
      <c r="MD277" s="1060"/>
      <c r="ME277" s="1058"/>
      <c r="MF277" s="1058"/>
      <c r="MG277" s="1058"/>
      <c r="MH277" s="1058"/>
      <c r="MI277" s="1058"/>
      <c r="MJ277" s="1058"/>
      <c r="MK277" s="1058"/>
      <c r="ML277" s="1058"/>
      <c r="MM277" s="1058"/>
      <c r="MN277" s="1058"/>
      <c r="MO277" s="1058"/>
      <c r="MP277" s="1058"/>
      <c r="MQ277" s="1058"/>
      <c r="MR277" s="1058"/>
      <c r="MS277" s="1058"/>
      <c r="MT277" s="1058"/>
      <c r="MU277" s="1058"/>
      <c r="MV277" s="1058"/>
      <c r="MW277" s="1058"/>
      <c r="MX277" s="1058"/>
      <c r="MY277" s="1058"/>
      <c r="MZ277" s="1058"/>
      <c r="NA277" s="1058"/>
      <c r="NB277" s="1058"/>
      <c r="NC277" s="1058"/>
      <c r="ND277" s="1058"/>
      <c r="NE277" s="1058"/>
      <c r="NF277" s="1058"/>
      <c r="NG277" s="1058"/>
      <c r="NH277" s="1058"/>
      <c r="NI277" s="1058"/>
      <c r="NJ277" s="1058"/>
      <c r="NK277" s="1058"/>
      <c r="NL277" s="1058"/>
      <c r="NM277" s="1058"/>
      <c r="NN277" s="1058"/>
      <c r="NO277" s="1058"/>
      <c r="NP277" s="1058"/>
      <c r="NQ277" s="1058"/>
      <c r="NR277" s="1058"/>
      <c r="NS277" s="1058"/>
      <c r="NT277" s="1058"/>
      <c r="NU277" s="1058"/>
      <c r="NV277" s="1058"/>
      <c r="NW277" s="1058"/>
      <c r="NX277" s="1058"/>
      <c r="NY277" s="1058"/>
      <c r="NZ277" s="1058"/>
      <c r="OA277" s="1058"/>
      <c r="OB277" s="1058"/>
      <c r="OC277" s="1058"/>
      <c r="OD277" s="1018"/>
      <c r="OE277" s="1018"/>
      <c r="OF277" s="1018"/>
      <c r="OG277" s="1018"/>
      <c r="OH277" s="1018"/>
      <c r="OI277" s="1018"/>
      <c r="OJ277" s="1018"/>
      <c r="OK277" s="1018"/>
      <c r="OL277" s="1018"/>
      <c r="OM277" s="1018"/>
      <c r="ON277" s="1018"/>
      <c r="OO277" s="1018"/>
      <c r="OP277" s="1018"/>
      <c r="OQ277" s="1018"/>
      <c r="OR277" s="1018"/>
      <c r="OS277" s="1018"/>
      <c r="OT277" s="1018"/>
      <c r="OU277" s="1018"/>
      <c r="OV277" s="1018"/>
      <c r="OW277" s="1018"/>
      <c r="OX277" s="1018"/>
      <c r="OY277" s="1018"/>
      <c r="OZ277" s="1018"/>
      <c r="PA277" s="1018"/>
      <c r="PB277" s="1018"/>
      <c r="PC277" s="1018"/>
      <c r="PD277" s="1018"/>
      <c r="PE277" s="1018"/>
      <c r="PF277" s="1018"/>
      <c r="PG277" s="1018"/>
      <c r="PH277" s="1018"/>
      <c r="PI277" s="1018"/>
      <c r="PJ277" s="1018"/>
      <c r="PK277" s="1018"/>
      <c r="PL277" s="1018"/>
      <c r="PM277" s="1018"/>
      <c r="PN277" s="1018"/>
      <c r="PO277" s="1018"/>
      <c r="PP277" s="1018"/>
      <c r="PQ277" s="1018"/>
      <c r="PR277" s="1018"/>
      <c r="PS277" s="1018"/>
      <c r="PT277" s="1018"/>
      <c r="PU277" s="1018"/>
      <c r="PV277" s="1018"/>
      <c r="PW277" s="1018"/>
      <c r="PX277" s="1018"/>
      <c r="PY277" s="1018"/>
      <c r="PZ277" s="1018"/>
      <c r="QA277" s="1018"/>
      <c r="QB277" s="1018"/>
      <c r="QC277" s="1018"/>
      <c r="QD277" s="1018"/>
      <c r="QE277" s="1018"/>
      <c r="QF277" s="1018"/>
      <c r="QG277" s="1018"/>
      <c r="QH277" s="1018"/>
      <c r="QI277" s="1018"/>
      <c r="QJ277" s="1018"/>
      <c r="QK277" s="1018"/>
      <c r="QL277" s="1018"/>
      <c r="QM277" s="1018"/>
      <c r="QN277" s="1018"/>
      <c r="QO277" s="1018"/>
      <c r="QP277" s="1018"/>
      <c r="QQ277" s="1018"/>
      <c r="QR277" s="1018"/>
      <c r="QS277" s="1018"/>
      <c r="QT277" s="1018"/>
      <c r="QU277" s="1018"/>
      <c r="QV277" s="1018"/>
      <c r="QW277" s="1018"/>
      <c r="QX277" s="1018"/>
      <c r="QY277" s="1018"/>
      <c r="QZ277" s="1018"/>
      <c r="RA277" s="1018"/>
      <c r="RB277" s="1018"/>
      <c r="RC277" s="1018"/>
      <c r="RD277" s="1018"/>
      <c r="RE277" s="1018"/>
      <c r="RF277" s="1018"/>
      <c r="RG277" s="1018"/>
      <c r="RH277" s="1018"/>
      <c r="RI277" s="1018"/>
      <c r="RJ277" s="1018"/>
      <c r="RK277" s="1018"/>
      <c r="RL277" s="1018"/>
      <c r="RM277" s="1018"/>
      <c r="RN277" s="1018"/>
      <c r="RO277" s="1018"/>
      <c r="RP277" s="1018"/>
      <c r="RQ277" s="1018"/>
      <c r="RR277" s="1018"/>
      <c r="RS277" s="1018"/>
      <c r="RT277" s="1018"/>
      <c r="RU277" s="1018"/>
      <c r="RV277" s="1018"/>
      <c r="RW277" s="1018"/>
      <c r="RX277" s="1018"/>
    </row>
    <row r="278" spans="1:492" s="1057" customFormat="1" ht="14.1" customHeight="1">
      <c r="A278" s="1265"/>
      <c r="B278" s="1018"/>
      <c r="C278" s="1018"/>
      <c r="D278" s="1018"/>
      <c r="E278" s="1018"/>
      <c r="F278" s="1018"/>
      <c r="G278" s="1018"/>
      <c r="H278" s="1018"/>
      <c r="I278" s="1018"/>
      <c r="J278" s="1018"/>
      <c r="K278" s="1018"/>
      <c r="L278" s="1018"/>
      <c r="M278" s="1018"/>
      <c r="N278" s="1018"/>
      <c r="O278" s="1018"/>
      <c r="W278" s="1058"/>
      <c r="X278" s="1058"/>
      <c r="Y278" s="1058"/>
      <c r="Z278" s="1058"/>
      <c r="AA278" s="1058"/>
      <c r="AB278" s="1058"/>
      <c r="AC278" s="1058"/>
      <c r="AD278" s="1058"/>
      <c r="AE278" s="1058"/>
      <c r="AF278" s="1058"/>
      <c r="AG278" s="1058"/>
      <c r="AH278" s="1058"/>
      <c r="AI278" s="1058"/>
      <c r="AJ278" s="1058"/>
      <c r="AK278" s="1058"/>
      <c r="AL278" s="1058"/>
      <c r="AM278" s="1058"/>
      <c r="AN278" s="1058"/>
      <c r="AO278" s="1058"/>
      <c r="AP278" s="1058"/>
      <c r="AQ278" s="1058"/>
      <c r="AR278" s="1058"/>
      <c r="AS278" s="1058"/>
      <c r="AT278" s="1058"/>
      <c r="AU278" s="1058"/>
      <c r="AV278" s="1058"/>
      <c r="AW278" s="1058"/>
      <c r="AX278" s="1058"/>
      <c r="AY278" s="1058"/>
      <c r="AZ278" s="1058"/>
      <c r="BA278" s="1058"/>
      <c r="BB278" s="1058"/>
      <c r="BC278" s="1058"/>
      <c r="BD278" s="1058"/>
      <c r="BE278" s="1058"/>
      <c r="BF278" s="1058"/>
      <c r="BG278" s="1058"/>
      <c r="BH278" s="1058"/>
      <c r="BI278" s="1058"/>
      <c r="BJ278" s="1058"/>
      <c r="BK278" s="1058"/>
      <c r="BL278" s="1058"/>
      <c r="BM278" s="1058"/>
      <c r="BN278" s="1058"/>
      <c r="BO278" s="1058"/>
      <c r="BP278" s="1058"/>
      <c r="BQ278" s="1058"/>
      <c r="BR278" s="1058"/>
      <c r="BS278" s="1058"/>
      <c r="BT278" s="1058"/>
      <c r="BU278" s="1058"/>
      <c r="BV278" s="1058"/>
      <c r="BW278" s="1058"/>
      <c r="BX278" s="1058"/>
      <c r="BY278" s="1058"/>
      <c r="BZ278" s="1058"/>
      <c r="CA278" s="1058"/>
      <c r="CB278" s="1058"/>
      <c r="CC278" s="1058"/>
      <c r="CD278" s="1058"/>
      <c r="CE278" s="1058"/>
      <c r="CF278" s="1058"/>
      <c r="CG278" s="1058"/>
      <c r="CH278" s="1058"/>
      <c r="CI278" s="1058"/>
      <c r="CJ278" s="1058"/>
      <c r="CK278" s="1058"/>
      <c r="CL278" s="1058"/>
      <c r="CM278" s="1058"/>
      <c r="CN278" s="1058"/>
      <c r="CO278" s="1058"/>
      <c r="CP278" s="1058"/>
      <c r="CQ278" s="1058"/>
      <c r="CR278" s="1058"/>
      <c r="CS278" s="1058"/>
      <c r="CT278" s="1058"/>
      <c r="CU278" s="1058"/>
      <c r="CV278" s="1058"/>
      <c r="CW278" s="1058"/>
      <c r="CX278" s="1058"/>
      <c r="CY278" s="1058"/>
      <c r="CZ278" s="1058"/>
      <c r="DA278" s="1058"/>
      <c r="DB278" s="1058"/>
      <c r="DC278" s="1058"/>
      <c r="DD278" s="1058"/>
      <c r="DE278" s="1058"/>
      <c r="DF278" s="1058"/>
      <c r="DG278" s="1058"/>
      <c r="DH278" s="1058"/>
      <c r="DI278" s="1058"/>
      <c r="DJ278" s="1058"/>
      <c r="DK278" s="1058"/>
      <c r="DL278" s="1058"/>
      <c r="DM278" s="1058"/>
      <c r="DN278" s="1058"/>
      <c r="DO278" s="1058"/>
      <c r="DP278" s="1058"/>
      <c r="DQ278" s="1058"/>
      <c r="DR278" s="1058"/>
      <c r="DS278" s="1058"/>
      <c r="DT278" s="1058"/>
      <c r="DU278" s="1058"/>
      <c r="DV278" s="1058"/>
      <c r="DW278" s="1058"/>
      <c r="DX278" s="1058"/>
      <c r="DY278" s="1058"/>
      <c r="DZ278" s="1058"/>
      <c r="EA278" s="1058"/>
      <c r="EB278" s="1058"/>
      <c r="EC278" s="1058"/>
      <c r="ED278" s="1058"/>
      <c r="EE278" s="1058"/>
      <c r="EF278" s="1058"/>
      <c r="EG278" s="1058"/>
      <c r="EH278" s="1058"/>
      <c r="EI278" s="1058"/>
      <c r="EJ278" s="1058"/>
      <c r="EK278" s="1058"/>
      <c r="EL278" s="1058"/>
      <c r="EM278" s="1058"/>
      <c r="EN278" s="1058"/>
      <c r="EO278" s="1058"/>
      <c r="EP278" s="1058"/>
      <c r="EQ278" s="1058"/>
      <c r="ER278" s="1058"/>
      <c r="ES278" s="1058"/>
      <c r="ET278" s="1058"/>
      <c r="EU278" s="1058"/>
      <c r="EV278" s="1058"/>
      <c r="EW278" s="1058"/>
      <c r="EX278" s="1058"/>
      <c r="EY278" s="1058"/>
      <c r="EZ278" s="1058"/>
      <c r="FA278" s="1058"/>
      <c r="FB278" s="1058"/>
      <c r="FC278" s="1058"/>
      <c r="FD278" s="1058"/>
      <c r="FE278" s="1058"/>
      <c r="FF278" s="1058"/>
      <c r="FG278" s="1058"/>
      <c r="FH278" s="1058"/>
      <c r="FI278" s="1058"/>
      <c r="FJ278" s="1058"/>
      <c r="FK278" s="1058"/>
      <c r="FL278" s="1058"/>
      <c r="FM278" s="1058"/>
      <c r="FN278" s="1058"/>
      <c r="FO278" s="1058"/>
      <c r="FP278" s="1058"/>
      <c r="FQ278" s="1058"/>
      <c r="FR278" s="1058"/>
      <c r="FS278" s="1058"/>
      <c r="FT278" s="1058"/>
      <c r="FU278" s="1058"/>
      <c r="FV278" s="1058"/>
      <c r="FW278" s="1058"/>
      <c r="FX278" s="1058"/>
      <c r="FY278" s="1058"/>
      <c r="FZ278" s="1058"/>
      <c r="GA278" s="1058"/>
      <c r="GB278" s="1058"/>
      <c r="GC278" s="1058"/>
      <c r="GD278" s="1058"/>
      <c r="GE278" s="1058"/>
      <c r="GF278" s="1058"/>
      <c r="GG278" s="1058"/>
      <c r="GH278" s="1058"/>
      <c r="GI278" s="1058"/>
      <c r="GJ278" s="1058"/>
      <c r="GK278" s="1058"/>
      <c r="GL278" s="1058"/>
      <c r="GM278" s="1058"/>
      <c r="GN278" s="1058"/>
      <c r="GO278" s="1058"/>
      <c r="GP278" s="1058"/>
      <c r="GQ278" s="1058"/>
      <c r="GR278" s="1058"/>
      <c r="GS278" s="1058"/>
      <c r="GT278" s="1058"/>
      <c r="GU278" s="1058"/>
      <c r="GV278" s="1058"/>
      <c r="GW278" s="1058"/>
      <c r="GX278" s="1058"/>
      <c r="GY278" s="1058"/>
      <c r="GZ278" s="1058"/>
      <c r="HA278" s="1058"/>
      <c r="HB278" s="1058"/>
      <c r="HC278" s="1058"/>
      <c r="HD278" s="1058"/>
      <c r="HE278" s="1058"/>
      <c r="HF278" s="1058"/>
      <c r="HG278" s="1058"/>
      <c r="HH278" s="1058"/>
      <c r="HI278" s="1058"/>
      <c r="HJ278" s="1058"/>
      <c r="HK278" s="1058"/>
      <c r="HL278" s="1058"/>
      <c r="HM278" s="1058"/>
      <c r="HN278" s="1058"/>
      <c r="HO278" s="1058"/>
      <c r="HP278" s="1058"/>
      <c r="HQ278" s="1058"/>
      <c r="HR278" s="1058"/>
      <c r="HS278" s="1058"/>
      <c r="HT278" s="1058"/>
      <c r="HU278" s="1058"/>
      <c r="HV278" s="1058"/>
      <c r="HW278" s="1058"/>
      <c r="HX278" s="1058"/>
      <c r="HY278" s="1058"/>
      <c r="HZ278" s="1058"/>
      <c r="IA278" s="1058"/>
      <c r="IB278" s="1058"/>
      <c r="IC278" s="1058"/>
      <c r="ID278" s="1058"/>
      <c r="IE278" s="1058"/>
      <c r="IF278" s="1058"/>
      <c r="IG278" s="1058"/>
      <c r="IH278" s="1058"/>
      <c r="II278" s="1058"/>
      <c r="IJ278" s="1058"/>
      <c r="IK278" s="1058"/>
      <c r="IL278" s="1058"/>
      <c r="IM278" s="1058"/>
      <c r="IN278" s="1058"/>
      <c r="IO278" s="1058"/>
      <c r="IP278" s="1058"/>
      <c r="IQ278" s="1058"/>
      <c r="IR278" s="1058"/>
      <c r="IS278" s="1058"/>
      <c r="IT278" s="1058"/>
      <c r="IU278" s="1058"/>
      <c r="IV278" s="1058"/>
      <c r="IW278" s="1058"/>
      <c r="IX278" s="1058"/>
      <c r="IY278" s="1058"/>
      <c r="IZ278" s="1058"/>
      <c r="JA278" s="1058"/>
      <c r="JB278" s="1058"/>
      <c r="JC278" s="1058"/>
      <c r="JD278" s="1058"/>
      <c r="JE278" s="1058"/>
      <c r="JF278" s="1058"/>
      <c r="JG278" s="1058"/>
      <c r="JH278" s="1058"/>
      <c r="JI278" s="1058"/>
      <c r="JJ278" s="1058"/>
      <c r="JK278" s="1058"/>
      <c r="JL278" s="1058"/>
      <c r="JM278" s="1058"/>
      <c r="JN278" s="1058"/>
      <c r="JO278" s="1058"/>
      <c r="JP278" s="1058"/>
      <c r="JQ278" s="1058"/>
      <c r="JR278" s="1058"/>
      <c r="JS278" s="1058"/>
      <c r="JT278" s="1058"/>
      <c r="JU278" s="1058"/>
      <c r="JV278" s="1059"/>
      <c r="JW278" s="1058"/>
      <c r="JX278" s="1058"/>
      <c r="JY278" s="1058"/>
      <c r="JZ278" s="1058"/>
      <c r="KA278" s="1059"/>
      <c r="KB278" s="1059"/>
      <c r="KC278" s="1059"/>
      <c r="KD278" s="1059"/>
      <c r="KE278" s="1059"/>
      <c r="KF278" s="1059"/>
      <c r="KG278" s="1059"/>
      <c r="KH278" s="1059"/>
      <c r="KI278" s="1059"/>
      <c r="KJ278" s="1059"/>
      <c r="KK278" s="1059"/>
      <c r="KL278" s="1059"/>
      <c r="KM278" s="1059"/>
      <c r="KN278" s="1059"/>
      <c r="KO278" s="1059"/>
      <c r="KP278" s="1059"/>
      <c r="KQ278" s="1059"/>
      <c r="KR278" s="1059"/>
      <c r="KS278" s="1059"/>
      <c r="KT278" s="1059"/>
      <c r="KU278" s="1059"/>
      <c r="KV278" s="1059"/>
      <c r="KW278" s="1059"/>
      <c r="KX278" s="1059"/>
      <c r="KY278" s="1059"/>
      <c r="KZ278" s="1059"/>
      <c r="LA278" s="1059"/>
      <c r="LB278" s="1059"/>
      <c r="LC278" s="1059"/>
      <c r="LD278" s="1059"/>
      <c r="LE278" s="1059"/>
      <c r="LF278" s="1059"/>
      <c r="LG278" s="1058"/>
      <c r="LH278" s="1058"/>
      <c r="LI278" s="1058"/>
      <c r="LJ278" s="1058"/>
      <c r="LK278" s="1058"/>
      <c r="LL278" s="1058"/>
      <c r="LM278" s="1060"/>
      <c r="LN278" s="1058"/>
      <c r="LO278" s="1058"/>
      <c r="LP278" s="1058"/>
      <c r="LQ278" s="1058"/>
      <c r="LR278" s="1058"/>
      <c r="LS278" s="1058"/>
      <c r="LT278" s="1058"/>
      <c r="LU278" s="1058"/>
      <c r="LV278" s="1058"/>
      <c r="LW278" s="1058"/>
      <c r="LX278" s="1058"/>
      <c r="LY278" s="1058"/>
      <c r="LZ278" s="1058"/>
      <c r="MA278" s="1058"/>
      <c r="MB278" s="1058"/>
      <c r="MC278" s="1060"/>
      <c r="MD278" s="1060"/>
      <c r="ME278" s="1058"/>
      <c r="MF278" s="1058"/>
      <c r="MG278" s="1058"/>
      <c r="MH278" s="1058"/>
      <c r="MI278" s="1058"/>
      <c r="MJ278" s="1058"/>
      <c r="MK278" s="1058"/>
      <c r="ML278" s="1058"/>
      <c r="MM278" s="1058"/>
      <c r="MN278" s="1058"/>
      <c r="MO278" s="1058"/>
      <c r="MP278" s="1058"/>
      <c r="MQ278" s="1058"/>
      <c r="MR278" s="1058"/>
      <c r="MS278" s="1058"/>
      <c r="MT278" s="1058"/>
      <c r="MU278" s="1058"/>
      <c r="MV278" s="1058"/>
      <c r="MW278" s="1058"/>
      <c r="MX278" s="1058"/>
      <c r="MY278" s="1058"/>
      <c r="MZ278" s="1058"/>
      <c r="NA278" s="1058"/>
      <c r="NB278" s="1058"/>
      <c r="NC278" s="1058"/>
      <c r="ND278" s="1058"/>
      <c r="NE278" s="1058"/>
      <c r="NF278" s="1058"/>
      <c r="NG278" s="1058"/>
      <c r="NH278" s="1058"/>
      <c r="NI278" s="1058"/>
      <c r="NJ278" s="1058"/>
      <c r="NK278" s="1058"/>
      <c r="NL278" s="1058"/>
      <c r="NM278" s="1058"/>
      <c r="NN278" s="1058"/>
      <c r="NO278" s="1058"/>
      <c r="NP278" s="1058"/>
      <c r="NQ278" s="1058"/>
      <c r="NR278" s="1058"/>
      <c r="NS278" s="1058"/>
      <c r="NT278" s="1058"/>
      <c r="NU278" s="1058"/>
      <c r="NV278" s="1058"/>
      <c r="NW278" s="1058"/>
      <c r="NX278" s="1058"/>
      <c r="NY278" s="1058"/>
      <c r="NZ278" s="1058"/>
      <c r="OA278" s="1058"/>
      <c r="OB278" s="1058"/>
      <c r="OC278" s="1058"/>
      <c r="OD278" s="1018"/>
      <c r="OE278" s="1018"/>
      <c r="OF278" s="1018"/>
      <c r="OG278" s="1018"/>
      <c r="OH278" s="1018"/>
      <c r="OI278" s="1018"/>
      <c r="OJ278" s="1018"/>
      <c r="OK278" s="1018"/>
      <c r="OL278" s="1018"/>
      <c r="OM278" s="1018"/>
      <c r="ON278" s="1018"/>
      <c r="OO278" s="1018"/>
      <c r="OP278" s="1018"/>
      <c r="OQ278" s="1018"/>
      <c r="OR278" s="1018"/>
      <c r="OS278" s="1018"/>
      <c r="OT278" s="1018"/>
      <c r="OU278" s="1018"/>
      <c r="OV278" s="1018"/>
      <c r="OW278" s="1018"/>
      <c r="OX278" s="1018"/>
      <c r="OY278" s="1018"/>
      <c r="OZ278" s="1018"/>
      <c r="PA278" s="1018"/>
      <c r="PB278" s="1018"/>
      <c r="PC278" s="1018"/>
      <c r="PD278" s="1018"/>
      <c r="PE278" s="1018"/>
      <c r="PF278" s="1018"/>
      <c r="PG278" s="1018"/>
      <c r="PH278" s="1018"/>
      <c r="PI278" s="1018"/>
      <c r="PJ278" s="1018"/>
      <c r="PK278" s="1018"/>
      <c r="PL278" s="1018"/>
      <c r="PM278" s="1018"/>
      <c r="PN278" s="1018"/>
      <c r="PO278" s="1018"/>
      <c r="PP278" s="1018"/>
      <c r="PQ278" s="1018"/>
      <c r="PR278" s="1018"/>
      <c r="PS278" s="1018"/>
      <c r="PT278" s="1018"/>
      <c r="PU278" s="1018"/>
      <c r="PV278" s="1018"/>
      <c r="PW278" s="1018"/>
      <c r="PX278" s="1018"/>
      <c r="PY278" s="1018"/>
      <c r="PZ278" s="1018"/>
      <c r="QA278" s="1018"/>
      <c r="QB278" s="1018"/>
      <c r="QC278" s="1018"/>
      <c r="QD278" s="1018"/>
      <c r="QE278" s="1018"/>
      <c r="QF278" s="1018"/>
      <c r="QG278" s="1018"/>
      <c r="QH278" s="1018"/>
      <c r="QI278" s="1018"/>
      <c r="QJ278" s="1018"/>
      <c r="QK278" s="1018"/>
      <c r="QL278" s="1018"/>
      <c r="QM278" s="1018"/>
      <c r="QN278" s="1018"/>
      <c r="QO278" s="1018"/>
      <c r="QP278" s="1018"/>
      <c r="QQ278" s="1018"/>
      <c r="QR278" s="1018"/>
      <c r="QS278" s="1018"/>
      <c r="QT278" s="1018"/>
      <c r="QU278" s="1018"/>
      <c r="QV278" s="1018"/>
      <c r="QW278" s="1018"/>
      <c r="QX278" s="1018"/>
      <c r="QY278" s="1018"/>
      <c r="QZ278" s="1018"/>
      <c r="RA278" s="1018"/>
      <c r="RB278" s="1018"/>
      <c r="RC278" s="1018"/>
      <c r="RD278" s="1018"/>
      <c r="RE278" s="1018"/>
      <c r="RF278" s="1018"/>
      <c r="RG278" s="1018"/>
      <c r="RH278" s="1018"/>
      <c r="RI278" s="1018"/>
      <c r="RJ278" s="1018"/>
      <c r="RK278" s="1018"/>
      <c r="RL278" s="1018"/>
      <c r="RM278" s="1018"/>
      <c r="RN278" s="1018"/>
      <c r="RO278" s="1018"/>
      <c r="RP278" s="1018"/>
      <c r="RQ278" s="1018"/>
      <c r="RR278" s="1018"/>
      <c r="RS278" s="1018"/>
      <c r="RT278" s="1018"/>
      <c r="RU278" s="1018"/>
      <c r="RV278" s="1018"/>
      <c r="RW278" s="1018"/>
      <c r="RX278" s="1018"/>
    </row>
    <row r="279" spans="1:492" s="1057" customFormat="1" ht="14.1" customHeight="1">
      <c r="A279" s="1074"/>
      <c r="B279" s="1018"/>
      <c r="C279" s="1018"/>
      <c r="D279" s="1018"/>
      <c r="E279" s="1018"/>
      <c r="F279" s="1018"/>
      <c r="G279" s="1018"/>
      <c r="H279" s="1018"/>
      <c r="I279" s="1018"/>
      <c r="J279" s="1018"/>
      <c r="K279" s="1018"/>
      <c r="L279" s="1018"/>
      <c r="M279" s="1018"/>
      <c r="N279" s="1018"/>
      <c r="O279" s="1018"/>
      <c r="W279" s="1058"/>
      <c r="X279" s="1058"/>
      <c r="Y279" s="1058"/>
      <c r="Z279" s="1058"/>
      <c r="AA279" s="1058"/>
      <c r="AB279" s="1058"/>
      <c r="AC279" s="1058"/>
      <c r="AD279" s="1058"/>
      <c r="AE279" s="1058"/>
      <c r="AF279" s="1058"/>
      <c r="AG279" s="1058"/>
      <c r="AH279" s="1058"/>
      <c r="AI279" s="1058"/>
      <c r="AJ279" s="1058"/>
      <c r="AK279" s="1058"/>
      <c r="AL279" s="1058"/>
      <c r="AM279" s="1058"/>
      <c r="AN279" s="1058"/>
      <c r="AO279" s="1058"/>
      <c r="AP279" s="1058"/>
      <c r="AQ279" s="1058"/>
      <c r="AR279" s="1058"/>
      <c r="AS279" s="1058"/>
      <c r="AT279" s="1058"/>
      <c r="AU279" s="1058"/>
      <c r="AV279" s="1058"/>
      <c r="AW279" s="1058"/>
      <c r="AX279" s="1058"/>
      <c r="AY279" s="1058"/>
      <c r="AZ279" s="1058"/>
      <c r="BA279" s="1058"/>
      <c r="BB279" s="1058"/>
      <c r="BC279" s="1058"/>
      <c r="BD279" s="1058"/>
      <c r="BE279" s="1058"/>
      <c r="BF279" s="1058"/>
      <c r="BG279" s="1058"/>
      <c r="BH279" s="1058"/>
      <c r="BI279" s="1058"/>
      <c r="BJ279" s="1058"/>
      <c r="BK279" s="1058"/>
      <c r="BL279" s="1058"/>
      <c r="BM279" s="1058"/>
      <c r="BN279" s="1058"/>
      <c r="BO279" s="1058"/>
      <c r="BP279" s="1058"/>
      <c r="BQ279" s="1058"/>
      <c r="BR279" s="1058"/>
      <c r="BS279" s="1058"/>
      <c r="BT279" s="1058"/>
      <c r="BU279" s="1058"/>
      <c r="BV279" s="1058"/>
      <c r="BW279" s="1058"/>
      <c r="BX279" s="1058"/>
      <c r="BY279" s="1058"/>
      <c r="BZ279" s="1058"/>
      <c r="CA279" s="1058"/>
      <c r="CB279" s="1058"/>
      <c r="CC279" s="1058"/>
      <c r="CD279" s="1058"/>
      <c r="CE279" s="1058"/>
      <c r="CF279" s="1058"/>
      <c r="CG279" s="1058"/>
      <c r="CH279" s="1058"/>
      <c r="CI279" s="1058"/>
      <c r="CJ279" s="1058"/>
      <c r="CK279" s="1058"/>
      <c r="CL279" s="1058"/>
      <c r="CM279" s="1058"/>
      <c r="CN279" s="1058"/>
      <c r="CO279" s="1058"/>
      <c r="CP279" s="1058"/>
      <c r="CQ279" s="1058"/>
      <c r="CR279" s="1058"/>
      <c r="CS279" s="1058"/>
      <c r="CT279" s="1058"/>
      <c r="CU279" s="1058"/>
      <c r="CV279" s="1058"/>
      <c r="CW279" s="1058"/>
      <c r="CX279" s="1058"/>
      <c r="CY279" s="1058"/>
      <c r="CZ279" s="1058"/>
      <c r="DA279" s="1058"/>
      <c r="DB279" s="1058"/>
      <c r="DC279" s="1058"/>
      <c r="DD279" s="1058"/>
      <c r="DE279" s="1058"/>
      <c r="DF279" s="1058"/>
      <c r="DG279" s="1058"/>
      <c r="DH279" s="1058"/>
      <c r="DI279" s="1058"/>
      <c r="DJ279" s="1058"/>
      <c r="DK279" s="1058"/>
      <c r="DL279" s="1058"/>
      <c r="DM279" s="1058"/>
      <c r="DN279" s="1058"/>
      <c r="DO279" s="1058"/>
      <c r="DP279" s="1058"/>
      <c r="DQ279" s="1058"/>
      <c r="DR279" s="1058"/>
      <c r="DS279" s="1058"/>
      <c r="DT279" s="1058"/>
      <c r="DU279" s="1058"/>
      <c r="DV279" s="1058"/>
      <c r="DW279" s="1058"/>
      <c r="DX279" s="1058"/>
      <c r="DY279" s="1058"/>
      <c r="DZ279" s="1058"/>
      <c r="EA279" s="1058"/>
      <c r="EB279" s="1058"/>
      <c r="EC279" s="1058"/>
      <c r="ED279" s="1058"/>
      <c r="EE279" s="1058"/>
      <c r="EF279" s="1058"/>
      <c r="EG279" s="1058"/>
      <c r="EH279" s="1058"/>
      <c r="EI279" s="1058"/>
      <c r="EJ279" s="1058"/>
      <c r="EK279" s="1058"/>
      <c r="EL279" s="1058"/>
      <c r="EM279" s="1058"/>
      <c r="EN279" s="1058"/>
      <c r="EO279" s="1058"/>
      <c r="EP279" s="1058"/>
      <c r="EQ279" s="1058"/>
      <c r="ER279" s="1058"/>
      <c r="ES279" s="1058"/>
      <c r="ET279" s="1058"/>
      <c r="EU279" s="1058"/>
      <c r="EV279" s="1058"/>
      <c r="EW279" s="1058"/>
      <c r="EX279" s="1058"/>
      <c r="EY279" s="1058"/>
      <c r="EZ279" s="1058"/>
      <c r="FA279" s="1058"/>
      <c r="FB279" s="1058"/>
      <c r="FC279" s="1058"/>
      <c r="FD279" s="1058"/>
      <c r="FE279" s="1058"/>
      <c r="FF279" s="1058"/>
      <c r="FG279" s="1058"/>
      <c r="FH279" s="1058"/>
      <c r="FI279" s="1058"/>
      <c r="FJ279" s="1058"/>
      <c r="FK279" s="1058"/>
      <c r="FL279" s="1058"/>
      <c r="FM279" s="1058"/>
      <c r="FN279" s="1058"/>
      <c r="FO279" s="1058"/>
      <c r="FP279" s="1058"/>
      <c r="FQ279" s="1058"/>
      <c r="FR279" s="1058"/>
      <c r="FS279" s="1058"/>
      <c r="FT279" s="1058"/>
      <c r="FU279" s="1058"/>
      <c r="FV279" s="1058"/>
      <c r="FW279" s="1058"/>
      <c r="FX279" s="1058"/>
      <c r="FY279" s="1058"/>
      <c r="FZ279" s="1058"/>
      <c r="GA279" s="1058"/>
      <c r="GB279" s="1058"/>
      <c r="GC279" s="1058"/>
      <c r="GD279" s="1058"/>
      <c r="GE279" s="1058"/>
      <c r="GF279" s="1058"/>
      <c r="GG279" s="1058"/>
      <c r="GH279" s="1058"/>
      <c r="GI279" s="1058"/>
      <c r="GJ279" s="1058"/>
      <c r="GK279" s="1058"/>
      <c r="GL279" s="1058"/>
      <c r="GM279" s="1058"/>
      <c r="GN279" s="1058"/>
      <c r="GO279" s="1058"/>
      <c r="GP279" s="1058"/>
      <c r="GQ279" s="1058"/>
      <c r="GR279" s="1058"/>
      <c r="GS279" s="1058"/>
      <c r="GT279" s="1058"/>
      <c r="GU279" s="1058"/>
      <c r="GV279" s="1058"/>
      <c r="GW279" s="1058"/>
      <c r="GX279" s="1058"/>
      <c r="GY279" s="1058"/>
      <c r="GZ279" s="1058"/>
      <c r="HA279" s="1058"/>
      <c r="HB279" s="1058"/>
      <c r="HC279" s="1058"/>
      <c r="HD279" s="1058"/>
      <c r="HE279" s="1058"/>
      <c r="HF279" s="1058"/>
      <c r="HG279" s="1058"/>
      <c r="HH279" s="1058"/>
      <c r="HI279" s="1058"/>
      <c r="HJ279" s="1058"/>
      <c r="HK279" s="1058"/>
      <c r="HL279" s="1058"/>
      <c r="HM279" s="1058"/>
      <c r="HN279" s="1058"/>
      <c r="HO279" s="1058"/>
      <c r="HP279" s="1058"/>
      <c r="HQ279" s="1058"/>
      <c r="HR279" s="1058"/>
      <c r="HS279" s="1058"/>
      <c r="HT279" s="1058"/>
      <c r="HU279" s="1058"/>
      <c r="HV279" s="1058"/>
      <c r="HW279" s="1058"/>
      <c r="HX279" s="1058"/>
      <c r="HY279" s="1058"/>
      <c r="HZ279" s="1058"/>
      <c r="IA279" s="1058"/>
      <c r="IB279" s="1058"/>
      <c r="IC279" s="1058"/>
      <c r="ID279" s="1058"/>
      <c r="IE279" s="1058"/>
      <c r="IF279" s="1058"/>
      <c r="IG279" s="1058"/>
      <c r="IH279" s="1058"/>
      <c r="II279" s="1058"/>
      <c r="IJ279" s="1058"/>
      <c r="IK279" s="1058"/>
      <c r="IL279" s="1058"/>
      <c r="IM279" s="1058"/>
      <c r="IN279" s="1058"/>
      <c r="IO279" s="1058"/>
      <c r="IP279" s="1058"/>
      <c r="IQ279" s="1058"/>
      <c r="IR279" s="1058"/>
      <c r="IS279" s="1058"/>
      <c r="IT279" s="1058"/>
      <c r="IU279" s="1058"/>
      <c r="IV279" s="1058"/>
      <c r="IW279" s="1058"/>
      <c r="IX279" s="1058"/>
      <c r="IY279" s="1058"/>
      <c r="IZ279" s="1058"/>
      <c r="JA279" s="1058"/>
      <c r="JB279" s="1058"/>
      <c r="JC279" s="1058"/>
      <c r="JD279" s="1058"/>
      <c r="JE279" s="1058"/>
      <c r="JF279" s="1058"/>
      <c r="JG279" s="1058"/>
      <c r="JH279" s="1058"/>
      <c r="JI279" s="1058"/>
      <c r="JJ279" s="1058"/>
      <c r="JK279" s="1058"/>
      <c r="JL279" s="1058"/>
      <c r="JM279" s="1058"/>
      <c r="JN279" s="1058"/>
      <c r="JO279" s="1058"/>
      <c r="JP279" s="1058"/>
      <c r="JQ279" s="1058"/>
      <c r="JR279" s="1058"/>
      <c r="JS279" s="1058"/>
      <c r="JT279" s="1058"/>
      <c r="JU279" s="1058"/>
      <c r="JV279" s="1059"/>
      <c r="JW279" s="1058"/>
      <c r="JX279" s="1058"/>
      <c r="JY279" s="1058"/>
      <c r="JZ279" s="1058"/>
      <c r="KA279" s="1059"/>
      <c r="KB279" s="1059"/>
      <c r="KC279" s="1059"/>
      <c r="KD279" s="1059"/>
      <c r="KE279" s="1059"/>
      <c r="KF279" s="1059"/>
      <c r="KG279" s="1059"/>
      <c r="KH279" s="1059"/>
      <c r="KI279" s="1059"/>
      <c r="KJ279" s="1059"/>
      <c r="KK279" s="1059"/>
      <c r="KL279" s="1059"/>
      <c r="KM279" s="1059"/>
      <c r="KN279" s="1059"/>
      <c r="KO279" s="1059"/>
      <c r="KP279" s="1059"/>
      <c r="KQ279" s="1059"/>
      <c r="KR279" s="1059"/>
      <c r="KS279" s="1059"/>
      <c r="KT279" s="1059"/>
      <c r="KU279" s="1059"/>
      <c r="KV279" s="1059"/>
      <c r="KW279" s="1059"/>
      <c r="KX279" s="1059"/>
      <c r="KY279" s="1059"/>
      <c r="KZ279" s="1059"/>
      <c r="LA279" s="1059"/>
      <c r="LB279" s="1059"/>
      <c r="LC279" s="1059"/>
      <c r="LD279" s="1059"/>
      <c r="LE279" s="1059"/>
      <c r="LF279" s="1059"/>
      <c r="LG279" s="1058"/>
      <c r="LH279" s="1058"/>
      <c r="LI279" s="1058"/>
      <c r="LJ279" s="1058"/>
      <c r="LK279" s="1058"/>
      <c r="LL279" s="1058"/>
      <c r="LM279" s="1060"/>
      <c r="LN279" s="1058"/>
      <c r="LO279" s="1058"/>
      <c r="LP279" s="1058"/>
      <c r="LQ279" s="1058"/>
      <c r="LR279" s="1058"/>
      <c r="LS279" s="1058"/>
      <c r="LT279" s="1058"/>
      <c r="LU279" s="1058"/>
      <c r="LV279" s="1058"/>
      <c r="LW279" s="1058"/>
      <c r="LX279" s="1058"/>
      <c r="LY279" s="1058"/>
      <c r="LZ279" s="1058"/>
      <c r="MA279" s="1058"/>
      <c r="MB279" s="1058"/>
      <c r="MC279" s="1060"/>
      <c r="MD279" s="1060"/>
      <c r="ME279" s="1058"/>
      <c r="MF279" s="1058"/>
      <c r="MG279" s="1058"/>
      <c r="MH279" s="1058"/>
      <c r="MI279" s="1058"/>
      <c r="MJ279" s="1058"/>
      <c r="MK279" s="1058"/>
      <c r="ML279" s="1058"/>
      <c r="MM279" s="1058"/>
      <c r="MN279" s="1058"/>
      <c r="MO279" s="1058"/>
      <c r="MP279" s="1058"/>
      <c r="MQ279" s="1058"/>
      <c r="MR279" s="1058"/>
      <c r="MS279" s="1058"/>
      <c r="MT279" s="1058"/>
      <c r="MU279" s="1058"/>
      <c r="MV279" s="1058"/>
      <c r="MW279" s="1058"/>
      <c r="MX279" s="1058"/>
      <c r="MY279" s="1058"/>
      <c r="MZ279" s="1058"/>
      <c r="NA279" s="1058"/>
      <c r="NB279" s="1058"/>
      <c r="NC279" s="1058"/>
      <c r="ND279" s="1058"/>
      <c r="NE279" s="1058"/>
      <c r="NF279" s="1058"/>
      <c r="NG279" s="1058"/>
      <c r="NH279" s="1058"/>
      <c r="NI279" s="1058"/>
      <c r="NJ279" s="1058"/>
      <c r="NK279" s="1058"/>
      <c r="NL279" s="1058"/>
      <c r="NM279" s="1058"/>
      <c r="NN279" s="1058"/>
      <c r="NO279" s="1058"/>
      <c r="NP279" s="1058"/>
      <c r="NQ279" s="1058"/>
      <c r="NR279" s="1058"/>
      <c r="NS279" s="1058"/>
      <c r="NT279" s="1058"/>
      <c r="NU279" s="1058"/>
      <c r="NV279" s="1058"/>
      <c r="NW279" s="1058"/>
      <c r="NX279" s="1058"/>
      <c r="NY279" s="1058"/>
      <c r="NZ279" s="1058"/>
      <c r="OA279" s="1058"/>
      <c r="OB279" s="1058"/>
      <c r="OC279" s="1058"/>
      <c r="OD279" s="1018"/>
      <c r="OE279" s="1018"/>
      <c r="OF279" s="1018"/>
      <c r="OG279" s="1018"/>
      <c r="OH279" s="1018"/>
      <c r="OI279" s="1018"/>
      <c r="OJ279" s="1018"/>
      <c r="OK279" s="1018"/>
      <c r="OL279" s="1018"/>
      <c r="OM279" s="1018"/>
      <c r="ON279" s="1018"/>
      <c r="OO279" s="1018"/>
      <c r="OP279" s="1018"/>
      <c r="OQ279" s="1018"/>
      <c r="OR279" s="1018"/>
      <c r="OS279" s="1018"/>
      <c r="OT279" s="1018"/>
      <c r="OU279" s="1018"/>
      <c r="OV279" s="1018"/>
      <c r="OW279" s="1018"/>
      <c r="OX279" s="1018"/>
      <c r="OY279" s="1018"/>
      <c r="OZ279" s="1018"/>
      <c r="PA279" s="1018"/>
      <c r="PB279" s="1018"/>
      <c r="PC279" s="1018"/>
      <c r="PD279" s="1018"/>
      <c r="PE279" s="1018"/>
      <c r="PF279" s="1018"/>
      <c r="PG279" s="1018"/>
      <c r="PH279" s="1018"/>
      <c r="PI279" s="1018"/>
      <c r="PJ279" s="1018"/>
      <c r="PK279" s="1018"/>
      <c r="PL279" s="1018"/>
      <c r="PM279" s="1018"/>
      <c r="PN279" s="1018"/>
      <c r="PO279" s="1018"/>
      <c r="PP279" s="1018"/>
      <c r="PQ279" s="1018"/>
      <c r="PR279" s="1018"/>
      <c r="PS279" s="1018"/>
      <c r="PT279" s="1018"/>
      <c r="PU279" s="1018"/>
      <c r="PV279" s="1018"/>
      <c r="PW279" s="1018"/>
      <c r="PX279" s="1018"/>
      <c r="PY279" s="1018"/>
      <c r="PZ279" s="1018"/>
      <c r="QA279" s="1018"/>
      <c r="QB279" s="1018"/>
      <c r="QC279" s="1018"/>
      <c r="QD279" s="1018"/>
      <c r="QE279" s="1018"/>
      <c r="QF279" s="1018"/>
      <c r="QG279" s="1018"/>
      <c r="QH279" s="1018"/>
      <c r="QI279" s="1018"/>
      <c r="QJ279" s="1018"/>
      <c r="QK279" s="1018"/>
      <c r="QL279" s="1018"/>
      <c r="QM279" s="1018"/>
      <c r="QN279" s="1018"/>
      <c r="QO279" s="1018"/>
      <c r="QP279" s="1018"/>
      <c r="QQ279" s="1018"/>
      <c r="QR279" s="1018"/>
      <c r="QS279" s="1018"/>
      <c r="QT279" s="1018"/>
      <c r="QU279" s="1018"/>
      <c r="QV279" s="1018"/>
      <c r="QW279" s="1018"/>
      <c r="QX279" s="1018"/>
      <c r="QY279" s="1018"/>
      <c r="QZ279" s="1018"/>
      <c r="RA279" s="1018"/>
      <c r="RB279" s="1018"/>
      <c r="RC279" s="1018"/>
      <c r="RD279" s="1018"/>
      <c r="RE279" s="1018"/>
      <c r="RF279" s="1018"/>
      <c r="RG279" s="1018"/>
      <c r="RH279" s="1018"/>
      <c r="RI279" s="1018"/>
      <c r="RJ279" s="1018"/>
      <c r="RK279" s="1018"/>
      <c r="RL279" s="1018"/>
      <c r="RM279" s="1018"/>
      <c r="RN279" s="1018"/>
      <c r="RO279" s="1018"/>
      <c r="RP279" s="1018"/>
      <c r="RQ279" s="1018"/>
      <c r="RR279" s="1018"/>
      <c r="RS279" s="1018"/>
      <c r="RT279" s="1018"/>
      <c r="RU279" s="1018"/>
      <c r="RV279" s="1018"/>
      <c r="RW279" s="1018"/>
      <c r="RX279" s="1018"/>
    </row>
    <row r="280" spans="1:492" s="1057" customFormat="1" ht="14.1" customHeight="1">
      <c r="A280" s="1018"/>
      <c r="B280" s="1018"/>
      <c r="C280" s="1018"/>
      <c r="D280" s="1018"/>
      <c r="E280" s="1018"/>
      <c r="F280" s="1018"/>
      <c r="G280" s="1018"/>
      <c r="H280" s="1018"/>
      <c r="I280" s="1018"/>
      <c r="J280" s="1018"/>
      <c r="K280" s="1018"/>
      <c r="L280" s="1018"/>
      <c r="M280" s="1018"/>
      <c r="N280" s="1018"/>
      <c r="O280" s="1018"/>
      <c r="W280" s="1058"/>
      <c r="X280" s="1058"/>
      <c r="Y280" s="1058"/>
      <c r="Z280" s="1058"/>
      <c r="AA280" s="1058"/>
      <c r="AB280" s="1058"/>
      <c r="AC280" s="1058"/>
      <c r="AD280" s="1058"/>
      <c r="AE280" s="1058"/>
      <c r="AF280" s="1058"/>
      <c r="AG280" s="1058"/>
      <c r="AH280" s="1058"/>
      <c r="AI280" s="1058"/>
      <c r="AJ280" s="1058"/>
      <c r="AK280" s="1058"/>
      <c r="AL280" s="1058"/>
      <c r="AM280" s="1058"/>
      <c r="AN280" s="1058"/>
      <c r="AO280" s="1058"/>
      <c r="AP280" s="1058"/>
      <c r="AQ280" s="1058"/>
      <c r="AR280" s="1058"/>
      <c r="AS280" s="1058"/>
      <c r="AT280" s="1058"/>
      <c r="AU280" s="1058"/>
      <c r="AV280" s="1058"/>
      <c r="AW280" s="1058"/>
      <c r="AX280" s="1058"/>
      <c r="AY280" s="1058"/>
      <c r="AZ280" s="1058"/>
      <c r="BA280" s="1058"/>
      <c r="BB280" s="1058"/>
      <c r="BC280" s="1058"/>
      <c r="BD280" s="1058"/>
      <c r="BE280" s="1058"/>
      <c r="BF280" s="1058"/>
      <c r="BG280" s="1058"/>
      <c r="BH280" s="1058"/>
      <c r="BI280" s="1058"/>
      <c r="BJ280" s="1058"/>
      <c r="BK280" s="1058"/>
      <c r="BL280" s="1058"/>
      <c r="BM280" s="1058"/>
      <c r="BN280" s="1058"/>
      <c r="BO280" s="1058"/>
      <c r="BP280" s="1058"/>
      <c r="BQ280" s="1058"/>
      <c r="BR280" s="1058"/>
      <c r="BS280" s="1058"/>
      <c r="BT280" s="1058"/>
      <c r="BU280" s="1058"/>
      <c r="BV280" s="1058"/>
      <c r="BW280" s="1058"/>
      <c r="BX280" s="1058"/>
      <c r="BY280" s="1058"/>
      <c r="BZ280" s="1058"/>
      <c r="CA280" s="1058"/>
      <c r="CB280" s="1058"/>
      <c r="CC280" s="1058"/>
      <c r="CD280" s="1058"/>
      <c r="CE280" s="1058"/>
      <c r="CF280" s="1058"/>
      <c r="CG280" s="1058"/>
      <c r="CH280" s="1058"/>
      <c r="CI280" s="1058"/>
      <c r="CJ280" s="1058"/>
      <c r="CK280" s="1058"/>
      <c r="CL280" s="1058"/>
      <c r="CM280" s="1058"/>
      <c r="CN280" s="1058"/>
      <c r="CO280" s="1058"/>
      <c r="CP280" s="1058"/>
      <c r="CQ280" s="1058"/>
      <c r="CR280" s="1058"/>
      <c r="CS280" s="1058"/>
      <c r="CT280" s="1058"/>
      <c r="CU280" s="1058"/>
      <c r="CV280" s="1058"/>
      <c r="CW280" s="1058"/>
      <c r="CX280" s="1058"/>
      <c r="CY280" s="1058"/>
      <c r="CZ280" s="1058"/>
      <c r="DA280" s="1058"/>
      <c r="DB280" s="1058"/>
      <c r="DC280" s="1058"/>
      <c r="DD280" s="1058"/>
      <c r="DE280" s="1058"/>
      <c r="DF280" s="1058"/>
      <c r="DG280" s="1058"/>
      <c r="DH280" s="1058"/>
      <c r="DI280" s="1058"/>
      <c r="DJ280" s="1058"/>
      <c r="DK280" s="1058"/>
      <c r="DL280" s="1058"/>
      <c r="DM280" s="1058"/>
      <c r="DN280" s="1058"/>
      <c r="DO280" s="1058"/>
      <c r="DP280" s="1058"/>
      <c r="DQ280" s="1058"/>
      <c r="DR280" s="1058"/>
      <c r="DS280" s="1058"/>
      <c r="DT280" s="1058"/>
      <c r="DU280" s="1058"/>
      <c r="DV280" s="1058"/>
      <c r="DW280" s="1058"/>
      <c r="DX280" s="1058"/>
      <c r="DY280" s="1058"/>
      <c r="DZ280" s="1058"/>
      <c r="EA280" s="1058"/>
      <c r="EB280" s="1058"/>
      <c r="EC280" s="1058"/>
      <c r="ED280" s="1058"/>
      <c r="EE280" s="1058"/>
      <c r="EF280" s="1058"/>
      <c r="EG280" s="1058"/>
      <c r="EH280" s="1058"/>
      <c r="EI280" s="1058"/>
      <c r="EJ280" s="1058"/>
      <c r="EK280" s="1058"/>
      <c r="EL280" s="1058"/>
      <c r="EM280" s="1058"/>
      <c r="EN280" s="1058"/>
      <c r="EO280" s="1058"/>
      <c r="EP280" s="1058"/>
      <c r="EQ280" s="1058"/>
      <c r="ER280" s="1058"/>
      <c r="ES280" s="1058"/>
      <c r="ET280" s="1058"/>
      <c r="EU280" s="1058"/>
      <c r="EV280" s="1058"/>
      <c r="EW280" s="1058"/>
      <c r="EX280" s="1058"/>
      <c r="EY280" s="1058"/>
      <c r="EZ280" s="1058"/>
      <c r="FA280" s="1058"/>
      <c r="FB280" s="1058"/>
      <c r="FC280" s="1058"/>
      <c r="FD280" s="1058"/>
      <c r="FE280" s="1058"/>
      <c r="FF280" s="1058"/>
      <c r="FG280" s="1058"/>
      <c r="FH280" s="1058"/>
      <c r="FI280" s="1058"/>
      <c r="FJ280" s="1058"/>
      <c r="FK280" s="1058"/>
      <c r="FL280" s="1058"/>
      <c r="FM280" s="1058"/>
      <c r="FN280" s="1058"/>
      <c r="FO280" s="1058"/>
      <c r="FP280" s="1058"/>
      <c r="FQ280" s="1058"/>
      <c r="FR280" s="1058"/>
      <c r="FS280" s="1058"/>
      <c r="FT280" s="1058"/>
      <c r="FU280" s="1058"/>
      <c r="FV280" s="1058"/>
      <c r="FW280" s="1058"/>
      <c r="FX280" s="1058"/>
      <c r="FY280" s="1058"/>
      <c r="FZ280" s="1058"/>
      <c r="GA280" s="1058"/>
      <c r="GB280" s="1058"/>
      <c r="GC280" s="1058"/>
      <c r="GD280" s="1058"/>
      <c r="GE280" s="1058"/>
      <c r="GF280" s="1058"/>
      <c r="GG280" s="1058"/>
      <c r="GH280" s="1058"/>
      <c r="GI280" s="1058"/>
      <c r="GJ280" s="1058"/>
      <c r="GK280" s="1058"/>
      <c r="GL280" s="1058"/>
      <c r="GM280" s="1058"/>
      <c r="GN280" s="1058"/>
      <c r="GO280" s="1058"/>
      <c r="GP280" s="1058"/>
      <c r="GQ280" s="1058"/>
      <c r="GR280" s="1058"/>
      <c r="GS280" s="1058"/>
      <c r="GT280" s="1058"/>
      <c r="GU280" s="1058"/>
      <c r="GV280" s="1058"/>
      <c r="GW280" s="1058"/>
      <c r="GX280" s="1058"/>
      <c r="GY280" s="1058"/>
      <c r="GZ280" s="1058"/>
      <c r="HA280" s="1058"/>
      <c r="HB280" s="1058"/>
      <c r="HC280" s="1058"/>
      <c r="HD280" s="1058"/>
      <c r="HE280" s="1058"/>
      <c r="HF280" s="1058"/>
      <c r="HG280" s="1058"/>
      <c r="HH280" s="1058"/>
      <c r="HI280" s="1058"/>
      <c r="HJ280" s="1058"/>
      <c r="HK280" s="1058"/>
      <c r="HL280" s="1058"/>
      <c r="HM280" s="1058"/>
      <c r="HN280" s="1058"/>
      <c r="HO280" s="1058"/>
      <c r="HP280" s="1058"/>
      <c r="HQ280" s="1058"/>
      <c r="HR280" s="1058"/>
      <c r="HS280" s="1058"/>
      <c r="HT280" s="1058"/>
      <c r="HU280" s="1058"/>
      <c r="HV280" s="1058"/>
      <c r="HW280" s="1058"/>
      <c r="HX280" s="1058"/>
      <c r="HY280" s="1058"/>
      <c r="HZ280" s="1058"/>
      <c r="IA280" s="1058"/>
      <c r="IB280" s="1058"/>
      <c r="IC280" s="1058"/>
      <c r="ID280" s="1058"/>
      <c r="IE280" s="1058"/>
      <c r="IF280" s="1058"/>
      <c r="IG280" s="1058"/>
      <c r="IH280" s="1058"/>
      <c r="II280" s="1058"/>
      <c r="IJ280" s="1058"/>
      <c r="IK280" s="1058"/>
      <c r="IL280" s="1058"/>
      <c r="IM280" s="1058"/>
      <c r="IN280" s="1058"/>
      <c r="IO280" s="1058"/>
      <c r="IP280" s="1058"/>
      <c r="IQ280" s="1058"/>
      <c r="IR280" s="1058"/>
      <c r="IS280" s="1058"/>
      <c r="IT280" s="1058"/>
      <c r="IU280" s="1058"/>
      <c r="IV280" s="1058"/>
      <c r="IW280" s="1058"/>
      <c r="IX280" s="1058"/>
      <c r="IY280" s="1058"/>
      <c r="IZ280" s="1058"/>
      <c r="JA280" s="1058"/>
      <c r="JB280" s="1058"/>
      <c r="JC280" s="1058"/>
      <c r="JD280" s="1058"/>
      <c r="JE280" s="1058"/>
      <c r="JF280" s="1058"/>
      <c r="JG280" s="1058"/>
      <c r="JH280" s="1058"/>
      <c r="JI280" s="1058"/>
      <c r="JJ280" s="1058"/>
      <c r="JK280" s="1058"/>
      <c r="JL280" s="1058"/>
      <c r="JM280" s="1058"/>
      <c r="JN280" s="1058"/>
      <c r="JO280" s="1058"/>
      <c r="JP280" s="1058"/>
      <c r="JQ280" s="1058"/>
      <c r="JR280" s="1058"/>
      <c r="JS280" s="1058"/>
      <c r="JT280" s="1058"/>
      <c r="JU280" s="1058"/>
      <c r="JV280" s="1059"/>
      <c r="JW280" s="1058"/>
      <c r="JX280" s="1058"/>
      <c r="JY280" s="1058"/>
      <c r="JZ280" s="1058"/>
      <c r="KA280" s="1059"/>
      <c r="KB280" s="1059"/>
      <c r="KC280" s="1059"/>
      <c r="KD280" s="1059"/>
      <c r="KE280" s="1059"/>
      <c r="KF280" s="1059"/>
      <c r="KG280" s="1059"/>
      <c r="KH280" s="1059"/>
      <c r="KI280" s="1059"/>
      <c r="KJ280" s="1059"/>
      <c r="KK280" s="1059"/>
      <c r="KL280" s="1059"/>
      <c r="KM280" s="1059"/>
      <c r="KN280" s="1059"/>
      <c r="KO280" s="1059"/>
      <c r="KP280" s="1059"/>
      <c r="KQ280" s="1059"/>
      <c r="KR280" s="1059"/>
      <c r="KS280" s="1059"/>
      <c r="KT280" s="1059"/>
      <c r="KU280" s="1059"/>
      <c r="KV280" s="1059"/>
      <c r="KW280" s="1059"/>
      <c r="KX280" s="1059"/>
      <c r="KY280" s="1059"/>
      <c r="KZ280" s="1059"/>
      <c r="LA280" s="1059"/>
      <c r="LB280" s="1059"/>
      <c r="LC280" s="1059"/>
      <c r="LD280" s="1059"/>
      <c r="LE280" s="1059"/>
      <c r="LF280" s="1059"/>
      <c r="LG280" s="1058"/>
      <c r="LH280" s="1058"/>
      <c r="LI280" s="1058"/>
      <c r="LJ280" s="1058"/>
      <c r="LK280" s="1058"/>
      <c r="LL280" s="1058"/>
      <c r="LM280" s="1060"/>
      <c r="LN280" s="1058"/>
      <c r="LO280" s="1058"/>
      <c r="LP280" s="1058"/>
      <c r="LQ280" s="1058"/>
      <c r="LR280" s="1058"/>
      <c r="LS280" s="1058"/>
      <c r="LT280" s="1058"/>
      <c r="LU280" s="1058"/>
      <c r="LV280" s="1058"/>
      <c r="LW280" s="1058"/>
      <c r="LX280" s="1058"/>
      <c r="LY280" s="1058"/>
      <c r="LZ280" s="1058"/>
      <c r="MA280" s="1058"/>
      <c r="MB280" s="1058"/>
      <c r="MC280" s="1060"/>
      <c r="MD280" s="1060"/>
      <c r="ME280" s="1058"/>
      <c r="MF280" s="1058"/>
      <c r="MG280" s="1058"/>
      <c r="MH280" s="1058"/>
      <c r="MI280" s="1058"/>
      <c r="MJ280" s="1058"/>
      <c r="MK280" s="1058"/>
      <c r="ML280" s="1058"/>
      <c r="MM280" s="1058"/>
      <c r="MN280" s="1058"/>
      <c r="MO280" s="1058"/>
      <c r="MP280" s="1058"/>
      <c r="MQ280" s="1058"/>
      <c r="MR280" s="1058"/>
      <c r="MS280" s="1058"/>
      <c r="MT280" s="1058"/>
      <c r="MU280" s="1058"/>
      <c r="MV280" s="1058"/>
      <c r="MW280" s="1058"/>
      <c r="MX280" s="1058"/>
      <c r="MY280" s="1058"/>
      <c r="MZ280" s="1058"/>
      <c r="NA280" s="1058"/>
      <c r="NB280" s="1058"/>
      <c r="NC280" s="1058"/>
      <c r="ND280" s="1058"/>
      <c r="NE280" s="1058"/>
      <c r="NF280" s="1058"/>
      <c r="NG280" s="1058"/>
      <c r="NH280" s="1058"/>
      <c r="NI280" s="1058"/>
      <c r="NJ280" s="1058"/>
      <c r="NK280" s="1058"/>
      <c r="NL280" s="1058"/>
      <c r="NM280" s="1058"/>
      <c r="NN280" s="1058"/>
      <c r="NO280" s="1058"/>
      <c r="NP280" s="1058"/>
      <c r="NQ280" s="1058"/>
      <c r="NR280" s="1058"/>
      <c r="NS280" s="1058"/>
      <c r="NT280" s="1058"/>
      <c r="NU280" s="1058"/>
      <c r="NV280" s="1058"/>
      <c r="NW280" s="1058"/>
      <c r="NX280" s="1058"/>
      <c r="NY280" s="1058"/>
      <c r="NZ280" s="1058"/>
      <c r="OA280" s="1058"/>
      <c r="OB280" s="1058"/>
      <c r="OC280" s="1058"/>
      <c r="OD280" s="1018"/>
      <c r="OE280" s="1018"/>
      <c r="OF280" s="1018"/>
      <c r="OG280" s="1018"/>
      <c r="OH280" s="1018"/>
      <c r="OI280" s="1018"/>
      <c r="OJ280" s="1018"/>
      <c r="OK280" s="1018"/>
      <c r="OL280" s="1018"/>
      <c r="OM280" s="1018"/>
      <c r="ON280" s="1018"/>
      <c r="OO280" s="1018"/>
      <c r="OP280" s="1018"/>
      <c r="OQ280" s="1018"/>
      <c r="OR280" s="1018"/>
      <c r="OS280" s="1018"/>
      <c r="OT280" s="1018"/>
      <c r="OU280" s="1018"/>
      <c r="OV280" s="1018"/>
      <c r="OW280" s="1018"/>
      <c r="OX280" s="1018"/>
      <c r="OY280" s="1018"/>
      <c r="OZ280" s="1018"/>
      <c r="PA280" s="1018"/>
      <c r="PB280" s="1018"/>
      <c r="PC280" s="1018"/>
      <c r="PD280" s="1018"/>
      <c r="PE280" s="1018"/>
      <c r="PF280" s="1018"/>
      <c r="PG280" s="1018"/>
      <c r="PH280" s="1018"/>
      <c r="PI280" s="1018"/>
      <c r="PJ280" s="1018"/>
      <c r="PK280" s="1018"/>
      <c r="PL280" s="1018"/>
      <c r="PM280" s="1018"/>
      <c r="PN280" s="1018"/>
      <c r="PO280" s="1018"/>
      <c r="PP280" s="1018"/>
      <c r="PQ280" s="1018"/>
      <c r="PR280" s="1018"/>
      <c r="PS280" s="1018"/>
      <c r="PT280" s="1018"/>
      <c r="PU280" s="1018"/>
      <c r="PV280" s="1018"/>
      <c r="PW280" s="1018"/>
      <c r="PX280" s="1018"/>
      <c r="PY280" s="1018"/>
      <c r="PZ280" s="1018"/>
      <c r="QA280" s="1018"/>
      <c r="QB280" s="1018"/>
      <c r="QC280" s="1018"/>
      <c r="QD280" s="1018"/>
      <c r="QE280" s="1018"/>
      <c r="QF280" s="1018"/>
      <c r="QG280" s="1018"/>
      <c r="QH280" s="1018"/>
      <c r="QI280" s="1018"/>
      <c r="QJ280" s="1018"/>
      <c r="QK280" s="1018"/>
      <c r="QL280" s="1018"/>
      <c r="QM280" s="1018"/>
      <c r="QN280" s="1018"/>
      <c r="QO280" s="1018"/>
      <c r="QP280" s="1018"/>
      <c r="QQ280" s="1018"/>
      <c r="QR280" s="1018"/>
      <c r="QS280" s="1018"/>
      <c r="QT280" s="1018"/>
      <c r="QU280" s="1018"/>
      <c r="QV280" s="1018"/>
      <c r="QW280" s="1018"/>
      <c r="QX280" s="1018"/>
      <c r="QY280" s="1018"/>
      <c r="QZ280" s="1018"/>
      <c r="RA280" s="1018"/>
      <c r="RB280" s="1018"/>
      <c r="RC280" s="1018"/>
      <c r="RD280" s="1018"/>
      <c r="RE280" s="1018"/>
      <c r="RF280" s="1018"/>
      <c r="RG280" s="1018"/>
      <c r="RH280" s="1018"/>
      <c r="RI280" s="1018"/>
      <c r="RJ280" s="1018"/>
      <c r="RK280" s="1018"/>
      <c r="RL280" s="1018"/>
      <c r="RM280" s="1018"/>
      <c r="RN280" s="1018"/>
      <c r="RO280" s="1018"/>
      <c r="RP280" s="1018"/>
      <c r="RQ280" s="1018"/>
      <c r="RR280" s="1018"/>
      <c r="RS280" s="1018"/>
      <c r="RT280" s="1018"/>
      <c r="RU280" s="1018"/>
      <c r="RV280" s="1018"/>
      <c r="RW280" s="1018"/>
      <c r="RX280" s="1018"/>
    </row>
    <row r="281" spans="1:492" s="1057" customFormat="1" ht="14.1" customHeight="1">
      <c r="A281" s="1018"/>
      <c r="B281" s="1018"/>
      <c r="C281" s="1018"/>
      <c r="D281" s="1018"/>
      <c r="E281" s="1018"/>
      <c r="F281" s="1018"/>
      <c r="G281" s="1018"/>
      <c r="H281" s="1018"/>
      <c r="I281" s="1018"/>
      <c r="J281" s="1018"/>
      <c r="K281" s="1018"/>
      <c r="L281" s="1018"/>
      <c r="M281" s="1018"/>
      <c r="N281" s="1018"/>
      <c r="O281" s="1018"/>
      <c r="W281" s="1058"/>
      <c r="X281" s="1058"/>
      <c r="Y281" s="1058"/>
      <c r="Z281" s="1058"/>
      <c r="AA281" s="1058"/>
      <c r="AB281" s="1058"/>
      <c r="AC281" s="1058"/>
      <c r="AD281" s="1058"/>
      <c r="AE281" s="1058"/>
      <c r="AF281" s="1058"/>
      <c r="AG281" s="1058"/>
      <c r="AH281" s="1058"/>
      <c r="AI281" s="1058"/>
      <c r="AJ281" s="1058"/>
      <c r="AK281" s="1058"/>
      <c r="AL281" s="1058"/>
      <c r="AM281" s="1058"/>
      <c r="AN281" s="1058"/>
      <c r="AO281" s="1058"/>
      <c r="AP281" s="1058"/>
      <c r="AQ281" s="1058"/>
      <c r="AR281" s="1058"/>
      <c r="AS281" s="1058"/>
      <c r="AT281" s="1058"/>
      <c r="AU281" s="1058"/>
      <c r="AV281" s="1058"/>
      <c r="AW281" s="1058"/>
      <c r="AX281" s="1058"/>
      <c r="AY281" s="1058"/>
      <c r="AZ281" s="1058"/>
      <c r="BA281" s="1058"/>
      <c r="BB281" s="1058"/>
      <c r="BC281" s="1058"/>
      <c r="BD281" s="1058"/>
      <c r="BE281" s="1058"/>
      <c r="BF281" s="1058"/>
      <c r="BG281" s="1058"/>
      <c r="BH281" s="1058"/>
      <c r="BI281" s="1058"/>
      <c r="BJ281" s="1058"/>
      <c r="BK281" s="1058"/>
      <c r="BL281" s="1058"/>
      <c r="BM281" s="1058"/>
      <c r="BN281" s="1058"/>
      <c r="BO281" s="1058"/>
      <c r="BP281" s="1058"/>
      <c r="BQ281" s="1058"/>
      <c r="BR281" s="1058"/>
      <c r="BS281" s="1058"/>
      <c r="BT281" s="1058"/>
      <c r="BU281" s="1058"/>
      <c r="BV281" s="1058"/>
      <c r="BW281" s="1058"/>
      <c r="BX281" s="1058"/>
      <c r="BY281" s="1058"/>
      <c r="BZ281" s="1058"/>
      <c r="CA281" s="1058"/>
      <c r="CB281" s="1058"/>
      <c r="CC281" s="1058"/>
      <c r="CD281" s="1058"/>
      <c r="CE281" s="1058"/>
      <c r="CF281" s="1058"/>
      <c r="CG281" s="1058"/>
      <c r="CH281" s="1058"/>
      <c r="CI281" s="1058"/>
      <c r="CJ281" s="1058"/>
      <c r="CK281" s="1058"/>
      <c r="CL281" s="1058"/>
      <c r="CM281" s="1058"/>
      <c r="CN281" s="1058"/>
      <c r="CO281" s="1058"/>
      <c r="CP281" s="1058"/>
      <c r="CQ281" s="1058"/>
      <c r="CR281" s="1058"/>
      <c r="CS281" s="1058"/>
      <c r="CT281" s="1058"/>
      <c r="CU281" s="1058"/>
      <c r="CV281" s="1058"/>
      <c r="CW281" s="1058"/>
      <c r="CX281" s="1058"/>
      <c r="CY281" s="1058"/>
      <c r="CZ281" s="1058"/>
      <c r="DA281" s="1058"/>
      <c r="DB281" s="1058"/>
      <c r="DC281" s="1058"/>
      <c r="DD281" s="1058"/>
      <c r="DE281" s="1058"/>
      <c r="DF281" s="1058"/>
      <c r="DG281" s="1058"/>
      <c r="DH281" s="1058"/>
      <c r="DI281" s="1058"/>
      <c r="DJ281" s="1058"/>
      <c r="DK281" s="1058"/>
      <c r="DL281" s="1058"/>
      <c r="DM281" s="1058"/>
      <c r="DN281" s="1058"/>
      <c r="DO281" s="1058"/>
      <c r="DP281" s="1058"/>
      <c r="DQ281" s="1058"/>
      <c r="DR281" s="1058"/>
      <c r="DS281" s="1058"/>
      <c r="DT281" s="1058"/>
      <c r="DU281" s="1058"/>
      <c r="DV281" s="1058"/>
      <c r="DW281" s="1058"/>
      <c r="DX281" s="1058"/>
      <c r="DY281" s="1058"/>
      <c r="DZ281" s="1058"/>
      <c r="EA281" s="1058"/>
      <c r="EB281" s="1058"/>
      <c r="EC281" s="1058"/>
      <c r="ED281" s="1058"/>
      <c r="EE281" s="1058"/>
      <c r="EF281" s="1058"/>
      <c r="EG281" s="1058"/>
      <c r="EH281" s="1058"/>
      <c r="EI281" s="1058"/>
      <c r="EJ281" s="1058"/>
      <c r="EK281" s="1058"/>
      <c r="EL281" s="1058"/>
      <c r="EM281" s="1058"/>
      <c r="EN281" s="1058"/>
      <c r="EO281" s="1058"/>
      <c r="EP281" s="1058"/>
      <c r="EQ281" s="1058"/>
      <c r="ER281" s="1058"/>
      <c r="ES281" s="1058"/>
      <c r="ET281" s="1058"/>
      <c r="EU281" s="1058"/>
      <c r="EV281" s="1058"/>
      <c r="EW281" s="1058"/>
      <c r="EX281" s="1058"/>
      <c r="EY281" s="1058"/>
      <c r="EZ281" s="1058"/>
      <c r="FA281" s="1058"/>
      <c r="FB281" s="1058"/>
      <c r="FC281" s="1058"/>
      <c r="FD281" s="1058"/>
      <c r="FE281" s="1058"/>
      <c r="FF281" s="1058"/>
      <c r="FG281" s="1058"/>
      <c r="FH281" s="1058"/>
      <c r="FI281" s="1058"/>
      <c r="FJ281" s="1058"/>
      <c r="FK281" s="1058"/>
      <c r="FL281" s="1058"/>
      <c r="FM281" s="1058"/>
      <c r="FN281" s="1058"/>
      <c r="FO281" s="1058"/>
      <c r="FP281" s="1058"/>
      <c r="FQ281" s="1058"/>
      <c r="FR281" s="1058"/>
      <c r="FS281" s="1058"/>
      <c r="FT281" s="1058"/>
      <c r="FU281" s="1058"/>
      <c r="FV281" s="1058"/>
      <c r="FW281" s="1058"/>
      <c r="FX281" s="1058"/>
      <c r="FY281" s="1058"/>
      <c r="FZ281" s="1058"/>
      <c r="GA281" s="1058"/>
      <c r="GB281" s="1058"/>
      <c r="GC281" s="1058"/>
      <c r="GD281" s="1058"/>
      <c r="GE281" s="1058"/>
      <c r="GF281" s="1058"/>
      <c r="GG281" s="1058"/>
      <c r="GH281" s="1058"/>
      <c r="GI281" s="1058"/>
      <c r="GJ281" s="1058"/>
      <c r="GK281" s="1058"/>
      <c r="GL281" s="1058"/>
      <c r="GM281" s="1058"/>
      <c r="GN281" s="1058"/>
      <c r="GO281" s="1058"/>
      <c r="GP281" s="1058"/>
      <c r="GQ281" s="1058"/>
      <c r="GR281" s="1058"/>
      <c r="GS281" s="1058"/>
      <c r="GT281" s="1058"/>
      <c r="GU281" s="1058"/>
      <c r="GV281" s="1058"/>
      <c r="GW281" s="1058"/>
      <c r="GX281" s="1058"/>
      <c r="GY281" s="1058"/>
      <c r="GZ281" s="1058"/>
      <c r="HA281" s="1058"/>
      <c r="HB281" s="1058"/>
      <c r="HC281" s="1058"/>
      <c r="HD281" s="1058"/>
      <c r="HE281" s="1058"/>
      <c r="HF281" s="1058"/>
      <c r="HG281" s="1058"/>
      <c r="HH281" s="1058"/>
      <c r="HI281" s="1058"/>
      <c r="HJ281" s="1058"/>
      <c r="HK281" s="1058"/>
      <c r="HL281" s="1058"/>
      <c r="HM281" s="1058"/>
      <c r="HN281" s="1058"/>
      <c r="HO281" s="1058"/>
      <c r="HP281" s="1058"/>
      <c r="HQ281" s="1058"/>
      <c r="HR281" s="1058"/>
      <c r="HS281" s="1058"/>
      <c r="HT281" s="1058"/>
      <c r="HU281" s="1058"/>
      <c r="HV281" s="1058"/>
      <c r="HW281" s="1058"/>
      <c r="HX281" s="1058"/>
      <c r="HY281" s="1058"/>
      <c r="HZ281" s="1058"/>
      <c r="IA281" s="1058"/>
      <c r="IB281" s="1058"/>
      <c r="IC281" s="1058"/>
      <c r="ID281" s="1058"/>
      <c r="IE281" s="1058"/>
      <c r="IF281" s="1058"/>
      <c r="IG281" s="1058"/>
      <c r="IH281" s="1058"/>
      <c r="II281" s="1058"/>
      <c r="IJ281" s="1058"/>
      <c r="IK281" s="1058"/>
      <c r="IL281" s="1058"/>
      <c r="IM281" s="1058"/>
      <c r="IN281" s="1058"/>
      <c r="IO281" s="1058"/>
      <c r="IP281" s="1058"/>
      <c r="IQ281" s="1058"/>
      <c r="IR281" s="1058"/>
      <c r="IS281" s="1058"/>
      <c r="IT281" s="1058"/>
      <c r="IU281" s="1058"/>
      <c r="IV281" s="1058"/>
      <c r="IW281" s="1058"/>
      <c r="IX281" s="1058"/>
      <c r="IY281" s="1058"/>
      <c r="IZ281" s="1058"/>
      <c r="JA281" s="1058"/>
      <c r="JB281" s="1058"/>
      <c r="JC281" s="1058"/>
      <c r="JD281" s="1058"/>
      <c r="JE281" s="1058"/>
      <c r="JF281" s="1058"/>
      <c r="JG281" s="1058"/>
      <c r="JH281" s="1058"/>
      <c r="JI281" s="1058"/>
      <c r="JJ281" s="1058"/>
      <c r="JK281" s="1058"/>
      <c r="JL281" s="1058"/>
      <c r="JM281" s="1058"/>
      <c r="JN281" s="1058"/>
      <c r="JO281" s="1058"/>
      <c r="JP281" s="1058"/>
      <c r="JQ281" s="1058"/>
      <c r="JR281" s="1058"/>
      <c r="JS281" s="1058"/>
      <c r="JT281" s="1058"/>
      <c r="JU281" s="1058"/>
      <c r="JV281" s="1059"/>
      <c r="JW281" s="1058"/>
      <c r="JX281" s="1058"/>
      <c r="JY281" s="1058"/>
      <c r="JZ281" s="1058"/>
      <c r="KA281" s="1059"/>
      <c r="KB281" s="1059"/>
      <c r="KC281" s="1059"/>
      <c r="KD281" s="1059"/>
      <c r="KE281" s="1059"/>
      <c r="KF281" s="1059"/>
      <c r="KG281" s="1059"/>
      <c r="KH281" s="1059"/>
      <c r="KI281" s="1059"/>
      <c r="KJ281" s="1059"/>
      <c r="KK281" s="1059"/>
      <c r="KL281" s="1059"/>
      <c r="KM281" s="1059"/>
      <c r="KN281" s="1059"/>
      <c r="KO281" s="1059"/>
      <c r="KP281" s="1059"/>
      <c r="KQ281" s="1059"/>
      <c r="KR281" s="1059"/>
      <c r="KS281" s="1059"/>
      <c r="KT281" s="1059"/>
      <c r="KU281" s="1059"/>
      <c r="KV281" s="1059"/>
      <c r="KW281" s="1059"/>
      <c r="KX281" s="1059"/>
      <c r="KY281" s="1059"/>
      <c r="KZ281" s="1059"/>
      <c r="LA281" s="1059"/>
      <c r="LB281" s="1059"/>
      <c r="LC281" s="1059"/>
      <c r="LD281" s="1059"/>
      <c r="LE281" s="1059"/>
      <c r="LF281" s="1059"/>
      <c r="LG281" s="1058"/>
      <c r="LH281" s="1058"/>
      <c r="LI281" s="1058"/>
      <c r="LJ281" s="1058"/>
      <c r="LK281" s="1058"/>
      <c r="LL281" s="1058"/>
      <c r="LM281" s="1060"/>
      <c r="LN281" s="1058"/>
      <c r="LO281" s="1058"/>
      <c r="LP281" s="1058"/>
      <c r="LQ281" s="1058"/>
      <c r="LR281" s="1058"/>
      <c r="LS281" s="1058"/>
      <c r="LT281" s="1058"/>
      <c r="LU281" s="1058"/>
      <c r="LV281" s="1058"/>
      <c r="LW281" s="1058"/>
      <c r="LX281" s="1058"/>
      <c r="LY281" s="1058"/>
      <c r="LZ281" s="1058"/>
      <c r="MA281" s="1058"/>
      <c r="MB281" s="1058"/>
      <c r="MC281" s="1060"/>
      <c r="MD281" s="1060"/>
      <c r="ME281" s="1058"/>
      <c r="MF281" s="1058"/>
      <c r="MG281" s="1058"/>
      <c r="MH281" s="1058"/>
      <c r="MI281" s="1058"/>
      <c r="MJ281" s="1058"/>
      <c r="MK281" s="1058"/>
      <c r="ML281" s="1058"/>
      <c r="MM281" s="1058"/>
      <c r="MN281" s="1058"/>
      <c r="MO281" s="1058"/>
      <c r="MP281" s="1058"/>
      <c r="MQ281" s="1058"/>
      <c r="MR281" s="1058"/>
      <c r="MS281" s="1058"/>
      <c r="MT281" s="1058"/>
      <c r="MU281" s="1058"/>
      <c r="MV281" s="1058"/>
      <c r="MW281" s="1058"/>
      <c r="MX281" s="1058"/>
      <c r="MY281" s="1058"/>
      <c r="MZ281" s="1058"/>
      <c r="NA281" s="1058"/>
      <c r="NB281" s="1058"/>
      <c r="NC281" s="1058"/>
      <c r="ND281" s="1058"/>
      <c r="NE281" s="1058"/>
      <c r="NF281" s="1058"/>
      <c r="NG281" s="1058"/>
      <c r="NH281" s="1058"/>
      <c r="NI281" s="1058"/>
      <c r="NJ281" s="1058"/>
      <c r="NK281" s="1058"/>
      <c r="NL281" s="1058"/>
      <c r="NM281" s="1058"/>
      <c r="NN281" s="1058"/>
      <c r="NO281" s="1058"/>
      <c r="NP281" s="1058"/>
      <c r="NQ281" s="1058"/>
      <c r="NR281" s="1058"/>
      <c r="NS281" s="1058"/>
      <c r="NT281" s="1058"/>
      <c r="NU281" s="1058"/>
      <c r="NV281" s="1058"/>
      <c r="NW281" s="1058"/>
      <c r="NX281" s="1058"/>
      <c r="NY281" s="1058"/>
      <c r="NZ281" s="1058"/>
      <c r="OA281" s="1058"/>
      <c r="OB281" s="1058"/>
      <c r="OC281" s="1058"/>
      <c r="OD281" s="1018"/>
      <c r="OE281" s="1018"/>
      <c r="OF281" s="1018"/>
      <c r="OG281" s="1018"/>
      <c r="OH281" s="1018"/>
      <c r="OI281" s="1018"/>
      <c r="OJ281" s="1018"/>
      <c r="OK281" s="1018"/>
      <c r="OL281" s="1018"/>
      <c r="OM281" s="1018"/>
      <c r="ON281" s="1018"/>
      <c r="OO281" s="1018"/>
      <c r="OP281" s="1018"/>
      <c r="OQ281" s="1018"/>
      <c r="OR281" s="1018"/>
      <c r="OS281" s="1018"/>
      <c r="OT281" s="1018"/>
      <c r="OU281" s="1018"/>
      <c r="OV281" s="1018"/>
      <c r="OW281" s="1018"/>
      <c r="OX281" s="1018"/>
      <c r="OY281" s="1018"/>
      <c r="OZ281" s="1018"/>
      <c r="PA281" s="1018"/>
      <c r="PB281" s="1018"/>
      <c r="PC281" s="1018"/>
      <c r="PD281" s="1018"/>
      <c r="PE281" s="1018"/>
      <c r="PF281" s="1018"/>
      <c r="PG281" s="1018"/>
      <c r="PH281" s="1018"/>
      <c r="PI281" s="1018"/>
      <c r="PJ281" s="1018"/>
      <c r="PK281" s="1018"/>
      <c r="PL281" s="1018"/>
      <c r="PM281" s="1018"/>
      <c r="PN281" s="1018"/>
      <c r="PO281" s="1018"/>
      <c r="PP281" s="1018"/>
      <c r="PQ281" s="1018"/>
      <c r="PR281" s="1018"/>
      <c r="PS281" s="1018"/>
      <c r="PT281" s="1018"/>
      <c r="PU281" s="1018"/>
      <c r="PV281" s="1018"/>
      <c r="PW281" s="1018"/>
      <c r="PX281" s="1018"/>
      <c r="PY281" s="1018"/>
      <c r="PZ281" s="1018"/>
      <c r="QA281" s="1018"/>
      <c r="QB281" s="1018"/>
      <c r="QC281" s="1018"/>
      <c r="QD281" s="1018"/>
      <c r="QE281" s="1018"/>
      <c r="QF281" s="1018"/>
      <c r="QG281" s="1018"/>
      <c r="QH281" s="1018"/>
      <c r="QI281" s="1018"/>
      <c r="QJ281" s="1018"/>
      <c r="QK281" s="1018"/>
      <c r="QL281" s="1018"/>
      <c r="QM281" s="1018"/>
      <c r="QN281" s="1018"/>
      <c r="QO281" s="1018"/>
      <c r="QP281" s="1018"/>
      <c r="QQ281" s="1018"/>
      <c r="QR281" s="1018"/>
      <c r="QS281" s="1018"/>
      <c r="QT281" s="1018"/>
      <c r="QU281" s="1018"/>
      <c r="QV281" s="1018"/>
      <c r="QW281" s="1018"/>
      <c r="QX281" s="1018"/>
      <c r="QY281" s="1018"/>
      <c r="QZ281" s="1018"/>
      <c r="RA281" s="1018"/>
      <c r="RB281" s="1018"/>
      <c r="RC281" s="1018"/>
      <c r="RD281" s="1018"/>
      <c r="RE281" s="1018"/>
      <c r="RF281" s="1018"/>
      <c r="RG281" s="1018"/>
      <c r="RH281" s="1018"/>
      <c r="RI281" s="1018"/>
      <c r="RJ281" s="1018"/>
      <c r="RK281" s="1018"/>
      <c r="RL281" s="1018"/>
      <c r="RM281" s="1018"/>
      <c r="RN281" s="1018"/>
      <c r="RO281" s="1018"/>
      <c r="RP281" s="1018"/>
      <c r="RQ281" s="1018"/>
      <c r="RR281" s="1018"/>
      <c r="RS281" s="1018"/>
      <c r="RT281" s="1018"/>
      <c r="RU281" s="1018"/>
      <c r="RV281" s="1018"/>
      <c r="RW281" s="1018"/>
      <c r="RX281" s="1018"/>
    </row>
    <row r="282" spans="1:492" ht="14.1" customHeight="1"/>
    <row r="283" spans="1:492" ht="14.1" customHeight="1">
      <c r="A283" s="885"/>
    </row>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row r="292" ht="14.1" customHeight="1"/>
  </sheetData>
  <sheetProtection algorithmName="SHA-512" hashValue="ETFl/HQ44pg0oLzyL4QZQxZRwt/vzxoLrFpC7JT+3tKRAKVdUHSoa60xTLBgGQQIrZdVEnBRKSyRwhy3gHI7JA==" saltValue="XSl2uUr7u8O52GIkMXnHcg==" spinCount="100000" sheet="1" objects="1" scenarios="1" formatCells="0"/>
  <mergeCells count="584">
    <mergeCell ref="A1:P1"/>
    <mergeCell ref="U1:V1"/>
    <mergeCell ref="ME3:ME9"/>
    <mergeCell ref="MF3:MF9"/>
    <mergeCell ref="MG3:MG9"/>
    <mergeCell ref="MH3:MH9"/>
    <mergeCell ref="AE4:AE9"/>
    <mergeCell ref="AF4:AF9"/>
    <mergeCell ref="AG4:AG9"/>
    <mergeCell ref="AH4:AH9"/>
    <mergeCell ref="AI4:AI9"/>
    <mergeCell ref="AJ4:AJ9"/>
    <mergeCell ref="AK4:AK9"/>
    <mergeCell ref="AL4:AL9"/>
    <mergeCell ref="AM4:AM9"/>
    <mergeCell ref="AN4:AN9"/>
    <mergeCell ref="BI4:BI9"/>
    <mergeCell ref="BJ4:BJ9"/>
    <mergeCell ref="BK4:BK9"/>
    <mergeCell ref="BL4:BL9"/>
    <mergeCell ref="BA4:BA9"/>
    <mergeCell ref="BB4:BB9"/>
    <mergeCell ref="BC4:BC9"/>
    <mergeCell ref="BD4:BD9"/>
    <mergeCell ref="MI3:MI9"/>
    <mergeCell ref="P4:P9"/>
    <mergeCell ref="W4:W9"/>
    <mergeCell ref="X4:X9"/>
    <mergeCell ref="Y4:Y9"/>
    <mergeCell ref="Z4:Z9"/>
    <mergeCell ref="AA4:AA9"/>
    <mergeCell ref="AB4:AB9"/>
    <mergeCell ref="AC4:AC9"/>
    <mergeCell ref="AD4:AD9"/>
    <mergeCell ref="AU4:AU9"/>
    <mergeCell ref="AV4:AV9"/>
    <mergeCell ref="AW4:AW9"/>
    <mergeCell ref="AX4:AX9"/>
    <mergeCell ref="AY4:AY9"/>
    <mergeCell ref="AZ4:AZ9"/>
    <mergeCell ref="AO4:AO9"/>
    <mergeCell ref="AP4:AP9"/>
    <mergeCell ref="AQ4:AQ9"/>
    <mergeCell ref="AR4:AR9"/>
    <mergeCell ref="AS4:AS9"/>
    <mergeCell ref="AT4:AT9"/>
    <mergeCell ref="BG4:BG9"/>
    <mergeCell ref="BH4:BH9"/>
    <mergeCell ref="BE4:BE9"/>
    <mergeCell ref="BF4:BF9"/>
    <mergeCell ref="BS4:BS9"/>
    <mergeCell ref="BT4:BT9"/>
    <mergeCell ref="BU4:BU9"/>
    <mergeCell ref="BV4:BV9"/>
    <mergeCell ref="BW4:BW9"/>
    <mergeCell ref="BX4:BX9"/>
    <mergeCell ref="BM4:BM9"/>
    <mergeCell ref="BN4:BN9"/>
    <mergeCell ref="BO4:BO9"/>
    <mergeCell ref="BP4:BP9"/>
    <mergeCell ref="BQ4:BQ9"/>
    <mergeCell ref="BR4:BR9"/>
    <mergeCell ref="CE4:CE9"/>
    <mergeCell ref="CF4:CF9"/>
    <mergeCell ref="CG4:CG9"/>
    <mergeCell ref="CH4:CH9"/>
    <mergeCell ref="CI4:CI9"/>
    <mergeCell ref="CJ4:CJ9"/>
    <mergeCell ref="BY4:BY9"/>
    <mergeCell ref="BZ4:BZ9"/>
    <mergeCell ref="CA4:CA9"/>
    <mergeCell ref="CB4:CB9"/>
    <mergeCell ref="CC4:CC9"/>
    <mergeCell ref="CD4:CD9"/>
    <mergeCell ref="CQ4:CQ9"/>
    <mergeCell ref="CR4:CR9"/>
    <mergeCell ref="CS4:CS9"/>
    <mergeCell ref="CT4:CT9"/>
    <mergeCell ref="CU4:CU9"/>
    <mergeCell ref="CV4:CV9"/>
    <mergeCell ref="CK4:CK9"/>
    <mergeCell ref="CL4:CL9"/>
    <mergeCell ref="CM4:CM9"/>
    <mergeCell ref="CN4:CN9"/>
    <mergeCell ref="CO4:CO9"/>
    <mergeCell ref="CP4:CP9"/>
    <mergeCell ref="DC4:DC9"/>
    <mergeCell ref="DD4:DD9"/>
    <mergeCell ref="DE4:DE9"/>
    <mergeCell ref="DF4:DF9"/>
    <mergeCell ref="DG4:DG9"/>
    <mergeCell ref="DH4:DH9"/>
    <mergeCell ref="CW4:CW9"/>
    <mergeCell ref="CX4:CX9"/>
    <mergeCell ref="CY4:CY9"/>
    <mergeCell ref="CZ4:CZ9"/>
    <mergeCell ref="DA4:DA9"/>
    <mergeCell ref="DB4:DB9"/>
    <mergeCell ref="DO4:DO9"/>
    <mergeCell ref="DP4:DP9"/>
    <mergeCell ref="DQ4:DQ9"/>
    <mergeCell ref="DR4:DR9"/>
    <mergeCell ref="DS4:DS9"/>
    <mergeCell ref="DT4:DT9"/>
    <mergeCell ref="DI4:DI9"/>
    <mergeCell ref="DJ4:DJ9"/>
    <mergeCell ref="DK4:DK9"/>
    <mergeCell ref="DL4:DL9"/>
    <mergeCell ref="DM4:DM9"/>
    <mergeCell ref="DN4:DN9"/>
    <mergeCell ref="EA4:EA9"/>
    <mergeCell ref="EB4:EB9"/>
    <mergeCell ref="EC4:EC9"/>
    <mergeCell ref="ED4:ED9"/>
    <mergeCell ref="EE4:EE9"/>
    <mergeCell ref="EF4:EF9"/>
    <mergeCell ref="DU4:DU9"/>
    <mergeCell ref="DV4:DV9"/>
    <mergeCell ref="DW4:DW9"/>
    <mergeCell ref="DX4:DX9"/>
    <mergeCell ref="DY4:DY9"/>
    <mergeCell ref="DZ4:DZ9"/>
    <mergeCell ref="EM4:EM9"/>
    <mergeCell ref="EN4:EN9"/>
    <mergeCell ref="EO4:EO9"/>
    <mergeCell ref="EP4:EP9"/>
    <mergeCell ref="EQ4:EQ9"/>
    <mergeCell ref="ER4:ER9"/>
    <mergeCell ref="EG4:EG9"/>
    <mergeCell ref="EH4:EH9"/>
    <mergeCell ref="EI4:EI9"/>
    <mergeCell ref="EJ4:EJ9"/>
    <mergeCell ref="EK4:EK9"/>
    <mergeCell ref="EL4:EL9"/>
    <mergeCell ref="EY4:EY9"/>
    <mergeCell ref="EZ4:EZ9"/>
    <mergeCell ref="FA4:FA9"/>
    <mergeCell ref="FB4:FB9"/>
    <mergeCell ref="FC4:FC9"/>
    <mergeCell ref="FD4:FD9"/>
    <mergeCell ref="ES4:ES9"/>
    <mergeCell ref="ET4:ET9"/>
    <mergeCell ref="EU4:EU9"/>
    <mergeCell ref="EV4:EV9"/>
    <mergeCell ref="EW4:EW9"/>
    <mergeCell ref="EX4:EX9"/>
    <mergeCell ref="FK4:FK9"/>
    <mergeCell ref="FL4:FL9"/>
    <mergeCell ref="FM4:FM9"/>
    <mergeCell ref="FN4:FN9"/>
    <mergeCell ref="FO4:FO9"/>
    <mergeCell ref="FP4:FP9"/>
    <mergeCell ref="FE4:FE9"/>
    <mergeCell ref="FF4:FF9"/>
    <mergeCell ref="FG4:FG9"/>
    <mergeCell ref="FH4:FH9"/>
    <mergeCell ref="FI4:FI9"/>
    <mergeCell ref="FJ4:FJ9"/>
    <mergeCell ref="FW4:FW9"/>
    <mergeCell ref="FX4:FX9"/>
    <mergeCell ref="FY4:FY9"/>
    <mergeCell ref="FZ4:FZ9"/>
    <mergeCell ref="GA4:GA9"/>
    <mergeCell ref="GB4:GB9"/>
    <mergeCell ref="FQ4:FQ9"/>
    <mergeCell ref="FR4:FR9"/>
    <mergeCell ref="FS4:FS9"/>
    <mergeCell ref="FT4:FT9"/>
    <mergeCell ref="FU4:FU9"/>
    <mergeCell ref="FV4:FV9"/>
    <mergeCell ref="GI4:GI9"/>
    <mergeCell ref="GJ4:GJ9"/>
    <mergeCell ref="GK4:GK9"/>
    <mergeCell ref="GL4:GL9"/>
    <mergeCell ref="GM4:GM9"/>
    <mergeCell ref="GN4:GN9"/>
    <mergeCell ref="GC4:GC9"/>
    <mergeCell ref="GD4:GD9"/>
    <mergeCell ref="GE4:GE9"/>
    <mergeCell ref="GF4:GF9"/>
    <mergeCell ref="GG4:GG9"/>
    <mergeCell ref="GH4:GH9"/>
    <mergeCell ref="GU4:GU9"/>
    <mergeCell ref="GV4:GV9"/>
    <mergeCell ref="GW4:GW9"/>
    <mergeCell ref="GX4:GX9"/>
    <mergeCell ref="GY4:GY9"/>
    <mergeCell ref="GZ4:GZ9"/>
    <mergeCell ref="GO4:GO9"/>
    <mergeCell ref="GP4:GP9"/>
    <mergeCell ref="GQ4:GQ9"/>
    <mergeCell ref="GR4:GR9"/>
    <mergeCell ref="GS4:GS9"/>
    <mergeCell ref="GT4:GT9"/>
    <mergeCell ref="HG4:HG9"/>
    <mergeCell ref="HH4:HH9"/>
    <mergeCell ref="HI4:HI9"/>
    <mergeCell ref="HJ4:HJ9"/>
    <mergeCell ref="HK4:HK9"/>
    <mergeCell ref="HL4:HL9"/>
    <mergeCell ref="HA4:HA9"/>
    <mergeCell ref="HB4:HB9"/>
    <mergeCell ref="HC4:HC9"/>
    <mergeCell ref="HD4:HD9"/>
    <mergeCell ref="HE4:HE9"/>
    <mergeCell ref="HF4:HF9"/>
    <mergeCell ref="LK4:LK9"/>
    <mergeCell ref="HS4:HS9"/>
    <mergeCell ref="HT4:HT9"/>
    <mergeCell ref="HU4:HU9"/>
    <mergeCell ref="HV4:HV9"/>
    <mergeCell ref="HW4:HW9"/>
    <mergeCell ref="HX4:HX9"/>
    <mergeCell ref="HM4:HM9"/>
    <mergeCell ref="HN4:HN9"/>
    <mergeCell ref="HO4:HO9"/>
    <mergeCell ref="HP4:HP9"/>
    <mergeCell ref="HQ4:HQ9"/>
    <mergeCell ref="HR4:HR9"/>
    <mergeCell ref="IZ8:IZ9"/>
    <mergeCell ref="JA8:JA9"/>
    <mergeCell ref="JB8:JB9"/>
    <mergeCell ref="JC8:JC9"/>
    <mergeCell ref="JD8:JD9"/>
    <mergeCell ref="JE8:JE9"/>
    <mergeCell ref="IJ8:IJ9"/>
    <mergeCell ref="IK8:IK9"/>
    <mergeCell ref="IL8:IL9"/>
    <mergeCell ref="IM8:IM9"/>
    <mergeCell ref="IX8:IX9"/>
    <mergeCell ref="A5:A9"/>
    <mergeCell ref="MJ5:MJ9"/>
    <mergeCell ref="MK5:MK9"/>
    <mergeCell ref="ML5:ML9"/>
    <mergeCell ref="IF8:IF9"/>
    <mergeCell ref="IG8:IG9"/>
    <mergeCell ref="IH8:IH9"/>
    <mergeCell ref="II8:II9"/>
    <mergeCell ref="LX4:LX9"/>
    <mergeCell ref="LY4:LY9"/>
    <mergeCell ref="LZ4:LZ9"/>
    <mergeCell ref="MA4:MA9"/>
    <mergeCell ref="MB4:MB9"/>
    <mergeCell ref="MC4:MC9"/>
    <mergeCell ref="LR4:LR9"/>
    <mergeCell ref="LS4:LS9"/>
    <mergeCell ref="LT4:LT9"/>
    <mergeCell ref="LU4:LU9"/>
    <mergeCell ref="LV4:LV9"/>
    <mergeCell ref="LW4:LW9"/>
    <mergeCell ref="LL4:LL9"/>
    <mergeCell ref="LM4:LM9"/>
    <mergeCell ref="LN4:LN9"/>
    <mergeCell ref="LJ4:LJ9"/>
    <mergeCell ref="MS5:MS9"/>
    <mergeCell ref="H6:H7"/>
    <mergeCell ref="M6:N7"/>
    <mergeCell ref="S6:T6"/>
    <mergeCell ref="I8:I9"/>
    <mergeCell ref="K8:L8"/>
    <mergeCell ref="Q8:R8"/>
    <mergeCell ref="HY8:HY9"/>
    <mergeCell ref="ID8:ID9"/>
    <mergeCell ref="IE8:IE9"/>
    <mergeCell ref="MM5:MM9"/>
    <mergeCell ref="MN5:MN9"/>
    <mergeCell ref="MO5:MO9"/>
    <mergeCell ref="MP5:MP9"/>
    <mergeCell ref="MQ5:MQ9"/>
    <mergeCell ref="MR5:MR9"/>
    <mergeCell ref="MD4:MD9"/>
    <mergeCell ref="LO4:LO9"/>
    <mergeCell ref="LP4:LP9"/>
    <mergeCell ref="LQ4:LQ9"/>
    <mergeCell ref="LF4:LF9"/>
    <mergeCell ref="LG4:LG9"/>
    <mergeCell ref="LH4:LH9"/>
    <mergeCell ref="LI4:LI9"/>
    <mergeCell ref="IY8:IY9"/>
    <mergeCell ref="JL8:JL9"/>
    <mergeCell ref="JM8:JM9"/>
    <mergeCell ref="JN8:JN9"/>
    <mergeCell ref="JO8:JO9"/>
    <mergeCell ref="JP8:JP9"/>
    <mergeCell ref="JQ8:JQ9"/>
    <mergeCell ref="JF8:JF9"/>
    <mergeCell ref="JG8:JG9"/>
    <mergeCell ref="JH8:JH9"/>
    <mergeCell ref="JI8:JI9"/>
    <mergeCell ref="JJ8:JJ9"/>
    <mergeCell ref="JK8:JK9"/>
    <mergeCell ref="JR8:JR9"/>
    <mergeCell ref="JS8:JS9"/>
    <mergeCell ref="JT8:JT9"/>
    <mergeCell ref="JU8:JU9"/>
    <mergeCell ref="JV8:JV9"/>
    <mergeCell ref="JW8:JW9"/>
    <mergeCell ref="LE8:LE9"/>
    <mergeCell ref="U9:V9"/>
    <mergeCell ref="U10:V10"/>
    <mergeCell ref="KV8:KV9"/>
    <mergeCell ref="KW8:KW9"/>
    <mergeCell ref="KX8:KX9"/>
    <mergeCell ref="KY8:KY9"/>
    <mergeCell ref="KZ8:KZ9"/>
    <mergeCell ref="LA8:LA9"/>
    <mergeCell ref="KP8:KP9"/>
    <mergeCell ref="KQ8:KQ9"/>
    <mergeCell ref="KR8:KR9"/>
    <mergeCell ref="KS8:KS9"/>
    <mergeCell ref="KT8:KT9"/>
    <mergeCell ref="KU8:KU9"/>
    <mergeCell ref="KJ8:KJ9"/>
    <mergeCell ref="KK8:KK9"/>
    <mergeCell ref="KL8:KL9"/>
    <mergeCell ref="LB8:LB9"/>
    <mergeCell ref="LC8:LC9"/>
    <mergeCell ref="LD8:LD9"/>
    <mergeCell ref="KG8:KG9"/>
    <mergeCell ref="KH8:KH9"/>
    <mergeCell ref="KI8:KI9"/>
    <mergeCell ref="JX8:JX9"/>
    <mergeCell ref="JY8:JY9"/>
    <mergeCell ref="JZ8:JZ9"/>
    <mergeCell ref="KA8:KA9"/>
    <mergeCell ref="KB8:KB9"/>
    <mergeCell ref="KC8:KC9"/>
    <mergeCell ref="KM8:KM9"/>
    <mergeCell ref="KN8:KN9"/>
    <mergeCell ref="KO8:KO9"/>
    <mergeCell ref="KD8:KD9"/>
    <mergeCell ref="KE8:KE9"/>
    <mergeCell ref="KF8:KF9"/>
    <mergeCell ref="U17:V17"/>
    <mergeCell ref="U18:V18"/>
    <mergeCell ref="U19:V19"/>
    <mergeCell ref="U20:V20"/>
    <mergeCell ref="U21:V21"/>
    <mergeCell ref="U22:V22"/>
    <mergeCell ref="U11:V11"/>
    <mergeCell ref="U12:V12"/>
    <mergeCell ref="U13:V13"/>
    <mergeCell ref="U14:V14"/>
    <mergeCell ref="U15:V15"/>
    <mergeCell ref="U16:V16"/>
    <mergeCell ref="U29:V29"/>
    <mergeCell ref="U30:V30"/>
    <mergeCell ref="U31:V31"/>
    <mergeCell ref="U32:V32"/>
    <mergeCell ref="U33:V33"/>
    <mergeCell ref="U34:V34"/>
    <mergeCell ref="U23:V23"/>
    <mergeCell ref="U24:V24"/>
    <mergeCell ref="U25:V25"/>
    <mergeCell ref="U26:V26"/>
    <mergeCell ref="U27:V27"/>
    <mergeCell ref="U28:V28"/>
    <mergeCell ref="U41:V41"/>
    <mergeCell ref="U42:V42"/>
    <mergeCell ref="U43:V43"/>
    <mergeCell ref="U44:V44"/>
    <mergeCell ref="U45:V45"/>
    <mergeCell ref="U46:V46"/>
    <mergeCell ref="U35:V35"/>
    <mergeCell ref="U36:V36"/>
    <mergeCell ref="U37:V37"/>
    <mergeCell ref="U38:V38"/>
    <mergeCell ref="U39:V39"/>
    <mergeCell ref="U40:V40"/>
    <mergeCell ref="C69:F70"/>
    <mergeCell ref="R71:V71"/>
    <mergeCell ref="U47:V47"/>
    <mergeCell ref="B48:C48"/>
    <mergeCell ref="G48:G49"/>
    <mergeCell ref="B49:C49"/>
    <mergeCell ref="A51:P52"/>
    <mergeCell ref="K53:N53"/>
    <mergeCell ref="R53:U53"/>
    <mergeCell ref="R92:V92"/>
    <mergeCell ref="R93:V93"/>
    <mergeCell ref="R94:V94"/>
    <mergeCell ref="R95:V95"/>
    <mergeCell ref="R96:V96"/>
    <mergeCell ref="R97:V97"/>
    <mergeCell ref="P56:P63"/>
    <mergeCell ref="R56:V56"/>
    <mergeCell ref="R57:V57"/>
    <mergeCell ref="R58:V58"/>
    <mergeCell ref="R59:V59"/>
    <mergeCell ref="R60:V60"/>
    <mergeCell ref="R61:V61"/>
    <mergeCell ref="R62:V62"/>
    <mergeCell ref="R63:V63"/>
    <mergeCell ref="R64:V64"/>
    <mergeCell ref="R65:V65"/>
    <mergeCell ref="R66:V66"/>
    <mergeCell ref="R67:V67"/>
    <mergeCell ref="R72:V72"/>
    <mergeCell ref="R73:V73"/>
    <mergeCell ref="R74:V74"/>
    <mergeCell ref="R75:V75"/>
    <mergeCell ref="R76:V76"/>
    <mergeCell ref="R105:V105"/>
    <mergeCell ref="R106:V106"/>
    <mergeCell ref="R107:V107"/>
    <mergeCell ref="R108:V108"/>
    <mergeCell ref="R109:V109"/>
    <mergeCell ref="R110:V110"/>
    <mergeCell ref="R98:V98"/>
    <mergeCell ref="R99:V99"/>
    <mergeCell ref="K101:N101"/>
    <mergeCell ref="R103:V103"/>
    <mergeCell ref="R104:V104"/>
    <mergeCell ref="E118:F119"/>
    <mergeCell ref="R118:V118"/>
    <mergeCell ref="R119:V119"/>
    <mergeCell ref="R120:V120"/>
    <mergeCell ref="R121:V121"/>
    <mergeCell ref="A122:D122"/>
    <mergeCell ref="R122:V122"/>
    <mergeCell ref="C112:D117"/>
    <mergeCell ref="R112:V112"/>
    <mergeCell ref="R113:V113"/>
    <mergeCell ref="R114:V114"/>
    <mergeCell ref="R115:V115"/>
    <mergeCell ref="R116:V116"/>
    <mergeCell ref="R117:V117"/>
    <mergeCell ref="R133:V133"/>
    <mergeCell ref="R134:V134"/>
    <mergeCell ref="R135:V135"/>
    <mergeCell ref="R136:V136"/>
    <mergeCell ref="R137:V137"/>
    <mergeCell ref="R138:V138"/>
    <mergeCell ref="R123:V123"/>
    <mergeCell ref="R124:V124"/>
    <mergeCell ref="C126:D134"/>
    <mergeCell ref="R126:V126"/>
    <mergeCell ref="R127:V127"/>
    <mergeCell ref="R128:V128"/>
    <mergeCell ref="R129:V129"/>
    <mergeCell ref="R130:V130"/>
    <mergeCell ref="R131:V131"/>
    <mergeCell ref="R132:V132"/>
    <mergeCell ref="C146:D152"/>
    <mergeCell ref="R146:V146"/>
    <mergeCell ref="R147:V147"/>
    <mergeCell ref="R148:V148"/>
    <mergeCell ref="R149:V149"/>
    <mergeCell ref="R150:V150"/>
    <mergeCell ref="R151:V151"/>
    <mergeCell ref="R152:V152"/>
    <mergeCell ref="R139:V139"/>
    <mergeCell ref="R140:V140"/>
    <mergeCell ref="R141:V141"/>
    <mergeCell ref="R142:V142"/>
    <mergeCell ref="K144:N144"/>
    <mergeCell ref="R144:U144"/>
    <mergeCell ref="R159:V159"/>
    <mergeCell ref="R160:V160"/>
    <mergeCell ref="R161:V161"/>
    <mergeCell ref="R162:V162"/>
    <mergeCell ref="R163:V163"/>
    <mergeCell ref="R164:V164"/>
    <mergeCell ref="P153:P155"/>
    <mergeCell ref="R153:V153"/>
    <mergeCell ref="R155:T155"/>
    <mergeCell ref="R156:V156"/>
    <mergeCell ref="R157:V157"/>
    <mergeCell ref="R158:V158"/>
    <mergeCell ref="R180:V180"/>
    <mergeCell ref="R182:V182"/>
    <mergeCell ref="C183:F183"/>
    <mergeCell ref="R183:V183"/>
    <mergeCell ref="R184:V184"/>
    <mergeCell ref="R187:V187"/>
    <mergeCell ref="R165:V165"/>
    <mergeCell ref="R166:V166"/>
    <mergeCell ref="R167:V167"/>
    <mergeCell ref="H174:I174"/>
    <mergeCell ref="R178:V178"/>
    <mergeCell ref="C179:F179"/>
    <mergeCell ref="R179:V179"/>
    <mergeCell ref="R193:V193"/>
    <mergeCell ref="R196:V196"/>
    <mergeCell ref="C197:F197"/>
    <mergeCell ref="R197:V197"/>
    <mergeCell ref="R198:V198"/>
    <mergeCell ref="R200:V200"/>
    <mergeCell ref="C188:F188"/>
    <mergeCell ref="R188:V188"/>
    <mergeCell ref="R189:V189"/>
    <mergeCell ref="R191:V191"/>
    <mergeCell ref="C192:F192"/>
    <mergeCell ref="R192:V192"/>
    <mergeCell ref="R207:V207"/>
    <mergeCell ref="R209:V209"/>
    <mergeCell ref="C210:F210"/>
    <mergeCell ref="R210:V210"/>
    <mergeCell ref="R211:V211"/>
    <mergeCell ref="R215:V215"/>
    <mergeCell ref="C201:F201"/>
    <mergeCell ref="R201:V201"/>
    <mergeCell ref="R202:V202"/>
    <mergeCell ref="R205:V205"/>
    <mergeCell ref="C206:F206"/>
    <mergeCell ref="R206:V206"/>
    <mergeCell ref="B219:E219"/>
    <mergeCell ref="F219:G219"/>
    <mergeCell ref="R219:V219"/>
    <mergeCell ref="F216:G216"/>
    <mergeCell ref="K216:L216"/>
    <mergeCell ref="R216:V216"/>
    <mergeCell ref="F217:G217"/>
    <mergeCell ref="K217:L217"/>
    <mergeCell ref="R217:V217"/>
    <mergeCell ref="F220:G220"/>
    <mergeCell ref="R220:V220"/>
    <mergeCell ref="R221:V221"/>
    <mergeCell ref="R222:V222"/>
    <mergeCell ref="F223:G223"/>
    <mergeCell ref="K223:L223"/>
    <mergeCell ref="R223:V223"/>
    <mergeCell ref="F218:G218"/>
    <mergeCell ref="K218:L218"/>
    <mergeCell ref="N218:O218"/>
    <mergeCell ref="R218:V218"/>
    <mergeCell ref="F227:G227"/>
    <mergeCell ref="K227:L227"/>
    <mergeCell ref="M227:M230"/>
    <mergeCell ref="R227:V227"/>
    <mergeCell ref="F224:G224"/>
    <mergeCell ref="K224:L224"/>
    <mergeCell ref="R224:V224"/>
    <mergeCell ref="F225:G225"/>
    <mergeCell ref="K225:L225"/>
    <mergeCell ref="R225:V225"/>
    <mergeCell ref="H244:I244"/>
    <mergeCell ref="R244:V244"/>
    <mergeCell ref="R246:V246"/>
    <mergeCell ref="A249:L249"/>
    <mergeCell ref="M249:P249"/>
    <mergeCell ref="Q249:T249"/>
    <mergeCell ref="F237:G237"/>
    <mergeCell ref="K237:L237"/>
    <mergeCell ref="R237:V237"/>
    <mergeCell ref="F238:G238"/>
    <mergeCell ref="R238:V238"/>
    <mergeCell ref="B239:E239"/>
    <mergeCell ref="F239:G239"/>
    <mergeCell ref="R239:V239"/>
    <mergeCell ref="M232:M238"/>
    <mergeCell ref="R232:V232"/>
    <mergeCell ref="F233:G233"/>
    <mergeCell ref="K233:L233"/>
    <mergeCell ref="N233:P233"/>
    <mergeCell ref="R233:V233"/>
    <mergeCell ref="F234:G234"/>
    <mergeCell ref="K234:L234"/>
    <mergeCell ref="R234:V234"/>
    <mergeCell ref="F235:G235"/>
    <mergeCell ref="R77:V77"/>
    <mergeCell ref="C72:E79"/>
    <mergeCell ref="A56:B95"/>
    <mergeCell ref="F240:G240"/>
    <mergeCell ref="R240:V240"/>
    <mergeCell ref="R231:V231"/>
    <mergeCell ref="F232:G232"/>
    <mergeCell ref="K232:L232"/>
    <mergeCell ref="K235:L235"/>
    <mergeCell ref="R235:V235"/>
    <mergeCell ref="F236:G236"/>
    <mergeCell ref="I236:J236"/>
    <mergeCell ref="K236:L236"/>
    <mergeCell ref="R236:V236"/>
    <mergeCell ref="B228:E228"/>
    <mergeCell ref="F228:G228"/>
    <mergeCell ref="R228:V228"/>
    <mergeCell ref="F229:G229"/>
    <mergeCell ref="R229:V229"/>
    <mergeCell ref="R230:V230"/>
    <mergeCell ref="F226:G226"/>
    <mergeCell ref="I226:J226"/>
    <mergeCell ref="K226:L226"/>
    <mergeCell ref="R226:V226"/>
  </mergeCells>
  <conditionalFormatting sqref="H10">
    <cfRule type="expression" priority="15" stopIfTrue="1">
      <formula>AND($B10="PHA", $H10&gt;0)</formula>
    </cfRule>
  </conditionalFormatting>
  <conditionalFormatting sqref="T125 T100:T102 T111 T91">
    <cfRule type="cellIs" dxfId="64" priority="16" stopIfTrue="1" operator="greaterThan">
      <formula>0</formula>
    </cfRule>
  </conditionalFormatting>
  <conditionalFormatting sqref="A10:A47">
    <cfRule type="cellIs" dxfId="63" priority="17" stopIfTrue="1" operator="equal">
      <formula>1</formula>
    </cfRule>
  </conditionalFormatting>
  <conditionalFormatting sqref="I10:I47">
    <cfRule type="expression" priority="14" stopIfTrue="1">
      <formula>AND($B10="PHA", $H10&gt;0)</formula>
    </cfRule>
  </conditionalFormatting>
  <conditionalFormatting sqref="O174">
    <cfRule type="cellIs" dxfId="62" priority="13" operator="greaterThan">
      <formula>0.02</formula>
    </cfRule>
  </conditionalFormatting>
  <conditionalFormatting sqref="P10:P47">
    <cfRule type="expression" dxfId="61" priority="12">
      <formula>AND($O$10="New Construction",$P$10="Yes")</formula>
    </cfRule>
  </conditionalFormatting>
  <conditionalFormatting sqref="J56:O67 J92:O153 J155:O167">
    <cfRule type="cellIs" dxfId="60" priority="10" operator="equal">
      <formula>0</formula>
    </cfRule>
  </conditionalFormatting>
  <conditionalFormatting sqref="B49:C49">
    <cfRule type="cellIs" dxfId="59" priority="9" operator="greaterThan">
      <formula>60.0000001</formula>
    </cfRule>
  </conditionalFormatting>
  <conditionalFormatting sqref="K53:N53">
    <cfRule type="containsText" dxfId="58" priority="8" operator="containsText" text="&lt;&lt; Select LIHTC Election &gt;&gt;">
      <formula>NOT(ISERROR(SEARCH("&lt;&lt; Select LIHTC Election &gt;&gt;",K53)))</formula>
    </cfRule>
  </conditionalFormatting>
  <conditionalFormatting sqref="T154">
    <cfRule type="cellIs" dxfId="57" priority="7" stopIfTrue="1" operator="greaterThan">
      <formula>0</formula>
    </cfRule>
  </conditionalFormatting>
  <conditionalFormatting sqref="J154:O154">
    <cfRule type="cellIs" dxfId="56" priority="6" operator="equal">
      <formula>0</formula>
    </cfRule>
  </conditionalFormatting>
  <conditionalFormatting sqref="K101:N101">
    <cfRule type="cellIs" dxfId="55" priority="3" operator="equal">
      <formula>"&lt;&lt; Select LIHTC Election &gt;&gt;"</formula>
    </cfRule>
    <cfRule type="containsText" dxfId="54" priority="5" operator="containsText" text="&lt;&lt; Select Election or Income Averaging &gt;&gt;">
      <formula>NOT(ISERROR(SEARCH("&lt;&lt; Select Election or Income Averaging &gt;&gt;",K101)))</formula>
    </cfRule>
  </conditionalFormatting>
  <conditionalFormatting sqref="K144:N144">
    <cfRule type="cellIs" dxfId="53" priority="2" operator="equal">
      <formula>"&lt;&lt; Select LIHTC Election &gt;&gt;"</formula>
    </cfRule>
    <cfRule type="containsText" dxfId="52" priority="4" operator="containsText" text="&lt;&lt; Select Election or Income Averaging &gt;&gt;">
      <formula>NOT(ISERROR(SEARCH("&lt;&lt; Select Election or Income Averaging &gt;&gt;",K144)))</formula>
    </cfRule>
  </conditionalFormatting>
  <conditionalFormatting sqref="T69">
    <cfRule type="cellIs" dxfId="51" priority="1" stopIfTrue="1" operator="greaterThan">
      <formula>0</formula>
    </cfRule>
  </conditionalFormatting>
  <dataValidations count="12">
    <dataValidation type="list" allowBlank="1" showInputMessage="1" showErrorMessage="1" sqref="I246 K246" xr:uid="{00000000-0002-0000-0900-000000000000}">
      <formula1>"&lt;&lt;Select&gt;&gt;,Yes, No"</formula1>
    </dataValidation>
    <dataValidation type="list" allowBlank="1" showInputMessage="1" showErrorMessage="1" sqref="B17:B47" xr:uid="{00000000-0002-0000-0900-000001000000}">
      <formula1>"20, 30, 40, 50, 60, 70, 80"</formula1>
    </dataValidation>
    <dataValidation type="list" allowBlank="1" showInputMessage="1" showErrorMessage="1" sqref="B10:B16" xr:uid="{00000000-0002-0000-0900-000002000000}">
      <formula1>"Select Mkt/CS, Unrestricted, N/A-CS"</formula1>
    </dataValidation>
    <dataValidation type="list" allowBlank="1" showInputMessage="1" showErrorMessage="1" sqref="F6" xr:uid="{00000000-0002-0000-0900-000003000000}">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4000000}">
      <formula1>"Yes, No"</formula1>
    </dataValidation>
    <dataValidation type="list" allowBlank="1" showInputMessage="1" showErrorMessage="1" errorTitle="Invalid Entry" error="Please select from the choices provided." sqref="O10:O47" xr:uid="{00000000-0002-0000-0900-000005000000}">
      <formula1>"New Construction, Rehabilitation, Acquisition/Rehab"</formula1>
    </dataValidation>
    <dataValidation type="list" allowBlank="1" showInputMessage="1" showErrorMessage="1" sqref="D10:D47" xr:uid="{00000000-0002-0000-0900-000006000000}">
      <formula1>"0, 1.0, 1.5, 2.0, 2.5, 3.0, 3.5, 4.0"</formula1>
    </dataValidation>
    <dataValidation type="list" allowBlank="1" showInputMessage="1" showErrorMessage="1" sqref="C10:C47" xr:uid="{00000000-0002-0000-0900-000007000000}">
      <formula1>"Efficiency, 1, 2, 3, 4"</formula1>
    </dataValidation>
    <dataValidation type="list" allowBlank="1" showInputMessage="1" showErrorMessage="1" sqref="N10:N47" xr:uid="{00000000-0002-0000-0900-000008000000}">
      <formula1>"SF Detached, Mfd Home, Duplex, Townhome, 1-Story, 2-Story, 2-Story Walkup, 3+ Story"</formula1>
    </dataValidation>
    <dataValidation type="list" allowBlank="1" showErrorMessage="1" sqref="M10:M47" xr:uid="{00000000-0002-0000-0900-000009000000}">
      <formula1>"No, Common Space, Residential"</formula1>
    </dataValidation>
    <dataValidation type="list" allowBlank="1" showInputMessage="1" showErrorMessage="1" sqref="J10:J47" xr:uid="{00000000-0002-0000-0900-00000A000000}">
      <formula1>"HUD, PHA PBRA, USDA, Other Govt,RAD,  PHA Oper Sub"</formula1>
    </dataValidation>
    <dataValidation type="list" allowBlank="1" showInputMessage="1" showErrorMessage="1" sqref="G5" xr:uid="{00000000-0002-0000-0900-00000B000000}">
      <formula1>"&lt;Select&gt;,Fixed, Floating"</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Affairs&amp;C&amp;11OHF Cost Certification Application&amp;RHousing Finance and Development Division</oddHeader>
    <oddFooter>&amp;L&amp;G &amp;9&amp;F&amp;C&amp;9&amp;A&amp;R&amp;9&amp;P of &amp;N</oddFooter>
  </headerFooter>
  <rowBreaks count="6" manualBreakCount="6">
    <brk id="52" max="16383" man="1"/>
    <brk id="99" max="16383" man="1"/>
    <brk id="142" max="16383" man="1"/>
    <brk id="171" max="16383" man="1"/>
    <brk id="211" max="16383" man="1"/>
    <brk id="247" max="16383" man="1"/>
  </rowBreaks>
  <ignoredErrors>
    <ignoredError sqref="J66:N66"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pageSetUpPr fitToPage="1"/>
  </sheetPr>
  <dimension ref="A1:KK93"/>
  <sheetViews>
    <sheetView showGridLines="0" showZeros="0" zoomScaleNormal="100" zoomScaleSheetLayoutView="40" workbookViewId="0">
      <selection activeCell="V35" sqref="V35"/>
    </sheetView>
  </sheetViews>
  <sheetFormatPr defaultColWidth="9.140625" defaultRowHeight="12.75"/>
  <cols>
    <col min="1" max="1" width="3" style="11" customWidth="1"/>
    <col min="2" max="2" width="2.5703125" style="11" customWidth="1"/>
    <col min="3" max="3" width="2.28515625" style="11" customWidth="1"/>
    <col min="4" max="4" width="8.85546875" style="11" customWidth="1"/>
    <col min="5" max="5" width="8.7109375" style="11" customWidth="1"/>
    <col min="6" max="6" width="7" style="11" customWidth="1"/>
    <col min="7" max="7" width="1.7109375" style="11" customWidth="1"/>
    <col min="8" max="8" width="9.85546875" style="11" customWidth="1"/>
    <col min="9" max="9" width="10" style="11" customWidth="1"/>
    <col min="10" max="10" width="9.42578125" style="11" customWidth="1"/>
    <col min="11" max="11" width="6.7109375" style="11" customWidth="1"/>
    <col min="12" max="12" width="7" style="11" customWidth="1"/>
    <col min="13" max="13" width="1.7109375" style="11" customWidth="1"/>
    <col min="14" max="14" width="9.85546875" style="11" customWidth="1"/>
    <col min="15" max="15" width="10" style="11" customWidth="1"/>
    <col min="16" max="16" width="9.42578125" style="11" customWidth="1"/>
    <col min="17" max="17" width="6.7109375" style="11" customWidth="1"/>
    <col min="18" max="18" width="8.85546875" style="11" customWidth="1"/>
    <col min="19" max="19" width="9" style="11" customWidth="1"/>
    <col min="20" max="32" width="9.140625" style="11"/>
    <col min="33" max="34" width="9.140625" style="30"/>
    <col min="35" max="16384" width="9.140625" style="11"/>
  </cols>
  <sheetData>
    <row r="1" spans="1:297" ht="15" customHeight="1">
      <c r="A1" s="2132" t="str">
        <f>"PROJECT COST LIMIT (PCL) CALCULATION for:  "&amp;'Part I-Project Information'!O4&amp;"  "&amp;'Part I-Project Information'!F24</f>
        <v>PROJECT COST LIMIT (PCL) CALCULATION for:  20##-###  SB OHF Test Villas</v>
      </c>
      <c r="B1" s="2133"/>
      <c r="C1" s="2133"/>
      <c r="D1" s="2133"/>
      <c r="E1" s="2133"/>
      <c r="F1" s="2133"/>
      <c r="G1" s="2427"/>
      <c r="H1" s="2133"/>
      <c r="I1" s="2133"/>
      <c r="J1" s="2133"/>
      <c r="K1" s="2133"/>
      <c r="L1" s="2133"/>
      <c r="M1" s="2427"/>
      <c r="N1" s="2133"/>
      <c r="O1" s="2133"/>
      <c r="P1" s="2133"/>
      <c r="Q1" s="2133"/>
      <c r="R1" s="2133"/>
      <c r="S1" s="2133"/>
    </row>
    <row r="2" spans="1:297" s="7" customFormat="1" ht="3" customHeight="1">
      <c r="U2" s="11"/>
      <c r="V2" s="11"/>
      <c r="AG2" s="28"/>
      <c r="AH2" s="28"/>
    </row>
    <row r="3" spans="1:297" ht="29.25" customHeight="1">
      <c r="A3" s="2431" t="s">
        <v>3228</v>
      </c>
      <c r="B3" s="2431"/>
      <c r="C3" s="2431"/>
      <c r="D3" s="2431"/>
      <c r="E3" s="2431"/>
      <c r="F3" s="2431"/>
      <c r="G3" s="2431"/>
      <c r="H3" s="2431"/>
      <c r="I3" s="2431"/>
      <c r="J3" s="2431"/>
      <c r="K3" s="2431"/>
      <c r="L3" s="2431"/>
      <c r="M3" s="2431"/>
      <c r="N3" s="2431"/>
      <c r="O3" s="2431"/>
      <c r="P3" s="2431"/>
      <c r="Q3" s="2431"/>
      <c r="R3" s="2431"/>
      <c r="S3" s="2431"/>
    </row>
    <row r="4" spans="1:297" ht="13.5" customHeight="1">
      <c r="A4" s="961"/>
      <c r="B4" s="961"/>
      <c r="C4" s="961"/>
      <c r="D4" s="961"/>
      <c r="E4" s="961"/>
      <c r="F4" s="961"/>
      <c r="G4" s="964"/>
      <c r="H4" s="961"/>
      <c r="I4" s="961"/>
      <c r="J4" s="961"/>
      <c r="K4" s="961"/>
      <c r="L4" s="961"/>
      <c r="M4" s="964"/>
      <c r="N4" s="961"/>
      <c r="O4" s="961"/>
      <c r="P4" s="961"/>
      <c r="Q4" s="961"/>
      <c r="R4" s="961"/>
      <c r="S4" s="961"/>
    </row>
    <row r="5" spans="1:297" ht="13.5" customHeight="1">
      <c r="B5" s="960"/>
      <c r="C5" s="960"/>
      <c r="D5" s="960"/>
      <c r="E5" s="960"/>
      <c r="F5" s="2432" t="s">
        <v>2358</v>
      </c>
      <c r="G5" s="2433"/>
      <c r="H5" s="2433"/>
      <c r="I5" s="2433"/>
      <c r="J5" s="2434"/>
      <c r="K5" s="13"/>
      <c r="L5" s="2441" t="s">
        <v>3007</v>
      </c>
      <c r="M5" s="2442"/>
      <c r="N5" s="2442"/>
      <c r="O5" s="2442"/>
      <c r="P5" s="2443"/>
      <c r="R5" s="2445" t="s">
        <v>3649</v>
      </c>
      <c r="S5" s="2445"/>
    </row>
    <row r="6" spans="1:297" ht="13.5" customHeight="1">
      <c r="A6" s="960"/>
      <c r="B6" s="960"/>
      <c r="C6" s="960"/>
      <c r="D6" s="960"/>
      <c r="E6" s="960"/>
      <c r="F6" s="2435" t="s">
        <v>324</v>
      </c>
      <c r="G6" s="2436"/>
      <c r="H6" s="2436"/>
      <c r="I6" s="2436"/>
      <c r="J6" s="2437"/>
      <c r="K6" s="13"/>
      <c r="L6" s="2438" t="s">
        <v>3008</v>
      </c>
      <c r="M6" s="2439"/>
      <c r="N6" s="2439"/>
      <c r="O6" s="2439"/>
      <c r="P6" s="2440"/>
      <c r="R6" s="2445"/>
      <c r="S6" s="2445"/>
    </row>
    <row r="7" spans="1:297" ht="3" customHeight="1">
      <c r="A7" s="960"/>
      <c r="B7" s="960"/>
      <c r="C7" s="960"/>
      <c r="D7" s="960"/>
      <c r="E7" s="960"/>
      <c r="F7" s="960"/>
      <c r="G7" s="960"/>
      <c r="H7" s="91"/>
      <c r="I7" s="91"/>
      <c r="J7" s="91"/>
      <c r="K7" s="13"/>
      <c r="L7" s="2430"/>
      <c r="M7" s="2430"/>
      <c r="N7" s="2430"/>
      <c r="O7" s="2430"/>
      <c r="P7" s="2430"/>
    </row>
    <row r="8" spans="1:297" ht="6" customHeight="1">
      <c r="A8" s="960"/>
      <c r="B8" s="960"/>
      <c r="C8" s="960"/>
      <c r="D8" s="960"/>
      <c r="E8" s="960"/>
      <c r="F8" s="960"/>
      <c r="G8" s="960"/>
      <c r="H8" s="91"/>
      <c r="I8" s="91"/>
      <c r="J8" s="91"/>
      <c r="K8" s="13"/>
      <c r="L8" s="841"/>
      <c r="M8" s="963"/>
      <c r="N8" s="841"/>
      <c r="O8" s="841"/>
      <c r="P8" s="841"/>
      <c r="R8" s="2197"/>
      <c r="S8" s="2199"/>
    </row>
    <row r="9" spans="1:297" s="20" customFormat="1" ht="25.5" customHeight="1">
      <c r="A9" s="2444" t="s">
        <v>3227</v>
      </c>
      <c r="B9" s="2444"/>
      <c r="D9" s="537" t="s">
        <v>2357</v>
      </c>
      <c r="E9" s="11"/>
      <c r="F9" s="538" t="s">
        <v>3009</v>
      </c>
      <c r="G9" s="972"/>
      <c r="H9" s="973" t="s">
        <v>3224</v>
      </c>
      <c r="I9" s="972"/>
      <c r="J9" s="973" t="s">
        <v>3225</v>
      </c>
      <c r="K9" s="11"/>
      <c r="L9" s="538" t="s">
        <v>3009</v>
      </c>
      <c r="M9" s="972"/>
      <c r="N9" s="973" t="s">
        <v>3224</v>
      </c>
      <c r="O9" s="972"/>
      <c r="P9" s="973" t="s">
        <v>3225</v>
      </c>
      <c r="Q9" s="11"/>
      <c r="R9" s="2203"/>
      <c r="S9" s="2205"/>
      <c r="T9" s="288"/>
      <c r="W9" s="11"/>
      <c r="X9" s="301"/>
      <c r="Y9" s="301"/>
      <c r="Z9" s="302"/>
      <c r="AA9" s="301"/>
      <c r="AB9" s="304"/>
      <c r="AC9" s="305"/>
      <c r="AD9" s="305"/>
      <c r="AE9" s="305"/>
      <c r="AF9" s="305"/>
      <c r="AG9" s="305"/>
      <c r="AH9" s="305"/>
      <c r="AI9" s="554"/>
      <c r="AJ9" s="300"/>
      <c r="AK9" s="300"/>
      <c r="AL9" s="300"/>
      <c r="AM9" s="300"/>
      <c r="AN9" s="300"/>
      <c r="AO9" s="300"/>
      <c r="AP9" s="300"/>
      <c r="AQ9" s="300"/>
      <c r="AR9" s="300"/>
      <c r="AS9" s="300"/>
      <c r="AT9" s="300"/>
      <c r="AU9" s="300"/>
      <c r="AV9" s="300"/>
      <c r="AW9" s="300"/>
      <c r="AX9" s="300"/>
      <c r="AY9" s="300"/>
      <c r="AZ9" s="300"/>
      <c r="BA9" s="300"/>
      <c r="BB9" s="300"/>
      <c r="BC9" s="300"/>
      <c r="BD9" s="300"/>
      <c r="BE9" s="300"/>
      <c r="BF9" s="300"/>
      <c r="BG9" s="300"/>
      <c r="BH9" s="300"/>
      <c r="BI9" s="300"/>
      <c r="BJ9" s="300"/>
      <c r="BK9" s="300"/>
      <c r="BL9" s="300"/>
      <c r="BM9" s="300"/>
      <c r="BN9" s="300"/>
      <c r="BO9" s="300"/>
      <c r="BP9" s="300"/>
      <c r="BQ9" s="300"/>
      <c r="BR9" s="300"/>
      <c r="BS9" s="300"/>
      <c r="BT9" s="300"/>
      <c r="BU9" s="300"/>
      <c r="BV9" s="300"/>
      <c r="BW9" s="300"/>
      <c r="BX9" s="300"/>
      <c r="BY9" s="300"/>
      <c r="BZ9" s="300"/>
      <c r="CA9" s="300"/>
      <c r="CB9" s="300"/>
      <c r="CC9" s="300"/>
      <c r="CD9" s="300"/>
      <c r="CE9" s="300"/>
      <c r="CF9" s="300"/>
      <c r="CG9" s="300"/>
      <c r="CH9" s="300"/>
      <c r="CI9" s="300"/>
      <c r="CJ9" s="300"/>
      <c r="CK9" s="300"/>
      <c r="CL9" s="300"/>
      <c r="CM9" s="300"/>
      <c r="CN9" s="300"/>
      <c r="CO9" s="300"/>
      <c r="CP9" s="300"/>
      <c r="CQ9" s="300"/>
      <c r="CR9" s="300"/>
      <c r="CS9" s="300"/>
      <c r="CT9" s="300"/>
      <c r="CU9" s="300"/>
      <c r="CV9" s="300"/>
      <c r="CW9" s="300"/>
      <c r="CX9" s="300"/>
      <c r="CY9" s="300"/>
      <c r="CZ9" s="300"/>
      <c r="DA9" s="300"/>
      <c r="DB9" s="300"/>
      <c r="DC9" s="300"/>
      <c r="DD9" s="300"/>
      <c r="DE9" s="300"/>
      <c r="DF9" s="300"/>
      <c r="DG9" s="300"/>
      <c r="DH9" s="300"/>
      <c r="DI9" s="300"/>
      <c r="DJ9" s="300"/>
      <c r="DK9" s="300"/>
      <c r="DL9" s="300"/>
      <c r="DM9" s="300"/>
      <c r="DN9" s="300"/>
      <c r="DO9" s="300"/>
      <c r="DP9" s="300"/>
      <c r="DQ9" s="300"/>
      <c r="DR9" s="300"/>
      <c r="DS9" s="300"/>
      <c r="DT9" s="300"/>
      <c r="DU9" s="300"/>
      <c r="DV9" s="300"/>
      <c r="DW9" s="300"/>
      <c r="DX9" s="300"/>
      <c r="DY9" s="300"/>
      <c r="DZ9" s="300"/>
      <c r="EA9" s="300"/>
      <c r="EB9" s="300"/>
      <c r="EC9" s="300"/>
      <c r="ED9" s="300"/>
      <c r="EE9" s="300"/>
      <c r="EF9" s="300"/>
      <c r="EG9" s="300"/>
      <c r="EH9" s="300"/>
      <c r="EI9" s="300"/>
      <c r="EJ9" s="300"/>
      <c r="EK9" s="300"/>
      <c r="EL9" s="300"/>
      <c r="EM9" s="300"/>
      <c r="EN9" s="300"/>
      <c r="EO9" s="300"/>
      <c r="EP9" s="300"/>
      <c r="EQ9" s="300"/>
      <c r="ER9" s="300"/>
      <c r="ES9" s="300"/>
      <c r="ET9" s="300"/>
      <c r="EU9" s="300"/>
      <c r="EV9" s="300"/>
      <c r="EW9" s="300"/>
      <c r="EX9" s="300"/>
      <c r="EY9" s="300"/>
      <c r="EZ9" s="300"/>
      <c r="FA9" s="300"/>
      <c r="FB9" s="300"/>
      <c r="FC9" s="300"/>
      <c r="FD9" s="300"/>
      <c r="FE9" s="300"/>
      <c r="FF9" s="300"/>
      <c r="FG9" s="300"/>
      <c r="FH9" s="300"/>
      <c r="FI9" s="300"/>
      <c r="FJ9" s="300"/>
      <c r="FK9" s="300"/>
      <c r="FL9" s="300"/>
      <c r="FM9" s="300"/>
      <c r="FN9" s="300"/>
      <c r="FO9" s="300"/>
      <c r="FP9" s="300"/>
      <c r="FQ9" s="300"/>
      <c r="FR9" s="300"/>
      <c r="FS9" s="300"/>
      <c r="FT9" s="300"/>
      <c r="FU9" s="300"/>
      <c r="FV9" s="300"/>
      <c r="FW9" s="300"/>
      <c r="FX9" s="300"/>
      <c r="FY9" s="300"/>
      <c r="FZ9" s="300"/>
      <c r="GA9" s="300"/>
      <c r="GB9" s="300"/>
      <c r="GC9" s="300"/>
      <c r="GD9" s="300"/>
      <c r="GE9" s="300"/>
      <c r="GF9" s="300"/>
      <c r="GG9" s="300"/>
      <c r="GH9" s="300"/>
      <c r="GI9" s="300"/>
      <c r="GJ9" s="300"/>
      <c r="GK9" s="300"/>
      <c r="GL9" s="300"/>
      <c r="GM9" s="300"/>
      <c r="GN9" s="300"/>
      <c r="GO9" s="300"/>
      <c r="GP9" s="300"/>
      <c r="GQ9" s="300"/>
      <c r="GR9" s="300"/>
      <c r="GS9" s="300"/>
      <c r="GT9" s="300"/>
      <c r="GU9" s="300"/>
      <c r="GV9" s="300"/>
      <c r="GW9" s="300"/>
      <c r="GX9" s="300"/>
      <c r="GY9" s="300"/>
      <c r="GZ9" s="300"/>
      <c r="HA9" s="300"/>
      <c r="HB9" s="300"/>
      <c r="HC9" s="300"/>
      <c r="HD9" s="300"/>
      <c r="HE9" s="300"/>
      <c r="HF9" s="300"/>
      <c r="HG9" s="300"/>
      <c r="HH9" s="300"/>
      <c r="HI9" s="300"/>
      <c r="HJ9" s="300"/>
      <c r="HK9" s="300"/>
      <c r="HL9" s="300"/>
      <c r="HM9" s="300"/>
      <c r="HN9" s="300"/>
      <c r="HO9" s="300"/>
      <c r="HP9" s="300"/>
      <c r="HQ9" s="300"/>
      <c r="HR9" s="300"/>
      <c r="HS9" s="300"/>
      <c r="HT9" s="300"/>
      <c r="HU9" s="300"/>
      <c r="HV9" s="300"/>
      <c r="HW9" s="300"/>
      <c r="HX9" s="300"/>
      <c r="HY9" s="300"/>
      <c r="HZ9" s="300"/>
      <c r="IA9" s="300"/>
      <c r="IB9" s="300"/>
      <c r="IC9" s="300"/>
      <c r="ID9" s="300"/>
      <c r="IE9" s="300"/>
      <c r="IF9" s="300"/>
      <c r="IG9" s="300"/>
      <c r="IH9" s="300"/>
      <c r="II9" s="300"/>
      <c r="IJ9" s="300"/>
      <c r="IK9" s="300"/>
      <c r="IL9" s="303"/>
      <c r="IM9" s="303"/>
      <c r="IN9" s="300"/>
      <c r="IO9" s="300"/>
      <c r="IP9" s="300"/>
      <c r="IQ9" s="300"/>
      <c r="IR9" s="300"/>
      <c r="IS9" s="300"/>
      <c r="IT9" s="300"/>
      <c r="IU9" s="300"/>
      <c r="IV9" s="300"/>
      <c r="IW9" s="300"/>
      <c r="IX9" s="300"/>
      <c r="IY9" s="300"/>
      <c r="IZ9" s="300"/>
      <c r="JA9" s="300"/>
      <c r="JB9" s="300"/>
      <c r="JC9" s="303"/>
      <c r="JD9" s="300"/>
      <c r="JE9" s="300"/>
      <c r="JF9" s="33"/>
      <c r="JG9" s="33"/>
      <c r="JH9" s="33"/>
      <c r="JI9" s="33"/>
      <c r="JJ9" s="33"/>
      <c r="JK9" s="33"/>
      <c r="JL9" s="33"/>
      <c r="JM9" s="33"/>
      <c r="JN9" s="33"/>
      <c r="JO9" s="33"/>
      <c r="JP9" s="33"/>
      <c r="JQ9" s="33"/>
      <c r="JR9" s="33"/>
      <c r="JS9" s="33"/>
      <c r="JT9" s="33"/>
      <c r="JU9" s="33"/>
      <c r="JV9" s="33"/>
      <c r="JW9" s="33"/>
      <c r="JX9" s="33"/>
      <c r="JY9" s="33"/>
      <c r="JZ9" s="33"/>
      <c r="KA9" s="33"/>
      <c r="KB9" s="33"/>
      <c r="KC9" s="33"/>
      <c r="KD9" s="33"/>
      <c r="KE9" s="33"/>
      <c r="KF9" s="33"/>
      <c r="KG9" s="33"/>
      <c r="KH9" s="33"/>
      <c r="KI9" s="33"/>
      <c r="KJ9" s="33"/>
      <c r="KK9" s="33"/>
    </row>
    <row r="10" spans="1:297" ht="6" customHeight="1">
      <c r="A10" s="962"/>
      <c r="B10" s="510"/>
      <c r="C10" s="840"/>
      <c r="D10" s="840"/>
      <c r="E10" s="840"/>
      <c r="F10" s="840"/>
      <c r="G10" s="965"/>
      <c r="H10" s="840"/>
      <c r="I10" s="840"/>
      <c r="J10" s="840"/>
      <c r="K10" s="840"/>
      <c r="L10" s="840"/>
      <c r="M10" s="965"/>
      <c r="N10" s="840"/>
      <c r="O10" s="840"/>
      <c r="P10" s="840"/>
      <c r="Q10" s="840"/>
      <c r="R10" s="840"/>
      <c r="S10" s="839"/>
    </row>
    <row r="11" spans="1:297" s="20" customFormat="1" ht="12.75" customHeight="1">
      <c r="A11" s="2428" t="s">
        <v>2941</v>
      </c>
      <c r="B11" s="2428"/>
      <c r="C11" s="2428"/>
      <c r="D11" s="826" t="s">
        <v>527</v>
      </c>
      <c r="E11" s="827">
        <v>0</v>
      </c>
      <c r="F11" s="828">
        <f>'Part VI-Revenues &amp; Expenses'!$J$146</f>
        <v>0</v>
      </c>
      <c r="G11" s="828"/>
      <c r="H11" s="974"/>
      <c r="I11" s="510" t="str">
        <f>CONCATENATE("x ", F11," units = ")</f>
        <v xml:space="preserve">x 0 units = </v>
      </c>
      <c r="J11" s="829">
        <f>F11*H11</f>
        <v>0</v>
      </c>
      <c r="K11" s="13"/>
      <c r="L11" s="828">
        <f>'Part VI-Revenues &amp; Expenses'!$J$147</f>
        <v>0</v>
      </c>
      <c r="M11" s="828"/>
      <c r="N11" s="974"/>
      <c r="O11" s="510" t="str">
        <f>CONCATENATE("x ", L11," units = ")</f>
        <v xml:space="preserve">x 0 units = </v>
      </c>
      <c r="P11" s="829">
        <f>L11*N11</f>
        <v>0</v>
      </c>
      <c r="Q11" s="836"/>
      <c r="R11" s="2412" t="s">
        <v>3679</v>
      </c>
      <c r="S11" s="2412"/>
      <c r="T11" s="288"/>
      <c r="W11" s="11"/>
      <c r="X11" s="301"/>
      <c r="Y11" s="301"/>
      <c r="Z11" s="302"/>
      <c r="AA11" s="301"/>
      <c r="AB11" s="304"/>
      <c r="AC11" s="305"/>
      <c r="AD11" s="305"/>
      <c r="AE11" s="305"/>
      <c r="AF11" s="305"/>
      <c r="AG11" s="305"/>
      <c r="AH11" s="305"/>
      <c r="AI11" s="554"/>
      <c r="AJ11" s="300"/>
      <c r="AK11" s="300"/>
      <c r="AL11" s="300"/>
      <c r="AM11" s="300"/>
      <c r="AN11" s="300"/>
      <c r="AO11" s="300"/>
      <c r="AP11" s="300"/>
      <c r="AQ11" s="300"/>
      <c r="AR11" s="300"/>
      <c r="AS11" s="300"/>
      <c r="AT11" s="300"/>
      <c r="AU11" s="300"/>
      <c r="AV11" s="300"/>
      <c r="AW11" s="300"/>
      <c r="AX11" s="300"/>
      <c r="AY11" s="300"/>
      <c r="AZ11" s="300"/>
      <c r="BA11" s="300"/>
      <c r="BB11" s="300"/>
      <c r="BC11" s="300"/>
      <c r="BD11" s="300"/>
      <c r="BE11" s="300"/>
      <c r="BF11" s="300"/>
      <c r="BG11" s="300"/>
      <c r="BH11" s="300"/>
      <c r="BI11" s="300"/>
      <c r="BJ11" s="300"/>
      <c r="BK11" s="300"/>
      <c r="BL11" s="300"/>
      <c r="BM11" s="300"/>
      <c r="BN11" s="300"/>
      <c r="BO11" s="300"/>
      <c r="BP11" s="300"/>
      <c r="BQ11" s="300"/>
      <c r="BR11" s="300"/>
      <c r="BS11" s="300"/>
      <c r="BT11" s="300"/>
      <c r="BU11" s="300"/>
      <c r="BV11" s="300"/>
      <c r="BW11" s="300"/>
      <c r="BX11" s="300"/>
      <c r="BY11" s="300"/>
      <c r="BZ11" s="300"/>
      <c r="CA11" s="300"/>
      <c r="CB11" s="300"/>
      <c r="CC11" s="300"/>
      <c r="CD11" s="300"/>
      <c r="CE11" s="300"/>
      <c r="CF11" s="300"/>
      <c r="CG11" s="300"/>
      <c r="CH11" s="300"/>
      <c r="CI11" s="300"/>
      <c r="CJ11" s="300"/>
      <c r="CK11" s="300"/>
      <c r="CL11" s="300"/>
      <c r="CM11" s="300"/>
      <c r="CN11" s="300"/>
      <c r="CO11" s="300"/>
      <c r="CP11" s="300"/>
      <c r="CQ11" s="300"/>
      <c r="CR11" s="300"/>
      <c r="CS11" s="300"/>
      <c r="CT11" s="300"/>
      <c r="CU11" s="300"/>
      <c r="CV11" s="300"/>
      <c r="CW11" s="300"/>
      <c r="CX11" s="300"/>
      <c r="CY11" s="300"/>
      <c r="CZ11" s="300"/>
      <c r="DA11" s="300"/>
      <c r="DB11" s="300"/>
      <c r="DC11" s="300"/>
      <c r="DD11" s="300"/>
      <c r="DE11" s="300"/>
      <c r="DF11" s="300"/>
      <c r="DG11" s="300"/>
      <c r="DH11" s="300"/>
      <c r="DI11" s="300"/>
      <c r="DJ11" s="300"/>
      <c r="DK11" s="300"/>
      <c r="DL11" s="300"/>
      <c r="DM11" s="300"/>
      <c r="DN11" s="300"/>
      <c r="DO11" s="300"/>
      <c r="DP11" s="300"/>
      <c r="DQ11" s="300"/>
      <c r="DR11" s="300"/>
      <c r="DS11" s="300"/>
      <c r="DT11" s="300"/>
      <c r="DU11" s="300"/>
      <c r="DV11" s="300"/>
      <c r="DW11" s="300"/>
      <c r="DX11" s="300"/>
      <c r="DY11" s="300"/>
      <c r="DZ11" s="300"/>
      <c r="EA11" s="300"/>
      <c r="EB11" s="300"/>
      <c r="EC11" s="300"/>
      <c r="ED11" s="300"/>
      <c r="EE11" s="300"/>
      <c r="EF11" s="300"/>
      <c r="EG11" s="300"/>
      <c r="EH11" s="300"/>
      <c r="EI11" s="300"/>
      <c r="EJ11" s="300"/>
      <c r="EK11" s="300"/>
      <c r="EL11" s="300"/>
      <c r="EM11" s="300"/>
      <c r="EN11" s="300"/>
      <c r="EO11" s="300"/>
      <c r="EP11" s="300"/>
      <c r="EQ11" s="300"/>
      <c r="ER11" s="300"/>
      <c r="ES11" s="300"/>
      <c r="ET11" s="300"/>
      <c r="EU11" s="300"/>
      <c r="EV11" s="300"/>
      <c r="EW11" s="300"/>
      <c r="EX11" s="300"/>
      <c r="EY11" s="300"/>
      <c r="EZ11" s="300"/>
      <c r="FA11" s="300"/>
      <c r="FB11" s="300"/>
      <c r="FC11" s="300"/>
      <c r="FD11" s="300"/>
      <c r="FE11" s="300"/>
      <c r="FF11" s="300"/>
      <c r="FG11" s="300"/>
      <c r="FH11" s="300"/>
      <c r="FI11" s="300"/>
      <c r="FJ11" s="300"/>
      <c r="FK11" s="300"/>
      <c r="FL11" s="300"/>
      <c r="FM11" s="300"/>
      <c r="FN11" s="300"/>
      <c r="FO11" s="300"/>
      <c r="FP11" s="300"/>
      <c r="FQ11" s="300"/>
      <c r="FR11" s="300"/>
      <c r="FS11" s="300"/>
      <c r="FT11" s="300"/>
      <c r="FU11" s="300"/>
      <c r="FV11" s="300"/>
      <c r="FW11" s="300"/>
      <c r="FX11" s="300"/>
      <c r="FY11" s="300"/>
      <c r="FZ11" s="300"/>
      <c r="GA11" s="300"/>
      <c r="GB11" s="300"/>
      <c r="GC11" s="300"/>
      <c r="GD11" s="300"/>
      <c r="GE11" s="300"/>
      <c r="GF11" s="300"/>
      <c r="GG11" s="300"/>
      <c r="GH11" s="300"/>
      <c r="GI11" s="300"/>
      <c r="GJ11" s="300"/>
      <c r="GK11" s="300"/>
      <c r="GL11" s="300"/>
      <c r="GM11" s="300"/>
      <c r="GN11" s="300"/>
      <c r="GO11" s="300"/>
      <c r="GP11" s="300"/>
      <c r="GQ11" s="300"/>
      <c r="GR11" s="300"/>
      <c r="GS11" s="300"/>
      <c r="GT11" s="300"/>
      <c r="GU11" s="300"/>
      <c r="GV11" s="300"/>
      <c r="GW11" s="300"/>
      <c r="GX11" s="300"/>
      <c r="GY11" s="300"/>
      <c r="GZ11" s="300"/>
      <c r="HA11" s="300"/>
      <c r="HB11" s="300"/>
      <c r="HC11" s="300"/>
      <c r="HD11" s="300"/>
      <c r="HE11" s="300"/>
      <c r="HF11" s="300"/>
      <c r="HG11" s="300"/>
      <c r="HH11" s="300"/>
      <c r="HI11" s="300"/>
      <c r="HJ11" s="300"/>
      <c r="HK11" s="300"/>
      <c r="HL11" s="300"/>
      <c r="HM11" s="300"/>
      <c r="HN11" s="300"/>
      <c r="HO11" s="300"/>
      <c r="HP11" s="300"/>
      <c r="HQ11" s="300"/>
      <c r="HR11" s="300"/>
      <c r="HS11" s="300"/>
      <c r="HT11" s="300"/>
      <c r="HU11" s="300"/>
      <c r="HV11" s="300"/>
      <c r="HW11" s="300"/>
      <c r="HX11" s="300"/>
      <c r="HY11" s="300"/>
      <c r="HZ11" s="300"/>
      <c r="IA11" s="300"/>
      <c r="IB11" s="300"/>
      <c r="IC11" s="300"/>
      <c r="ID11" s="300"/>
      <c r="IE11" s="300"/>
      <c r="IF11" s="300"/>
      <c r="IG11" s="300"/>
      <c r="IH11" s="300"/>
      <c r="II11" s="300"/>
      <c r="IJ11" s="300"/>
      <c r="IK11" s="300"/>
      <c r="IL11" s="303"/>
      <c r="IM11" s="303"/>
      <c r="IN11" s="300"/>
      <c r="IO11" s="300"/>
      <c r="IP11" s="300"/>
      <c r="IQ11" s="300"/>
      <c r="IR11" s="300"/>
      <c r="IS11" s="300"/>
      <c r="IT11" s="300"/>
      <c r="IU11" s="300"/>
      <c r="IV11" s="300"/>
      <c r="IW11" s="300"/>
      <c r="IX11" s="300"/>
      <c r="IY11" s="300"/>
      <c r="IZ11" s="300"/>
      <c r="JA11" s="300"/>
      <c r="JB11" s="300"/>
      <c r="JC11" s="303"/>
      <c r="JD11" s="300"/>
      <c r="JE11" s="300"/>
      <c r="JF11" s="33"/>
      <c r="JG11" s="33"/>
      <c r="JH11" s="33"/>
      <c r="JI11" s="33"/>
      <c r="JJ11" s="33"/>
      <c r="JK11" s="33"/>
      <c r="JL11" s="33"/>
      <c r="JM11" s="33"/>
      <c r="JN11" s="33"/>
      <c r="JO11" s="33"/>
      <c r="JP11" s="33"/>
      <c r="JQ11" s="33"/>
      <c r="JR11" s="33"/>
      <c r="JS11" s="33"/>
      <c r="JT11" s="33"/>
      <c r="JU11" s="33"/>
      <c r="JV11" s="33"/>
      <c r="JW11" s="33"/>
      <c r="JX11" s="33"/>
      <c r="JY11" s="33"/>
      <c r="JZ11" s="33"/>
      <c r="KA11" s="33"/>
      <c r="KB11" s="33"/>
      <c r="KC11" s="33"/>
      <c r="KD11" s="33"/>
      <c r="KE11" s="33"/>
      <c r="KF11" s="33"/>
      <c r="KG11" s="33"/>
      <c r="KH11" s="33"/>
      <c r="KI11" s="33"/>
      <c r="KJ11" s="33"/>
      <c r="KK11" s="33"/>
    </row>
    <row r="12" spans="1:297" s="20" customFormat="1" ht="12.75" customHeight="1">
      <c r="A12" s="2428"/>
      <c r="B12" s="2428"/>
      <c r="C12" s="2428"/>
      <c r="D12" s="826" t="s">
        <v>2165</v>
      </c>
      <c r="E12" s="827">
        <v>1</v>
      </c>
      <c r="F12" s="828">
        <f>'Part VI-Revenues &amp; Expenses'!$K$146</f>
        <v>0</v>
      </c>
      <c r="G12" s="828"/>
      <c r="H12" s="974"/>
      <c r="I12" s="510" t="str">
        <f>CONCATENATE("x ", F12," units = ")</f>
        <v xml:space="preserve">x 0 units = </v>
      </c>
      <c r="J12" s="829">
        <f>F12*H12</f>
        <v>0</v>
      </c>
      <c r="K12" s="13"/>
      <c r="L12" s="828">
        <f>'Part VI-Revenues &amp; Expenses'!$K$147</f>
        <v>0</v>
      </c>
      <c r="M12" s="828"/>
      <c r="N12" s="974"/>
      <c r="O12" s="510" t="str">
        <f>CONCATENATE("x ", L12," units = ")</f>
        <v xml:space="preserve">x 0 units = </v>
      </c>
      <c r="P12" s="829">
        <f>L12*N12</f>
        <v>0</v>
      </c>
      <c r="Q12" s="836"/>
      <c r="R12" s="2412"/>
      <c r="S12" s="2412"/>
      <c r="T12" s="288"/>
      <c r="W12" s="11"/>
      <c r="X12" s="301"/>
      <c r="Y12" s="301"/>
      <c r="Z12" s="302"/>
      <c r="AA12" s="301"/>
      <c r="AB12" s="304"/>
      <c r="AC12" s="305"/>
      <c r="AD12" s="305"/>
      <c r="AE12" s="305"/>
      <c r="AF12" s="305"/>
      <c r="AG12" s="305"/>
      <c r="AH12" s="305"/>
      <c r="AI12" s="554"/>
      <c r="AJ12" s="300"/>
      <c r="AK12" s="300"/>
      <c r="AL12" s="300"/>
      <c r="AM12" s="300"/>
      <c r="AN12" s="300"/>
      <c r="AO12" s="300"/>
      <c r="AP12" s="300"/>
      <c r="AQ12" s="300"/>
      <c r="AR12" s="300"/>
      <c r="AS12" s="300"/>
      <c r="AT12" s="300"/>
      <c r="AU12" s="300"/>
      <c r="AV12" s="300"/>
      <c r="AW12" s="300"/>
      <c r="AX12" s="300"/>
      <c r="AY12" s="300"/>
      <c r="AZ12" s="300"/>
      <c r="BA12" s="300"/>
      <c r="BB12" s="300"/>
      <c r="BC12" s="300"/>
      <c r="BD12" s="300"/>
      <c r="BE12" s="300"/>
      <c r="BF12" s="300"/>
      <c r="BG12" s="300"/>
      <c r="BH12" s="300"/>
      <c r="BI12" s="300"/>
      <c r="BJ12" s="300"/>
      <c r="BK12" s="300"/>
      <c r="BL12" s="300"/>
      <c r="BM12" s="300"/>
      <c r="BN12" s="300"/>
      <c r="BO12" s="300"/>
      <c r="BP12" s="300"/>
      <c r="BQ12" s="300"/>
      <c r="BR12" s="300"/>
      <c r="BS12" s="300"/>
      <c r="BT12" s="300"/>
      <c r="BU12" s="300"/>
      <c r="BV12" s="300"/>
      <c r="BW12" s="300"/>
      <c r="BX12" s="300"/>
      <c r="BY12" s="300"/>
      <c r="BZ12" s="300"/>
      <c r="CA12" s="300"/>
      <c r="CB12" s="300"/>
      <c r="CC12" s="300"/>
      <c r="CD12" s="300"/>
      <c r="CE12" s="300"/>
      <c r="CF12" s="300"/>
      <c r="CG12" s="300"/>
      <c r="CH12" s="300"/>
      <c r="CI12" s="300"/>
      <c r="CJ12" s="300"/>
      <c r="CK12" s="300"/>
      <c r="CL12" s="300"/>
      <c r="CM12" s="300"/>
      <c r="CN12" s="300"/>
      <c r="CO12" s="300"/>
      <c r="CP12" s="300"/>
      <c r="CQ12" s="300"/>
      <c r="CR12" s="300"/>
      <c r="CS12" s="300"/>
      <c r="CT12" s="300"/>
      <c r="CU12" s="300"/>
      <c r="CV12" s="300"/>
      <c r="CW12" s="300"/>
      <c r="CX12" s="300"/>
      <c r="CY12" s="300"/>
      <c r="CZ12" s="300"/>
      <c r="DA12" s="300"/>
      <c r="DB12" s="300"/>
      <c r="DC12" s="300"/>
      <c r="DD12" s="300"/>
      <c r="DE12" s="300"/>
      <c r="DF12" s="300"/>
      <c r="DG12" s="300"/>
      <c r="DH12" s="300"/>
      <c r="DI12" s="300"/>
      <c r="DJ12" s="300"/>
      <c r="DK12" s="300"/>
      <c r="DL12" s="300"/>
      <c r="DM12" s="300"/>
      <c r="DN12" s="300"/>
      <c r="DO12" s="300"/>
      <c r="DP12" s="300"/>
      <c r="DQ12" s="300"/>
      <c r="DR12" s="300"/>
      <c r="DS12" s="300"/>
      <c r="DT12" s="300"/>
      <c r="DU12" s="300"/>
      <c r="DV12" s="300"/>
      <c r="DW12" s="300"/>
      <c r="DX12" s="300"/>
      <c r="DY12" s="300"/>
      <c r="DZ12" s="300"/>
      <c r="EA12" s="300"/>
      <c r="EB12" s="300"/>
      <c r="EC12" s="300"/>
      <c r="ED12" s="300"/>
      <c r="EE12" s="300"/>
      <c r="EF12" s="300"/>
      <c r="EG12" s="300"/>
      <c r="EH12" s="300"/>
      <c r="EI12" s="300"/>
      <c r="EJ12" s="300"/>
      <c r="EK12" s="300"/>
      <c r="EL12" s="300"/>
      <c r="EM12" s="300"/>
      <c r="EN12" s="300"/>
      <c r="EO12" s="300"/>
      <c r="EP12" s="300"/>
      <c r="EQ12" s="300"/>
      <c r="ER12" s="300"/>
      <c r="ES12" s="300"/>
      <c r="ET12" s="300"/>
      <c r="EU12" s="300"/>
      <c r="EV12" s="300"/>
      <c r="EW12" s="300"/>
      <c r="EX12" s="300"/>
      <c r="EY12" s="300"/>
      <c r="EZ12" s="300"/>
      <c r="FA12" s="300"/>
      <c r="FB12" s="300"/>
      <c r="FC12" s="300"/>
      <c r="FD12" s="300"/>
      <c r="FE12" s="300"/>
      <c r="FF12" s="300"/>
      <c r="FG12" s="300"/>
      <c r="FH12" s="300"/>
      <c r="FI12" s="300"/>
      <c r="FJ12" s="300"/>
      <c r="FK12" s="300"/>
      <c r="FL12" s="300"/>
      <c r="FM12" s="300"/>
      <c r="FN12" s="300"/>
      <c r="FO12" s="300"/>
      <c r="FP12" s="300"/>
      <c r="FQ12" s="300"/>
      <c r="FR12" s="300"/>
      <c r="FS12" s="300"/>
      <c r="FT12" s="300"/>
      <c r="FU12" s="300"/>
      <c r="FV12" s="300"/>
      <c r="FW12" s="300"/>
      <c r="FX12" s="300"/>
      <c r="FY12" s="300"/>
      <c r="FZ12" s="300"/>
      <c r="GA12" s="300"/>
      <c r="GB12" s="300"/>
      <c r="GC12" s="300"/>
      <c r="GD12" s="300"/>
      <c r="GE12" s="300"/>
      <c r="GF12" s="300"/>
      <c r="GG12" s="300"/>
      <c r="GH12" s="300"/>
      <c r="GI12" s="300"/>
      <c r="GJ12" s="300"/>
      <c r="GK12" s="300"/>
      <c r="GL12" s="300"/>
      <c r="GM12" s="300"/>
      <c r="GN12" s="300"/>
      <c r="GO12" s="300"/>
      <c r="GP12" s="300"/>
      <c r="GQ12" s="300"/>
      <c r="GR12" s="300"/>
      <c r="GS12" s="300"/>
      <c r="GT12" s="300"/>
      <c r="GU12" s="300"/>
      <c r="GV12" s="300"/>
      <c r="GW12" s="300"/>
      <c r="GX12" s="300"/>
      <c r="GY12" s="300"/>
      <c r="GZ12" s="300"/>
      <c r="HA12" s="300"/>
      <c r="HB12" s="300"/>
      <c r="HC12" s="300"/>
      <c r="HD12" s="300"/>
      <c r="HE12" s="300"/>
      <c r="HF12" s="300"/>
      <c r="HG12" s="300"/>
      <c r="HH12" s="300"/>
      <c r="HI12" s="300"/>
      <c r="HJ12" s="300"/>
      <c r="HK12" s="300"/>
      <c r="HL12" s="300"/>
      <c r="HM12" s="300"/>
      <c r="HN12" s="300"/>
      <c r="HO12" s="300"/>
      <c r="HP12" s="300"/>
      <c r="HQ12" s="300"/>
      <c r="HR12" s="300"/>
      <c r="HS12" s="300"/>
      <c r="HT12" s="300"/>
      <c r="HU12" s="300"/>
      <c r="HV12" s="300"/>
      <c r="HW12" s="300"/>
      <c r="HX12" s="300"/>
      <c r="HY12" s="300"/>
      <c r="HZ12" s="300"/>
      <c r="IA12" s="300"/>
      <c r="IB12" s="300"/>
      <c r="IC12" s="300"/>
      <c r="ID12" s="300"/>
      <c r="IE12" s="300"/>
      <c r="IF12" s="300"/>
      <c r="IG12" s="300"/>
      <c r="IH12" s="300"/>
      <c r="II12" s="300"/>
      <c r="IJ12" s="300"/>
      <c r="IK12" s="300"/>
      <c r="IL12" s="303"/>
      <c r="IM12" s="303"/>
      <c r="IN12" s="300"/>
      <c r="IO12" s="300"/>
      <c r="IP12" s="300"/>
      <c r="IQ12" s="300"/>
      <c r="IR12" s="300"/>
      <c r="IS12" s="300"/>
      <c r="IT12" s="300"/>
      <c r="IU12" s="300"/>
      <c r="IV12" s="300"/>
      <c r="IW12" s="300"/>
      <c r="IX12" s="300"/>
      <c r="IY12" s="300"/>
      <c r="IZ12" s="300"/>
      <c r="JA12" s="300"/>
      <c r="JB12" s="300"/>
      <c r="JC12" s="303"/>
      <c r="JD12" s="300"/>
      <c r="JE12" s="300"/>
      <c r="JF12" s="33"/>
      <c r="JG12" s="33"/>
      <c r="JH12" s="33"/>
      <c r="JI12" s="33"/>
      <c r="JJ12" s="33"/>
      <c r="JK12" s="33"/>
      <c r="JL12" s="33"/>
      <c r="JM12" s="33"/>
      <c r="JN12" s="33"/>
      <c r="JO12" s="33"/>
      <c r="JP12" s="33"/>
      <c r="JQ12" s="33"/>
      <c r="JR12" s="33"/>
      <c r="JS12" s="33"/>
      <c r="JT12" s="33"/>
      <c r="JU12" s="33"/>
      <c r="JV12" s="33"/>
      <c r="JW12" s="33"/>
      <c r="JX12" s="33"/>
      <c r="JY12" s="33"/>
      <c r="JZ12" s="33"/>
      <c r="KA12" s="33"/>
      <c r="KB12" s="33"/>
      <c r="KC12" s="33"/>
      <c r="KD12" s="33"/>
      <c r="KE12" s="33"/>
      <c r="KF12" s="33"/>
      <c r="KG12" s="33"/>
      <c r="KH12" s="33"/>
      <c r="KI12" s="33"/>
      <c r="KJ12" s="33"/>
      <c r="KK12" s="33"/>
    </row>
    <row r="13" spans="1:297" s="20" customFormat="1" ht="12.75" customHeight="1">
      <c r="A13" s="2428"/>
      <c r="B13" s="2428"/>
      <c r="C13" s="2428"/>
      <c r="D13" s="826" t="s">
        <v>2166</v>
      </c>
      <c r="E13" s="827">
        <v>2</v>
      </c>
      <c r="F13" s="828">
        <f>'Part VI-Revenues &amp; Expenses'!$L$146</f>
        <v>0</v>
      </c>
      <c r="G13" s="828"/>
      <c r="H13" s="974"/>
      <c r="I13" s="510" t="str">
        <f>CONCATENATE("x ", F13," units = ")</f>
        <v xml:space="preserve">x 0 units = </v>
      </c>
      <c r="J13" s="829">
        <f>F13*H13</f>
        <v>0</v>
      </c>
      <c r="K13" s="13"/>
      <c r="L13" s="828">
        <f>'Part VI-Revenues &amp; Expenses'!$L$147</f>
        <v>0</v>
      </c>
      <c r="M13" s="828"/>
      <c r="N13" s="974"/>
      <c r="O13" s="510" t="str">
        <f>CONCATENATE("x ", L13," units = ")</f>
        <v xml:space="preserve">x 0 units = </v>
      </c>
      <c r="P13" s="829">
        <f>L13*N13</f>
        <v>0</v>
      </c>
      <c r="Q13" s="836"/>
      <c r="R13" s="2412"/>
      <c r="S13" s="2412"/>
      <c r="W13" s="11"/>
      <c r="X13" s="301"/>
      <c r="Y13" s="301"/>
      <c r="Z13" s="302"/>
      <c r="AA13" s="301"/>
      <c r="AB13" s="304"/>
      <c r="AC13" s="305"/>
      <c r="AD13" s="305"/>
      <c r="AE13" s="305"/>
      <c r="AF13" s="305"/>
      <c r="AG13" s="305"/>
      <c r="AH13" s="305"/>
      <c r="AI13" s="554"/>
      <c r="AJ13" s="300"/>
      <c r="AK13" s="300"/>
      <c r="AL13" s="300"/>
      <c r="AM13" s="300"/>
      <c r="AN13" s="300"/>
      <c r="AO13" s="300"/>
      <c r="AP13" s="300"/>
      <c r="AQ13" s="300"/>
      <c r="AR13" s="300"/>
      <c r="AS13" s="300"/>
      <c r="AT13" s="300"/>
      <c r="AU13" s="300"/>
      <c r="AV13" s="300"/>
      <c r="AW13" s="300"/>
      <c r="AX13" s="300"/>
      <c r="AY13" s="300"/>
      <c r="AZ13" s="300"/>
      <c r="BA13" s="300"/>
      <c r="BB13" s="300"/>
      <c r="BC13" s="300"/>
      <c r="BD13" s="300"/>
      <c r="BE13" s="300"/>
      <c r="BF13" s="300"/>
      <c r="BG13" s="300"/>
      <c r="BH13" s="300"/>
      <c r="BI13" s="300"/>
      <c r="BJ13" s="300"/>
      <c r="BK13" s="300"/>
      <c r="BL13" s="300"/>
      <c r="BM13" s="300"/>
      <c r="BN13" s="300"/>
      <c r="BO13" s="300"/>
      <c r="BP13" s="300"/>
      <c r="BQ13" s="300"/>
      <c r="BR13" s="300"/>
      <c r="BS13" s="300"/>
      <c r="BT13" s="300"/>
      <c r="BU13" s="300"/>
      <c r="BV13" s="300"/>
      <c r="BW13" s="300"/>
      <c r="BX13" s="300"/>
      <c r="BY13" s="300"/>
      <c r="BZ13" s="300"/>
      <c r="CA13" s="300"/>
      <c r="CB13" s="300"/>
      <c r="CC13" s="300"/>
      <c r="CD13" s="300"/>
      <c r="CE13" s="300"/>
      <c r="CF13" s="300"/>
      <c r="CG13" s="300"/>
      <c r="CH13" s="300"/>
      <c r="CI13" s="300"/>
      <c r="CJ13" s="300"/>
      <c r="CK13" s="300"/>
      <c r="CL13" s="300"/>
      <c r="CM13" s="300"/>
      <c r="CN13" s="300"/>
      <c r="CO13" s="300"/>
      <c r="CP13" s="300"/>
      <c r="CQ13" s="300"/>
      <c r="CR13" s="300"/>
      <c r="CS13" s="300"/>
      <c r="CT13" s="300"/>
      <c r="CU13" s="300"/>
      <c r="CV13" s="300"/>
      <c r="CW13" s="300"/>
      <c r="CX13" s="300"/>
      <c r="CY13" s="300"/>
      <c r="CZ13" s="300"/>
      <c r="DA13" s="300"/>
      <c r="DB13" s="300"/>
      <c r="DC13" s="300"/>
      <c r="DD13" s="300"/>
      <c r="DE13" s="300"/>
      <c r="DF13" s="300"/>
      <c r="DG13" s="300"/>
      <c r="DH13" s="300"/>
      <c r="DI13" s="300"/>
      <c r="DJ13" s="300"/>
      <c r="DK13" s="300"/>
      <c r="DL13" s="300"/>
      <c r="DM13" s="300"/>
      <c r="DN13" s="300"/>
      <c r="DO13" s="300"/>
      <c r="DP13" s="300"/>
      <c r="DQ13" s="300"/>
      <c r="DR13" s="300"/>
      <c r="DS13" s="300"/>
      <c r="DT13" s="300"/>
      <c r="DU13" s="300"/>
      <c r="DV13" s="300"/>
      <c r="DW13" s="300"/>
      <c r="DX13" s="300"/>
      <c r="DY13" s="300"/>
      <c r="DZ13" s="300"/>
      <c r="EA13" s="300"/>
      <c r="EB13" s="300"/>
      <c r="EC13" s="300"/>
      <c r="ED13" s="300"/>
      <c r="EE13" s="300"/>
      <c r="EF13" s="300"/>
      <c r="EG13" s="300"/>
      <c r="EH13" s="300"/>
      <c r="EI13" s="300"/>
      <c r="EJ13" s="300"/>
      <c r="EK13" s="300"/>
      <c r="EL13" s="300"/>
      <c r="EM13" s="300"/>
      <c r="EN13" s="300"/>
      <c r="EO13" s="300"/>
      <c r="EP13" s="300"/>
      <c r="EQ13" s="300"/>
      <c r="ER13" s="300"/>
      <c r="ES13" s="300"/>
      <c r="ET13" s="300"/>
      <c r="EU13" s="300"/>
      <c r="EV13" s="300"/>
      <c r="EW13" s="300"/>
      <c r="EX13" s="300"/>
      <c r="EY13" s="300"/>
      <c r="EZ13" s="300"/>
      <c r="FA13" s="300"/>
      <c r="FB13" s="300"/>
      <c r="FC13" s="300"/>
      <c r="FD13" s="300"/>
      <c r="FE13" s="300"/>
      <c r="FF13" s="300"/>
      <c r="FG13" s="300"/>
      <c r="FH13" s="300"/>
      <c r="FI13" s="300"/>
      <c r="FJ13" s="300"/>
      <c r="FK13" s="300"/>
      <c r="FL13" s="300"/>
      <c r="FM13" s="300"/>
      <c r="FN13" s="300"/>
      <c r="FO13" s="300"/>
      <c r="FP13" s="300"/>
      <c r="FQ13" s="300"/>
      <c r="FR13" s="300"/>
      <c r="FS13" s="300"/>
      <c r="FT13" s="300"/>
      <c r="FU13" s="300"/>
      <c r="FV13" s="300"/>
      <c r="FW13" s="300"/>
      <c r="FX13" s="300"/>
      <c r="FY13" s="300"/>
      <c r="FZ13" s="300"/>
      <c r="GA13" s="300"/>
      <c r="GB13" s="300"/>
      <c r="GC13" s="300"/>
      <c r="GD13" s="300"/>
      <c r="GE13" s="300"/>
      <c r="GF13" s="300"/>
      <c r="GG13" s="300"/>
      <c r="GH13" s="300"/>
      <c r="GI13" s="300"/>
      <c r="GJ13" s="300"/>
      <c r="GK13" s="300"/>
      <c r="GL13" s="300"/>
      <c r="GM13" s="300"/>
      <c r="GN13" s="300"/>
      <c r="GO13" s="300"/>
      <c r="GP13" s="300"/>
      <c r="GQ13" s="300"/>
      <c r="GR13" s="300"/>
      <c r="GS13" s="300"/>
      <c r="GT13" s="300"/>
      <c r="GU13" s="300"/>
      <c r="GV13" s="300"/>
      <c r="GW13" s="300"/>
      <c r="GX13" s="300"/>
      <c r="GY13" s="300"/>
      <c r="GZ13" s="300"/>
      <c r="HA13" s="300"/>
      <c r="HB13" s="300"/>
      <c r="HC13" s="300"/>
      <c r="HD13" s="300"/>
      <c r="HE13" s="300"/>
      <c r="HF13" s="300"/>
      <c r="HG13" s="300"/>
      <c r="HH13" s="300"/>
      <c r="HI13" s="300"/>
      <c r="HJ13" s="300"/>
      <c r="HK13" s="300"/>
      <c r="HL13" s="300"/>
      <c r="HM13" s="300"/>
      <c r="HN13" s="300"/>
      <c r="HO13" s="300"/>
      <c r="HP13" s="300"/>
      <c r="HQ13" s="300"/>
      <c r="HR13" s="300"/>
      <c r="HS13" s="300"/>
      <c r="HT13" s="300"/>
      <c r="HU13" s="300"/>
      <c r="HV13" s="300"/>
      <c r="HW13" s="300"/>
      <c r="HX13" s="300"/>
      <c r="HY13" s="300"/>
      <c r="HZ13" s="300"/>
      <c r="IA13" s="300"/>
      <c r="IB13" s="300"/>
      <c r="IC13" s="300"/>
      <c r="ID13" s="300"/>
      <c r="IE13" s="300"/>
      <c r="IF13" s="300"/>
      <c r="IG13" s="300"/>
      <c r="IH13" s="300"/>
      <c r="II13" s="300"/>
      <c r="IJ13" s="300"/>
      <c r="IK13" s="300"/>
      <c r="IL13" s="303"/>
      <c r="IM13" s="303"/>
      <c r="IN13" s="300"/>
      <c r="IO13" s="300"/>
      <c r="IP13" s="300"/>
      <c r="IQ13" s="300"/>
      <c r="IR13" s="300"/>
      <c r="IS13" s="300"/>
      <c r="IT13" s="300"/>
      <c r="IU13" s="300"/>
      <c r="IV13" s="300"/>
      <c r="IW13" s="300"/>
      <c r="IX13" s="300"/>
      <c r="IY13" s="300"/>
      <c r="IZ13" s="300"/>
      <c r="JA13" s="300"/>
      <c r="JB13" s="300"/>
      <c r="JC13" s="303"/>
      <c r="JD13" s="300"/>
      <c r="JE13" s="300"/>
      <c r="JF13" s="33"/>
      <c r="JG13" s="33"/>
      <c r="JH13" s="33"/>
      <c r="JI13" s="33"/>
      <c r="JJ13" s="33"/>
      <c r="JK13" s="33"/>
      <c r="JL13" s="33"/>
      <c r="JM13" s="33"/>
      <c r="JN13" s="33"/>
      <c r="JO13" s="33"/>
      <c r="JP13" s="33"/>
      <c r="JQ13" s="33"/>
      <c r="JR13" s="33"/>
      <c r="JS13" s="33"/>
      <c r="JT13" s="33"/>
      <c r="JU13" s="33"/>
      <c r="JV13" s="33"/>
      <c r="JW13" s="33"/>
      <c r="JX13" s="33"/>
      <c r="JY13" s="33"/>
      <c r="JZ13" s="33"/>
      <c r="KA13" s="33"/>
      <c r="KB13" s="33"/>
      <c r="KC13" s="33"/>
      <c r="KD13" s="33"/>
      <c r="KE13" s="33"/>
      <c r="KF13" s="33"/>
      <c r="KG13" s="33"/>
      <c r="KH13" s="33"/>
      <c r="KI13" s="33"/>
      <c r="KJ13" s="33"/>
      <c r="KK13" s="33"/>
    </row>
    <row r="14" spans="1:297" s="20" customFormat="1" ht="12.75" customHeight="1">
      <c r="A14" s="2428"/>
      <c r="B14" s="2428"/>
      <c r="C14" s="2428"/>
      <c r="D14" s="826" t="s">
        <v>2167</v>
      </c>
      <c r="E14" s="827">
        <v>3</v>
      </c>
      <c r="F14" s="828">
        <f>'Part VI-Revenues &amp; Expenses'!$M$146</f>
        <v>0</v>
      </c>
      <c r="G14" s="828"/>
      <c r="H14" s="974"/>
      <c r="I14" s="510" t="str">
        <f>CONCATENATE("x ", F14," units = ")</f>
        <v xml:space="preserve">x 0 units = </v>
      </c>
      <c r="J14" s="829">
        <f>F14*H14</f>
        <v>0</v>
      </c>
      <c r="K14" s="13"/>
      <c r="L14" s="828">
        <f>'Part VI-Revenues &amp; Expenses'!$M$147</f>
        <v>0</v>
      </c>
      <c r="M14" s="828"/>
      <c r="N14" s="974"/>
      <c r="O14" s="510" t="str">
        <f>CONCATENATE("x ", L14," units = ")</f>
        <v xml:space="preserve">x 0 units = </v>
      </c>
      <c r="P14" s="829">
        <f>L14*N14</f>
        <v>0</v>
      </c>
      <c r="Q14" s="836"/>
      <c r="R14" s="2417" t="str">
        <f>IF('Part I-Project Information'!$F$27="","",VLOOKUP('Part I-Project Information'!$J$28,'DCA Underwriting Assumptions'!$G$158:$N$317,8,FALSE))</f>
        <v>Atlanta</v>
      </c>
      <c r="S14" s="2418"/>
      <c r="W14" s="11"/>
      <c r="X14" s="301"/>
      <c r="Y14" s="301"/>
      <c r="Z14" s="302"/>
      <c r="AA14" s="301"/>
      <c r="AB14" s="304"/>
      <c r="AC14" s="305"/>
      <c r="AD14" s="305"/>
      <c r="AE14" s="305"/>
      <c r="AF14" s="305"/>
      <c r="AG14" s="305"/>
      <c r="AH14" s="305"/>
      <c r="AI14" s="554"/>
      <c r="AJ14" s="300"/>
      <c r="AK14" s="300"/>
      <c r="AL14" s="300"/>
      <c r="AM14" s="300"/>
      <c r="AN14" s="300"/>
      <c r="AO14" s="300"/>
      <c r="AP14" s="300"/>
      <c r="AQ14" s="300"/>
      <c r="AR14" s="300"/>
      <c r="AS14" s="300"/>
      <c r="AT14" s="300"/>
      <c r="AU14" s="300"/>
      <c r="AV14" s="300"/>
      <c r="AW14" s="300"/>
      <c r="AX14" s="300"/>
      <c r="AY14" s="300"/>
      <c r="AZ14" s="300"/>
      <c r="BA14" s="300"/>
      <c r="BB14" s="300"/>
      <c r="BC14" s="300"/>
      <c r="BD14" s="300"/>
      <c r="BE14" s="300"/>
      <c r="BF14" s="300"/>
      <c r="BG14" s="300"/>
      <c r="BH14" s="300"/>
      <c r="BI14" s="300"/>
      <c r="BJ14" s="300"/>
      <c r="BK14" s="300"/>
      <c r="BL14" s="300"/>
      <c r="BM14" s="300"/>
      <c r="BN14" s="300"/>
      <c r="BO14" s="300"/>
      <c r="BP14" s="300"/>
      <c r="BQ14" s="300"/>
      <c r="BR14" s="300"/>
      <c r="BS14" s="300"/>
      <c r="BT14" s="300"/>
      <c r="BU14" s="300"/>
      <c r="BV14" s="300"/>
      <c r="BW14" s="300"/>
      <c r="BX14" s="300"/>
      <c r="BY14" s="300"/>
      <c r="BZ14" s="300"/>
      <c r="CA14" s="300"/>
      <c r="CB14" s="300"/>
      <c r="CC14" s="300"/>
      <c r="CD14" s="300"/>
      <c r="CE14" s="300"/>
      <c r="CF14" s="300"/>
      <c r="CG14" s="300"/>
      <c r="CH14" s="300"/>
      <c r="CI14" s="300"/>
      <c r="CJ14" s="300"/>
      <c r="CK14" s="300"/>
      <c r="CL14" s="300"/>
      <c r="CM14" s="300"/>
      <c r="CN14" s="300"/>
      <c r="CO14" s="300"/>
      <c r="CP14" s="300"/>
      <c r="CQ14" s="300"/>
      <c r="CR14" s="300"/>
      <c r="CS14" s="300"/>
      <c r="CT14" s="300"/>
      <c r="CU14" s="300"/>
      <c r="CV14" s="300"/>
      <c r="CW14" s="300"/>
      <c r="CX14" s="300"/>
      <c r="CY14" s="300"/>
      <c r="CZ14" s="300"/>
      <c r="DA14" s="300"/>
      <c r="DB14" s="300"/>
      <c r="DC14" s="300"/>
      <c r="DD14" s="300"/>
      <c r="DE14" s="300"/>
      <c r="DF14" s="300"/>
      <c r="DG14" s="300"/>
      <c r="DH14" s="300"/>
      <c r="DI14" s="300"/>
      <c r="DJ14" s="300"/>
      <c r="DK14" s="300"/>
      <c r="DL14" s="300"/>
      <c r="DM14" s="300"/>
      <c r="DN14" s="300"/>
      <c r="DO14" s="300"/>
      <c r="DP14" s="300"/>
      <c r="DQ14" s="300"/>
      <c r="DR14" s="300"/>
      <c r="DS14" s="300"/>
      <c r="DT14" s="300"/>
      <c r="DU14" s="300"/>
      <c r="DV14" s="300"/>
      <c r="DW14" s="300"/>
      <c r="DX14" s="300"/>
      <c r="DY14" s="300"/>
      <c r="DZ14" s="300"/>
      <c r="EA14" s="300"/>
      <c r="EB14" s="300"/>
      <c r="EC14" s="300"/>
      <c r="ED14" s="300"/>
      <c r="EE14" s="300"/>
      <c r="EF14" s="300"/>
      <c r="EG14" s="300"/>
      <c r="EH14" s="300"/>
      <c r="EI14" s="300"/>
      <c r="EJ14" s="300"/>
      <c r="EK14" s="300"/>
      <c r="EL14" s="300"/>
      <c r="EM14" s="300"/>
      <c r="EN14" s="300"/>
      <c r="EO14" s="300"/>
      <c r="EP14" s="300"/>
      <c r="EQ14" s="300"/>
      <c r="ER14" s="300"/>
      <c r="ES14" s="300"/>
      <c r="ET14" s="300"/>
      <c r="EU14" s="300"/>
      <c r="EV14" s="300"/>
      <c r="EW14" s="300"/>
      <c r="EX14" s="300"/>
      <c r="EY14" s="300"/>
      <c r="EZ14" s="300"/>
      <c r="FA14" s="300"/>
      <c r="FB14" s="300"/>
      <c r="FC14" s="300"/>
      <c r="FD14" s="300"/>
      <c r="FE14" s="300"/>
      <c r="FF14" s="300"/>
      <c r="FG14" s="300"/>
      <c r="FH14" s="300"/>
      <c r="FI14" s="300"/>
      <c r="FJ14" s="300"/>
      <c r="FK14" s="300"/>
      <c r="FL14" s="300"/>
      <c r="FM14" s="300"/>
      <c r="FN14" s="300"/>
      <c r="FO14" s="300"/>
      <c r="FP14" s="300"/>
      <c r="FQ14" s="300"/>
      <c r="FR14" s="300"/>
      <c r="FS14" s="300"/>
      <c r="FT14" s="300"/>
      <c r="FU14" s="300"/>
      <c r="FV14" s="300"/>
      <c r="FW14" s="300"/>
      <c r="FX14" s="300"/>
      <c r="FY14" s="300"/>
      <c r="FZ14" s="300"/>
      <c r="GA14" s="300"/>
      <c r="GB14" s="300"/>
      <c r="GC14" s="300"/>
      <c r="GD14" s="300"/>
      <c r="GE14" s="300"/>
      <c r="GF14" s="300"/>
      <c r="GG14" s="300"/>
      <c r="GH14" s="300"/>
      <c r="GI14" s="300"/>
      <c r="GJ14" s="300"/>
      <c r="GK14" s="300"/>
      <c r="GL14" s="300"/>
      <c r="GM14" s="300"/>
      <c r="GN14" s="300"/>
      <c r="GO14" s="300"/>
      <c r="GP14" s="300"/>
      <c r="GQ14" s="300"/>
      <c r="GR14" s="300"/>
      <c r="GS14" s="300"/>
      <c r="GT14" s="300"/>
      <c r="GU14" s="300"/>
      <c r="GV14" s="300"/>
      <c r="GW14" s="300"/>
      <c r="GX14" s="300"/>
      <c r="GY14" s="300"/>
      <c r="GZ14" s="300"/>
      <c r="HA14" s="300"/>
      <c r="HB14" s="300"/>
      <c r="HC14" s="300"/>
      <c r="HD14" s="300"/>
      <c r="HE14" s="300"/>
      <c r="HF14" s="300"/>
      <c r="HG14" s="300"/>
      <c r="HH14" s="300"/>
      <c r="HI14" s="300"/>
      <c r="HJ14" s="300"/>
      <c r="HK14" s="300"/>
      <c r="HL14" s="300"/>
      <c r="HM14" s="300"/>
      <c r="HN14" s="300"/>
      <c r="HO14" s="300"/>
      <c r="HP14" s="300"/>
      <c r="HQ14" s="300"/>
      <c r="HR14" s="300"/>
      <c r="HS14" s="300"/>
      <c r="HT14" s="300"/>
      <c r="HU14" s="300"/>
      <c r="HV14" s="300"/>
      <c r="HW14" s="300"/>
      <c r="HX14" s="300"/>
      <c r="HY14" s="300"/>
      <c r="HZ14" s="300"/>
      <c r="IA14" s="300"/>
      <c r="IB14" s="300"/>
      <c r="IC14" s="300"/>
      <c r="ID14" s="300"/>
      <c r="IE14" s="300"/>
      <c r="IF14" s="300"/>
      <c r="IG14" s="300"/>
      <c r="IH14" s="300"/>
      <c r="II14" s="300"/>
      <c r="IJ14" s="300"/>
      <c r="IK14" s="300"/>
      <c r="IL14" s="303"/>
      <c r="IM14" s="303"/>
      <c r="IN14" s="300"/>
      <c r="IO14" s="300"/>
      <c r="IP14" s="300"/>
      <c r="IQ14" s="300"/>
      <c r="IR14" s="300"/>
      <c r="IS14" s="300"/>
      <c r="IT14" s="300"/>
      <c r="IU14" s="300"/>
      <c r="IV14" s="300"/>
      <c r="IW14" s="300"/>
      <c r="IX14" s="300"/>
      <c r="IY14" s="300"/>
      <c r="IZ14" s="300"/>
      <c r="JA14" s="300"/>
      <c r="JB14" s="300"/>
      <c r="JC14" s="303"/>
      <c r="JD14" s="300"/>
      <c r="JE14" s="300"/>
      <c r="JF14" s="33"/>
      <c r="JG14" s="33"/>
      <c r="JH14" s="33"/>
      <c r="JI14" s="33"/>
      <c r="JJ14" s="33"/>
      <c r="JK14" s="33"/>
      <c r="JL14" s="33"/>
      <c r="JM14" s="33"/>
      <c r="JN14" s="33"/>
      <c r="JO14" s="33"/>
      <c r="JP14" s="33"/>
      <c r="JQ14" s="33"/>
      <c r="JR14" s="33"/>
      <c r="JS14" s="33"/>
      <c r="JT14" s="33"/>
      <c r="JU14" s="33"/>
      <c r="JV14" s="33"/>
      <c r="JW14" s="33"/>
      <c r="JX14" s="33"/>
      <c r="JY14" s="33"/>
      <c r="JZ14" s="33"/>
      <c r="KA14" s="33"/>
      <c r="KB14" s="33"/>
      <c r="KC14" s="33"/>
      <c r="KD14" s="33"/>
      <c r="KE14" s="33"/>
      <c r="KF14" s="33"/>
      <c r="KG14" s="33"/>
      <c r="KH14" s="33"/>
      <c r="KI14" s="33"/>
      <c r="KJ14" s="33"/>
      <c r="KK14" s="33"/>
    </row>
    <row r="15" spans="1:297" s="20" customFormat="1" ht="12.75" customHeight="1">
      <c r="A15" s="3"/>
      <c r="B15" s="3"/>
      <c r="C15" s="1"/>
      <c r="D15" s="830" t="s">
        <v>2168</v>
      </c>
      <c r="E15" s="827">
        <v>4</v>
      </c>
      <c r="F15" s="828">
        <f>'Part VI-Revenues &amp; Expenses'!$N$146</f>
        <v>0</v>
      </c>
      <c r="G15" s="828"/>
      <c r="H15" s="974"/>
      <c r="I15" s="510" t="str">
        <f>CONCATENATE("x ", F15," units = ")</f>
        <v xml:space="preserve">x 0 units = </v>
      </c>
      <c r="J15" s="829">
        <f>F15*H15</f>
        <v>0</v>
      </c>
      <c r="K15" s="13"/>
      <c r="L15" s="828">
        <f>'Part VI-Revenues &amp; Expenses'!$N$147</f>
        <v>0</v>
      </c>
      <c r="M15" s="828"/>
      <c r="N15" s="974"/>
      <c r="O15" s="510" t="str">
        <f>CONCATENATE("x ", L15," units = ")</f>
        <v xml:space="preserve">x 0 units = </v>
      </c>
      <c r="P15" s="829">
        <f>L15*N15</f>
        <v>0</v>
      </c>
      <c r="Q15" s="836"/>
      <c r="R15" s="2419"/>
      <c r="S15" s="2420"/>
      <c r="V15" s="11"/>
      <c r="W15" s="11"/>
      <c r="X15" s="301"/>
      <c r="Y15" s="301"/>
      <c r="Z15" s="302"/>
      <c r="AA15" s="301"/>
      <c r="AB15" s="304"/>
      <c r="AC15" s="305"/>
      <c r="AD15" s="305"/>
      <c r="AE15" s="305"/>
      <c r="AF15" s="305"/>
      <c r="AG15" s="305"/>
      <c r="AH15" s="305"/>
      <c r="AI15" s="554"/>
      <c r="AJ15" s="300"/>
      <c r="AK15" s="300"/>
      <c r="AL15" s="300"/>
      <c r="AM15" s="300"/>
      <c r="AN15" s="300"/>
      <c r="AO15" s="300"/>
      <c r="AP15" s="300"/>
      <c r="AQ15" s="300"/>
      <c r="AR15" s="300"/>
      <c r="AS15" s="300"/>
      <c r="AT15" s="300"/>
      <c r="AU15" s="300"/>
      <c r="AV15" s="300"/>
      <c r="AW15" s="300"/>
      <c r="AX15" s="300"/>
      <c r="AY15" s="300"/>
      <c r="AZ15" s="300"/>
      <c r="BA15" s="300"/>
      <c r="BB15" s="300"/>
      <c r="BC15" s="300"/>
      <c r="BD15" s="300"/>
      <c r="BE15" s="300"/>
      <c r="BF15" s="300"/>
      <c r="BG15" s="300"/>
      <c r="BH15" s="300"/>
      <c r="BI15" s="300"/>
      <c r="BJ15" s="300"/>
      <c r="BK15" s="300"/>
      <c r="BL15" s="300"/>
      <c r="BM15" s="300"/>
      <c r="BN15" s="300"/>
      <c r="BO15" s="300"/>
      <c r="BP15" s="300"/>
      <c r="BQ15" s="300"/>
      <c r="BR15" s="300"/>
      <c r="BS15" s="300"/>
      <c r="BT15" s="300"/>
      <c r="BU15" s="300"/>
      <c r="BV15" s="300"/>
      <c r="BW15" s="300"/>
      <c r="BX15" s="300"/>
      <c r="BY15" s="300"/>
      <c r="BZ15" s="300"/>
      <c r="CA15" s="300"/>
      <c r="CB15" s="300"/>
      <c r="CC15" s="300"/>
      <c r="CD15" s="300"/>
      <c r="CE15" s="300"/>
      <c r="CF15" s="300"/>
      <c r="CG15" s="300"/>
      <c r="CH15" s="300"/>
      <c r="CI15" s="300"/>
      <c r="CJ15" s="300"/>
      <c r="CK15" s="300"/>
      <c r="CL15" s="300"/>
      <c r="CM15" s="300"/>
      <c r="CN15" s="300"/>
      <c r="CO15" s="300"/>
      <c r="CP15" s="300"/>
      <c r="CQ15" s="300"/>
      <c r="CR15" s="300"/>
      <c r="CS15" s="300"/>
      <c r="CT15" s="300"/>
      <c r="CU15" s="300"/>
      <c r="CV15" s="300"/>
      <c r="CW15" s="300"/>
      <c r="CX15" s="300"/>
      <c r="CY15" s="300"/>
      <c r="CZ15" s="300"/>
      <c r="DA15" s="300"/>
      <c r="DB15" s="300"/>
      <c r="DC15" s="300"/>
      <c r="DD15" s="300"/>
      <c r="DE15" s="300"/>
      <c r="DF15" s="300"/>
      <c r="DG15" s="300"/>
      <c r="DH15" s="300"/>
      <c r="DI15" s="300"/>
      <c r="DJ15" s="300"/>
      <c r="DK15" s="300"/>
      <c r="DL15" s="300"/>
      <c r="DM15" s="300"/>
      <c r="DN15" s="300"/>
      <c r="DO15" s="300"/>
      <c r="DP15" s="300"/>
      <c r="DQ15" s="300"/>
      <c r="DR15" s="300"/>
      <c r="DS15" s="300"/>
      <c r="DT15" s="300"/>
      <c r="DU15" s="300"/>
      <c r="DV15" s="300"/>
      <c r="DW15" s="300"/>
      <c r="DX15" s="300"/>
      <c r="DY15" s="300"/>
      <c r="DZ15" s="300"/>
      <c r="EA15" s="300"/>
      <c r="EB15" s="300"/>
      <c r="EC15" s="300"/>
      <c r="ED15" s="300"/>
      <c r="EE15" s="300"/>
      <c r="EF15" s="300"/>
      <c r="EG15" s="300"/>
      <c r="EH15" s="300"/>
      <c r="EI15" s="300"/>
      <c r="EJ15" s="300"/>
      <c r="EK15" s="300"/>
      <c r="EL15" s="300"/>
      <c r="EM15" s="300"/>
      <c r="EN15" s="300"/>
      <c r="EO15" s="300"/>
      <c r="EP15" s="300"/>
      <c r="EQ15" s="300"/>
      <c r="ER15" s="300"/>
      <c r="ES15" s="300"/>
      <c r="ET15" s="300"/>
      <c r="EU15" s="300"/>
      <c r="EV15" s="300"/>
      <c r="EW15" s="300"/>
      <c r="EX15" s="300"/>
      <c r="EY15" s="300"/>
      <c r="EZ15" s="300"/>
      <c r="FA15" s="300"/>
      <c r="FB15" s="300"/>
      <c r="FC15" s="300"/>
      <c r="FD15" s="300"/>
      <c r="FE15" s="300"/>
      <c r="FF15" s="300"/>
      <c r="FG15" s="300"/>
      <c r="FH15" s="300"/>
      <c r="FI15" s="300"/>
      <c r="FJ15" s="300"/>
      <c r="FK15" s="300"/>
      <c r="FL15" s="300"/>
      <c r="FM15" s="300"/>
      <c r="FN15" s="300"/>
      <c r="FO15" s="300"/>
      <c r="FP15" s="300"/>
      <c r="FQ15" s="300"/>
      <c r="FR15" s="300"/>
      <c r="FS15" s="300"/>
      <c r="FT15" s="300"/>
      <c r="FU15" s="300"/>
      <c r="FV15" s="300"/>
      <c r="FW15" s="300"/>
      <c r="FX15" s="300"/>
      <c r="FY15" s="300"/>
      <c r="FZ15" s="300"/>
      <c r="GA15" s="300"/>
      <c r="GB15" s="300"/>
      <c r="GC15" s="300"/>
      <c r="GD15" s="300"/>
      <c r="GE15" s="300"/>
      <c r="GF15" s="300"/>
      <c r="GG15" s="300"/>
      <c r="GH15" s="300"/>
      <c r="GI15" s="300"/>
      <c r="GJ15" s="300"/>
      <c r="GK15" s="300"/>
      <c r="GL15" s="300"/>
      <c r="GM15" s="300"/>
      <c r="GN15" s="300"/>
      <c r="GO15" s="300"/>
      <c r="GP15" s="300"/>
      <c r="GQ15" s="300"/>
      <c r="GR15" s="300"/>
      <c r="GS15" s="300"/>
      <c r="GT15" s="300"/>
      <c r="GU15" s="300"/>
      <c r="GV15" s="300"/>
      <c r="GW15" s="300"/>
      <c r="GX15" s="300"/>
      <c r="GY15" s="300"/>
      <c r="GZ15" s="300"/>
      <c r="HA15" s="300"/>
      <c r="HB15" s="300"/>
      <c r="HC15" s="300"/>
      <c r="HD15" s="300"/>
      <c r="HE15" s="300"/>
      <c r="HF15" s="300"/>
      <c r="HG15" s="300"/>
      <c r="HH15" s="300"/>
      <c r="HI15" s="300"/>
      <c r="HJ15" s="300"/>
      <c r="HK15" s="300"/>
      <c r="HL15" s="300"/>
      <c r="HM15" s="300"/>
      <c r="HN15" s="300"/>
      <c r="HO15" s="300"/>
      <c r="HP15" s="300"/>
      <c r="HQ15" s="300"/>
      <c r="HR15" s="300"/>
      <c r="HS15" s="300"/>
      <c r="HT15" s="300"/>
      <c r="HU15" s="300"/>
      <c r="HV15" s="300"/>
      <c r="HW15" s="300"/>
      <c r="HX15" s="300"/>
      <c r="HY15" s="300"/>
      <c r="HZ15" s="300"/>
      <c r="IA15" s="300"/>
      <c r="IB15" s="300"/>
      <c r="IC15" s="300"/>
      <c r="ID15" s="300"/>
      <c r="IE15" s="300"/>
      <c r="IF15" s="300"/>
      <c r="IG15" s="300"/>
      <c r="IH15" s="300"/>
      <c r="II15" s="300"/>
      <c r="IJ15" s="300"/>
      <c r="IK15" s="300"/>
      <c r="IL15" s="303"/>
      <c r="IM15" s="303"/>
      <c r="IN15" s="300"/>
      <c r="IO15" s="300"/>
      <c r="IP15" s="300"/>
      <c r="IQ15" s="300"/>
      <c r="IR15" s="300"/>
      <c r="IS15" s="300"/>
      <c r="IT15" s="300"/>
      <c r="IU15" s="300"/>
      <c r="IV15" s="300"/>
      <c r="IW15" s="300"/>
      <c r="IX15" s="300"/>
      <c r="IY15" s="300"/>
      <c r="IZ15" s="300"/>
      <c r="JA15" s="300"/>
      <c r="JB15" s="300"/>
      <c r="JC15" s="303"/>
      <c r="JD15" s="300"/>
      <c r="JE15" s="300"/>
      <c r="JF15" s="33"/>
      <c r="JG15" s="33"/>
      <c r="JH15" s="33"/>
      <c r="JI15" s="33"/>
      <c r="JJ15" s="33"/>
      <c r="JK15" s="33"/>
      <c r="JL15" s="33"/>
      <c r="JM15" s="33"/>
      <c r="JN15" s="33"/>
      <c r="JO15" s="33"/>
      <c r="JP15" s="33"/>
      <c r="JQ15" s="33"/>
      <c r="JR15" s="33"/>
      <c r="JS15" s="33"/>
      <c r="JT15" s="33"/>
      <c r="JU15" s="33"/>
      <c r="JV15" s="33"/>
      <c r="JW15" s="33"/>
      <c r="JX15" s="33"/>
      <c r="JY15" s="33"/>
      <c r="JZ15" s="33"/>
      <c r="KA15" s="33"/>
      <c r="KB15" s="33"/>
      <c r="KC15" s="33"/>
      <c r="KD15" s="33"/>
      <c r="KE15" s="33"/>
      <c r="KF15" s="33"/>
      <c r="KG15" s="33"/>
      <c r="KH15" s="33"/>
      <c r="KI15" s="33"/>
      <c r="KJ15" s="33"/>
      <c r="KK15" s="33"/>
    </row>
    <row r="16" spans="1:297" s="20" customFormat="1" ht="12.75" customHeight="1">
      <c r="A16" s="3"/>
      <c r="B16" s="3"/>
      <c r="C16" s="1"/>
      <c r="D16" s="508" t="s">
        <v>2951</v>
      </c>
      <c r="E16" s="11"/>
      <c r="F16" s="518">
        <f>SUM(F11:F15)</f>
        <v>0</v>
      </c>
      <c r="G16" s="971"/>
      <c r="H16" s="975"/>
      <c r="I16" s="519"/>
      <c r="J16" s="520">
        <f>SUM(J11:J15)</f>
        <v>0</v>
      </c>
      <c r="K16" s="521"/>
      <c r="L16" s="518">
        <f>SUM(L11:L15)</f>
        <v>0</v>
      </c>
      <c r="M16" s="971"/>
      <c r="N16" s="975"/>
      <c r="O16" s="519"/>
      <c r="P16" s="520">
        <f>SUM(P11:P15)</f>
        <v>0</v>
      </c>
      <c r="Q16" s="836"/>
      <c r="R16" s="35"/>
      <c r="S16" s="35"/>
      <c r="V16" s="11"/>
      <c r="W16" s="11"/>
      <c r="X16" s="301"/>
      <c r="Y16" s="301"/>
      <c r="Z16" s="302"/>
      <c r="AA16" s="301"/>
      <c r="AB16" s="304"/>
      <c r="AC16" s="305"/>
      <c r="AD16" s="305"/>
      <c r="AE16" s="305"/>
      <c r="AF16" s="305"/>
      <c r="AG16" s="305"/>
      <c r="AH16" s="305"/>
      <c r="AI16" s="554"/>
      <c r="AJ16" s="300"/>
      <c r="AK16" s="300"/>
      <c r="AL16" s="300"/>
      <c r="AM16" s="300"/>
      <c r="AN16" s="300"/>
      <c r="AO16" s="300"/>
      <c r="AP16" s="300"/>
      <c r="AQ16" s="300"/>
      <c r="AR16" s="300"/>
      <c r="AS16" s="300"/>
      <c r="AT16" s="300"/>
      <c r="AU16" s="300"/>
      <c r="AV16" s="300"/>
      <c r="AW16" s="300"/>
      <c r="AX16" s="300"/>
      <c r="AY16" s="300"/>
      <c r="AZ16" s="300"/>
      <c r="BA16" s="300"/>
      <c r="BB16" s="300"/>
      <c r="BC16" s="300"/>
      <c r="BD16" s="300"/>
      <c r="BE16" s="300"/>
      <c r="BF16" s="300"/>
      <c r="BG16" s="300"/>
      <c r="BH16" s="300"/>
      <c r="BI16" s="300"/>
      <c r="BJ16" s="300"/>
      <c r="BK16" s="300"/>
      <c r="BL16" s="300"/>
      <c r="BM16" s="300"/>
      <c r="BN16" s="300"/>
      <c r="BO16" s="300"/>
      <c r="BP16" s="300"/>
      <c r="BQ16" s="300"/>
      <c r="BR16" s="300"/>
      <c r="BS16" s="300"/>
      <c r="BT16" s="300"/>
      <c r="BU16" s="300"/>
      <c r="BV16" s="300"/>
      <c r="BW16" s="300"/>
      <c r="BX16" s="300"/>
      <c r="BY16" s="300"/>
      <c r="BZ16" s="300"/>
      <c r="CA16" s="300"/>
      <c r="CB16" s="300"/>
      <c r="CC16" s="300"/>
      <c r="CD16" s="300"/>
      <c r="CE16" s="300"/>
      <c r="CF16" s="300"/>
      <c r="CG16" s="300"/>
      <c r="CH16" s="300"/>
      <c r="CI16" s="300"/>
      <c r="CJ16" s="300"/>
      <c r="CK16" s="300"/>
      <c r="CL16" s="300"/>
      <c r="CM16" s="300"/>
      <c r="CN16" s="300"/>
      <c r="CO16" s="300"/>
      <c r="CP16" s="300"/>
      <c r="CQ16" s="300"/>
      <c r="CR16" s="300"/>
      <c r="CS16" s="300"/>
      <c r="CT16" s="300"/>
      <c r="CU16" s="300"/>
      <c r="CV16" s="300"/>
      <c r="CW16" s="300"/>
      <c r="CX16" s="300"/>
      <c r="CY16" s="300"/>
      <c r="CZ16" s="300"/>
      <c r="DA16" s="300"/>
      <c r="DB16" s="300"/>
      <c r="DC16" s="300"/>
      <c r="DD16" s="300"/>
      <c r="DE16" s="300"/>
      <c r="DF16" s="300"/>
      <c r="DG16" s="300"/>
      <c r="DH16" s="300"/>
      <c r="DI16" s="300"/>
      <c r="DJ16" s="300"/>
      <c r="DK16" s="300"/>
      <c r="DL16" s="300"/>
      <c r="DM16" s="300"/>
      <c r="DN16" s="300"/>
      <c r="DO16" s="300"/>
      <c r="DP16" s="300"/>
      <c r="DQ16" s="300"/>
      <c r="DR16" s="300"/>
      <c r="DS16" s="300"/>
      <c r="DT16" s="300"/>
      <c r="DU16" s="300"/>
      <c r="DV16" s="300"/>
      <c r="DW16" s="300"/>
      <c r="DX16" s="300"/>
      <c r="DY16" s="300"/>
      <c r="DZ16" s="300"/>
      <c r="EA16" s="300"/>
      <c r="EB16" s="300"/>
      <c r="EC16" s="300"/>
      <c r="ED16" s="300"/>
      <c r="EE16" s="300"/>
      <c r="EF16" s="300"/>
      <c r="EG16" s="300"/>
      <c r="EH16" s="300"/>
      <c r="EI16" s="300"/>
      <c r="EJ16" s="300"/>
      <c r="EK16" s="300"/>
      <c r="EL16" s="300"/>
      <c r="EM16" s="300"/>
      <c r="EN16" s="300"/>
      <c r="EO16" s="300"/>
      <c r="EP16" s="300"/>
      <c r="EQ16" s="300"/>
      <c r="ER16" s="300"/>
      <c r="ES16" s="300"/>
      <c r="ET16" s="300"/>
      <c r="EU16" s="300"/>
      <c r="EV16" s="300"/>
      <c r="EW16" s="300"/>
      <c r="EX16" s="300"/>
      <c r="EY16" s="300"/>
      <c r="EZ16" s="300"/>
      <c r="FA16" s="300"/>
      <c r="FB16" s="300"/>
      <c r="FC16" s="300"/>
      <c r="FD16" s="300"/>
      <c r="FE16" s="300"/>
      <c r="FF16" s="300"/>
      <c r="FG16" s="300"/>
      <c r="FH16" s="300"/>
      <c r="FI16" s="300"/>
      <c r="FJ16" s="300"/>
      <c r="FK16" s="300"/>
      <c r="FL16" s="300"/>
      <c r="FM16" s="300"/>
      <c r="FN16" s="300"/>
      <c r="FO16" s="300"/>
      <c r="FP16" s="300"/>
      <c r="FQ16" s="300"/>
      <c r="FR16" s="300"/>
      <c r="FS16" s="300"/>
      <c r="FT16" s="300"/>
      <c r="FU16" s="300"/>
      <c r="FV16" s="300"/>
      <c r="FW16" s="300"/>
      <c r="FX16" s="300"/>
      <c r="FY16" s="300"/>
      <c r="FZ16" s="300"/>
      <c r="GA16" s="300"/>
      <c r="GB16" s="300"/>
      <c r="GC16" s="300"/>
      <c r="GD16" s="300"/>
      <c r="GE16" s="300"/>
      <c r="GF16" s="300"/>
      <c r="GG16" s="300"/>
      <c r="GH16" s="300"/>
      <c r="GI16" s="300"/>
      <c r="GJ16" s="300"/>
      <c r="GK16" s="300"/>
      <c r="GL16" s="300"/>
      <c r="GM16" s="300"/>
      <c r="GN16" s="300"/>
      <c r="GO16" s="300"/>
      <c r="GP16" s="300"/>
      <c r="GQ16" s="300"/>
      <c r="GR16" s="300"/>
      <c r="GS16" s="300"/>
      <c r="GT16" s="300"/>
      <c r="GU16" s="300"/>
      <c r="GV16" s="300"/>
      <c r="GW16" s="300"/>
      <c r="GX16" s="300"/>
      <c r="GY16" s="300"/>
      <c r="GZ16" s="300"/>
      <c r="HA16" s="300"/>
      <c r="HB16" s="300"/>
      <c r="HC16" s="300"/>
      <c r="HD16" s="300"/>
      <c r="HE16" s="300"/>
      <c r="HF16" s="300"/>
      <c r="HG16" s="300"/>
      <c r="HH16" s="300"/>
      <c r="HI16" s="300"/>
      <c r="HJ16" s="300"/>
      <c r="HK16" s="300"/>
      <c r="HL16" s="300"/>
      <c r="HM16" s="300"/>
      <c r="HN16" s="300"/>
      <c r="HO16" s="300"/>
      <c r="HP16" s="300"/>
      <c r="HQ16" s="300"/>
      <c r="HR16" s="300"/>
      <c r="HS16" s="300"/>
      <c r="HT16" s="300"/>
      <c r="HU16" s="300"/>
      <c r="HV16" s="300"/>
      <c r="HW16" s="300"/>
      <c r="HX16" s="300"/>
      <c r="HY16" s="300"/>
      <c r="HZ16" s="300"/>
      <c r="IA16" s="300"/>
      <c r="IB16" s="300"/>
      <c r="IC16" s="300"/>
      <c r="ID16" s="300"/>
      <c r="IE16" s="300"/>
      <c r="IF16" s="300"/>
      <c r="IG16" s="300"/>
      <c r="IH16" s="300"/>
      <c r="II16" s="300"/>
      <c r="IJ16" s="300"/>
      <c r="IK16" s="300"/>
      <c r="IL16" s="303"/>
      <c r="IM16" s="303"/>
      <c r="IN16" s="300"/>
      <c r="IO16" s="300"/>
      <c r="IP16" s="300"/>
      <c r="IQ16" s="300"/>
      <c r="IR16" s="300"/>
      <c r="IS16" s="300"/>
      <c r="IT16" s="300"/>
      <c r="IU16" s="300"/>
      <c r="IV16" s="300"/>
      <c r="IW16" s="300"/>
      <c r="IX16" s="300"/>
      <c r="IY16" s="300"/>
      <c r="IZ16" s="300"/>
      <c r="JA16" s="300"/>
      <c r="JB16" s="300"/>
      <c r="JC16" s="303"/>
      <c r="JD16" s="300"/>
      <c r="JE16" s="300"/>
      <c r="JF16" s="33"/>
      <c r="JG16" s="33"/>
      <c r="JH16" s="33"/>
      <c r="JI16" s="33"/>
      <c r="JJ16" s="33"/>
      <c r="JK16" s="33"/>
      <c r="JL16" s="33"/>
      <c r="JM16" s="33"/>
      <c r="JN16" s="33"/>
      <c r="JO16" s="33"/>
      <c r="JP16" s="33"/>
      <c r="JQ16" s="33"/>
      <c r="JR16" s="33"/>
      <c r="JS16" s="33"/>
      <c r="JT16" s="33"/>
      <c r="JU16" s="33"/>
      <c r="JV16" s="33"/>
      <c r="JW16" s="33"/>
      <c r="JX16" s="33"/>
      <c r="JY16" s="33"/>
      <c r="JZ16" s="33"/>
      <c r="KA16" s="33"/>
      <c r="KB16" s="33"/>
      <c r="KC16" s="33"/>
      <c r="KD16" s="33"/>
      <c r="KE16" s="33"/>
      <c r="KF16" s="33"/>
      <c r="KG16" s="33"/>
      <c r="KH16" s="33"/>
      <c r="KI16" s="33"/>
      <c r="KJ16" s="33"/>
      <c r="KK16" s="33"/>
    </row>
    <row r="17" spans="1:297" s="20" customFormat="1" ht="3" customHeight="1">
      <c r="A17" s="3"/>
      <c r="C17" s="1"/>
      <c r="D17" s="405"/>
      <c r="E17" s="405"/>
      <c r="F17" s="540"/>
      <c r="G17" s="540"/>
      <c r="H17" s="976"/>
      <c r="I17" s="968"/>
      <c r="J17" s="837"/>
      <c r="K17" s="30"/>
      <c r="L17" s="540"/>
      <c r="M17" s="540"/>
      <c r="N17" s="976"/>
      <c r="O17" s="970"/>
      <c r="P17" s="837"/>
      <c r="Q17" s="836"/>
      <c r="R17" s="2421" t="str">
        <f>IF('Part IV-Uses of Funds'!$G$127&gt;R28,"CHECK TDC !!!","")</f>
        <v/>
      </c>
      <c r="S17" s="2421"/>
      <c r="T17" s="288"/>
      <c r="U17" s="288"/>
      <c r="V17" s="11"/>
      <c r="W17" s="11"/>
      <c r="X17" s="301"/>
      <c r="Y17" s="301"/>
      <c r="Z17" s="302"/>
      <c r="AA17" s="301"/>
      <c r="AB17" s="304"/>
      <c r="AC17" s="305"/>
      <c r="AD17" s="305"/>
      <c r="AE17" s="305"/>
      <c r="AF17" s="305"/>
      <c r="AG17" s="305"/>
      <c r="AH17" s="305"/>
      <c r="AI17" s="554"/>
      <c r="AJ17" s="300"/>
      <c r="AK17" s="300"/>
      <c r="AL17" s="300"/>
      <c r="AM17" s="300"/>
      <c r="AN17" s="300"/>
      <c r="AO17" s="300"/>
      <c r="AP17" s="300"/>
      <c r="AQ17" s="300"/>
      <c r="AR17" s="300"/>
      <c r="AS17" s="300"/>
      <c r="AT17" s="300"/>
      <c r="AU17" s="300"/>
      <c r="AV17" s="300"/>
      <c r="AW17" s="300"/>
      <c r="AX17" s="300"/>
      <c r="AY17" s="300"/>
      <c r="AZ17" s="300"/>
      <c r="BA17" s="300"/>
      <c r="BB17" s="300"/>
      <c r="BC17" s="300"/>
      <c r="BD17" s="300"/>
      <c r="BE17" s="300"/>
      <c r="BF17" s="300"/>
      <c r="BG17" s="300"/>
      <c r="BH17" s="300"/>
      <c r="BI17" s="300"/>
      <c r="BJ17" s="300"/>
      <c r="BK17" s="300"/>
      <c r="BL17" s="300"/>
      <c r="BM17" s="300"/>
      <c r="BN17" s="300"/>
      <c r="BO17" s="300"/>
      <c r="BP17" s="300"/>
      <c r="BQ17" s="300"/>
      <c r="BR17" s="300"/>
      <c r="BS17" s="300"/>
      <c r="BT17" s="300"/>
      <c r="BU17" s="300"/>
      <c r="BV17" s="300"/>
      <c r="BW17" s="300"/>
      <c r="BX17" s="300"/>
      <c r="BY17" s="300"/>
      <c r="BZ17" s="300"/>
      <c r="CA17" s="300"/>
      <c r="CB17" s="300"/>
      <c r="CC17" s="300"/>
      <c r="CD17" s="300"/>
      <c r="CE17" s="300"/>
      <c r="CF17" s="300"/>
      <c r="CG17" s="300"/>
      <c r="CH17" s="300"/>
      <c r="CI17" s="300"/>
      <c r="CJ17" s="300"/>
      <c r="CK17" s="300"/>
      <c r="CL17" s="300"/>
      <c r="CM17" s="300"/>
      <c r="CN17" s="300"/>
      <c r="CO17" s="300"/>
      <c r="CP17" s="300"/>
      <c r="CQ17" s="300"/>
      <c r="CR17" s="300"/>
      <c r="CS17" s="300"/>
      <c r="CT17" s="300"/>
      <c r="CU17" s="300"/>
      <c r="CV17" s="300"/>
      <c r="CW17" s="300"/>
      <c r="CX17" s="300"/>
      <c r="CY17" s="300"/>
      <c r="CZ17" s="300"/>
      <c r="DA17" s="300"/>
      <c r="DB17" s="300"/>
      <c r="DC17" s="300"/>
      <c r="DD17" s="300"/>
      <c r="DE17" s="300"/>
      <c r="DF17" s="300"/>
      <c r="DG17" s="300"/>
      <c r="DH17" s="300"/>
      <c r="DI17" s="300"/>
      <c r="DJ17" s="300"/>
      <c r="DK17" s="300"/>
      <c r="DL17" s="300"/>
      <c r="DM17" s="300"/>
      <c r="DN17" s="300"/>
      <c r="DO17" s="300"/>
      <c r="DP17" s="300"/>
      <c r="DQ17" s="300"/>
      <c r="DR17" s="300"/>
      <c r="DS17" s="300"/>
      <c r="DT17" s="300"/>
      <c r="DU17" s="300"/>
      <c r="DV17" s="300"/>
      <c r="DW17" s="300"/>
      <c r="DX17" s="300"/>
      <c r="DY17" s="300"/>
      <c r="DZ17" s="300"/>
      <c r="EA17" s="300"/>
      <c r="EB17" s="300"/>
      <c r="EC17" s="300"/>
      <c r="ED17" s="300"/>
      <c r="EE17" s="300"/>
      <c r="EF17" s="300"/>
      <c r="EG17" s="300"/>
      <c r="EH17" s="300"/>
      <c r="EI17" s="300"/>
      <c r="EJ17" s="300"/>
      <c r="EK17" s="300"/>
      <c r="EL17" s="300"/>
      <c r="EM17" s="300"/>
      <c r="EN17" s="300"/>
      <c r="EO17" s="300"/>
      <c r="EP17" s="300"/>
      <c r="EQ17" s="300"/>
      <c r="ER17" s="300"/>
      <c r="ES17" s="300"/>
      <c r="ET17" s="300"/>
      <c r="EU17" s="300"/>
      <c r="EV17" s="300"/>
      <c r="EW17" s="300"/>
      <c r="EX17" s="300"/>
      <c r="EY17" s="300"/>
      <c r="EZ17" s="300"/>
      <c r="FA17" s="300"/>
      <c r="FB17" s="300"/>
      <c r="FC17" s="300"/>
      <c r="FD17" s="300"/>
      <c r="FE17" s="300"/>
      <c r="FF17" s="300"/>
      <c r="FG17" s="300"/>
      <c r="FH17" s="300"/>
      <c r="FI17" s="300"/>
      <c r="FJ17" s="300"/>
      <c r="FK17" s="300"/>
      <c r="FL17" s="300"/>
      <c r="FM17" s="300"/>
      <c r="FN17" s="300"/>
      <c r="FO17" s="300"/>
      <c r="FP17" s="300"/>
      <c r="FQ17" s="300"/>
      <c r="FR17" s="300"/>
      <c r="FS17" s="300"/>
      <c r="FT17" s="300"/>
      <c r="FU17" s="300"/>
      <c r="FV17" s="300"/>
      <c r="FW17" s="300"/>
      <c r="FX17" s="300"/>
      <c r="FY17" s="300"/>
      <c r="FZ17" s="300"/>
      <c r="GA17" s="300"/>
      <c r="GB17" s="300"/>
      <c r="GC17" s="300"/>
      <c r="GD17" s="300"/>
      <c r="GE17" s="300"/>
      <c r="GF17" s="300"/>
      <c r="GG17" s="300"/>
      <c r="GH17" s="300"/>
      <c r="GI17" s="300"/>
      <c r="GJ17" s="300"/>
      <c r="GK17" s="300"/>
      <c r="GL17" s="300"/>
      <c r="GM17" s="300"/>
      <c r="GN17" s="300"/>
      <c r="GO17" s="300"/>
      <c r="GP17" s="300"/>
      <c r="GQ17" s="300"/>
      <c r="GR17" s="300"/>
      <c r="GS17" s="300"/>
      <c r="GT17" s="300"/>
      <c r="GU17" s="300"/>
      <c r="GV17" s="300"/>
      <c r="GW17" s="300"/>
      <c r="GX17" s="300"/>
      <c r="GY17" s="300"/>
      <c r="GZ17" s="300"/>
      <c r="HA17" s="300"/>
      <c r="HB17" s="300"/>
      <c r="HC17" s="300"/>
      <c r="HD17" s="300"/>
      <c r="HE17" s="300"/>
      <c r="HF17" s="300"/>
      <c r="HG17" s="300"/>
      <c r="HH17" s="300"/>
      <c r="HI17" s="300"/>
      <c r="HJ17" s="300"/>
      <c r="HK17" s="300"/>
      <c r="HL17" s="300"/>
      <c r="HM17" s="300"/>
      <c r="HN17" s="300"/>
      <c r="HO17" s="300"/>
      <c r="HP17" s="300"/>
      <c r="HQ17" s="300"/>
      <c r="HR17" s="300"/>
      <c r="HS17" s="300"/>
      <c r="HT17" s="300"/>
      <c r="HU17" s="300"/>
      <c r="HV17" s="300"/>
      <c r="HW17" s="300"/>
      <c r="HX17" s="300"/>
      <c r="HY17" s="300"/>
      <c r="HZ17" s="300"/>
      <c r="IA17" s="300"/>
      <c r="IB17" s="300"/>
      <c r="IC17" s="300"/>
      <c r="ID17" s="300"/>
      <c r="IE17" s="300"/>
      <c r="IF17" s="300"/>
      <c r="IG17" s="300"/>
      <c r="IH17" s="300"/>
      <c r="II17" s="300"/>
      <c r="IJ17" s="300"/>
      <c r="IK17" s="300"/>
      <c r="IL17" s="303"/>
      <c r="IM17" s="303"/>
      <c r="IN17" s="300"/>
      <c r="IO17" s="300"/>
      <c r="IP17" s="300"/>
      <c r="IQ17" s="300"/>
      <c r="IR17" s="300"/>
      <c r="IS17" s="300"/>
      <c r="IT17" s="300"/>
      <c r="IU17" s="300"/>
      <c r="IV17" s="300"/>
      <c r="IW17" s="300"/>
      <c r="IX17" s="300"/>
      <c r="IY17" s="300"/>
      <c r="IZ17" s="300"/>
      <c r="JA17" s="300"/>
      <c r="JB17" s="300"/>
      <c r="JC17" s="303"/>
      <c r="JD17" s="300"/>
      <c r="JE17" s="300"/>
      <c r="JF17" s="33"/>
      <c r="JG17" s="33"/>
      <c r="JH17" s="33"/>
      <c r="JI17" s="33"/>
      <c r="JJ17" s="33"/>
      <c r="JK17" s="33"/>
      <c r="JL17" s="33"/>
      <c r="JM17" s="33"/>
      <c r="JN17" s="33"/>
      <c r="JO17" s="33"/>
      <c r="JP17" s="33"/>
      <c r="JQ17" s="33"/>
      <c r="JR17" s="33"/>
      <c r="JS17" s="33"/>
      <c r="JT17" s="33"/>
      <c r="JU17" s="33"/>
      <c r="JV17" s="33"/>
      <c r="JW17" s="33"/>
      <c r="JX17" s="33"/>
      <c r="JY17" s="33"/>
      <c r="JZ17" s="33"/>
      <c r="KA17" s="33"/>
      <c r="KB17" s="33"/>
      <c r="KC17" s="33"/>
      <c r="KD17" s="33"/>
      <c r="KE17" s="33"/>
      <c r="KF17" s="33"/>
      <c r="KG17" s="33"/>
      <c r="KH17" s="33"/>
      <c r="KI17" s="33"/>
      <c r="KJ17" s="33"/>
      <c r="KK17" s="33"/>
    </row>
    <row r="18" spans="1:297" s="20" customFormat="1" ht="12.75" customHeight="1">
      <c r="A18" s="2428" t="s">
        <v>2936</v>
      </c>
      <c r="B18" s="2428"/>
      <c r="C18" s="2428"/>
      <c r="D18" s="826" t="s">
        <v>527</v>
      </c>
      <c r="E18" s="831">
        <v>0</v>
      </c>
      <c r="F18" s="828">
        <f>'Part VI-Revenues &amp; Expenses'!$J$148</f>
        <v>0</v>
      </c>
      <c r="G18" s="828"/>
      <c r="H18" s="974"/>
      <c r="I18" s="510" t="str">
        <f>CONCATENATE("x ", F18," units = ")</f>
        <v xml:space="preserve">x 0 units = </v>
      </c>
      <c r="J18" s="829">
        <f>F18*H18</f>
        <v>0</v>
      </c>
      <c r="K18" s="13"/>
      <c r="L18" s="828">
        <f>'Part VI-Revenues &amp; Expenses'!$J$149</f>
        <v>0</v>
      </c>
      <c r="M18" s="828"/>
      <c r="N18" s="974"/>
      <c r="O18" s="510" t="str">
        <f>CONCATENATE("x ", L18," units = ")</f>
        <v xml:space="preserve">x 0 units = </v>
      </c>
      <c r="P18" s="829">
        <f>L18*N18</f>
        <v>0</v>
      </c>
      <c r="R18" s="2429" t="s">
        <v>2952</v>
      </c>
      <c r="S18" s="2429"/>
      <c r="T18" s="288"/>
      <c r="U18" s="288"/>
      <c r="V18" s="11"/>
      <c r="W18" s="11"/>
      <c r="X18" s="301"/>
      <c r="Y18" s="301"/>
      <c r="Z18" s="302"/>
      <c r="AA18" s="301"/>
      <c r="AB18" s="304"/>
      <c r="AC18" s="305"/>
      <c r="AD18" s="305"/>
      <c r="AE18" s="305"/>
      <c r="AF18" s="305"/>
      <c r="AG18" s="305"/>
      <c r="AH18" s="305"/>
      <c r="AI18" s="554"/>
      <c r="AJ18" s="300"/>
      <c r="AK18" s="300"/>
      <c r="AL18" s="300"/>
      <c r="AM18" s="300"/>
      <c r="AN18" s="300"/>
      <c r="AO18" s="300"/>
      <c r="AP18" s="300"/>
      <c r="AQ18" s="300"/>
      <c r="AR18" s="300"/>
      <c r="AS18" s="300"/>
      <c r="AT18" s="300"/>
      <c r="AU18" s="300"/>
      <c r="AV18" s="300"/>
      <c r="AW18" s="300"/>
      <c r="AX18" s="300"/>
      <c r="AY18" s="300"/>
      <c r="AZ18" s="300"/>
      <c r="BA18" s="300"/>
      <c r="BB18" s="300"/>
      <c r="BC18" s="300"/>
      <c r="BD18" s="300"/>
      <c r="BE18" s="300"/>
      <c r="BF18" s="300"/>
      <c r="BG18" s="300"/>
      <c r="BH18" s="300"/>
      <c r="BI18" s="300"/>
      <c r="BJ18" s="300"/>
      <c r="BK18" s="300"/>
      <c r="BL18" s="300"/>
      <c r="BM18" s="300"/>
      <c r="BN18" s="300"/>
      <c r="BO18" s="300"/>
      <c r="BP18" s="300"/>
      <c r="BQ18" s="300"/>
      <c r="BR18" s="300"/>
      <c r="BS18" s="300"/>
      <c r="BT18" s="300"/>
      <c r="BU18" s="300"/>
      <c r="BV18" s="300"/>
      <c r="BW18" s="300"/>
      <c r="BX18" s="300"/>
      <c r="BY18" s="300"/>
      <c r="BZ18" s="300"/>
      <c r="CA18" s="300"/>
      <c r="CB18" s="300"/>
      <c r="CC18" s="300"/>
      <c r="CD18" s="300"/>
      <c r="CE18" s="300"/>
      <c r="CF18" s="300"/>
      <c r="CG18" s="300"/>
      <c r="CH18" s="300"/>
      <c r="CI18" s="300"/>
      <c r="CJ18" s="300"/>
      <c r="CK18" s="300"/>
      <c r="CL18" s="300"/>
      <c r="CM18" s="300"/>
      <c r="CN18" s="300"/>
      <c r="CO18" s="300"/>
      <c r="CP18" s="300"/>
      <c r="CQ18" s="300"/>
      <c r="CR18" s="300"/>
      <c r="CS18" s="300"/>
      <c r="CT18" s="300"/>
      <c r="CU18" s="300"/>
      <c r="CV18" s="300"/>
      <c r="CW18" s="300"/>
      <c r="CX18" s="300"/>
      <c r="CY18" s="300"/>
      <c r="CZ18" s="300"/>
      <c r="DA18" s="300"/>
      <c r="DB18" s="300"/>
      <c r="DC18" s="300"/>
      <c r="DD18" s="300"/>
      <c r="DE18" s="300"/>
      <c r="DF18" s="300"/>
      <c r="DG18" s="300"/>
      <c r="DH18" s="300"/>
      <c r="DI18" s="300"/>
      <c r="DJ18" s="300"/>
      <c r="DK18" s="300"/>
      <c r="DL18" s="300"/>
      <c r="DM18" s="300"/>
      <c r="DN18" s="300"/>
      <c r="DO18" s="300"/>
      <c r="DP18" s="300"/>
      <c r="DQ18" s="300"/>
      <c r="DR18" s="300"/>
      <c r="DS18" s="300"/>
      <c r="DT18" s="300"/>
      <c r="DU18" s="300"/>
      <c r="DV18" s="300"/>
      <c r="DW18" s="300"/>
      <c r="DX18" s="300"/>
      <c r="DY18" s="300"/>
      <c r="DZ18" s="300"/>
      <c r="EA18" s="300"/>
      <c r="EB18" s="300"/>
      <c r="EC18" s="300"/>
      <c r="ED18" s="300"/>
      <c r="EE18" s="300"/>
      <c r="EF18" s="300"/>
      <c r="EG18" s="300"/>
      <c r="EH18" s="300"/>
      <c r="EI18" s="300"/>
      <c r="EJ18" s="300"/>
      <c r="EK18" s="300"/>
      <c r="EL18" s="300"/>
      <c r="EM18" s="300"/>
      <c r="EN18" s="300"/>
      <c r="EO18" s="300"/>
      <c r="EP18" s="300"/>
      <c r="EQ18" s="300"/>
      <c r="ER18" s="300"/>
      <c r="ES18" s="300"/>
      <c r="ET18" s="300"/>
      <c r="EU18" s="300"/>
      <c r="EV18" s="300"/>
      <c r="EW18" s="300"/>
      <c r="EX18" s="300"/>
      <c r="EY18" s="300"/>
      <c r="EZ18" s="300"/>
      <c r="FA18" s="300"/>
      <c r="FB18" s="300"/>
      <c r="FC18" s="300"/>
      <c r="FD18" s="300"/>
      <c r="FE18" s="300"/>
      <c r="FF18" s="300"/>
      <c r="FG18" s="300"/>
      <c r="FH18" s="300"/>
      <c r="FI18" s="300"/>
      <c r="FJ18" s="300"/>
      <c r="FK18" s="300"/>
      <c r="FL18" s="300"/>
      <c r="FM18" s="300"/>
      <c r="FN18" s="300"/>
      <c r="FO18" s="300"/>
      <c r="FP18" s="300"/>
      <c r="FQ18" s="300"/>
      <c r="FR18" s="300"/>
      <c r="FS18" s="300"/>
      <c r="FT18" s="300"/>
      <c r="FU18" s="300"/>
      <c r="FV18" s="300"/>
      <c r="FW18" s="300"/>
      <c r="FX18" s="300"/>
      <c r="FY18" s="300"/>
      <c r="FZ18" s="300"/>
      <c r="GA18" s="300"/>
      <c r="GB18" s="300"/>
      <c r="GC18" s="300"/>
      <c r="GD18" s="300"/>
      <c r="GE18" s="300"/>
      <c r="GF18" s="300"/>
      <c r="GG18" s="300"/>
      <c r="GH18" s="300"/>
      <c r="GI18" s="300"/>
      <c r="GJ18" s="300"/>
      <c r="GK18" s="300"/>
      <c r="GL18" s="300"/>
      <c r="GM18" s="300"/>
      <c r="GN18" s="300"/>
      <c r="GO18" s="300"/>
      <c r="GP18" s="300"/>
      <c r="GQ18" s="300"/>
      <c r="GR18" s="300"/>
      <c r="GS18" s="300"/>
      <c r="GT18" s="300"/>
      <c r="GU18" s="300"/>
      <c r="GV18" s="300"/>
      <c r="GW18" s="300"/>
      <c r="GX18" s="300"/>
      <c r="GY18" s="300"/>
      <c r="GZ18" s="300"/>
      <c r="HA18" s="300"/>
      <c r="HB18" s="300"/>
      <c r="HC18" s="300"/>
      <c r="HD18" s="300"/>
      <c r="HE18" s="300"/>
      <c r="HF18" s="300"/>
      <c r="HG18" s="300"/>
      <c r="HH18" s="300"/>
      <c r="HI18" s="300"/>
      <c r="HJ18" s="300"/>
      <c r="HK18" s="300"/>
      <c r="HL18" s="300"/>
      <c r="HM18" s="300"/>
      <c r="HN18" s="300"/>
      <c r="HO18" s="300"/>
      <c r="HP18" s="300"/>
      <c r="HQ18" s="300"/>
      <c r="HR18" s="300"/>
      <c r="HS18" s="300"/>
      <c r="HT18" s="300"/>
      <c r="HU18" s="300"/>
      <c r="HV18" s="300"/>
      <c r="HW18" s="300"/>
      <c r="HX18" s="300"/>
      <c r="HY18" s="300"/>
      <c r="HZ18" s="300"/>
      <c r="IA18" s="300"/>
      <c r="IB18" s="300"/>
      <c r="IC18" s="300"/>
      <c r="ID18" s="300"/>
      <c r="IE18" s="300"/>
      <c r="IF18" s="300"/>
      <c r="IG18" s="300"/>
      <c r="IH18" s="300"/>
      <c r="II18" s="300"/>
      <c r="IJ18" s="300"/>
      <c r="IK18" s="300"/>
      <c r="IL18" s="303"/>
      <c r="IM18" s="303"/>
      <c r="IN18" s="300"/>
      <c r="IO18" s="300"/>
      <c r="IP18" s="300"/>
      <c r="IQ18" s="300"/>
      <c r="IR18" s="300"/>
      <c r="IS18" s="300"/>
      <c r="IT18" s="300"/>
      <c r="IU18" s="300"/>
      <c r="IV18" s="300"/>
      <c r="IW18" s="300"/>
      <c r="IX18" s="300"/>
      <c r="IY18" s="300"/>
      <c r="IZ18" s="300"/>
      <c r="JA18" s="300"/>
      <c r="JB18" s="300"/>
      <c r="JC18" s="303"/>
      <c r="JD18" s="300"/>
      <c r="JE18" s="300"/>
      <c r="JF18" s="33"/>
      <c r="JG18" s="33"/>
      <c r="JH18" s="33"/>
      <c r="JI18" s="33"/>
      <c r="JJ18" s="33"/>
      <c r="JK18" s="33"/>
      <c r="JL18" s="33"/>
      <c r="JM18" s="33"/>
      <c r="JN18" s="33"/>
      <c r="JO18" s="33"/>
      <c r="JP18" s="33"/>
      <c r="JQ18" s="33"/>
      <c r="JR18" s="33"/>
      <c r="JS18" s="33"/>
      <c r="JT18" s="33"/>
      <c r="JU18" s="33"/>
      <c r="JV18" s="33"/>
      <c r="JW18" s="33"/>
      <c r="JX18" s="33"/>
      <c r="JY18" s="33"/>
      <c r="JZ18" s="33"/>
      <c r="KA18" s="33"/>
      <c r="KB18" s="33"/>
      <c r="KC18" s="33"/>
      <c r="KD18" s="33"/>
      <c r="KE18" s="33"/>
      <c r="KF18" s="33"/>
      <c r="KG18" s="33"/>
      <c r="KH18" s="33"/>
      <c r="KI18" s="33"/>
      <c r="KJ18" s="33"/>
      <c r="KK18" s="33"/>
    </row>
    <row r="19" spans="1:297" s="20" customFormat="1" ht="12.75" customHeight="1">
      <c r="A19" s="2428"/>
      <c r="B19" s="2428"/>
      <c r="C19" s="2428"/>
      <c r="D19" s="826" t="s">
        <v>2165</v>
      </c>
      <c r="E19" s="827">
        <v>1</v>
      </c>
      <c r="F19" s="828">
        <f>'Part VI-Revenues &amp; Expenses'!$K$148</f>
        <v>0</v>
      </c>
      <c r="G19" s="828"/>
      <c r="H19" s="974"/>
      <c r="I19" s="510" t="str">
        <f>CONCATENATE("x ", F19," units = ")</f>
        <v xml:space="preserve">x 0 units = </v>
      </c>
      <c r="J19" s="829">
        <f>F19*H19</f>
        <v>0</v>
      </c>
      <c r="K19" s="13"/>
      <c r="L19" s="828">
        <f>'Part VI-Revenues &amp; Expenses'!$K$149</f>
        <v>0</v>
      </c>
      <c r="M19" s="828"/>
      <c r="N19" s="974"/>
      <c r="O19" s="510" t="str">
        <f>CONCATENATE("x ", L19," units = ")</f>
        <v xml:space="preserve">x 0 units = </v>
      </c>
      <c r="P19" s="829">
        <f>L19*N19</f>
        <v>0</v>
      </c>
      <c r="R19" s="2422">
        <f>'Part IV-Uses of Funds'!$G$127</f>
        <v>0</v>
      </c>
      <c r="S19" s="2423"/>
      <c r="T19" s="288"/>
      <c r="U19" s="288"/>
      <c r="V19" s="11"/>
      <c r="W19" s="11"/>
      <c r="X19" s="301"/>
      <c r="Y19" s="301"/>
      <c r="Z19" s="302"/>
      <c r="AA19" s="301"/>
      <c r="AB19" s="304"/>
      <c r="AC19" s="305"/>
      <c r="AD19" s="305"/>
      <c r="AE19" s="305"/>
      <c r="AF19" s="305"/>
      <c r="AG19" s="305"/>
      <c r="AH19" s="305"/>
      <c r="AI19" s="554"/>
      <c r="AJ19" s="300"/>
      <c r="AK19" s="300"/>
      <c r="AL19" s="300"/>
      <c r="AM19" s="300"/>
      <c r="AN19" s="300"/>
      <c r="AO19" s="300"/>
      <c r="AP19" s="300"/>
      <c r="AQ19" s="300"/>
      <c r="AR19" s="300"/>
      <c r="AS19" s="300"/>
      <c r="AT19" s="300"/>
      <c r="AU19" s="300"/>
      <c r="AV19" s="300"/>
      <c r="AW19" s="300"/>
      <c r="AX19" s="300"/>
      <c r="AY19" s="300"/>
      <c r="AZ19" s="300"/>
      <c r="BA19" s="300"/>
      <c r="BB19" s="300"/>
      <c r="BC19" s="300"/>
      <c r="BD19" s="300"/>
      <c r="BE19" s="300"/>
      <c r="BF19" s="300"/>
      <c r="BG19" s="300"/>
      <c r="BH19" s="300"/>
      <c r="BI19" s="300"/>
      <c r="BJ19" s="300"/>
      <c r="BK19" s="300"/>
      <c r="BL19" s="300"/>
      <c r="BM19" s="300"/>
      <c r="BN19" s="300"/>
      <c r="BO19" s="300"/>
      <c r="BP19" s="300"/>
      <c r="BQ19" s="300"/>
      <c r="BR19" s="300"/>
      <c r="BS19" s="300"/>
      <c r="BT19" s="300"/>
      <c r="BU19" s="300"/>
      <c r="BV19" s="300"/>
      <c r="BW19" s="300"/>
      <c r="BX19" s="300"/>
      <c r="BY19" s="300"/>
      <c r="BZ19" s="300"/>
      <c r="CA19" s="300"/>
      <c r="CB19" s="300"/>
      <c r="CC19" s="300"/>
      <c r="CD19" s="300"/>
      <c r="CE19" s="300"/>
      <c r="CF19" s="300"/>
      <c r="CG19" s="300"/>
      <c r="CH19" s="300"/>
      <c r="CI19" s="300"/>
      <c r="CJ19" s="300"/>
      <c r="CK19" s="300"/>
      <c r="CL19" s="300"/>
      <c r="CM19" s="300"/>
      <c r="CN19" s="300"/>
      <c r="CO19" s="300"/>
      <c r="CP19" s="300"/>
      <c r="CQ19" s="300"/>
      <c r="CR19" s="300"/>
      <c r="CS19" s="300"/>
      <c r="CT19" s="300"/>
      <c r="CU19" s="300"/>
      <c r="CV19" s="300"/>
      <c r="CW19" s="300"/>
      <c r="CX19" s="300"/>
      <c r="CY19" s="300"/>
      <c r="CZ19" s="300"/>
      <c r="DA19" s="300"/>
      <c r="DB19" s="300"/>
      <c r="DC19" s="300"/>
      <c r="DD19" s="300"/>
      <c r="DE19" s="300"/>
      <c r="DF19" s="300"/>
      <c r="DG19" s="300"/>
      <c r="DH19" s="300"/>
      <c r="DI19" s="300"/>
      <c r="DJ19" s="300"/>
      <c r="DK19" s="300"/>
      <c r="DL19" s="300"/>
      <c r="DM19" s="300"/>
      <c r="DN19" s="300"/>
      <c r="DO19" s="300"/>
      <c r="DP19" s="300"/>
      <c r="DQ19" s="300"/>
      <c r="DR19" s="300"/>
      <c r="DS19" s="300"/>
      <c r="DT19" s="300"/>
      <c r="DU19" s="300"/>
      <c r="DV19" s="300"/>
      <c r="DW19" s="300"/>
      <c r="DX19" s="300"/>
      <c r="DY19" s="300"/>
      <c r="DZ19" s="300"/>
      <c r="EA19" s="300"/>
      <c r="EB19" s="300"/>
      <c r="EC19" s="300"/>
      <c r="ED19" s="300"/>
      <c r="EE19" s="300"/>
      <c r="EF19" s="300"/>
      <c r="EG19" s="300"/>
      <c r="EH19" s="300"/>
      <c r="EI19" s="300"/>
      <c r="EJ19" s="300"/>
      <c r="EK19" s="300"/>
      <c r="EL19" s="300"/>
      <c r="EM19" s="300"/>
      <c r="EN19" s="300"/>
      <c r="EO19" s="300"/>
      <c r="EP19" s="300"/>
      <c r="EQ19" s="300"/>
      <c r="ER19" s="300"/>
      <c r="ES19" s="300"/>
      <c r="ET19" s="300"/>
      <c r="EU19" s="300"/>
      <c r="EV19" s="300"/>
      <c r="EW19" s="300"/>
      <c r="EX19" s="300"/>
      <c r="EY19" s="300"/>
      <c r="EZ19" s="300"/>
      <c r="FA19" s="300"/>
      <c r="FB19" s="300"/>
      <c r="FC19" s="300"/>
      <c r="FD19" s="300"/>
      <c r="FE19" s="300"/>
      <c r="FF19" s="300"/>
      <c r="FG19" s="300"/>
      <c r="FH19" s="300"/>
      <c r="FI19" s="300"/>
      <c r="FJ19" s="300"/>
      <c r="FK19" s="300"/>
      <c r="FL19" s="300"/>
      <c r="FM19" s="300"/>
      <c r="FN19" s="300"/>
      <c r="FO19" s="300"/>
      <c r="FP19" s="300"/>
      <c r="FQ19" s="300"/>
      <c r="FR19" s="300"/>
      <c r="FS19" s="300"/>
      <c r="FT19" s="300"/>
      <c r="FU19" s="300"/>
      <c r="FV19" s="300"/>
      <c r="FW19" s="300"/>
      <c r="FX19" s="300"/>
      <c r="FY19" s="300"/>
      <c r="FZ19" s="300"/>
      <c r="GA19" s="300"/>
      <c r="GB19" s="300"/>
      <c r="GC19" s="300"/>
      <c r="GD19" s="300"/>
      <c r="GE19" s="300"/>
      <c r="GF19" s="300"/>
      <c r="GG19" s="300"/>
      <c r="GH19" s="300"/>
      <c r="GI19" s="300"/>
      <c r="GJ19" s="300"/>
      <c r="GK19" s="300"/>
      <c r="GL19" s="300"/>
      <c r="GM19" s="300"/>
      <c r="GN19" s="300"/>
      <c r="GO19" s="300"/>
      <c r="GP19" s="300"/>
      <c r="GQ19" s="300"/>
      <c r="GR19" s="300"/>
      <c r="GS19" s="300"/>
      <c r="GT19" s="300"/>
      <c r="GU19" s="300"/>
      <c r="GV19" s="300"/>
      <c r="GW19" s="300"/>
      <c r="GX19" s="300"/>
      <c r="GY19" s="300"/>
      <c r="GZ19" s="300"/>
      <c r="HA19" s="300"/>
      <c r="HB19" s="300"/>
      <c r="HC19" s="300"/>
      <c r="HD19" s="300"/>
      <c r="HE19" s="300"/>
      <c r="HF19" s="300"/>
      <c r="HG19" s="300"/>
      <c r="HH19" s="300"/>
      <c r="HI19" s="300"/>
      <c r="HJ19" s="300"/>
      <c r="HK19" s="300"/>
      <c r="HL19" s="300"/>
      <c r="HM19" s="300"/>
      <c r="HN19" s="300"/>
      <c r="HO19" s="300"/>
      <c r="HP19" s="300"/>
      <c r="HQ19" s="300"/>
      <c r="HR19" s="300"/>
      <c r="HS19" s="300"/>
      <c r="HT19" s="300"/>
      <c r="HU19" s="300"/>
      <c r="HV19" s="300"/>
      <c r="HW19" s="300"/>
      <c r="HX19" s="300"/>
      <c r="HY19" s="300"/>
      <c r="HZ19" s="300"/>
      <c r="IA19" s="300"/>
      <c r="IB19" s="300"/>
      <c r="IC19" s="300"/>
      <c r="ID19" s="300"/>
      <c r="IE19" s="300"/>
      <c r="IF19" s="300"/>
      <c r="IG19" s="300"/>
      <c r="IH19" s="300"/>
      <c r="II19" s="300"/>
      <c r="IJ19" s="300"/>
      <c r="IK19" s="300"/>
      <c r="IL19" s="303"/>
      <c r="IM19" s="303"/>
      <c r="IN19" s="300"/>
      <c r="IO19" s="300"/>
      <c r="IP19" s="300"/>
      <c r="IQ19" s="300"/>
      <c r="IR19" s="300"/>
      <c r="IS19" s="300"/>
      <c r="IT19" s="300"/>
      <c r="IU19" s="300"/>
      <c r="IV19" s="300"/>
      <c r="IW19" s="300"/>
      <c r="IX19" s="300"/>
      <c r="IY19" s="300"/>
      <c r="IZ19" s="300"/>
      <c r="JA19" s="300"/>
      <c r="JB19" s="300"/>
      <c r="JC19" s="303"/>
      <c r="JD19" s="300"/>
      <c r="JE19" s="300"/>
      <c r="JF19" s="33"/>
      <c r="JG19" s="33"/>
      <c r="JH19" s="33"/>
      <c r="JI19" s="33"/>
      <c r="JJ19" s="33"/>
      <c r="JK19" s="33"/>
      <c r="JL19" s="33"/>
      <c r="JM19" s="33"/>
      <c r="JN19" s="33"/>
      <c r="JO19" s="33"/>
      <c r="JP19" s="33"/>
      <c r="JQ19" s="33"/>
      <c r="JR19" s="33"/>
      <c r="JS19" s="33"/>
      <c r="JT19" s="33"/>
      <c r="JU19" s="33"/>
      <c r="JV19" s="33"/>
      <c r="JW19" s="33"/>
      <c r="JX19" s="33"/>
      <c r="JY19" s="33"/>
      <c r="JZ19" s="33"/>
      <c r="KA19" s="33"/>
      <c r="KB19" s="33"/>
      <c r="KC19" s="33"/>
      <c r="KD19" s="33"/>
      <c r="KE19" s="33"/>
      <c r="KF19" s="33"/>
      <c r="KG19" s="33"/>
      <c r="KH19" s="33"/>
      <c r="KI19" s="33"/>
      <c r="KJ19" s="33"/>
      <c r="KK19" s="33"/>
    </row>
    <row r="20" spans="1:297" s="20" customFormat="1" ht="12.75" customHeight="1">
      <c r="A20" s="2428"/>
      <c r="B20" s="2428"/>
      <c r="C20" s="2428"/>
      <c r="D20" s="826" t="s">
        <v>2166</v>
      </c>
      <c r="E20" s="827">
        <v>2</v>
      </c>
      <c r="F20" s="828">
        <f>'Part VI-Revenues &amp; Expenses'!$L$148</f>
        <v>0</v>
      </c>
      <c r="G20" s="828"/>
      <c r="H20" s="974"/>
      <c r="I20" s="510" t="str">
        <f>CONCATENATE("x ", F20," units = ")</f>
        <v xml:space="preserve">x 0 units = </v>
      </c>
      <c r="J20" s="829">
        <f>F20*H20</f>
        <v>0</v>
      </c>
      <c r="K20" s="13"/>
      <c r="L20" s="828">
        <f>'Part VI-Revenues &amp; Expenses'!$L$149</f>
        <v>0</v>
      </c>
      <c r="M20" s="828"/>
      <c r="N20" s="974"/>
      <c r="O20" s="510" t="str">
        <f>CONCATENATE("x ", L20," units = ")</f>
        <v xml:space="preserve">x 0 units = </v>
      </c>
      <c r="P20" s="829">
        <f>L20*N20</f>
        <v>0</v>
      </c>
      <c r="Q20" s="496"/>
      <c r="R20" s="2429" t="s">
        <v>3223</v>
      </c>
      <c r="S20" s="2429"/>
      <c r="T20" s="288"/>
      <c r="U20" s="288"/>
      <c r="V20" s="11"/>
      <c r="W20" s="11"/>
      <c r="X20" s="301"/>
      <c r="Y20" s="301"/>
      <c r="Z20" s="302"/>
      <c r="AA20" s="301"/>
      <c r="AB20" s="304"/>
      <c r="AC20" s="305"/>
      <c r="AD20" s="305"/>
      <c r="AE20" s="305"/>
      <c r="AF20" s="305"/>
      <c r="AG20" s="305"/>
      <c r="AH20" s="305"/>
      <c r="AI20" s="554"/>
      <c r="AJ20" s="300"/>
      <c r="AK20" s="300"/>
      <c r="AL20" s="300"/>
      <c r="AM20" s="300"/>
      <c r="AN20" s="300"/>
      <c r="AO20" s="300"/>
      <c r="AP20" s="300"/>
      <c r="AQ20" s="300"/>
      <c r="AR20" s="300"/>
      <c r="AS20" s="300"/>
      <c r="AT20" s="300"/>
      <c r="AU20" s="300"/>
      <c r="AV20" s="300"/>
      <c r="AW20" s="300"/>
      <c r="AX20" s="300"/>
      <c r="AY20" s="300"/>
      <c r="AZ20" s="300"/>
      <c r="BA20" s="300"/>
      <c r="BB20" s="300"/>
      <c r="BC20" s="300"/>
      <c r="BD20" s="300"/>
      <c r="BE20" s="300"/>
      <c r="BF20" s="300"/>
      <c r="BG20" s="300"/>
      <c r="BH20" s="300"/>
      <c r="BI20" s="300"/>
      <c r="BJ20" s="300"/>
      <c r="BK20" s="300"/>
      <c r="BL20" s="300"/>
      <c r="BM20" s="300"/>
      <c r="BN20" s="300"/>
      <c r="BO20" s="300"/>
      <c r="BP20" s="300"/>
      <c r="BQ20" s="300"/>
      <c r="BR20" s="300"/>
      <c r="BS20" s="300"/>
      <c r="BT20" s="300"/>
      <c r="BU20" s="300"/>
      <c r="BV20" s="300"/>
      <c r="BW20" s="300"/>
      <c r="BX20" s="300"/>
      <c r="BY20" s="300"/>
      <c r="BZ20" s="300"/>
      <c r="CA20" s="300"/>
      <c r="CB20" s="300"/>
      <c r="CC20" s="300"/>
      <c r="CD20" s="300"/>
      <c r="CE20" s="300"/>
      <c r="CF20" s="300"/>
      <c r="CG20" s="300"/>
      <c r="CH20" s="300"/>
      <c r="CI20" s="300"/>
      <c r="CJ20" s="300"/>
      <c r="CK20" s="300"/>
      <c r="CL20" s="300"/>
      <c r="CM20" s="300"/>
      <c r="CN20" s="300"/>
      <c r="CO20" s="300"/>
      <c r="CP20" s="300"/>
      <c r="CQ20" s="300"/>
      <c r="CR20" s="300"/>
      <c r="CS20" s="300"/>
      <c r="CT20" s="300"/>
      <c r="CU20" s="300"/>
      <c r="CV20" s="300"/>
      <c r="CW20" s="300"/>
      <c r="CX20" s="300"/>
      <c r="CY20" s="300"/>
      <c r="CZ20" s="300"/>
      <c r="DA20" s="300"/>
      <c r="DB20" s="300"/>
      <c r="DC20" s="300"/>
      <c r="DD20" s="300"/>
      <c r="DE20" s="300"/>
      <c r="DF20" s="300"/>
      <c r="DG20" s="300"/>
      <c r="DH20" s="300"/>
      <c r="DI20" s="300"/>
      <c r="DJ20" s="300"/>
      <c r="DK20" s="300"/>
      <c r="DL20" s="300"/>
      <c r="DM20" s="300"/>
      <c r="DN20" s="300"/>
      <c r="DO20" s="300"/>
      <c r="DP20" s="300"/>
      <c r="DQ20" s="300"/>
      <c r="DR20" s="300"/>
      <c r="DS20" s="300"/>
      <c r="DT20" s="300"/>
      <c r="DU20" s="300"/>
      <c r="DV20" s="300"/>
      <c r="DW20" s="300"/>
      <c r="DX20" s="300"/>
      <c r="DY20" s="300"/>
      <c r="DZ20" s="300"/>
      <c r="EA20" s="300"/>
      <c r="EB20" s="300"/>
      <c r="EC20" s="300"/>
      <c r="ED20" s="300"/>
      <c r="EE20" s="300"/>
      <c r="EF20" s="300"/>
      <c r="EG20" s="300"/>
      <c r="EH20" s="300"/>
      <c r="EI20" s="300"/>
      <c r="EJ20" s="300"/>
      <c r="EK20" s="300"/>
      <c r="EL20" s="300"/>
      <c r="EM20" s="300"/>
      <c r="EN20" s="300"/>
      <c r="EO20" s="300"/>
      <c r="EP20" s="300"/>
      <c r="EQ20" s="300"/>
      <c r="ER20" s="300"/>
      <c r="ES20" s="300"/>
      <c r="ET20" s="300"/>
      <c r="EU20" s="300"/>
      <c r="EV20" s="300"/>
      <c r="EW20" s="300"/>
      <c r="EX20" s="300"/>
      <c r="EY20" s="300"/>
      <c r="EZ20" s="300"/>
      <c r="FA20" s="300"/>
      <c r="FB20" s="300"/>
      <c r="FC20" s="300"/>
      <c r="FD20" s="300"/>
      <c r="FE20" s="300"/>
      <c r="FF20" s="300"/>
      <c r="FG20" s="300"/>
      <c r="FH20" s="300"/>
      <c r="FI20" s="300"/>
      <c r="FJ20" s="300"/>
      <c r="FK20" s="300"/>
      <c r="FL20" s="300"/>
      <c r="FM20" s="300"/>
      <c r="FN20" s="300"/>
      <c r="FO20" s="300"/>
      <c r="FP20" s="300"/>
      <c r="FQ20" s="300"/>
      <c r="FR20" s="300"/>
      <c r="FS20" s="300"/>
      <c r="FT20" s="300"/>
      <c r="FU20" s="300"/>
      <c r="FV20" s="300"/>
      <c r="FW20" s="300"/>
      <c r="FX20" s="300"/>
      <c r="FY20" s="300"/>
      <c r="FZ20" s="300"/>
      <c r="GA20" s="300"/>
      <c r="GB20" s="300"/>
      <c r="GC20" s="300"/>
      <c r="GD20" s="300"/>
      <c r="GE20" s="300"/>
      <c r="GF20" s="300"/>
      <c r="GG20" s="300"/>
      <c r="GH20" s="300"/>
      <c r="GI20" s="300"/>
      <c r="GJ20" s="300"/>
      <c r="GK20" s="300"/>
      <c r="GL20" s="300"/>
      <c r="GM20" s="300"/>
      <c r="GN20" s="300"/>
      <c r="GO20" s="300"/>
      <c r="GP20" s="300"/>
      <c r="GQ20" s="300"/>
      <c r="GR20" s="300"/>
      <c r="GS20" s="300"/>
      <c r="GT20" s="300"/>
      <c r="GU20" s="300"/>
      <c r="GV20" s="300"/>
      <c r="GW20" s="300"/>
      <c r="GX20" s="300"/>
      <c r="GY20" s="300"/>
      <c r="GZ20" s="300"/>
      <c r="HA20" s="300"/>
      <c r="HB20" s="300"/>
      <c r="HC20" s="300"/>
      <c r="HD20" s="300"/>
      <c r="HE20" s="300"/>
      <c r="HF20" s="300"/>
      <c r="HG20" s="300"/>
      <c r="HH20" s="300"/>
      <c r="HI20" s="300"/>
      <c r="HJ20" s="300"/>
      <c r="HK20" s="300"/>
      <c r="HL20" s="300"/>
      <c r="HM20" s="300"/>
      <c r="HN20" s="300"/>
      <c r="HO20" s="300"/>
      <c r="HP20" s="300"/>
      <c r="HQ20" s="300"/>
      <c r="HR20" s="300"/>
      <c r="HS20" s="300"/>
      <c r="HT20" s="300"/>
      <c r="HU20" s="300"/>
      <c r="HV20" s="300"/>
      <c r="HW20" s="300"/>
      <c r="HX20" s="300"/>
      <c r="HY20" s="300"/>
      <c r="HZ20" s="300"/>
      <c r="IA20" s="300"/>
      <c r="IB20" s="300"/>
      <c r="IC20" s="300"/>
      <c r="ID20" s="300"/>
      <c r="IE20" s="300"/>
      <c r="IF20" s="300"/>
      <c r="IG20" s="300"/>
      <c r="IH20" s="300"/>
      <c r="II20" s="300"/>
      <c r="IJ20" s="300"/>
      <c r="IK20" s="300"/>
      <c r="IL20" s="303"/>
      <c r="IM20" s="303"/>
      <c r="IN20" s="300"/>
      <c r="IO20" s="300"/>
      <c r="IP20" s="300"/>
      <c r="IQ20" s="300"/>
      <c r="IR20" s="300"/>
      <c r="IS20" s="300"/>
      <c r="IT20" s="300"/>
      <c r="IU20" s="300"/>
      <c r="IV20" s="300"/>
      <c r="IW20" s="300"/>
      <c r="IX20" s="300"/>
      <c r="IY20" s="300"/>
      <c r="IZ20" s="300"/>
      <c r="JA20" s="300"/>
      <c r="JB20" s="300"/>
      <c r="JC20" s="303"/>
      <c r="JD20" s="300"/>
      <c r="JE20" s="300"/>
      <c r="JF20" s="33"/>
      <c r="JG20" s="33"/>
      <c r="JH20" s="33"/>
      <c r="JI20" s="33"/>
      <c r="JJ20" s="33"/>
      <c r="JK20" s="33"/>
      <c r="JL20" s="33"/>
      <c r="JM20" s="33"/>
      <c r="JN20" s="33"/>
      <c r="JO20" s="33"/>
      <c r="JP20" s="33"/>
      <c r="JQ20" s="33"/>
      <c r="JR20" s="33"/>
      <c r="JS20" s="33"/>
      <c r="JT20" s="33"/>
      <c r="JU20" s="33"/>
      <c r="JV20" s="33"/>
      <c r="JW20" s="33"/>
      <c r="JX20" s="33"/>
      <c r="JY20" s="33"/>
      <c r="JZ20" s="33"/>
      <c r="KA20" s="33"/>
      <c r="KB20" s="33"/>
      <c r="KC20" s="33"/>
      <c r="KD20" s="33"/>
      <c r="KE20" s="33"/>
      <c r="KF20" s="33"/>
      <c r="KG20" s="33"/>
      <c r="KH20" s="33"/>
      <c r="KI20" s="33"/>
      <c r="KJ20" s="33"/>
      <c r="KK20" s="33"/>
    </row>
    <row r="21" spans="1:297" s="20" customFormat="1" ht="12.75" customHeight="1">
      <c r="A21" s="3"/>
      <c r="B21" s="3"/>
      <c r="C21" s="1"/>
      <c r="D21" s="826" t="s">
        <v>2167</v>
      </c>
      <c r="E21" s="827">
        <v>3</v>
      </c>
      <c r="F21" s="828">
        <f>'Part VI-Revenues &amp; Expenses'!$M$148</f>
        <v>0</v>
      </c>
      <c r="G21" s="828"/>
      <c r="H21" s="974"/>
      <c r="I21" s="510" t="str">
        <f>CONCATENATE("x ", F21," units = ")</f>
        <v xml:space="preserve">x 0 units = </v>
      </c>
      <c r="J21" s="829">
        <f>F21*H21</f>
        <v>0</v>
      </c>
      <c r="K21" s="13"/>
      <c r="L21" s="828">
        <f>'Part VI-Revenues &amp; Expenses'!$M$149</f>
        <v>0</v>
      </c>
      <c r="M21" s="828"/>
      <c r="N21" s="974"/>
      <c r="O21" s="510" t="str">
        <f>CONCATENATE("x ", L21," units = ")</f>
        <v xml:space="preserve">x 0 units = </v>
      </c>
      <c r="P21" s="829">
        <f>L21*N21</f>
        <v>0</v>
      </c>
      <c r="Q21" s="496"/>
      <c r="R21" s="2429"/>
      <c r="S21" s="2429"/>
      <c r="T21" s="288"/>
      <c r="U21" s="288"/>
      <c r="V21" s="11"/>
      <c r="W21" s="11"/>
      <c r="X21" s="301"/>
      <c r="Y21" s="301"/>
      <c r="Z21" s="302"/>
      <c r="AA21" s="301"/>
      <c r="AB21" s="304"/>
      <c r="AC21" s="305"/>
      <c r="AD21" s="305"/>
      <c r="AE21" s="305"/>
      <c r="AF21" s="305"/>
      <c r="AG21" s="305"/>
      <c r="AH21" s="305"/>
      <c r="AI21" s="554"/>
      <c r="AJ21" s="300"/>
      <c r="AK21" s="300"/>
      <c r="AL21" s="300"/>
      <c r="AM21" s="300"/>
      <c r="AN21" s="300"/>
      <c r="AO21" s="300"/>
      <c r="AP21" s="300"/>
      <c r="AQ21" s="300"/>
      <c r="AR21" s="300"/>
      <c r="AS21" s="300"/>
      <c r="AT21" s="300"/>
      <c r="AU21" s="300"/>
      <c r="AV21" s="300"/>
      <c r="AW21" s="300"/>
      <c r="AX21" s="300"/>
      <c r="AY21" s="300"/>
      <c r="AZ21" s="300"/>
      <c r="BA21" s="300"/>
      <c r="BB21" s="300"/>
      <c r="BC21" s="300"/>
      <c r="BD21" s="300"/>
      <c r="BE21" s="300"/>
      <c r="BF21" s="300"/>
      <c r="BG21" s="300"/>
      <c r="BH21" s="300"/>
      <c r="BI21" s="300"/>
      <c r="BJ21" s="300"/>
      <c r="BK21" s="300"/>
      <c r="BL21" s="300"/>
      <c r="BM21" s="300"/>
      <c r="BN21" s="300"/>
      <c r="BO21" s="300"/>
      <c r="BP21" s="300"/>
      <c r="BQ21" s="300"/>
      <c r="BR21" s="300"/>
      <c r="BS21" s="300"/>
      <c r="BT21" s="300"/>
      <c r="BU21" s="300"/>
      <c r="BV21" s="300"/>
      <c r="BW21" s="300"/>
      <c r="BX21" s="300"/>
      <c r="BY21" s="300"/>
      <c r="BZ21" s="300"/>
      <c r="CA21" s="300"/>
      <c r="CB21" s="300"/>
      <c r="CC21" s="300"/>
      <c r="CD21" s="300"/>
      <c r="CE21" s="300"/>
      <c r="CF21" s="300"/>
      <c r="CG21" s="300"/>
      <c r="CH21" s="300"/>
      <c r="CI21" s="300"/>
      <c r="CJ21" s="300"/>
      <c r="CK21" s="300"/>
      <c r="CL21" s="300"/>
      <c r="CM21" s="300"/>
      <c r="CN21" s="300"/>
      <c r="CO21" s="300"/>
      <c r="CP21" s="300"/>
      <c r="CQ21" s="300"/>
      <c r="CR21" s="300"/>
      <c r="CS21" s="300"/>
      <c r="CT21" s="300"/>
      <c r="CU21" s="300"/>
      <c r="CV21" s="300"/>
      <c r="CW21" s="300"/>
      <c r="CX21" s="300"/>
      <c r="CY21" s="300"/>
      <c r="CZ21" s="300"/>
      <c r="DA21" s="300"/>
      <c r="DB21" s="300"/>
      <c r="DC21" s="300"/>
      <c r="DD21" s="300"/>
      <c r="DE21" s="300"/>
      <c r="DF21" s="300"/>
      <c r="DG21" s="300"/>
      <c r="DH21" s="300"/>
      <c r="DI21" s="300"/>
      <c r="DJ21" s="300"/>
      <c r="DK21" s="300"/>
      <c r="DL21" s="300"/>
      <c r="DM21" s="300"/>
      <c r="DN21" s="300"/>
      <c r="DO21" s="300"/>
      <c r="DP21" s="300"/>
      <c r="DQ21" s="300"/>
      <c r="DR21" s="300"/>
      <c r="DS21" s="300"/>
      <c r="DT21" s="300"/>
      <c r="DU21" s="300"/>
      <c r="DV21" s="300"/>
      <c r="DW21" s="300"/>
      <c r="DX21" s="300"/>
      <c r="DY21" s="300"/>
      <c r="DZ21" s="300"/>
      <c r="EA21" s="300"/>
      <c r="EB21" s="300"/>
      <c r="EC21" s="300"/>
      <c r="ED21" s="300"/>
      <c r="EE21" s="300"/>
      <c r="EF21" s="300"/>
      <c r="EG21" s="300"/>
      <c r="EH21" s="300"/>
      <c r="EI21" s="300"/>
      <c r="EJ21" s="300"/>
      <c r="EK21" s="300"/>
      <c r="EL21" s="300"/>
      <c r="EM21" s="300"/>
      <c r="EN21" s="300"/>
      <c r="EO21" s="300"/>
      <c r="EP21" s="300"/>
      <c r="EQ21" s="300"/>
      <c r="ER21" s="300"/>
      <c r="ES21" s="300"/>
      <c r="ET21" s="300"/>
      <c r="EU21" s="300"/>
      <c r="EV21" s="300"/>
      <c r="EW21" s="300"/>
      <c r="EX21" s="300"/>
      <c r="EY21" s="300"/>
      <c r="EZ21" s="300"/>
      <c r="FA21" s="300"/>
      <c r="FB21" s="300"/>
      <c r="FC21" s="300"/>
      <c r="FD21" s="300"/>
      <c r="FE21" s="300"/>
      <c r="FF21" s="300"/>
      <c r="FG21" s="300"/>
      <c r="FH21" s="300"/>
      <c r="FI21" s="300"/>
      <c r="FJ21" s="300"/>
      <c r="FK21" s="300"/>
      <c r="FL21" s="300"/>
      <c r="FM21" s="300"/>
      <c r="FN21" s="300"/>
      <c r="FO21" s="300"/>
      <c r="FP21" s="300"/>
      <c r="FQ21" s="300"/>
      <c r="FR21" s="300"/>
      <c r="FS21" s="300"/>
      <c r="FT21" s="300"/>
      <c r="FU21" s="300"/>
      <c r="FV21" s="300"/>
      <c r="FW21" s="300"/>
      <c r="FX21" s="300"/>
      <c r="FY21" s="300"/>
      <c r="FZ21" s="300"/>
      <c r="GA21" s="300"/>
      <c r="GB21" s="300"/>
      <c r="GC21" s="300"/>
      <c r="GD21" s="300"/>
      <c r="GE21" s="300"/>
      <c r="GF21" s="300"/>
      <c r="GG21" s="300"/>
      <c r="GH21" s="300"/>
      <c r="GI21" s="300"/>
      <c r="GJ21" s="300"/>
      <c r="GK21" s="300"/>
      <c r="GL21" s="300"/>
      <c r="GM21" s="300"/>
      <c r="GN21" s="300"/>
      <c r="GO21" s="300"/>
      <c r="GP21" s="300"/>
      <c r="GQ21" s="300"/>
      <c r="GR21" s="300"/>
      <c r="GS21" s="300"/>
      <c r="GT21" s="300"/>
      <c r="GU21" s="300"/>
      <c r="GV21" s="300"/>
      <c r="GW21" s="300"/>
      <c r="GX21" s="300"/>
      <c r="GY21" s="300"/>
      <c r="GZ21" s="300"/>
      <c r="HA21" s="300"/>
      <c r="HB21" s="300"/>
      <c r="HC21" s="300"/>
      <c r="HD21" s="300"/>
      <c r="HE21" s="300"/>
      <c r="HF21" s="300"/>
      <c r="HG21" s="300"/>
      <c r="HH21" s="300"/>
      <c r="HI21" s="300"/>
      <c r="HJ21" s="300"/>
      <c r="HK21" s="300"/>
      <c r="HL21" s="300"/>
      <c r="HM21" s="300"/>
      <c r="HN21" s="300"/>
      <c r="HO21" s="300"/>
      <c r="HP21" s="300"/>
      <c r="HQ21" s="300"/>
      <c r="HR21" s="300"/>
      <c r="HS21" s="300"/>
      <c r="HT21" s="300"/>
      <c r="HU21" s="300"/>
      <c r="HV21" s="300"/>
      <c r="HW21" s="300"/>
      <c r="HX21" s="300"/>
      <c r="HY21" s="300"/>
      <c r="HZ21" s="300"/>
      <c r="IA21" s="300"/>
      <c r="IB21" s="300"/>
      <c r="IC21" s="300"/>
      <c r="ID21" s="300"/>
      <c r="IE21" s="300"/>
      <c r="IF21" s="300"/>
      <c r="IG21" s="300"/>
      <c r="IH21" s="300"/>
      <c r="II21" s="300"/>
      <c r="IJ21" s="300"/>
      <c r="IK21" s="300"/>
      <c r="IL21" s="303"/>
      <c r="IM21" s="303"/>
      <c r="IN21" s="300"/>
      <c r="IO21" s="300"/>
      <c r="IP21" s="300"/>
      <c r="IQ21" s="300"/>
      <c r="IR21" s="300"/>
      <c r="IS21" s="300"/>
      <c r="IT21" s="300"/>
      <c r="IU21" s="300"/>
      <c r="IV21" s="300"/>
      <c r="IW21" s="300"/>
      <c r="IX21" s="300"/>
      <c r="IY21" s="300"/>
      <c r="IZ21" s="300"/>
      <c r="JA21" s="300"/>
      <c r="JB21" s="300"/>
      <c r="JC21" s="303"/>
      <c r="JD21" s="300"/>
      <c r="JE21" s="300"/>
      <c r="JF21" s="33"/>
      <c r="JG21" s="33"/>
      <c r="JH21" s="33"/>
      <c r="JI21" s="33"/>
      <c r="JJ21" s="33"/>
      <c r="JK21" s="33"/>
      <c r="JL21" s="33"/>
      <c r="JM21" s="33"/>
      <c r="JN21" s="33"/>
      <c r="JO21" s="33"/>
      <c r="JP21" s="33"/>
      <c r="JQ21" s="33"/>
      <c r="JR21" s="33"/>
      <c r="JS21" s="33"/>
      <c r="JT21" s="33"/>
      <c r="JU21" s="33"/>
      <c r="JV21" s="33"/>
      <c r="JW21" s="33"/>
      <c r="JX21" s="33"/>
      <c r="JY21" s="33"/>
      <c r="JZ21" s="33"/>
      <c r="KA21" s="33"/>
      <c r="KB21" s="33"/>
      <c r="KC21" s="33"/>
      <c r="KD21" s="33"/>
      <c r="KE21" s="33"/>
      <c r="KF21" s="33"/>
      <c r="KG21" s="33"/>
      <c r="KH21" s="33"/>
      <c r="KI21" s="33"/>
      <c r="KJ21" s="33"/>
      <c r="KK21" s="33"/>
    </row>
    <row r="22" spans="1:297" s="20" customFormat="1" ht="12.75" customHeight="1">
      <c r="A22" s="3"/>
      <c r="B22" s="3"/>
      <c r="C22" s="1"/>
      <c r="D22" s="830" t="s">
        <v>2168</v>
      </c>
      <c r="E22" s="827">
        <v>4</v>
      </c>
      <c r="F22" s="828">
        <f>'Part VI-Revenues &amp; Expenses'!$N$148</f>
        <v>0</v>
      </c>
      <c r="G22" s="828"/>
      <c r="H22" s="974"/>
      <c r="I22" s="510" t="str">
        <f>CONCATENATE("x ", F22," units = ")</f>
        <v xml:space="preserve">x 0 units = </v>
      </c>
      <c r="J22" s="829">
        <f>F22*H22</f>
        <v>0</v>
      </c>
      <c r="K22" s="13"/>
      <c r="L22" s="828">
        <f>'Part VI-Revenues &amp; Expenses'!$N$149</f>
        <v>0</v>
      </c>
      <c r="M22" s="828"/>
      <c r="N22" s="974"/>
      <c r="O22" s="510" t="str">
        <f>CONCATENATE("x ", L22," units = ")</f>
        <v xml:space="preserve">x 0 units = </v>
      </c>
      <c r="P22" s="829">
        <f>L22*N22</f>
        <v>0</v>
      </c>
      <c r="Q22" s="496"/>
      <c r="R22" s="2424"/>
      <c r="S22" s="2425"/>
      <c r="T22" s="288"/>
      <c r="U22" s="288"/>
      <c r="V22" s="11"/>
      <c r="W22" s="11"/>
      <c r="X22" s="301"/>
      <c r="Y22" s="301"/>
      <c r="Z22" s="302"/>
      <c r="AA22" s="301"/>
      <c r="AB22" s="304"/>
      <c r="AC22" s="305"/>
      <c r="AD22" s="305"/>
      <c r="AE22" s="305"/>
      <c r="AF22" s="305"/>
      <c r="AG22" s="305"/>
      <c r="AH22" s="305"/>
      <c r="AI22" s="554"/>
      <c r="AJ22" s="300"/>
      <c r="AK22" s="300"/>
      <c r="AL22" s="300"/>
      <c r="AM22" s="300"/>
      <c r="AN22" s="300"/>
      <c r="AO22" s="300"/>
      <c r="AP22" s="300"/>
      <c r="AQ22" s="300"/>
      <c r="AR22" s="300"/>
      <c r="AS22" s="300"/>
      <c r="AT22" s="300"/>
      <c r="AU22" s="300"/>
      <c r="AV22" s="300"/>
      <c r="AW22" s="300"/>
      <c r="AX22" s="300"/>
      <c r="AY22" s="300"/>
      <c r="AZ22" s="300"/>
      <c r="BA22" s="300"/>
      <c r="BB22" s="300"/>
      <c r="BC22" s="300"/>
      <c r="BD22" s="300"/>
      <c r="BE22" s="300"/>
      <c r="BF22" s="300"/>
      <c r="BG22" s="300"/>
      <c r="BH22" s="300"/>
      <c r="BI22" s="300"/>
      <c r="BJ22" s="300"/>
      <c r="BK22" s="300"/>
      <c r="BL22" s="300"/>
      <c r="BM22" s="300"/>
      <c r="BN22" s="300"/>
      <c r="BO22" s="300"/>
      <c r="BP22" s="300"/>
      <c r="BQ22" s="300"/>
      <c r="BR22" s="300"/>
      <c r="BS22" s="300"/>
      <c r="BT22" s="300"/>
      <c r="BU22" s="300"/>
      <c r="BV22" s="300"/>
      <c r="BW22" s="300"/>
      <c r="BX22" s="300"/>
      <c r="BY22" s="300"/>
      <c r="BZ22" s="300"/>
      <c r="CA22" s="300"/>
      <c r="CB22" s="300"/>
      <c r="CC22" s="300"/>
      <c r="CD22" s="300"/>
      <c r="CE22" s="300"/>
      <c r="CF22" s="300"/>
      <c r="CG22" s="300"/>
      <c r="CH22" s="300"/>
      <c r="CI22" s="300"/>
      <c r="CJ22" s="300"/>
      <c r="CK22" s="300"/>
      <c r="CL22" s="300"/>
      <c r="CM22" s="300"/>
      <c r="CN22" s="300"/>
      <c r="CO22" s="300"/>
      <c r="CP22" s="300"/>
      <c r="CQ22" s="300"/>
      <c r="CR22" s="300"/>
      <c r="CS22" s="300"/>
      <c r="CT22" s="300"/>
      <c r="CU22" s="300"/>
      <c r="CV22" s="300"/>
      <c r="CW22" s="300"/>
      <c r="CX22" s="300"/>
      <c r="CY22" s="300"/>
      <c r="CZ22" s="300"/>
      <c r="DA22" s="300"/>
      <c r="DB22" s="300"/>
      <c r="DC22" s="300"/>
      <c r="DD22" s="300"/>
      <c r="DE22" s="300"/>
      <c r="DF22" s="300"/>
      <c r="DG22" s="300"/>
      <c r="DH22" s="300"/>
      <c r="DI22" s="300"/>
      <c r="DJ22" s="300"/>
      <c r="DK22" s="300"/>
      <c r="DL22" s="300"/>
      <c r="DM22" s="300"/>
      <c r="DN22" s="300"/>
      <c r="DO22" s="300"/>
      <c r="DP22" s="300"/>
      <c r="DQ22" s="300"/>
      <c r="DR22" s="300"/>
      <c r="DS22" s="300"/>
      <c r="DT22" s="300"/>
      <c r="DU22" s="300"/>
      <c r="DV22" s="300"/>
      <c r="DW22" s="300"/>
      <c r="DX22" s="300"/>
      <c r="DY22" s="300"/>
      <c r="DZ22" s="300"/>
      <c r="EA22" s="300"/>
      <c r="EB22" s="300"/>
      <c r="EC22" s="300"/>
      <c r="ED22" s="300"/>
      <c r="EE22" s="300"/>
      <c r="EF22" s="300"/>
      <c r="EG22" s="300"/>
      <c r="EH22" s="300"/>
      <c r="EI22" s="300"/>
      <c r="EJ22" s="300"/>
      <c r="EK22" s="300"/>
      <c r="EL22" s="300"/>
      <c r="EM22" s="300"/>
      <c r="EN22" s="300"/>
      <c r="EO22" s="300"/>
      <c r="EP22" s="300"/>
      <c r="EQ22" s="300"/>
      <c r="ER22" s="300"/>
      <c r="ES22" s="300"/>
      <c r="ET22" s="300"/>
      <c r="EU22" s="300"/>
      <c r="EV22" s="300"/>
      <c r="EW22" s="300"/>
      <c r="EX22" s="300"/>
      <c r="EY22" s="300"/>
      <c r="EZ22" s="300"/>
      <c r="FA22" s="300"/>
      <c r="FB22" s="300"/>
      <c r="FC22" s="300"/>
      <c r="FD22" s="300"/>
      <c r="FE22" s="300"/>
      <c r="FF22" s="300"/>
      <c r="FG22" s="300"/>
      <c r="FH22" s="300"/>
      <c r="FI22" s="300"/>
      <c r="FJ22" s="300"/>
      <c r="FK22" s="300"/>
      <c r="FL22" s="300"/>
      <c r="FM22" s="300"/>
      <c r="FN22" s="300"/>
      <c r="FO22" s="300"/>
      <c r="FP22" s="300"/>
      <c r="FQ22" s="300"/>
      <c r="FR22" s="300"/>
      <c r="FS22" s="300"/>
      <c r="FT22" s="300"/>
      <c r="FU22" s="300"/>
      <c r="FV22" s="300"/>
      <c r="FW22" s="300"/>
      <c r="FX22" s="300"/>
      <c r="FY22" s="300"/>
      <c r="FZ22" s="300"/>
      <c r="GA22" s="300"/>
      <c r="GB22" s="300"/>
      <c r="GC22" s="300"/>
      <c r="GD22" s="300"/>
      <c r="GE22" s="300"/>
      <c r="GF22" s="300"/>
      <c r="GG22" s="300"/>
      <c r="GH22" s="300"/>
      <c r="GI22" s="300"/>
      <c r="GJ22" s="300"/>
      <c r="GK22" s="300"/>
      <c r="GL22" s="300"/>
      <c r="GM22" s="300"/>
      <c r="GN22" s="300"/>
      <c r="GO22" s="300"/>
      <c r="GP22" s="300"/>
      <c r="GQ22" s="300"/>
      <c r="GR22" s="300"/>
      <c r="GS22" s="300"/>
      <c r="GT22" s="300"/>
      <c r="GU22" s="300"/>
      <c r="GV22" s="300"/>
      <c r="GW22" s="300"/>
      <c r="GX22" s="300"/>
      <c r="GY22" s="300"/>
      <c r="GZ22" s="300"/>
      <c r="HA22" s="300"/>
      <c r="HB22" s="300"/>
      <c r="HC22" s="300"/>
      <c r="HD22" s="300"/>
      <c r="HE22" s="300"/>
      <c r="HF22" s="300"/>
      <c r="HG22" s="300"/>
      <c r="HH22" s="300"/>
      <c r="HI22" s="300"/>
      <c r="HJ22" s="300"/>
      <c r="HK22" s="300"/>
      <c r="HL22" s="300"/>
      <c r="HM22" s="300"/>
      <c r="HN22" s="300"/>
      <c r="HO22" s="300"/>
      <c r="HP22" s="300"/>
      <c r="HQ22" s="300"/>
      <c r="HR22" s="300"/>
      <c r="HS22" s="300"/>
      <c r="HT22" s="300"/>
      <c r="HU22" s="300"/>
      <c r="HV22" s="300"/>
      <c r="HW22" s="300"/>
      <c r="HX22" s="300"/>
      <c r="HY22" s="300"/>
      <c r="HZ22" s="300"/>
      <c r="IA22" s="300"/>
      <c r="IB22" s="300"/>
      <c r="IC22" s="300"/>
      <c r="ID22" s="300"/>
      <c r="IE22" s="300"/>
      <c r="IF22" s="300"/>
      <c r="IG22" s="300"/>
      <c r="IH22" s="300"/>
      <c r="II22" s="300"/>
      <c r="IJ22" s="300"/>
      <c r="IK22" s="300"/>
      <c r="IL22" s="303"/>
      <c r="IM22" s="303"/>
      <c r="IN22" s="300"/>
      <c r="IO22" s="300"/>
      <c r="IP22" s="300"/>
      <c r="IQ22" s="300"/>
      <c r="IR22" s="300"/>
      <c r="IS22" s="300"/>
      <c r="IT22" s="300"/>
      <c r="IU22" s="300"/>
      <c r="IV22" s="300"/>
      <c r="IW22" s="300"/>
      <c r="IX22" s="300"/>
      <c r="IY22" s="300"/>
      <c r="IZ22" s="300"/>
      <c r="JA22" s="300"/>
      <c r="JB22" s="300"/>
      <c r="JC22" s="303"/>
      <c r="JD22" s="300"/>
      <c r="JE22" s="300"/>
      <c r="JF22" s="33"/>
      <c r="JG22" s="33"/>
      <c r="JH22" s="33"/>
      <c r="JI22" s="33"/>
      <c r="JJ22" s="33"/>
      <c r="JK22" s="33"/>
      <c r="JL22" s="33"/>
      <c r="JM22" s="33"/>
      <c r="JN22" s="33"/>
      <c r="JO22" s="33"/>
      <c r="JP22" s="33"/>
      <c r="JQ22" s="33"/>
      <c r="JR22" s="33"/>
      <c r="JS22" s="33"/>
      <c r="JT22" s="33"/>
      <c r="JU22" s="33"/>
      <c r="JV22" s="33"/>
      <c r="JW22" s="33"/>
      <c r="JX22" s="33"/>
      <c r="JY22" s="33"/>
      <c r="JZ22" s="33"/>
      <c r="KA22" s="33"/>
      <c r="KB22" s="33"/>
      <c r="KC22" s="33"/>
      <c r="KD22" s="33"/>
      <c r="KE22" s="33"/>
      <c r="KF22" s="33"/>
      <c r="KG22" s="33"/>
      <c r="KH22" s="33"/>
      <c r="KI22" s="33"/>
      <c r="KJ22" s="33"/>
      <c r="KK22" s="33"/>
    </row>
    <row r="23" spans="1:297" s="20" customFormat="1" ht="12.75" customHeight="1">
      <c r="A23" s="3"/>
      <c r="B23" s="3"/>
      <c r="C23" s="1"/>
      <c r="D23" s="508" t="s">
        <v>2951</v>
      </c>
      <c r="E23" s="11"/>
      <c r="F23" s="518">
        <f>SUM(F18:F22)</f>
        <v>0</v>
      </c>
      <c r="G23" s="971"/>
      <c r="H23" s="975"/>
      <c r="I23" s="519"/>
      <c r="J23" s="520">
        <f>SUM(J18:J22)</f>
        <v>0</v>
      </c>
      <c r="K23" s="521"/>
      <c r="L23" s="518">
        <f>SUM(L18:L22)</f>
        <v>0</v>
      </c>
      <c r="M23" s="971"/>
      <c r="N23" s="975"/>
      <c r="O23" s="519"/>
      <c r="P23" s="520">
        <f>SUM(P18:P22)</f>
        <v>0</v>
      </c>
      <c r="Q23" s="496"/>
      <c r="T23" s="288"/>
      <c r="U23" s="288"/>
      <c r="V23" s="11"/>
      <c r="W23" s="11"/>
      <c r="X23" s="301"/>
      <c r="Y23" s="301"/>
      <c r="Z23" s="302"/>
      <c r="AA23" s="301"/>
      <c r="AB23" s="304"/>
      <c r="AC23" s="305"/>
      <c r="AD23" s="305"/>
      <c r="AE23" s="305"/>
      <c r="AF23" s="305"/>
      <c r="AG23" s="305"/>
      <c r="AH23" s="305"/>
      <c r="AI23" s="554"/>
      <c r="AJ23" s="300"/>
      <c r="AK23" s="300"/>
      <c r="AL23" s="300"/>
      <c r="AM23" s="300"/>
      <c r="AN23" s="300"/>
      <c r="AO23" s="300"/>
      <c r="AP23" s="300"/>
      <c r="AQ23" s="300"/>
      <c r="AR23" s="300"/>
      <c r="AS23" s="300"/>
      <c r="AT23" s="300"/>
      <c r="AU23" s="300"/>
      <c r="AV23" s="300"/>
      <c r="AW23" s="300"/>
      <c r="AX23" s="300"/>
      <c r="AY23" s="300"/>
      <c r="AZ23" s="300"/>
      <c r="BA23" s="300"/>
      <c r="BB23" s="300"/>
      <c r="BC23" s="300"/>
      <c r="BD23" s="300"/>
      <c r="BE23" s="300"/>
      <c r="BF23" s="300"/>
      <c r="BG23" s="300"/>
      <c r="BH23" s="300"/>
      <c r="BI23" s="300"/>
      <c r="BJ23" s="300"/>
      <c r="BK23" s="300"/>
      <c r="BL23" s="300"/>
      <c r="BM23" s="300"/>
      <c r="BN23" s="300"/>
      <c r="BO23" s="300"/>
      <c r="BP23" s="300"/>
      <c r="BQ23" s="300"/>
      <c r="BR23" s="300"/>
      <c r="BS23" s="300"/>
      <c r="BT23" s="300"/>
      <c r="BU23" s="300"/>
      <c r="BV23" s="300"/>
      <c r="BW23" s="300"/>
      <c r="BX23" s="300"/>
      <c r="BY23" s="300"/>
      <c r="BZ23" s="300"/>
      <c r="CA23" s="300"/>
      <c r="CB23" s="300"/>
      <c r="CC23" s="300"/>
      <c r="CD23" s="300"/>
      <c r="CE23" s="300"/>
      <c r="CF23" s="300"/>
      <c r="CG23" s="300"/>
      <c r="CH23" s="300"/>
      <c r="CI23" s="300"/>
      <c r="CJ23" s="300"/>
      <c r="CK23" s="300"/>
      <c r="CL23" s="300"/>
      <c r="CM23" s="300"/>
      <c r="CN23" s="300"/>
      <c r="CO23" s="300"/>
      <c r="CP23" s="300"/>
      <c r="CQ23" s="300"/>
      <c r="CR23" s="300"/>
      <c r="CS23" s="300"/>
      <c r="CT23" s="300"/>
      <c r="CU23" s="300"/>
      <c r="CV23" s="300"/>
      <c r="CW23" s="300"/>
      <c r="CX23" s="300"/>
      <c r="CY23" s="300"/>
      <c r="CZ23" s="300"/>
      <c r="DA23" s="300"/>
      <c r="DB23" s="300"/>
      <c r="DC23" s="300"/>
      <c r="DD23" s="300"/>
      <c r="DE23" s="300"/>
      <c r="DF23" s="300"/>
      <c r="DG23" s="300"/>
      <c r="DH23" s="300"/>
      <c r="DI23" s="300"/>
      <c r="DJ23" s="300"/>
      <c r="DK23" s="300"/>
      <c r="DL23" s="300"/>
      <c r="DM23" s="300"/>
      <c r="DN23" s="300"/>
      <c r="DO23" s="300"/>
      <c r="DP23" s="300"/>
      <c r="DQ23" s="300"/>
      <c r="DR23" s="300"/>
      <c r="DS23" s="300"/>
      <c r="DT23" s="300"/>
      <c r="DU23" s="300"/>
      <c r="DV23" s="300"/>
      <c r="DW23" s="300"/>
      <c r="DX23" s="300"/>
      <c r="DY23" s="300"/>
      <c r="DZ23" s="300"/>
      <c r="EA23" s="300"/>
      <c r="EB23" s="300"/>
      <c r="EC23" s="300"/>
      <c r="ED23" s="300"/>
      <c r="EE23" s="300"/>
      <c r="EF23" s="300"/>
      <c r="EG23" s="300"/>
      <c r="EH23" s="300"/>
      <c r="EI23" s="300"/>
      <c r="EJ23" s="300"/>
      <c r="EK23" s="300"/>
      <c r="EL23" s="300"/>
      <c r="EM23" s="300"/>
      <c r="EN23" s="300"/>
      <c r="EO23" s="300"/>
      <c r="EP23" s="300"/>
      <c r="EQ23" s="300"/>
      <c r="ER23" s="300"/>
      <c r="ES23" s="300"/>
      <c r="ET23" s="300"/>
      <c r="EU23" s="300"/>
      <c r="EV23" s="300"/>
      <c r="EW23" s="300"/>
      <c r="EX23" s="300"/>
      <c r="EY23" s="300"/>
      <c r="EZ23" s="300"/>
      <c r="FA23" s="300"/>
      <c r="FB23" s="300"/>
      <c r="FC23" s="300"/>
      <c r="FD23" s="300"/>
      <c r="FE23" s="300"/>
      <c r="FF23" s="300"/>
      <c r="FG23" s="300"/>
      <c r="FH23" s="300"/>
      <c r="FI23" s="300"/>
      <c r="FJ23" s="300"/>
      <c r="FK23" s="300"/>
      <c r="FL23" s="300"/>
      <c r="FM23" s="300"/>
      <c r="FN23" s="300"/>
      <c r="FO23" s="300"/>
      <c r="FP23" s="300"/>
      <c r="FQ23" s="300"/>
      <c r="FR23" s="300"/>
      <c r="FS23" s="300"/>
      <c r="FT23" s="300"/>
      <c r="FU23" s="300"/>
      <c r="FV23" s="300"/>
      <c r="FW23" s="300"/>
      <c r="FX23" s="300"/>
      <c r="FY23" s="300"/>
      <c r="FZ23" s="300"/>
      <c r="GA23" s="300"/>
      <c r="GB23" s="300"/>
      <c r="GC23" s="300"/>
      <c r="GD23" s="300"/>
      <c r="GE23" s="300"/>
      <c r="GF23" s="300"/>
      <c r="GG23" s="300"/>
      <c r="GH23" s="300"/>
      <c r="GI23" s="300"/>
      <c r="GJ23" s="300"/>
      <c r="GK23" s="300"/>
      <c r="GL23" s="300"/>
      <c r="GM23" s="300"/>
      <c r="GN23" s="300"/>
      <c r="GO23" s="300"/>
      <c r="GP23" s="300"/>
      <c r="GQ23" s="300"/>
      <c r="GR23" s="300"/>
      <c r="GS23" s="300"/>
      <c r="GT23" s="300"/>
      <c r="GU23" s="300"/>
      <c r="GV23" s="300"/>
      <c r="GW23" s="300"/>
      <c r="GX23" s="300"/>
      <c r="GY23" s="300"/>
      <c r="GZ23" s="300"/>
      <c r="HA23" s="300"/>
      <c r="HB23" s="300"/>
      <c r="HC23" s="300"/>
      <c r="HD23" s="300"/>
      <c r="HE23" s="300"/>
      <c r="HF23" s="300"/>
      <c r="HG23" s="300"/>
      <c r="HH23" s="300"/>
      <c r="HI23" s="300"/>
      <c r="HJ23" s="300"/>
      <c r="HK23" s="300"/>
      <c r="HL23" s="300"/>
      <c r="HM23" s="300"/>
      <c r="HN23" s="300"/>
      <c r="HO23" s="300"/>
      <c r="HP23" s="300"/>
      <c r="HQ23" s="300"/>
      <c r="HR23" s="300"/>
      <c r="HS23" s="300"/>
      <c r="HT23" s="300"/>
      <c r="HU23" s="300"/>
      <c r="HV23" s="300"/>
      <c r="HW23" s="300"/>
      <c r="HX23" s="300"/>
      <c r="HY23" s="300"/>
      <c r="HZ23" s="300"/>
      <c r="IA23" s="300"/>
      <c r="IB23" s="300"/>
      <c r="IC23" s="300"/>
      <c r="ID23" s="300"/>
      <c r="IE23" s="300"/>
      <c r="IF23" s="300"/>
      <c r="IG23" s="300"/>
      <c r="IH23" s="300"/>
      <c r="II23" s="300"/>
      <c r="IJ23" s="300"/>
      <c r="IK23" s="300"/>
      <c r="IL23" s="303"/>
      <c r="IM23" s="303"/>
      <c r="IN23" s="300"/>
      <c r="IO23" s="300"/>
      <c r="IP23" s="300"/>
      <c r="IQ23" s="300"/>
      <c r="IR23" s="300"/>
      <c r="IS23" s="300"/>
      <c r="IT23" s="300"/>
      <c r="IU23" s="300"/>
      <c r="IV23" s="300"/>
      <c r="IW23" s="300"/>
      <c r="IX23" s="300"/>
      <c r="IY23" s="300"/>
      <c r="IZ23" s="300"/>
      <c r="JA23" s="300"/>
      <c r="JB23" s="300"/>
      <c r="JC23" s="303"/>
      <c r="JD23" s="300"/>
      <c r="JE23" s="300"/>
      <c r="JF23" s="33"/>
      <c r="JG23" s="33"/>
      <c r="JH23" s="33"/>
      <c r="JI23" s="33"/>
      <c r="JJ23" s="33"/>
      <c r="JK23" s="33"/>
      <c r="JL23" s="33"/>
      <c r="JM23" s="33"/>
      <c r="JN23" s="33"/>
      <c r="JO23" s="33"/>
      <c r="JP23" s="33"/>
      <c r="JQ23" s="33"/>
      <c r="JR23" s="33"/>
      <c r="JS23" s="33"/>
      <c r="JT23" s="33"/>
      <c r="JU23" s="33"/>
      <c r="JV23" s="33"/>
      <c r="JW23" s="33"/>
      <c r="JX23" s="33"/>
      <c r="JY23" s="33"/>
      <c r="JZ23" s="33"/>
      <c r="KA23" s="33"/>
      <c r="KB23" s="33"/>
      <c r="KC23" s="33"/>
      <c r="KD23" s="33"/>
      <c r="KE23" s="33"/>
      <c r="KF23" s="33"/>
      <c r="KG23" s="33"/>
      <c r="KH23" s="33"/>
      <c r="KI23" s="33"/>
      <c r="KJ23" s="33"/>
      <c r="KK23" s="33"/>
    </row>
    <row r="24" spans="1:297" s="20" customFormat="1" ht="3" customHeight="1">
      <c r="A24" s="3"/>
      <c r="C24" s="1"/>
      <c r="D24" s="405"/>
      <c r="E24" s="405"/>
      <c r="F24" s="540"/>
      <c r="G24" s="540"/>
      <c r="H24" s="976"/>
      <c r="I24" s="969"/>
      <c r="J24" s="837"/>
      <c r="K24" s="11"/>
      <c r="L24" s="540"/>
      <c r="M24" s="540"/>
      <c r="N24" s="976"/>
      <c r="O24" s="970"/>
      <c r="P24" s="837"/>
      <c r="Q24" s="496"/>
      <c r="T24" s="288"/>
      <c r="U24" s="288"/>
      <c r="V24" s="11"/>
      <c r="W24" s="11"/>
      <c r="X24" s="301"/>
      <c r="Y24" s="301"/>
      <c r="Z24" s="302"/>
      <c r="AA24" s="301"/>
      <c r="AB24" s="304"/>
      <c r="AC24" s="305"/>
      <c r="AD24" s="305"/>
      <c r="AE24" s="305"/>
      <c r="AF24" s="305"/>
      <c r="AG24" s="305"/>
      <c r="AH24" s="305"/>
      <c r="AI24" s="554"/>
      <c r="AJ24" s="300"/>
      <c r="AK24" s="300"/>
      <c r="AL24" s="300"/>
      <c r="AM24" s="300"/>
      <c r="AN24" s="300"/>
      <c r="AO24" s="300"/>
      <c r="AP24" s="300"/>
      <c r="AQ24" s="300"/>
      <c r="AR24" s="300"/>
      <c r="AS24" s="300"/>
      <c r="AT24" s="300"/>
      <c r="AU24" s="300"/>
      <c r="AV24" s="300"/>
      <c r="AW24" s="300"/>
      <c r="AX24" s="300"/>
      <c r="AY24" s="300"/>
      <c r="AZ24" s="300"/>
      <c r="BA24" s="300"/>
      <c r="BB24" s="300"/>
      <c r="BC24" s="300"/>
      <c r="BD24" s="300"/>
      <c r="BE24" s="300"/>
      <c r="BF24" s="300"/>
      <c r="BG24" s="300"/>
      <c r="BH24" s="300"/>
      <c r="BI24" s="300"/>
      <c r="BJ24" s="300"/>
      <c r="BK24" s="300"/>
      <c r="BL24" s="300"/>
      <c r="BM24" s="300"/>
      <c r="BN24" s="300"/>
      <c r="BO24" s="300"/>
      <c r="BP24" s="300"/>
      <c r="BQ24" s="300"/>
      <c r="BR24" s="300"/>
      <c r="BS24" s="300"/>
      <c r="BT24" s="300"/>
      <c r="BU24" s="300"/>
      <c r="BV24" s="300"/>
      <c r="BW24" s="300"/>
      <c r="BX24" s="300"/>
      <c r="BY24" s="300"/>
      <c r="BZ24" s="300"/>
      <c r="CA24" s="300"/>
      <c r="CB24" s="300"/>
      <c r="CC24" s="300"/>
      <c r="CD24" s="300"/>
      <c r="CE24" s="300"/>
      <c r="CF24" s="300"/>
      <c r="CG24" s="300"/>
      <c r="CH24" s="300"/>
      <c r="CI24" s="300"/>
      <c r="CJ24" s="300"/>
      <c r="CK24" s="300"/>
      <c r="CL24" s="300"/>
      <c r="CM24" s="300"/>
      <c r="CN24" s="300"/>
      <c r="CO24" s="300"/>
      <c r="CP24" s="300"/>
      <c r="CQ24" s="300"/>
      <c r="CR24" s="300"/>
      <c r="CS24" s="300"/>
      <c r="CT24" s="300"/>
      <c r="CU24" s="300"/>
      <c r="CV24" s="300"/>
      <c r="CW24" s="300"/>
      <c r="CX24" s="300"/>
      <c r="CY24" s="300"/>
      <c r="CZ24" s="300"/>
      <c r="DA24" s="300"/>
      <c r="DB24" s="300"/>
      <c r="DC24" s="300"/>
      <c r="DD24" s="300"/>
      <c r="DE24" s="300"/>
      <c r="DF24" s="300"/>
      <c r="DG24" s="300"/>
      <c r="DH24" s="300"/>
      <c r="DI24" s="300"/>
      <c r="DJ24" s="300"/>
      <c r="DK24" s="300"/>
      <c r="DL24" s="300"/>
      <c r="DM24" s="300"/>
      <c r="DN24" s="300"/>
      <c r="DO24" s="300"/>
      <c r="DP24" s="300"/>
      <c r="DQ24" s="300"/>
      <c r="DR24" s="300"/>
      <c r="DS24" s="300"/>
      <c r="DT24" s="300"/>
      <c r="DU24" s="300"/>
      <c r="DV24" s="300"/>
      <c r="DW24" s="300"/>
      <c r="DX24" s="300"/>
      <c r="DY24" s="300"/>
      <c r="DZ24" s="300"/>
      <c r="EA24" s="300"/>
      <c r="EB24" s="300"/>
      <c r="EC24" s="300"/>
      <c r="ED24" s="300"/>
      <c r="EE24" s="300"/>
      <c r="EF24" s="300"/>
      <c r="EG24" s="300"/>
      <c r="EH24" s="300"/>
      <c r="EI24" s="300"/>
      <c r="EJ24" s="300"/>
      <c r="EK24" s="300"/>
      <c r="EL24" s="300"/>
      <c r="EM24" s="300"/>
      <c r="EN24" s="300"/>
      <c r="EO24" s="300"/>
      <c r="EP24" s="300"/>
      <c r="EQ24" s="300"/>
      <c r="ER24" s="300"/>
      <c r="ES24" s="300"/>
      <c r="ET24" s="300"/>
      <c r="EU24" s="300"/>
      <c r="EV24" s="300"/>
      <c r="EW24" s="300"/>
      <c r="EX24" s="300"/>
      <c r="EY24" s="300"/>
      <c r="EZ24" s="300"/>
      <c r="FA24" s="300"/>
      <c r="FB24" s="300"/>
      <c r="FC24" s="300"/>
      <c r="FD24" s="300"/>
      <c r="FE24" s="300"/>
      <c r="FF24" s="300"/>
      <c r="FG24" s="300"/>
      <c r="FH24" s="300"/>
      <c r="FI24" s="300"/>
      <c r="FJ24" s="300"/>
      <c r="FK24" s="300"/>
      <c r="FL24" s="300"/>
      <c r="FM24" s="300"/>
      <c r="FN24" s="300"/>
      <c r="FO24" s="300"/>
      <c r="FP24" s="300"/>
      <c r="FQ24" s="300"/>
      <c r="FR24" s="300"/>
      <c r="FS24" s="300"/>
      <c r="FT24" s="300"/>
      <c r="FU24" s="300"/>
      <c r="FV24" s="300"/>
      <c r="FW24" s="300"/>
      <c r="FX24" s="300"/>
      <c r="FY24" s="300"/>
      <c r="FZ24" s="300"/>
      <c r="GA24" s="300"/>
      <c r="GB24" s="300"/>
      <c r="GC24" s="300"/>
      <c r="GD24" s="300"/>
      <c r="GE24" s="300"/>
      <c r="GF24" s="300"/>
      <c r="GG24" s="300"/>
      <c r="GH24" s="300"/>
      <c r="GI24" s="300"/>
      <c r="GJ24" s="300"/>
      <c r="GK24" s="300"/>
      <c r="GL24" s="300"/>
      <c r="GM24" s="300"/>
      <c r="GN24" s="300"/>
      <c r="GO24" s="300"/>
      <c r="GP24" s="300"/>
      <c r="GQ24" s="300"/>
      <c r="GR24" s="300"/>
      <c r="GS24" s="300"/>
      <c r="GT24" s="300"/>
      <c r="GU24" s="300"/>
      <c r="GV24" s="300"/>
      <c r="GW24" s="300"/>
      <c r="GX24" s="300"/>
      <c r="GY24" s="300"/>
      <c r="GZ24" s="300"/>
      <c r="HA24" s="300"/>
      <c r="HB24" s="300"/>
      <c r="HC24" s="300"/>
      <c r="HD24" s="300"/>
      <c r="HE24" s="300"/>
      <c r="HF24" s="300"/>
      <c r="HG24" s="300"/>
      <c r="HH24" s="300"/>
      <c r="HI24" s="300"/>
      <c r="HJ24" s="300"/>
      <c r="HK24" s="300"/>
      <c r="HL24" s="300"/>
      <c r="HM24" s="300"/>
      <c r="HN24" s="300"/>
      <c r="HO24" s="300"/>
      <c r="HP24" s="300"/>
      <c r="HQ24" s="300"/>
      <c r="HR24" s="300"/>
      <c r="HS24" s="300"/>
      <c r="HT24" s="300"/>
      <c r="HU24" s="300"/>
      <c r="HV24" s="300"/>
      <c r="HW24" s="300"/>
      <c r="HX24" s="300"/>
      <c r="HY24" s="300"/>
      <c r="HZ24" s="300"/>
      <c r="IA24" s="300"/>
      <c r="IB24" s="300"/>
      <c r="IC24" s="300"/>
      <c r="ID24" s="300"/>
      <c r="IE24" s="300"/>
      <c r="IF24" s="300"/>
      <c r="IG24" s="300"/>
      <c r="IH24" s="300"/>
      <c r="II24" s="300"/>
      <c r="IJ24" s="300"/>
      <c r="IK24" s="300"/>
      <c r="IL24" s="303"/>
      <c r="IM24" s="303"/>
      <c r="IN24" s="300"/>
      <c r="IO24" s="300"/>
      <c r="IP24" s="300"/>
      <c r="IQ24" s="300"/>
      <c r="IR24" s="300"/>
      <c r="IS24" s="300"/>
      <c r="IT24" s="300"/>
      <c r="IU24" s="300"/>
      <c r="IV24" s="300"/>
      <c r="IW24" s="300"/>
      <c r="IX24" s="300"/>
      <c r="IY24" s="300"/>
      <c r="IZ24" s="300"/>
      <c r="JA24" s="300"/>
      <c r="JB24" s="300"/>
      <c r="JC24" s="303"/>
      <c r="JD24" s="300"/>
      <c r="JE24" s="300"/>
      <c r="JF24" s="33"/>
      <c r="JG24" s="33"/>
      <c r="JH24" s="33"/>
      <c r="JI24" s="33"/>
      <c r="JJ24" s="33"/>
      <c r="JK24" s="33"/>
      <c r="JL24" s="33"/>
      <c r="JM24" s="33"/>
      <c r="JN24" s="33"/>
      <c r="JO24" s="33"/>
      <c r="JP24" s="33"/>
      <c r="JQ24" s="33"/>
      <c r="JR24" s="33"/>
      <c r="JS24" s="33"/>
      <c r="JT24" s="33"/>
      <c r="JU24" s="33"/>
      <c r="JV24" s="33"/>
      <c r="JW24" s="33"/>
      <c r="JX24" s="33"/>
      <c r="JY24" s="33"/>
      <c r="JZ24" s="33"/>
      <c r="KA24" s="33"/>
      <c r="KB24" s="33"/>
      <c r="KC24" s="33"/>
      <c r="KD24" s="33"/>
      <c r="KE24" s="33"/>
      <c r="KF24" s="33"/>
      <c r="KG24" s="33"/>
      <c r="KH24" s="33"/>
      <c r="KI24" s="33"/>
      <c r="KJ24" s="33"/>
      <c r="KK24" s="33"/>
    </row>
    <row r="25" spans="1:297" s="20" customFormat="1" ht="12.75" customHeight="1">
      <c r="A25" s="507" t="s">
        <v>2937</v>
      </c>
      <c r="B25" s="506"/>
      <c r="C25" s="1"/>
      <c r="D25" s="826" t="s">
        <v>527</v>
      </c>
      <c r="E25" s="827">
        <v>0</v>
      </c>
      <c r="F25" s="828">
        <f>'Part VI-Revenues &amp; Expenses'!$J$150</f>
        <v>0</v>
      </c>
      <c r="G25" s="828"/>
      <c r="H25" s="974"/>
      <c r="I25" s="510" t="str">
        <f>CONCATENATE("x ", F25," units = ")</f>
        <v xml:space="preserve">x 0 units = </v>
      </c>
      <c r="J25" s="829">
        <f>F25*H25</f>
        <v>0</v>
      </c>
      <c r="K25" s="13"/>
      <c r="L25" s="828">
        <f>'Part VI-Revenues &amp; Expenses'!$J$151</f>
        <v>0</v>
      </c>
      <c r="M25" s="828"/>
      <c r="N25" s="974"/>
      <c r="O25" s="510" t="str">
        <f>CONCATENATE("x ", L25," units = ")</f>
        <v xml:space="preserve">x 0 units = </v>
      </c>
      <c r="P25" s="829">
        <f>L25*N25</f>
        <v>0</v>
      </c>
      <c r="Q25" s="496"/>
      <c r="R25" s="2426" t="s">
        <v>2385</v>
      </c>
      <c r="S25" s="2426"/>
      <c r="T25" s="288"/>
      <c r="W25" s="11"/>
      <c r="X25" s="301"/>
      <c r="Y25" s="301"/>
      <c r="Z25" s="302"/>
      <c r="AA25" s="301"/>
      <c r="AB25" s="304"/>
      <c r="AC25" s="305"/>
      <c r="AD25" s="305"/>
      <c r="AE25" s="305"/>
      <c r="AF25" s="305"/>
      <c r="AG25" s="305"/>
      <c r="AH25" s="305"/>
      <c r="AI25" s="554"/>
      <c r="AJ25" s="300"/>
      <c r="AK25" s="300"/>
      <c r="AL25" s="300"/>
      <c r="AM25" s="300"/>
      <c r="AN25" s="300"/>
      <c r="AO25" s="300"/>
      <c r="AP25" s="300"/>
      <c r="AQ25" s="300"/>
      <c r="AR25" s="300"/>
      <c r="AS25" s="300"/>
      <c r="AT25" s="300"/>
      <c r="AU25" s="300"/>
      <c r="AV25" s="300"/>
      <c r="AW25" s="300"/>
      <c r="AX25" s="300"/>
      <c r="AY25" s="300"/>
      <c r="AZ25" s="300"/>
      <c r="BA25" s="300"/>
      <c r="BB25" s="300"/>
      <c r="BC25" s="300"/>
      <c r="BD25" s="300"/>
      <c r="BE25" s="300"/>
      <c r="BF25" s="300"/>
      <c r="BG25" s="300"/>
      <c r="BH25" s="300"/>
      <c r="BI25" s="300"/>
      <c r="BJ25" s="300"/>
      <c r="BK25" s="300"/>
      <c r="BL25" s="300"/>
      <c r="BM25" s="300"/>
      <c r="BN25" s="300"/>
      <c r="BO25" s="300"/>
      <c r="BP25" s="300"/>
      <c r="BQ25" s="300"/>
      <c r="BR25" s="300"/>
      <c r="BS25" s="300"/>
      <c r="BT25" s="300"/>
      <c r="BU25" s="300"/>
      <c r="BV25" s="300"/>
      <c r="BW25" s="300"/>
      <c r="BX25" s="300"/>
      <c r="BY25" s="300"/>
      <c r="BZ25" s="300"/>
      <c r="CA25" s="300"/>
      <c r="CB25" s="300"/>
      <c r="CC25" s="300"/>
      <c r="CD25" s="300"/>
      <c r="CE25" s="300"/>
      <c r="CF25" s="300"/>
      <c r="CG25" s="300"/>
      <c r="CH25" s="300"/>
      <c r="CI25" s="300"/>
      <c r="CJ25" s="300"/>
      <c r="CK25" s="300"/>
      <c r="CL25" s="300"/>
      <c r="CM25" s="300"/>
      <c r="CN25" s="300"/>
      <c r="CO25" s="300"/>
      <c r="CP25" s="300"/>
      <c r="CQ25" s="300"/>
      <c r="CR25" s="300"/>
      <c r="CS25" s="300"/>
      <c r="CT25" s="300"/>
      <c r="CU25" s="300"/>
      <c r="CV25" s="300"/>
      <c r="CW25" s="300"/>
      <c r="CX25" s="300"/>
      <c r="CY25" s="300"/>
      <c r="CZ25" s="300"/>
      <c r="DA25" s="300"/>
      <c r="DB25" s="300"/>
      <c r="DC25" s="300"/>
      <c r="DD25" s="300"/>
      <c r="DE25" s="300"/>
      <c r="DF25" s="300"/>
      <c r="DG25" s="300"/>
      <c r="DH25" s="300"/>
      <c r="DI25" s="300"/>
      <c r="DJ25" s="300"/>
      <c r="DK25" s="300"/>
      <c r="DL25" s="300"/>
      <c r="DM25" s="300"/>
      <c r="DN25" s="300"/>
      <c r="DO25" s="300"/>
      <c r="DP25" s="300"/>
      <c r="DQ25" s="300"/>
      <c r="DR25" s="300"/>
      <c r="DS25" s="300"/>
      <c r="DT25" s="300"/>
      <c r="DU25" s="300"/>
      <c r="DV25" s="300"/>
      <c r="DW25" s="300"/>
      <c r="DX25" s="300"/>
      <c r="DY25" s="300"/>
      <c r="DZ25" s="300"/>
      <c r="EA25" s="300"/>
      <c r="EB25" s="300"/>
      <c r="EC25" s="300"/>
      <c r="ED25" s="300"/>
      <c r="EE25" s="300"/>
      <c r="EF25" s="300"/>
      <c r="EG25" s="300"/>
      <c r="EH25" s="300"/>
      <c r="EI25" s="300"/>
      <c r="EJ25" s="300"/>
      <c r="EK25" s="300"/>
      <c r="EL25" s="300"/>
      <c r="EM25" s="300"/>
      <c r="EN25" s="300"/>
      <c r="EO25" s="300"/>
      <c r="EP25" s="300"/>
      <c r="EQ25" s="300"/>
      <c r="ER25" s="300"/>
      <c r="ES25" s="300"/>
      <c r="ET25" s="300"/>
      <c r="EU25" s="300"/>
      <c r="EV25" s="300"/>
      <c r="EW25" s="300"/>
      <c r="EX25" s="300"/>
      <c r="EY25" s="300"/>
      <c r="EZ25" s="300"/>
      <c r="FA25" s="300"/>
      <c r="FB25" s="300"/>
      <c r="FC25" s="300"/>
      <c r="FD25" s="300"/>
      <c r="FE25" s="300"/>
      <c r="FF25" s="300"/>
      <c r="FG25" s="300"/>
      <c r="FH25" s="300"/>
      <c r="FI25" s="300"/>
      <c r="FJ25" s="300"/>
      <c r="FK25" s="300"/>
      <c r="FL25" s="300"/>
      <c r="FM25" s="300"/>
      <c r="FN25" s="300"/>
      <c r="FO25" s="300"/>
      <c r="FP25" s="300"/>
      <c r="FQ25" s="300"/>
      <c r="FR25" s="300"/>
      <c r="FS25" s="300"/>
      <c r="FT25" s="300"/>
      <c r="FU25" s="300"/>
      <c r="FV25" s="300"/>
      <c r="FW25" s="300"/>
      <c r="FX25" s="300"/>
      <c r="FY25" s="300"/>
      <c r="FZ25" s="300"/>
      <c r="GA25" s="300"/>
      <c r="GB25" s="300"/>
      <c r="GC25" s="300"/>
      <c r="GD25" s="300"/>
      <c r="GE25" s="300"/>
      <c r="GF25" s="300"/>
      <c r="GG25" s="300"/>
      <c r="GH25" s="300"/>
      <c r="GI25" s="300"/>
      <c r="GJ25" s="300"/>
      <c r="GK25" s="300"/>
      <c r="GL25" s="300"/>
      <c r="GM25" s="300"/>
      <c r="GN25" s="300"/>
      <c r="GO25" s="300"/>
      <c r="GP25" s="300"/>
      <c r="GQ25" s="300"/>
      <c r="GR25" s="300"/>
      <c r="GS25" s="300"/>
      <c r="GT25" s="300"/>
      <c r="GU25" s="300"/>
      <c r="GV25" s="300"/>
      <c r="GW25" s="300"/>
      <c r="GX25" s="300"/>
      <c r="GY25" s="300"/>
      <c r="GZ25" s="300"/>
      <c r="HA25" s="300"/>
      <c r="HB25" s="300"/>
      <c r="HC25" s="300"/>
      <c r="HD25" s="300"/>
      <c r="HE25" s="300"/>
      <c r="HF25" s="300"/>
      <c r="HG25" s="300"/>
      <c r="HH25" s="300"/>
      <c r="HI25" s="300"/>
      <c r="HJ25" s="300"/>
      <c r="HK25" s="300"/>
      <c r="HL25" s="300"/>
      <c r="HM25" s="300"/>
      <c r="HN25" s="300"/>
      <c r="HO25" s="300"/>
      <c r="HP25" s="300"/>
      <c r="HQ25" s="300"/>
      <c r="HR25" s="300"/>
      <c r="HS25" s="300"/>
      <c r="HT25" s="300"/>
      <c r="HU25" s="300"/>
      <c r="HV25" s="300"/>
      <c r="HW25" s="300"/>
      <c r="HX25" s="300"/>
      <c r="HY25" s="300"/>
      <c r="HZ25" s="300"/>
      <c r="IA25" s="300"/>
      <c r="IB25" s="300"/>
      <c r="IC25" s="300"/>
      <c r="ID25" s="300"/>
      <c r="IE25" s="300"/>
      <c r="IF25" s="300"/>
      <c r="IG25" s="300"/>
      <c r="IH25" s="300"/>
      <c r="II25" s="300"/>
      <c r="IJ25" s="300"/>
      <c r="IK25" s="300"/>
      <c r="IL25" s="303"/>
      <c r="IM25" s="303"/>
      <c r="IN25" s="300"/>
      <c r="IO25" s="300"/>
      <c r="IP25" s="300"/>
      <c r="IQ25" s="300"/>
      <c r="IR25" s="300"/>
      <c r="IS25" s="300"/>
      <c r="IT25" s="300"/>
      <c r="IU25" s="300"/>
      <c r="IV25" s="300"/>
      <c r="IW25" s="300"/>
      <c r="IX25" s="300"/>
      <c r="IY25" s="300"/>
      <c r="IZ25" s="300"/>
      <c r="JA25" s="300"/>
      <c r="JB25" s="300"/>
      <c r="JC25" s="303"/>
      <c r="JD25" s="300"/>
      <c r="JE25" s="300"/>
      <c r="JF25" s="33"/>
      <c r="JG25" s="33"/>
      <c r="JH25" s="33"/>
      <c r="JI25" s="33"/>
      <c r="JJ25" s="33"/>
      <c r="JK25" s="33"/>
      <c r="JL25" s="33"/>
      <c r="JM25" s="33"/>
      <c r="JN25" s="33"/>
      <c r="JO25" s="33"/>
      <c r="JP25" s="33"/>
      <c r="JQ25" s="33"/>
      <c r="JR25" s="33"/>
      <c r="JS25" s="33"/>
      <c r="JT25" s="33"/>
      <c r="JU25" s="33"/>
      <c r="JV25" s="33"/>
      <c r="JW25" s="33"/>
      <c r="JX25" s="33"/>
      <c r="JY25" s="33"/>
      <c r="JZ25" s="33"/>
      <c r="KA25" s="33"/>
      <c r="KB25" s="33"/>
      <c r="KC25" s="33"/>
      <c r="KD25" s="33"/>
      <c r="KE25" s="33"/>
      <c r="KF25" s="33"/>
      <c r="KG25" s="33"/>
      <c r="KH25" s="33"/>
      <c r="KI25" s="33"/>
      <c r="KJ25" s="33"/>
      <c r="KK25" s="33"/>
    </row>
    <row r="26" spans="1:297" s="20" customFormat="1" ht="12.75" customHeight="1">
      <c r="A26" s="3"/>
      <c r="B26" s="3"/>
      <c r="C26" s="1"/>
      <c r="D26" s="826" t="s">
        <v>2165</v>
      </c>
      <c r="E26" s="827">
        <v>1</v>
      </c>
      <c r="F26" s="828">
        <f>'Part VI-Revenues &amp; Expenses'!$K$150</f>
        <v>0</v>
      </c>
      <c r="G26" s="828"/>
      <c r="H26" s="974"/>
      <c r="I26" s="510" t="str">
        <f>CONCATENATE("x ", F26," units = ")</f>
        <v xml:space="preserve">x 0 units = </v>
      </c>
      <c r="J26" s="829">
        <f>F26*H26</f>
        <v>0</v>
      </c>
      <c r="K26" s="13"/>
      <c r="L26" s="828">
        <f>'Part VI-Revenues &amp; Expenses'!$K$151</f>
        <v>0</v>
      </c>
      <c r="M26" s="828"/>
      <c r="N26" s="974"/>
      <c r="O26" s="510" t="str">
        <f>CONCATENATE("x ", L26," units = ")</f>
        <v xml:space="preserve">x 0 units = </v>
      </c>
      <c r="P26" s="829">
        <f>L26*N26</f>
        <v>0</v>
      </c>
      <c r="R26" s="2426"/>
      <c r="S26" s="2426"/>
      <c r="W26" s="11"/>
      <c r="X26" s="301"/>
      <c r="Y26" s="301"/>
      <c r="Z26" s="302"/>
      <c r="AA26" s="301"/>
      <c r="AB26" s="304"/>
      <c r="AC26" s="305"/>
      <c r="AD26" s="305"/>
      <c r="AE26" s="305"/>
      <c r="AF26" s="305"/>
      <c r="AG26" s="305"/>
      <c r="AH26" s="305"/>
      <c r="AI26" s="554"/>
      <c r="AJ26" s="300"/>
      <c r="AK26" s="300"/>
      <c r="AL26" s="300"/>
      <c r="AM26" s="300"/>
      <c r="AN26" s="300"/>
      <c r="AO26" s="300"/>
      <c r="AP26" s="300"/>
      <c r="AQ26" s="300"/>
      <c r="AR26" s="300"/>
      <c r="AS26" s="300"/>
      <c r="AT26" s="300"/>
      <c r="AU26" s="300"/>
      <c r="AV26" s="300"/>
      <c r="AW26" s="300"/>
      <c r="AX26" s="300"/>
      <c r="AY26" s="300"/>
      <c r="AZ26" s="300"/>
      <c r="BA26" s="300"/>
      <c r="BB26" s="300"/>
      <c r="BC26" s="300"/>
      <c r="BD26" s="300"/>
      <c r="BE26" s="300"/>
      <c r="BF26" s="300"/>
      <c r="BG26" s="300"/>
      <c r="BH26" s="300"/>
      <c r="BI26" s="300"/>
      <c r="BJ26" s="300"/>
      <c r="BK26" s="300"/>
      <c r="BL26" s="300"/>
      <c r="BM26" s="300"/>
      <c r="BN26" s="300"/>
      <c r="BO26" s="300"/>
      <c r="BP26" s="300"/>
      <c r="BQ26" s="300"/>
      <c r="BR26" s="300"/>
      <c r="BS26" s="300"/>
      <c r="BT26" s="300"/>
      <c r="BU26" s="300"/>
      <c r="BV26" s="300"/>
      <c r="BW26" s="300"/>
      <c r="BX26" s="300"/>
      <c r="BY26" s="300"/>
      <c r="BZ26" s="300"/>
      <c r="CA26" s="300"/>
      <c r="CB26" s="300"/>
      <c r="CC26" s="300"/>
      <c r="CD26" s="300"/>
      <c r="CE26" s="300"/>
      <c r="CF26" s="300"/>
      <c r="CG26" s="300"/>
      <c r="CH26" s="300"/>
      <c r="CI26" s="300"/>
      <c r="CJ26" s="300"/>
      <c r="CK26" s="300"/>
      <c r="CL26" s="300"/>
      <c r="CM26" s="300"/>
      <c r="CN26" s="300"/>
      <c r="CO26" s="300"/>
      <c r="CP26" s="300"/>
      <c r="CQ26" s="300"/>
      <c r="CR26" s="300"/>
      <c r="CS26" s="300"/>
      <c r="CT26" s="300"/>
      <c r="CU26" s="300"/>
      <c r="CV26" s="300"/>
      <c r="CW26" s="300"/>
      <c r="CX26" s="300"/>
      <c r="CY26" s="300"/>
      <c r="CZ26" s="300"/>
      <c r="DA26" s="300"/>
      <c r="DB26" s="300"/>
      <c r="DC26" s="300"/>
      <c r="DD26" s="300"/>
      <c r="DE26" s="300"/>
      <c r="DF26" s="300"/>
      <c r="DG26" s="300"/>
      <c r="DH26" s="300"/>
      <c r="DI26" s="300"/>
      <c r="DJ26" s="300"/>
      <c r="DK26" s="300"/>
      <c r="DL26" s="300"/>
      <c r="DM26" s="300"/>
      <c r="DN26" s="300"/>
      <c r="DO26" s="300"/>
      <c r="DP26" s="300"/>
      <c r="DQ26" s="300"/>
      <c r="DR26" s="300"/>
      <c r="DS26" s="300"/>
      <c r="DT26" s="300"/>
      <c r="DU26" s="300"/>
      <c r="DV26" s="300"/>
      <c r="DW26" s="300"/>
      <c r="DX26" s="300"/>
      <c r="DY26" s="300"/>
      <c r="DZ26" s="300"/>
      <c r="EA26" s="300"/>
      <c r="EB26" s="300"/>
      <c r="EC26" s="300"/>
      <c r="ED26" s="300"/>
      <c r="EE26" s="300"/>
      <c r="EF26" s="300"/>
      <c r="EG26" s="300"/>
      <c r="EH26" s="300"/>
      <c r="EI26" s="300"/>
      <c r="EJ26" s="300"/>
      <c r="EK26" s="300"/>
      <c r="EL26" s="300"/>
      <c r="EM26" s="300"/>
      <c r="EN26" s="300"/>
      <c r="EO26" s="300"/>
      <c r="EP26" s="300"/>
      <c r="EQ26" s="300"/>
      <c r="ER26" s="300"/>
      <c r="ES26" s="300"/>
      <c r="ET26" s="300"/>
      <c r="EU26" s="300"/>
      <c r="EV26" s="300"/>
      <c r="EW26" s="300"/>
      <c r="EX26" s="300"/>
      <c r="EY26" s="300"/>
      <c r="EZ26" s="300"/>
      <c r="FA26" s="300"/>
      <c r="FB26" s="300"/>
      <c r="FC26" s="300"/>
      <c r="FD26" s="300"/>
      <c r="FE26" s="300"/>
      <c r="FF26" s="300"/>
      <c r="FG26" s="300"/>
      <c r="FH26" s="300"/>
      <c r="FI26" s="300"/>
      <c r="FJ26" s="300"/>
      <c r="FK26" s="300"/>
      <c r="FL26" s="300"/>
      <c r="FM26" s="300"/>
      <c r="FN26" s="300"/>
      <c r="FO26" s="300"/>
      <c r="FP26" s="300"/>
      <c r="FQ26" s="300"/>
      <c r="FR26" s="300"/>
      <c r="FS26" s="300"/>
      <c r="FT26" s="300"/>
      <c r="FU26" s="300"/>
      <c r="FV26" s="300"/>
      <c r="FW26" s="300"/>
      <c r="FX26" s="300"/>
      <c r="FY26" s="300"/>
      <c r="FZ26" s="300"/>
      <c r="GA26" s="300"/>
      <c r="GB26" s="300"/>
      <c r="GC26" s="300"/>
      <c r="GD26" s="300"/>
      <c r="GE26" s="300"/>
      <c r="GF26" s="300"/>
      <c r="GG26" s="300"/>
      <c r="GH26" s="300"/>
      <c r="GI26" s="300"/>
      <c r="GJ26" s="300"/>
      <c r="GK26" s="300"/>
      <c r="GL26" s="300"/>
      <c r="GM26" s="300"/>
      <c r="GN26" s="300"/>
      <c r="GO26" s="300"/>
      <c r="GP26" s="300"/>
      <c r="GQ26" s="300"/>
      <c r="GR26" s="300"/>
      <c r="GS26" s="300"/>
      <c r="GT26" s="300"/>
      <c r="GU26" s="300"/>
      <c r="GV26" s="300"/>
      <c r="GW26" s="300"/>
      <c r="GX26" s="300"/>
      <c r="GY26" s="300"/>
      <c r="GZ26" s="300"/>
      <c r="HA26" s="300"/>
      <c r="HB26" s="300"/>
      <c r="HC26" s="300"/>
      <c r="HD26" s="300"/>
      <c r="HE26" s="300"/>
      <c r="HF26" s="300"/>
      <c r="HG26" s="300"/>
      <c r="HH26" s="300"/>
      <c r="HI26" s="300"/>
      <c r="HJ26" s="300"/>
      <c r="HK26" s="300"/>
      <c r="HL26" s="300"/>
      <c r="HM26" s="300"/>
      <c r="HN26" s="300"/>
      <c r="HO26" s="300"/>
      <c r="HP26" s="300"/>
      <c r="HQ26" s="300"/>
      <c r="HR26" s="300"/>
      <c r="HS26" s="300"/>
      <c r="HT26" s="300"/>
      <c r="HU26" s="300"/>
      <c r="HV26" s="300"/>
      <c r="HW26" s="300"/>
      <c r="HX26" s="300"/>
      <c r="HY26" s="300"/>
      <c r="HZ26" s="300"/>
      <c r="IA26" s="300"/>
      <c r="IB26" s="300"/>
      <c r="IC26" s="300"/>
      <c r="ID26" s="300"/>
      <c r="IE26" s="300"/>
      <c r="IF26" s="300"/>
      <c r="IG26" s="300"/>
      <c r="IH26" s="300"/>
      <c r="II26" s="300"/>
      <c r="IJ26" s="300"/>
      <c r="IK26" s="300"/>
      <c r="IL26" s="303"/>
      <c r="IM26" s="303"/>
      <c r="IN26" s="300"/>
      <c r="IO26" s="300"/>
      <c r="IP26" s="300"/>
      <c r="IQ26" s="300"/>
      <c r="IR26" s="300"/>
      <c r="IS26" s="300"/>
      <c r="IT26" s="300"/>
      <c r="IU26" s="300"/>
      <c r="IV26" s="300"/>
      <c r="IW26" s="300"/>
      <c r="IX26" s="300"/>
      <c r="IY26" s="300"/>
      <c r="IZ26" s="300"/>
      <c r="JA26" s="300"/>
      <c r="JB26" s="300"/>
      <c r="JC26" s="303"/>
      <c r="JD26" s="300"/>
      <c r="JE26" s="300"/>
      <c r="JF26" s="33"/>
      <c r="JG26" s="33"/>
      <c r="JH26" s="33"/>
      <c r="JI26" s="33"/>
      <c r="JJ26" s="33"/>
      <c r="JK26" s="33"/>
      <c r="JL26" s="33"/>
      <c r="JM26" s="33"/>
      <c r="JN26" s="33"/>
      <c r="JO26" s="33"/>
      <c r="JP26" s="33"/>
      <c r="JQ26" s="33"/>
      <c r="JR26" s="33"/>
      <c r="JS26" s="33"/>
      <c r="JT26" s="33"/>
      <c r="JU26" s="33"/>
      <c r="JV26" s="33"/>
      <c r="JW26" s="33"/>
      <c r="JX26" s="33"/>
      <c r="JY26" s="33"/>
      <c r="JZ26" s="33"/>
      <c r="KA26" s="33"/>
      <c r="KB26" s="33"/>
      <c r="KC26" s="33"/>
      <c r="KD26" s="33"/>
      <c r="KE26" s="33"/>
      <c r="KF26" s="33"/>
      <c r="KG26" s="33"/>
      <c r="KH26" s="33"/>
      <c r="KI26" s="33"/>
      <c r="KJ26" s="33"/>
      <c r="KK26" s="33"/>
    </row>
    <row r="27" spans="1:297" s="20" customFormat="1" ht="12.75" customHeight="1" thickBot="1">
      <c r="A27" s="3"/>
      <c r="B27" s="3"/>
      <c r="C27" s="1"/>
      <c r="D27" s="826" t="s">
        <v>2166</v>
      </c>
      <c r="E27" s="827">
        <v>2</v>
      </c>
      <c r="F27" s="828">
        <f>'Part VI-Revenues &amp; Expenses'!$L$150</f>
        <v>0</v>
      </c>
      <c r="G27" s="828"/>
      <c r="H27" s="974"/>
      <c r="I27" s="510" t="str">
        <f>CONCATENATE("x ", F27," units = ")</f>
        <v xml:space="preserve">x 0 units = </v>
      </c>
      <c r="J27" s="829">
        <f>F27*H27</f>
        <v>0</v>
      </c>
      <c r="K27" s="13"/>
      <c r="L27" s="828">
        <f>'Part VI-Revenues &amp; Expenses'!$L$151</f>
        <v>0</v>
      </c>
      <c r="M27" s="828"/>
      <c r="N27" s="974"/>
      <c r="O27" s="510" t="str">
        <f>CONCATENATE("x ", L27," units = ")</f>
        <v xml:space="preserve">x 0 units = </v>
      </c>
      <c r="P27" s="829">
        <f>L27*N27</f>
        <v>0</v>
      </c>
      <c r="R27" s="2426"/>
      <c r="S27" s="2426"/>
      <c r="W27" s="11"/>
      <c r="X27" s="301"/>
      <c r="Y27" s="301"/>
      <c r="Z27" s="302"/>
      <c r="AA27" s="301"/>
      <c r="AB27" s="304"/>
      <c r="AC27" s="305"/>
      <c r="AD27" s="305"/>
      <c r="AE27" s="305"/>
      <c r="AF27" s="305"/>
      <c r="AG27" s="305"/>
      <c r="AH27" s="305"/>
      <c r="AI27" s="554"/>
      <c r="AJ27" s="300"/>
      <c r="AK27" s="300"/>
      <c r="AL27" s="300"/>
      <c r="AM27" s="300"/>
      <c r="AN27" s="300"/>
      <c r="AO27" s="300"/>
      <c r="AP27" s="300"/>
      <c r="AQ27" s="300"/>
      <c r="AR27" s="300"/>
      <c r="AS27" s="300"/>
      <c r="AT27" s="300"/>
      <c r="AU27" s="300"/>
      <c r="AV27" s="300"/>
      <c r="AW27" s="300"/>
      <c r="AX27" s="300"/>
      <c r="AY27" s="300"/>
      <c r="AZ27" s="300"/>
      <c r="BA27" s="300"/>
      <c r="BB27" s="300"/>
      <c r="BC27" s="300"/>
      <c r="BD27" s="300"/>
      <c r="BE27" s="300"/>
      <c r="BF27" s="300"/>
      <c r="BG27" s="300"/>
      <c r="BH27" s="300"/>
      <c r="BI27" s="300"/>
      <c r="BJ27" s="300"/>
      <c r="BK27" s="300"/>
      <c r="BL27" s="300"/>
      <c r="BM27" s="300"/>
      <c r="BN27" s="300"/>
      <c r="BO27" s="300"/>
      <c r="BP27" s="300"/>
      <c r="BQ27" s="300"/>
      <c r="BR27" s="300"/>
      <c r="BS27" s="300"/>
      <c r="BT27" s="300"/>
      <c r="BU27" s="300"/>
      <c r="BV27" s="300"/>
      <c r="BW27" s="300"/>
      <c r="BX27" s="300"/>
      <c r="BY27" s="300"/>
      <c r="BZ27" s="300"/>
      <c r="CA27" s="300"/>
      <c r="CB27" s="300"/>
      <c r="CC27" s="300"/>
      <c r="CD27" s="300"/>
      <c r="CE27" s="300"/>
      <c r="CF27" s="300"/>
      <c r="CG27" s="300"/>
      <c r="CH27" s="300"/>
      <c r="CI27" s="300"/>
      <c r="CJ27" s="300"/>
      <c r="CK27" s="300"/>
      <c r="CL27" s="300"/>
      <c r="CM27" s="300"/>
      <c r="CN27" s="300"/>
      <c r="CO27" s="300"/>
      <c r="CP27" s="300"/>
      <c r="CQ27" s="300"/>
      <c r="CR27" s="300"/>
      <c r="CS27" s="300"/>
      <c r="CT27" s="300"/>
      <c r="CU27" s="300"/>
      <c r="CV27" s="300"/>
      <c r="CW27" s="300"/>
      <c r="CX27" s="300"/>
      <c r="CY27" s="300"/>
      <c r="CZ27" s="300"/>
      <c r="DA27" s="300"/>
      <c r="DB27" s="300"/>
      <c r="DC27" s="300"/>
      <c r="DD27" s="300"/>
      <c r="DE27" s="300"/>
      <c r="DF27" s="300"/>
      <c r="DG27" s="300"/>
      <c r="DH27" s="300"/>
      <c r="DI27" s="300"/>
      <c r="DJ27" s="300"/>
      <c r="DK27" s="300"/>
      <c r="DL27" s="300"/>
      <c r="DM27" s="300"/>
      <c r="DN27" s="300"/>
      <c r="DO27" s="300"/>
      <c r="DP27" s="300"/>
      <c r="DQ27" s="300"/>
      <c r="DR27" s="300"/>
      <c r="DS27" s="300"/>
      <c r="DT27" s="300"/>
      <c r="DU27" s="300"/>
      <c r="DV27" s="300"/>
      <c r="DW27" s="300"/>
      <c r="DX27" s="300"/>
      <c r="DY27" s="300"/>
      <c r="DZ27" s="300"/>
      <c r="EA27" s="300"/>
      <c r="EB27" s="300"/>
      <c r="EC27" s="300"/>
      <c r="ED27" s="300"/>
      <c r="EE27" s="300"/>
      <c r="EF27" s="300"/>
      <c r="EG27" s="300"/>
      <c r="EH27" s="300"/>
      <c r="EI27" s="300"/>
      <c r="EJ27" s="300"/>
      <c r="EK27" s="300"/>
      <c r="EL27" s="300"/>
      <c r="EM27" s="300"/>
      <c r="EN27" s="300"/>
      <c r="EO27" s="300"/>
      <c r="EP27" s="300"/>
      <c r="EQ27" s="300"/>
      <c r="ER27" s="300"/>
      <c r="ES27" s="300"/>
      <c r="ET27" s="300"/>
      <c r="EU27" s="300"/>
      <c r="EV27" s="300"/>
      <c r="EW27" s="300"/>
      <c r="EX27" s="300"/>
      <c r="EY27" s="300"/>
      <c r="EZ27" s="300"/>
      <c r="FA27" s="300"/>
      <c r="FB27" s="300"/>
      <c r="FC27" s="300"/>
      <c r="FD27" s="300"/>
      <c r="FE27" s="300"/>
      <c r="FF27" s="300"/>
      <c r="FG27" s="300"/>
      <c r="FH27" s="300"/>
      <c r="FI27" s="300"/>
      <c r="FJ27" s="300"/>
      <c r="FK27" s="300"/>
      <c r="FL27" s="300"/>
      <c r="FM27" s="300"/>
      <c r="FN27" s="300"/>
      <c r="FO27" s="300"/>
      <c r="FP27" s="300"/>
      <c r="FQ27" s="300"/>
      <c r="FR27" s="300"/>
      <c r="FS27" s="300"/>
      <c r="FT27" s="300"/>
      <c r="FU27" s="300"/>
      <c r="FV27" s="300"/>
      <c r="FW27" s="300"/>
      <c r="FX27" s="300"/>
      <c r="FY27" s="300"/>
      <c r="FZ27" s="300"/>
      <c r="GA27" s="300"/>
      <c r="GB27" s="300"/>
      <c r="GC27" s="300"/>
      <c r="GD27" s="300"/>
      <c r="GE27" s="300"/>
      <c r="GF27" s="300"/>
      <c r="GG27" s="300"/>
      <c r="GH27" s="300"/>
      <c r="GI27" s="300"/>
      <c r="GJ27" s="300"/>
      <c r="GK27" s="300"/>
      <c r="GL27" s="300"/>
      <c r="GM27" s="300"/>
      <c r="GN27" s="300"/>
      <c r="GO27" s="300"/>
      <c r="GP27" s="300"/>
      <c r="GQ27" s="300"/>
      <c r="GR27" s="300"/>
      <c r="GS27" s="300"/>
      <c r="GT27" s="300"/>
      <c r="GU27" s="300"/>
      <c r="GV27" s="300"/>
      <c r="GW27" s="300"/>
      <c r="GX27" s="300"/>
      <c r="GY27" s="300"/>
      <c r="GZ27" s="300"/>
      <c r="HA27" s="300"/>
      <c r="HB27" s="300"/>
      <c r="HC27" s="300"/>
      <c r="HD27" s="300"/>
      <c r="HE27" s="300"/>
      <c r="HF27" s="300"/>
      <c r="HG27" s="300"/>
      <c r="HH27" s="300"/>
      <c r="HI27" s="300"/>
      <c r="HJ27" s="300"/>
      <c r="HK27" s="300"/>
      <c r="HL27" s="300"/>
      <c r="HM27" s="300"/>
      <c r="HN27" s="300"/>
      <c r="HO27" s="300"/>
      <c r="HP27" s="300"/>
      <c r="HQ27" s="300"/>
      <c r="HR27" s="300"/>
      <c r="HS27" s="300"/>
      <c r="HT27" s="300"/>
      <c r="HU27" s="300"/>
      <c r="HV27" s="300"/>
      <c r="HW27" s="300"/>
      <c r="HX27" s="300"/>
      <c r="HY27" s="300"/>
      <c r="HZ27" s="300"/>
      <c r="IA27" s="300"/>
      <c r="IB27" s="300"/>
      <c r="IC27" s="300"/>
      <c r="ID27" s="300"/>
      <c r="IE27" s="300"/>
      <c r="IF27" s="300"/>
      <c r="IG27" s="300"/>
      <c r="IH27" s="300"/>
      <c r="II27" s="300"/>
      <c r="IJ27" s="300"/>
      <c r="IK27" s="300"/>
      <c r="IL27" s="303"/>
      <c r="IM27" s="303"/>
      <c r="IN27" s="300"/>
      <c r="IO27" s="300"/>
      <c r="IP27" s="300"/>
      <c r="IQ27" s="300"/>
      <c r="IR27" s="300"/>
      <c r="IS27" s="300"/>
      <c r="IT27" s="300"/>
      <c r="IU27" s="300"/>
      <c r="IV27" s="300"/>
      <c r="IW27" s="300"/>
      <c r="IX27" s="300"/>
      <c r="IY27" s="300"/>
      <c r="IZ27" s="300"/>
      <c r="JA27" s="300"/>
      <c r="JB27" s="300"/>
      <c r="JC27" s="303"/>
      <c r="JD27" s="300"/>
      <c r="JE27" s="300"/>
      <c r="JF27" s="33"/>
      <c r="JG27" s="33"/>
      <c r="JH27" s="33"/>
      <c r="JI27" s="33"/>
      <c r="JJ27" s="33"/>
      <c r="JK27" s="33"/>
      <c r="JL27" s="33"/>
      <c r="JM27" s="33"/>
      <c r="JN27" s="33"/>
      <c r="JO27" s="33"/>
      <c r="JP27" s="33"/>
      <c r="JQ27" s="33"/>
      <c r="JR27" s="33"/>
      <c r="JS27" s="33"/>
      <c r="JT27" s="33"/>
      <c r="JU27" s="33"/>
      <c r="JV27" s="33"/>
      <c r="JW27" s="33"/>
      <c r="JX27" s="33"/>
      <c r="JY27" s="33"/>
      <c r="JZ27" s="33"/>
      <c r="KA27" s="33"/>
      <c r="KB27" s="33"/>
      <c r="KC27" s="33"/>
      <c r="KD27" s="33"/>
      <c r="KE27" s="33"/>
      <c r="KF27" s="33"/>
      <c r="KG27" s="33"/>
      <c r="KH27" s="33"/>
      <c r="KI27" s="33"/>
      <c r="KJ27" s="33"/>
      <c r="KK27" s="33"/>
    </row>
    <row r="28" spans="1:297" s="20" customFormat="1" ht="12.75" customHeight="1">
      <c r="A28" s="3"/>
      <c r="B28" s="3"/>
      <c r="C28" s="1"/>
      <c r="D28" s="826" t="s">
        <v>2167</v>
      </c>
      <c r="E28" s="827">
        <v>3</v>
      </c>
      <c r="F28" s="828">
        <f>'Part VI-Revenues &amp; Expenses'!$M$150</f>
        <v>0</v>
      </c>
      <c r="G28" s="828"/>
      <c r="H28" s="974"/>
      <c r="I28" s="510" t="str">
        <f>CONCATENATE("x ", F28," units = ")</f>
        <v xml:space="preserve">x 0 units = </v>
      </c>
      <c r="J28" s="829">
        <f>F28*H28</f>
        <v>0</v>
      </c>
      <c r="K28" s="13"/>
      <c r="L28" s="828">
        <f>'Part VI-Revenues &amp; Expenses'!$M$151</f>
        <v>0</v>
      </c>
      <c r="M28" s="828"/>
      <c r="N28" s="974"/>
      <c r="O28" s="510" t="str">
        <f>CONCATENATE("x ", L28," units = ")</f>
        <v xml:space="preserve">x 0 units = </v>
      </c>
      <c r="P28" s="829">
        <f>L28*N28</f>
        <v>0</v>
      </c>
      <c r="Q28" s="496"/>
      <c r="R28" s="2413">
        <f>IF(R22&gt;1,R22, IF(AND('Part IV-Uses of Funds'!$T$159="Yes",'Part VI-Revenues &amp; Expenses'!O147+'Part VI-Revenues &amp; Expenses'!O149+'Part VI-Revenues &amp; Expenses'!O151+'Part VI-Revenues &amp; Expenses'!O153&gt;0),J39+P39,J39))</f>
        <v>0</v>
      </c>
      <c r="S28" s="2414"/>
      <c r="W28" s="11"/>
      <c r="X28" s="301"/>
      <c r="Y28" s="301"/>
      <c r="Z28" s="302"/>
      <c r="AA28" s="301"/>
      <c r="AB28" s="304"/>
      <c r="AC28" s="305"/>
      <c r="AD28" s="305"/>
      <c r="AE28" s="305"/>
      <c r="AF28" s="305"/>
      <c r="AG28" s="305"/>
      <c r="AH28" s="305"/>
      <c r="AI28" s="554"/>
      <c r="AJ28" s="300"/>
      <c r="AK28" s="300"/>
      <c r="AL28" s="300"/>
      <c r="AM28" s="300"/>
      <c r="AN28" s="300"/>
      <c r="AO28" s="300"/>
      <c r="AP28" s="300"/>
      <c r="AQ28" s="300"/>
      <c r="AR28" s="300"/>
      <c r="AS28" s="300"/>
      <c r="AT28" s="300"/>
      <c r="AU28" s="300"/>
      <c r="AV28" s="300"/>
      <c r="AW28" s="300"/>
      <c r="AX28" s="300"/>
      <c r="AY28" s="300"/>
      <c r="AZ28" s="300"/>
      <c r="BA28" s="300"/>
      <c r="BB28" s="300"/>
      <c r="BC28" s="300"/>
      <c r="BD28" s="300"/>
      <c r="BE28" s="300"/>
      <c r="BF28" s="300"/>
      <c r="BG28" s="300"/>
      <c r="BH28" s="300"/>
      <c r="BI28" s="300"/>
      <c r="BJ28" s="300"/>
      <c r="BK28" s="300"/>
      <c r="BL28" s="300"/>
      <c r="BM28" s="300"/>
      <c r="BN28" s="300"/>
      <c r="BO28" s="300"/>
      <c r="BP28" s="300"/>
      <c r="BQ28" s="300"/>
      <c r="BR28" s="300"/>
      <c r="BS28" s="300"/>
      <c r="BT28" s="300"/>
      <c r="BU28" s="300"/>
      <c r="BV28" s="300"/>
      <c r="BW28" s="300"/>
      <c r="BX28" s="300"/>
      <c r="BY28" s="300"/>
      <c r="BZ28" s="300"/>
      <c r="CA28" s="300"/>
      <c r="CB28" s="300"/>
      <c r="CC28" s="300"/>
      <c r="CD28" s="300"/>
      <c r="CE28" s="300"/>
      <c r="CF28" s="300"/>
      <c r="CG28" s="300"/>
      <c r="CH28" s="300"/>
      <c r="CI28" s="300"/>
      <c r="CJ28" s="300"/>
      <c r="CK28" s="300"/>
      <c r="CL28" s="300"/>
      <c r="CM28" s="300"/>
      <c r="CN28" s="300"/>
      <c r="CO28" s="300"/>
      <c r="CP28" s="300"/>
      <c r="CQ28" s="300"/>
      <c r="CR28" s="300"/>
      <c r="CS28" s="300"/>
      <c r="CT28" s="300"/>
      <c r="CU28" s="300"/>
      <c r="CV28" s="300"/>
      <c r="CW28" s="300"/>
      <c r="CX28" s="300"/>
      <c r="CY28" s="300"/>
      <c r="CZ28" s="300"/>
      <c r="DA28" s="300"/>
      <c r="DB28" s="300"/>
      <c r="DC28" s="300"/>
      <c r="DD28" s="300"/>
      <c r="DE28" s="300"/>
      <c r="DF28" s="300"/>
      <c r="DG28" s="300"/>
      <c r="DH28" s="300"/>
      <c r="DI28" s="300"/>
      <c r="DJ28" s="300"/>
      <c r="DK28" s="300"/>
      <c r="DL28" s="300"/>
      <c r="DM28" s="300"/>
      <c r="DN28" s="300"/>
      <c r="DO28" s="300"/>
      <c r="DP28" s="300"/>
      <c r="DQ28" s="300"/>
      <c r="DR28" s="300"/>
      <c r="DS28" s="300"/>
      <c r="DT28" s="300"/>
      <c r="DU28" s="300"/>
      <c r="DV28" s="300"/>
      <c r="DW28" s="300"/>
      <c r="DX28" s="300"/>
      <c r="DY28" s="300"/>
      <c r="DZ28" s="300"/>
      <c r="EA28" s="300"/>
      <c r="EB28" s="300"/>
      <c r="EC28" s="300"/>
      <c r="ED28" s="300"/>
      <c r="EE28" s="300"/>
      <c r="EF28" s="300"/>
      <c r="EG28" s="300"/>
      <c r="EH28" s="300"/>
      <c r="EI28" s="300"/>
      <c r="EJ28" s="300"/>
      <c r="EK28" s="300"/>
      <c r="EL28" s="300"/>
      <c r="EM28" s="300"/>
      <c r="EN28" s="300"/>
      <c r="EO28" s="300"/>
      <c r="EP28" s="300"/>
      <c r="EQ28" s="300"/>
      <c r="ER28" s="300"/>
      <c r="ES28" s="300"/>
      <c r="ET28" s="300"/>
      <c r="EU28" s="300"/>
      <c r="EV28" s="300"/>
      <c r="EW28" s="300"/>
      <c r="EX28" s="300"/>
      <c r="EY28" s="300"/>
      <c r="EZ28" s="300"/>
      <c r="FA28" s="300"/>
      <c r="FB28" s="300"/>
      <c r="FC28" s="300"/>
      <c r="FD28" s="300"/>
      <c r="FE28" s="300"/>
      <c r="FF28" s="300"/>
      <c r="FG28" s="300"/>
      <c r="FH28" s="300"/>
      <c r="FI28" s="300"/>
      <c r="FJ28" s="300"/>
      <c r="FK28" s="300"/>
      <c r="FL28" s="300"/>
      <c r="FM28" s="300"/>
      <c r="FN28" s="300"/>
      <c r="FO28" s="300"/>
      <c r="FP28" s="300"/>
      <c r="FQ28" s="300"/>
      <c r="FR28" s="300"/>
      <c r="FS28" s="300"/>
      <c r="FT28" s="300"/>
      <c r="FU28" s="300"/>
      <c r="FV28" s="300"/>
      <c r="FW28" s="300"/>
      <c r="FX28" s="300"/>
      <c r="FY28" s="300"/>
      <c r="FZ28" s="300"/>
      <c r="GA28" s="300"/>
      <c r="GB28" s="300"/>
      <c r="GC28" s="300"/>
      <c r="GD28" s="300"/>
      <c r="GE28" s="300"/>
      <c r="GF28" s="300"/>
      <c r="GG28" s="300"/>
      <c r="GH28" s="300"/>
      <c r="GI28" s="300"/>
      <c r="GJ28" s="300"/>
      <c r="GK28" s="300"/>
      <c r="GL28" s="300"/>
      <c r="GM28" s="300"/>
      <c r="GN28" s="300"/>
      <c r="GO28" s="300"/>
      <c r="GP28" s="300"/>
      <c r="GQ28" s="300"/>
      <c r="GR28" s="300"/>
      <c r="GS28" s="300"/>
      <c r="GT28" s="300"/>
      <c r="GU28" s="300"/>
      <c r="GV28" s="300"/>
      <c r="GW28" s="300"/>
      <c r="GX28" s="300"/>
      <c r="GY28" s="300"/>
      <c r="GZ28" s="300"/>
      <c r="HA28" s="300"/>
      <c r="HB28" s="300"/>
      <c r="HC28" s="300"/>
      <c r="HD28" s="300"/>
      <c r="HE28" s="300"/>
      <c r="HF28" s="300"/>
      <c r="HG28" s="300"/>
      <c r="HH28" s="300"/>
      <c r="HI28" s="300"/>
      <c r="HJ28" s="300"/>
      <c r="HK28" s="300"/>
      <c r="HL28" s="300"/>
      <c r="HM28" s="300"/>
      <c r="HN28" s="300"/>
      <c r="HO28" s="300"/>
      <c r="HP28" s="300"/>
      <c r="HQ28" s="300"/>
      <c r="HR28" s="300"/>
      <c r="HS28" s="300"/>
      <c r="HT28" s="300"/>
      <c r="HU28" s="300"/>
      <c r="HV28" s="300"/>
      <c r="HW28" s="300"/>
      <c r="HX28" s="300"/>
      <c r="HY28" s="300"/>
      <c r="HZ28" s="300"/>
      <c r="IA28" s="300"/>
      <c r="IB28" s="300"/>
      <c r="IC28" s="300"/>
      <c r="ID28" s="300"/>
      <c r="IE28" s="300"/>
      <c r="IF28" s="300"/>
      <c r="IG28" s="300"/>
      <c r="IH28" s="300"/>
      <c r="II28" s="300"/>
      <c r="IJ28" s="300"/>
      <c r="IK28" s="300"/>
      <c r="IL28" s="303"/>
      <c r="IM28" s="303"/>
      <c r="IN28" s="300"/>
      <c r="IO28" s="300"/>
      <c r="IP28" s="300"/>
      <c r="IQ28" s="300"/>
      <c r="IR28" s="300"/>
      <c r="IS28" s="300"/>
      <c r="IT28" s="300"/>
      <c r="IU28" s="300"/>
      <c r="IV28" s="300"/>
      <c r="IW28" s="300"/>
      <c r="IX28" s="300"/>
      <c r="IY28" s="300"/>
      <c r="IZ28" s="300"/>
      <c r="JA28" s="300"/>
      <c r="JB28" s="300"/>
      <c r="JC28" s="303"/>
      <c r="JD28" s="300"/>
      <c r="JE28" s="300"/>
      <c r="JF28" s="33"/>
      <c r="JG28" s="33"/>
      <c r="JH28" s="33"/>
      <c r="JI28" s="33"/>
      <c r="JJ28" s="33"/>
      <c r="JK28" s="33"/>
      <c r="JL28" s="33"/>
      <c r="JM28" s="33"/>
      <c r="JN28" s="33"/>
      <c r="JO28" s="33"/>
      <c r="JP28" s="33"/>
      <c r="JQ28" s="33"/>
      <c r="JR28" s="33"/>
      <c r="JS28" s="33"/>
      <c r="JT28" s="33"/>
      <c r="JU28" s="33"/>
      <c r="JV28" s="33"/>
      <c r="JW28" s="33"/>
      <c r="JX28" s="33"/>
      <c r="JY28" s="33"/>
      <c r="JZ28" s="33"/>
      <c r="KA28" s="33"/>
      <c r="KB28" s="33"/>
      <c r="KC28" s="33"/>
      <c r="KD28" s="33"/>
      <c r="KE28" s="33"/>
      <c r="KF28" s="33"/>
      <c r="KG28" s="33"/>
      <c r="KH28" s="33"/>
      <c r="KI28" s="33"/>
      <c r="KJ28" s="33"/>
      <c r="KK28" s="33"/>
    </row>
    <row r="29" spans="1:297" s="20" customFormat="1" ht="12.75" customHeight="1" thickBot="1">
      <c r="A29" s="3"/>
      <c r="B29" s="3"/>
      <c r="C29" s="1"/>
      <c r="D29" s="830" t="s">
        <v>2168</v>
      </c>
      <c r="E29" s="827">
        <v>4</v>
      </c>
      <c r="F29" s="828">
        <f>'Part VI-Revenues &amp; Expenses'!$N$150</f>
        <v>0</v>
      </c>
      <c r="G29" s="828"/>
      <c r="H29" s="974"/>
      <c r="I29" s="510" t="str">
        <f>CONCATENATE("x ", F29," units = ")</f>
        <v xml:space="preserve">x 0 units = </v>
      </c>
      <c r="J29" s="829">
        <f>F29*H29</f>
        <v>0</v>
      </c>
      <c r="K29" s="13"/>
      <c r="L29" s="828">
        <f>'Part VI-Revenues &amp; Expenses'!$N$151</f>
        <v>0</v>
      </c>
      <c r="M29" s="828"/>
      <c r="N29" s="974"/>
      <c r="O29" s="510" t="str">
        <f>CONCATENATE("x ", L29," units = ")</f>
        <v xml:space="preserve">x 0 units = </v>
      </c>
      <c r="P29" s="829">
        <f>L29*N29</f>
        <v>0</v>
      </c>
      <c r="Q29" s="496"/>
      <c r="R29" s="2415"/>
      <c r="S29" s="2416"/>
      <c r="T29" s="288"/>
      <c r="W29" s="11"/>
      <c r="X29" s="301"/>
      <c r="Y29" s="301"/>
      <c r="Z29" s="302"/>
      <c r="AA29" s="301"/>
      <c r="AB29" s="304"/>
      <c r="AC29" s="305"/>
      <c r="AD29" s="305"/>
      <c r="AE29" s="305"/>
      <c r="AF29" s="305"/>
      <c r="AG29" s="305"/>
      <c r="AH29" s="305"/>
      <c r="AI29" s="554"/>
      <c r="AJ29" s="300"/>
      <c r="AK29" s="300"/>
      <c r="AL29" s="300"/>
      <c r="AM29" s="300"/>
      <c r="AN29" s="300"/>
      <c r="AO29" s="300"/>
      <c r="AP29" s="300"/>
      <c r="AQ29" s="300"/>
      <c r="AR29" s="300"/>
      <c r="AS29" s="300"/>
      <c r="AT29" s="300"/>
      <c r="AU29" s="300"/>
      <c r="AV29" s="300"/>
      <c r="AW29" s="300"/>
      <c r="AX29" s="300"/>
      <c r="AY29" s="300"/>
      <c r="AZ29" s="300"/>
      <c r="BA29" s="300"/>
      <c r="BB29" s="300"/>
      <c r="BC29" s="300"/>
      <c r="BD29" s="300"/>
      <c r="BE29" s="300"/>
      <c r="BF29" s="300"/>
      <c r="BG29" s="300"/>
      <c r="BH29" s="300"/>
      <c r="BI29" s="300"/>
      <c r="BJ29" s="300"/>
      <c r="BK29" s="300"/>
      <c r="BL29" s="300"/>
      <c r="BM29" s="300"/>
      <c r="BN29" s="300"/>
      <c r="BO29" s="300"/>
      <c r="BP29" s="300"/>
      <c r="BQ29" s="300"/>
      <c r="BR29" s="300"/>
      <c r="BS29" s="300"/>
      <c r="BT29" s="300"/>
      <c r="BU29" s="300"/>
      <c r="BV29" s="300"/>
      <c r="BW29" s="300"/>
      <c r="BX29" s="300"/>
      <c r="BY29" s="300"/>
      <c r="BZ29" s="300"/>
      <c r="CA29" s="300"/>
      <c r="CB29" s="300"/>
      <c r="CC29" s="300"/>
      <c r="CD29" s="300"/>
      <c r="CE29" s="300"/>
      <c r="CF29" s="300"/>
      <c r="CG29" s="300"/>
      <c r="CH29" s="300"/>
      <c r="CI29" s="300"/>
      <c r="CJ29" s="300"/>
      <c r="CK29" s="300"/>
      <c r="CL29" s="300"/>
      <c r="CM29" s="300"/>
      <c r="CN29" s="300"/>
      <c r="CO29" s="300"/>
      <c r="CP29" s="300"/>
      <c r="CQ29" s="300"/>
      <c r="CR29" s="300"/>
      <c r="CS29" s="300"/>
      <c r="CT29" s="300"/>
      <c r="CU29" s="300"/>
      <c r="CV29" s="300"/>
      <c r="CW29" s="300"/>
      <c r="CX29" s="300"/>
      <c r="CY29" s="300"/>
      <c r="CZ29" s="300"/>
      <c r="DA29" s="300"/>
      <c r="DB29" s="300"/>
      <c r="DC29" s="300"/>
      <c r="DD29" s="300"/>
      <c r="DE29" s="300"/>
      <c r="DF29" s="300"/>
      <c r="DG29" s="300"/>
      <c r="DH29" s="300"/>
      <c r="DI29" s="300"/>
      <c r="DJ29" s="300"/>
      <c r="DK29" s="300"/>
      <c r="DL29" s="300"/>
      <c r="DM29" s="300"/>
      <c r="DN29" s="300"/>
      <c r="DO29" s="300"/>
      <c r="DP29" s="300"/>
      <c r="DQ29" s="300"/>
      <c r="DR29" s="300"/>
      <c r="DS29" s="300"/>
      <c r="DT29" s="300"/>
      <c r="DU29" s="300"/>
      <c r="DV29" s="300"/>
      <c r="DW29" s="300"/>
      <c r="DX29" s="300"/>
      <c r="DY29" s="300"/>
      <c r="DZ29" s="300"/>
      <c r="EA29" s="300"/>
      <c r="EB29" s="300"/>
      <c r="EC29" s="300"/>
      <c r="ED29" s="300"/>
      <c r="EE29" s="300"/>
      <c r="EF29" s="300"/>
      <c r="EG29" s="300"/>
      <c r="EH29" s="300"/>
      <c r="EI29" s="300"/>
      <c r="EJ29" s="300"/>
      <c r="EK29" s="300"/>
      <c r="EL29" s="300"/>
      <c r="EM29" s="300"/>
      <c r="EN29" s="300"/>
      <c r="EO29" s="300"/>
      <c r="EP29" s="300"/>
      <c r="EQ29" s="300"/>
      <c r="ER29" s="300"/>
      <c r="ES29" s="300"/>
      <c r="ET29" s="300"/>
      <c r="EU29" s="300"/>
      <c r="EV29" s="300"/>
      <c r="EW29" s="300"/>
      <c r="EX29" s="300"/>
      <c r="EY29" s="300"/>
      <c r="EZ29" s="300"/>
      <c r="FA29" s="300"/>
      <c r="FB29" s="300"/>
      <c r="FC29" s="300"/>
      <c r="FD29" s="300"/>
      <c r="FE29" s="300"/>
      <c r="FF29" s="300"/>
      <c r="FG29" s="300"/>
      <c r="FH29" s="300"/>
      <c r="FI29" s="300"/>
      <c r="FJ29" s="300"/>
      <c r="FK29" s="300"/>
      <c r="FL29" s="300"/>
      <c r="FM29" s="300"/>
      <c r="FN29" s="300"/>
      <c r="FO29" s="300"/>
      <c r="FP29" s="300"/>
      <c r="FQ29" s="300"/>
      <c r="FR29" s="300"/>
      <c r="FS29" s="300"/>
      <c r="FT29" s="300"/>
      <c r="FU29" s="300"/>
      <c r="FV29" s="300"/>
      <c r="FW29" s="300"/>
      <c r="FX29" s="300"/>
      <c r="FY29" s="300"/>
      <c r="FZ29" s="300"/>
      <c r="GA29" s="300"/>
      <c r="GB29" s="300"/>
      <c r="GC29" s="300"/>
      <c r="GD29" s="300"/>
      <c r="GE29" s="300"/>
      <c r="GF29" s="300"/>
      <c r="GG29" s="300"/>
      <c r="GH29" s="300"/>
      <c r="GI29" s="300"/>
      <c r="GJ29" s="300"/>
      <c r="GK29" s="300"/>
      <c r="GL29" s="300"/>
      <c r="GM29" s="300"/>
      <c r="GN29" s="300"/>
      <c r="GO29" s="300"/>
      <c r="GP29" s="300"/>
      <c r="GQ29" s="300"/>
      <c r="GR29" s="300"/>
      <c r="GS29" s="300"/>
      <c r="GT29" s="300"/>
      <c r="GU29" s="300"/>
      <c r="GV29" s="300"/>
      <c r="GW29" s="300"/>
      <c r="GX29" s="300"/>
      <c r="GY29" s="300"/>
      <c r="GZ29" s="300"/>
      <c r="HA29" s="300"/>
      <c r="HB29" s="300"/>
      <c r="HC29" s="300"/>
      <c r="HD29" s="300"/>
      <c r="HE29" s="300"/>
      <c r="HF29" s="300"/>
      <c r="HG29" s="300"/>
      <c r="HH29" s="300"/>
      <c r="HI29" s="300"/>
      <c r="HJ29" s="300"/>
      <c r="HK29" s="300"/>
      <c r="HL29" s="300"/>
      <c r="HM29" s="300"/>
      <c r="HN29" s="300"/>
      <c r="HO29" s="300"/>
      <c r="HP29" s="300"/>
      <c r="HQ29" s="300"/>
      <c r="HR29" s="300"/>
      <c r="HS29" s="300"/>
      <c r="HT29" s="300"/>
      <c r="HU29" s="300"/>
      <c r="HV29" s="300"/>
      <c r="HW29" s="300"/>
      <c r="HX29" s="300"/>
      <c r="HY29" s="300"/>
      <c r="HZ29" s="300"/>
      <c r="IA29" s="300"/>
      <c r="IB29" s="300"/>
      <c r="IC29" s="300"/>
      <c r="ID29" s="300"/>
      <c r="IE29" s="300"/>
      <c r="IF29" s="300"/>
      <c r="IG29" s="300"/>
      <c r="IH29" s="300"/>
      <c r="II29" s="300"/>
      <c r="IJ29" s="300"/>
      <c r="IK29" s="300"/>
      <c r="IL29" s="303"/>
      <c r="IM29" s="303"/>
      <c r="IN29" s="300"/>
      <c r="IO29" s="300"/>
      <c r="IP29" s="300"/>
      <c r="IQ29" s="300"/>
      <c r="IR29" s="300"/>
      <c r="IS29" s="300"/>
      <c r="IT29" s="300"/>
      <c r="IU29" s="300"/>
      <c r="IV29" s="300"/>
      <c r="IW29" s="300"/>
      <c r="IX29" s="300"/>
      <c r="IY29" s="300"/>
      <c r="IZ29" s="300"/>
      <c r="JA29" s="300"/>
      <c r="JB29" s="300"/>
      <c r="JC29" s="303"/>
      <c r="JD29" s="300"/>
      <c r="JE29" s="300"/>
      <c r="JF29" s="33"/>
      <c r="JG29" s="33"/>
      <c r="JH29" s="33"/>
      <c r="JI29" s="33"/>
      <c r="JJ29" s="33"/>
      <c r="JK29" s="33"/>
      <c r="JL29" s="33"/>
      <c r="JM29" s="33"/>
      <c r="JN29" s="33"/>
      <c r="JO29" s="33"/>
      <c r="JP29" s="33"/>
      <c r="JQ29" s="33"/>
      <c r="JR29" s="33"/>
      <c r="JS29" s="33"/>
      <c r="JT29" s="33"/>
      <c r="JU29" s="33"/>
      <c r="JV29" s="33"/>
      <c r="JW29" s="33"/>
      <c r="JX29" s="33"/>
      <c r="JY29" s="33"/>
      <c r="JZ29" s="33"/>
      <c r="KA29" s="33"/>
      <c r="KB29" s="33"/>
      <c r="KC29" s="33"/>
      <c r="KD29" s="33"/>
      <c r="KE29" s="33"/>
      <c r="KF29" s="33"/>
      <c r="KG29" s="33"/>
      <c r="KH29" s="33"/>
      <c r="KI29" s="33"/>
      <c r="KJ29" s="33"/>
      <c r="KK29" s="33"/>
    </row>
    <row r="30" spans="1:297" s="20" customFormat="1" ht="12.75" customHeight="1">
      <c r="A30" s="3"/>
      <c r="B30" s="3"/>
      <c r="C30" s="1"/>
      <c r="D30" s="508" t="s">
        <v>2951</v>
      </c>
      <c r="E30" s="11"/>
      <c r="F30" s="518">
        <f>SUM(F25:F29)</f>
        <v>0</v>
      </c>
      <c r="G30" s="971"/>
      <c r="H30" s="975"/>
      <c r="I30" s="519"/>
      <c r="J30" s="520">
        <f>SUM(J25:J29)</f>
        <v>0</v>
      </c>
      <c r="K30" s="521"/>
      <c r="L30" s="518">
        <f>SUM(L25:L29)</f>
        <v>0</v>
      </c>
      <c r="M30" s="971"/>
      <c r="N30" s="975"/>
      <c r="O30" s="519"/>
      <c r="P30" s="520">
        <f>SUM(P25:P29)</f>
        <v>0</v>
      </c>
      <c r="Q30" s="496"/>
      <c r="R30" s="288"/>
      <c r="S30" s="11"/>
      <c r="T30" s="288"/>
      <c r="W30" s="11"/>
      <c r="X30" s="301"/>
      <c r="Y30" s="301"/>
      <c r="Z30" s="302"/>
      <c r="AA30" s="301"/>
      <c r="AB30" s="304"/>
      <c r="AC30" s="305"/>
      <c r="AD30" s="305"/>
      <c r="AE30" s="305"/>
      <c r="AF30" s="305"/>
      <c r="AG30" s="305"/>
      <c r="AH30" s="305"/>
      <c r="AI30" s="554"/>
      <c r="AJ30" s="300"/>
      <c r="AK30" s="300"/>
      <c r="AL30" s="300"/>
      <c r="AM30" s="300"/>
      <c r="AN30" s="300"/>
      <c r="AO30" s="300"/>
      <c r="AP30" s="300"/>
      <c r="AQ30" s="300"/>
      <c r="AR30" s="300"/>
      <c r="AS30" s="300"/>
      <c r="AT30" s="300"/>
      <c r="AU30" s="300"/>
      <c r="AV30" s="300"/>
      <c r="AW30" s="300"/>
      <c r="AX30" s="300"/>
      <c r="AY30" s="300"/>
      <c r="AZ30" s="300"/>
      <c r="BA30" s="300"/>
      <c r="BB30" s="300"/>
      <c r="BC30" s="300"/>
      <c r="BD30" s="300"/>
      <c r="BE30" s="300"/>
      <c r="BF30" s="300"/>
      <c r="BG30" s="300"/>
      <c r="BH30" s="300"/>
      <c r="BI30" s="300"/>
      <c r="BJ30" s="300"/>
      <c r="BK30" s="300"/>
      <c r="BL30" s="300"/>
      <c r="BM30" s="300"/>
      <c r="BN30" s="300"/>
      <c r="BO30" s="300"/>
      <c r="BP30" s="300"/>
      <c r="BQ30" s="300"/>
      <c r="BR30" s="300"/>
      <c r="BS30" s="300"/>
      <c r="BT30" s="300"/>
      <c r="BU30" s="300"/>
      <c r="BV30" s="300"/>
      <c r="BW30" s="300"/>
      <c r="BX30" s="300"/>
      <c r="BY30" s="300"/>
      <c r="BZ30" s="300"/>
      <c r="CA30" s="300"/>
      <c r="CB30" s="300"/>
      <c r="CC30" s="300"/>
      <c r="CD30" s="300"/>
      <c r="CE30" s="300"/>
      <c r="CF30" s="300"/>
      <c r="CG30" s="300"/>
      <c r="CH30" s="300"/>
      <c r="CI30" s="300"/>
      <c r="CJ30" s="300"/>
      <c r="CK30" s="300"/>
      <c r="CL30" s="300"/>
      <c r="CM30" s="300"/>
      <c r="CN30" s="300"/>
      <c r="CO30" s="300"/>
      <c r="CP30" s="300"/>
      <c r="CQ30" s="300"/>
      <c r="CR30" s="300"/>
      <c r="CS30" s="300"/>
      <c r="CT30" s="300"/>
      <c r="CU30" s="300"/>
      <c r="CV30" s="300"/>
      <c r="CW30" s="300"/>
      <c r="CX30" s="300"/>
      <c r="CY30" s="300"/>
      <c r="CZ30" s="300"/>
      <c r="DA30" s="300"/>
      <c r="DB30" s="300"/>
      <c r="DC30" s="300"/>
      <c r="DD30" s="300"/>
      <c r="DE30" s="300"/>
      <c r="DF30" s="300"/>
      <c r="DG30" s="300"/>
      <c r="DH30" s="300"/>
      <c r="DI30" s="300"/>
      <c r="DJ30" s="300"/>
      <c r="DK30" s="300"/>
      <c r="DL30" s="300"/>
      <c r="DM30" s="300"/>
      <c r="DN30" s="300"/>
      <c r="DO30" s="300"/>
      <c r="DP30" s="300"/>
      <c r="DQ30" s="300"/>
      <c r="DR30" s="300"/>
      <c r="DS30" s="300"/>
      <c r="DT30" s="300"/>
      <c r="DU30" s="300"/>
      <c r="DV30" s="300"/>
      <c r="DW30" s="300"/>
      <c r="DX30" s="300"/>
      <c r="DY30" s="300"/>
      <c r="DZ30" s="300"/>
      <c r="EA30" s="300"/>
      <c r="EB30" s="300"/>
      <c r="EC30" s="300"/>
      <c r="ED30" s="300"/>
      <c r="EE30" s="300"/>
      <c r="EF30" s="300"/>
      <c r="EG30" s="300"/>
      <c r="EH30" s="300"/>
      <c r="EI30" s="300"/>
      <c r="EJ30" s="300"/>
      <c r="EK30" s="300"/>
      <c r="EL30" s="300"/>
      <c r="EM30" s="300"/>
      <c r="EN30" s="300"/>
      <c r="EO30" s="300"/>
      <c r="EP30" s="300"/>
      <c r="EQ30" s="300"/>
      <c r="ER30" s="300"/>
      <c r="ES30" s="300"/>
      <c r="ET30" s="300"/>
      <c r="EU30" s="300"/>
      <c r="EV30" s="300"/>
      <c r="EW30" s="300"/>
      <c r="EX30" s="300"/>
      <c r="EY30" s="300"/>
      <c r="EZ30" s="300"/>
      <c r="FA30" s="300"/>
      <c r="FB30" s="300"/>
      <c r="FC30" s="300"/>
      <c r="FD30" s="300"/>
      <c r="FE30" s="300"/>
      <c r="FF30" s="300"/>
      <c r="FG30" s="300"/>
      <c r="FH30" s="300"/>
      <c r="FI30" s="300"/>
      <c r="FJ30" s="300"/>
      <c r="FK30" s="300"/>
      <c r="FL30" s="300"/>
      <c r="FM30" s="300"/>
      <c r="FN30" s="300"/>
      <c r="FO30" s="300"/>
      <c r="FP30" s="300"/>
      <c r="FQ30" s="300"/>
      <c r="FR30" s="300"/>
      <c r="FS30" s="300"/>
      <c r="FT30" s="300"/>
      <c r="FU30" s="300"/>
      <c r="FV30" s="300"/>
      <c r="FW30" s="300"/>
      <c r="FX30" s="300"/>
      <c r="FY30" s="300"/>
      <c r="FZ30" s="300"/>
      <c r="GA30" s="300"/>
      <c r="GB30" s="300"/>
      <c r="GC30" s="300"/>
      <c r="GD30" s="300"/>
      <c r="GE30" s="300"/>
      <c r="GF30" s="300"/>
      <c r="GG30" s="300"/>
      <c r="GH30" s="300"/>
      <c r="GI30" s="300"/>
      <c r="GJ30" s="300"/>
      <c r="GK30" s="300"/>
      <c r="GL30" s="300"/>
      <c r="GM30" s="300"/>
      <c r="GN30" s="300"/>
      <c r="GO30" s="300"/>
      <c r="GP30" s="300"/>
      <c r="GQ30" s="300"/>
      <c r="GR30" s="300"/>
      <c r="GS30" s="300"/>
      <c r="GT30" s="300"/>
      <c r="GU30" s="300"/>
      <c r="GV30" s="300"/>
      <c r="GW30" s="300"/>
      <c r="GX30" s="300"/>
      <c r="GY30" s="300"/>
      <c r="GZ30" s="300"/>
      <c r="HA30" s="300"/>
      <c r="HB30" s="300"/>
      <c r="HC30" s="300"/>
      <c r="HD30" s="300"/>
      <c r="HE30" s="300"/>
      <c r="HF30" s="300"/>
      <c r="HG30" s="300"/>
      <c r="HH30" s="300"/>
      <c r="HI30" s="300"/>
      <c r="HJ30" s="300"/>
      <c r="HK30" s="300"/>
      <c r="HL30" s="300"/>
      <c r="HM30" s="300"/>
      <c r="HN30" s="300"/>
      <c r="HO30" s="300"/>
      <c r="HP30" s="300"/>
      <c r="HQ30" s="300"/>
      <c r="HR30" s="300"/>
      <c r="HS30" s="300"/>
      <c r="HT30" s="300"/>
      <c r="HU30" s="300"/>
      <c r="HV30" s="300"/>
      <c r="HW30" s="300"/>
      <c r="HX30" s="300"/>
      <c r="HY30" s="300"/>
      <c r="HZ30" s="300"/>
      <c r="IA30" s="300"/>
      <c r="IB30" s="300"/>
      <c r="IC30" s="300"/>
      <c r="ID30" s="300"/>
      <c r="IE30" s="300"/>
      <c r="IF30" s="300"/>
      <c r="IG30" s="300"/>
      <c r="IH30" s="300"/>
      <c r="II30" s="300"/>
      <c r="IJ30" s="300"/>
      <c r="IK30" s="300"/>
      <c r="IL30" s="303"/>
      <c r="IM30" s="303"/>
      <c r="IN30" s="300"/>
      <c r="IO30" s="300"/>
      <c r="IP30" s="300"/>
      <c r="IQ30" s="300"/>
      <c r="IR30" s="300"/>
      <c r="IS30" s="300"/>
      <c r="IT30" s="300"/>
      <c r="IU30" s="300"/>
      <c r="IV30" s="300"/>
      <c r="IW30" s="300"/>
      <c r="IX30" s="300"/>
      <c r="IY30" s="300"/>
      <c r="IZ30" s="300"/>
      <c r="JA30" s="300"/>
      <c r="JB30" s="300"/>
      <c r="JC30" s="303"/>
      <c r="JD30" s="300"/>
      <c r="JE30" s="300"/>
      <c r="JF30" s="33"/>
      <c r="JG30" s="33"/>
      <c r="JH30" s="33"/>
      <c r="JI30" s="33"/>
      <c r="JJ30" s="33"/>
      <c r="JK30" s="33"/>
      <c r="JL30" s="33"/>
      <c r="JM30" s="33"/>
      <c r="JN30" s="33"/>
      <c r="JO30" s="33"/>
      <c r="JP30" s="33"/>
      <c r="JQ30" s="33"/>
      <c r="JR30" s="33"/>
      <c r="JS30" s="33"/>
      <c r="JT30" s="33"/>
      <c r="JU30" s="33"/>
      <c r="JV30" s="33"/>
      <c r="JW30" s="33"/>
      <c r="JX30" s="33"/>
      <c r="JY30" s="33"/>
      <c r="JZ30" s="33"/>
      <c r="KA30" s="33"/>
      <c r="KB30" s="33"/>
      <c r="KC30" s="33"/>
      <c r="KD30" s="33"/>
      <c r="KE30" s="33"/>
      <c r="KF30" s="33"/>
      <c r="KG30" s="33"/>
      <c r="KH30" s="33"/>
      <c r="KI30" s="33"/>
      <c r="KJ30" s="33"/>
      <c r="KK30" s="33"/>
    </row>
    <row r="31" spans="1:297" s="20" customFormat="1" ht="3" customHeight="1">
      <c r="A31" s="3"/>
      <c r="C31" s="1"/>
      <c r="D31" s="405"/>
      <c r="E31" s="405"/>
      <c r="F31" s="540"/>
      <c r="G31" s="540"/>
      <c r="H31" s="976"/>
      <c r="I31" s="969"/>
      <c r="J31" s="837"/>
      <c r="K31" s="11"/>
      <c r="L31" s="540"/>
      <c r="M31" s="540"/>
      <c r="N31" s="976"/>
      <c r="O31" s="970"/>
      <c r="P31" s="837"/>
      <c r="Q31" s="496"/>
      <c r="S31" s="288"/>
      <c r="T31" s="288"/>
      <c r="W31" s="11"/>
      <c r="X31" s="301"/>
      <c r="Y31" s="301"/>
      <c r="Z31" s="302"/>
      <c r="AA31" s="301"/>
      <c r="AB31" s="304"/>
      <c r="AC31" s="305"/>
      <c r="AD31" s="305"/>
      <c r="AE31" s="305"/>
      <c r="AF31" s="305"/>
      <c r="AG31" s="305"/>
      <c r="AH31" s="305"/>
      <c r="AI31" s="554"/>
      <c r="AJ31" s="300"/>
      <c r="AK31" s="300"/>
      <c r="AL31" s="300"/>
      <c r="AM31" s="300"/>
      <c r="AN31" s="300"/>
      <c r="AO31" s="300"/>
      <c r="AP31" s="300"/>
      <c r="AQ31" s="300"/>
      <c r="AR31" s="300"/>
      <c r="AS31" s="300"/>
      <c r="AT31" s="300"/>
      <c r="AU31" s="300"/>
      <c r="AV31" s="300"/>
      <c r="AW31" s="300"/>
      <c r="AX31" s="300"/>
      <c r="AY31" s="300"/>
      <c r="AZ31" s="300"/>
      <c r="BA31" s="300"/>
      <c r="BB31" s="300"/>
      <c r="BC31" s="300"/>
      <c r="BD31" s="300"/>
      <c r="BE31" s="300"/>
      <c r="BF31" s="300"/>
      <c r="BG31" s="300"/>
      <c r="BH31" s="300"/>
      <c r="BI31" s="300"/>
      <c r="BJ31" s="300"/>
      <c r="BK31" s="300"/>
      <c r="BL31" s="300"/>
      <c r="BM31" s="300"/>
      <c r="BN31" s="300"/>
      <c r="BO31" s="300"/>
      <c r="BP31" s="300"/>
      <c r="BQ31" s="300"/>
      <c r="BR31" s="300"/>
      <c r="BS31" s="300"/>
      <c r="BT31" s="300"/>
      <c r="BU31" s="300"/>
      <c r="BV31" s="300"/>
      <c r="BW31" s="300"/>
      <c r="BX31" s="300"/>
      <c r="BY31" s="300"/>
      <c r="BZ31" s="300"/>
      <c r="CA31" s="300"/>
      <c r="CB31" s="300"/>
      <c r="CC31" s="300"/>
      <c r="CD31" s="300"/>
      <c r="CE31" s="300"/>
      <c r="CF31" s="300"/>
      <c r="CG31" s="300"/>
      <c r="CH31" s="300"/>
      <c r="CI31" s="300"/>
      <c r="CJ31" s="300"/>
      <c r="CK31" s="300"/>
      <c r="CL31" s="300"/>
      <c r="CM31" s="300"/>
      <c r="CN31" s="300"/>
      <c r="CO31" s="300"/>
      <c r="CP31" s="300"/>
      <c r="CQ31" s="300"/>
      <c r="CR31" s="300"/>
      <c r="CS31" s="300"/>
      <c r="CT31" s="300"/>
      <c r="CU31" s="300"/>
      <c r="CV31" s="300"/>
      <c r="CW31" s="300"/>
      <c r="CX31" s="300"/>
      <c r="CY31" s="300"/>
      <c r="CZ31" s="300"/>
      <c r="DA31" s="300"/>
      <c r="DB31" s="300"/>
      <c r="DC31" s="300"/>
      <c r="DD31" s="300"/>
      <c r="DE31" s="300"/>
      <c r="DF31" s="300"/>
      <c r="DG31" s="300"/>
      <c r="DH31" s="300"/>
      <c r="DI31" s="300"/>
      <c r="DJ31" s="300"/>
      <c r="DK31" s="300"/>
      <c r="DL31" s="300"/>
      <c r="DM31" s="300"/>
      <c r="DN31" s="300"/>
      <c r="DO31" s="300"/>
      <c r="DP31" s="300"/>
      <c r="DQ31" s="300"/>
      <c r="DR31" s="300"/>
      <c r="DS31" s="300"/>
      <c r="DT31" s="300"/>
      <c r="DU31" s="300"/>
      <c r="DV31" s="300"/>
      <c r="DW31" s="300"/>
      <c r="DX31" s="300"/>
      <c r="DY31" s="300"/>
      <c r="DZ31" s="300"/>
      <c r="EA31" s="300"/>
      <c r="EB31" s="300"/>
      <c r="EC31" s="300"/>
      <c r="ED31" s="300"/>
      <c r="EE31" s="300"/>
      <c r="EF31" s="300"/>
      <c r="EG31" s="300"/>
      <c r="EH31" s="300"/>
      <c r="EI31" s="300"/>
      <c r="EJ31" s="300"/>
      <c r="EK31" s="300"/>
      <c r="EL31" s="300"/>
      <c r="EM31" s="300"/>
      <c r="EN31" s="300"/>
      <c r="EO31" s="300"/>
      <c r="EP31" s="300"/>
      <c r="EQ31" s="300"/>
      <c r="ER31" s="300"/>
      <c r="ES31" s="300"/>
      <c r="ET31" s="300"/>
      <c r="EU31" s="300"/>
      <c r="EV31" s="300"/>
      <c r="EW31" s="300"/>
      <c r="EX31" s="300"/>
      <c r="EY31" s="300"/>
      <c r="EZ31" s="300"/>
      <c r="FA31" s="300"/>
      <c r="FB31" s="300"/>
      <c r="FC31" s="300"/>
      <c r="FD31" s="300"/>
      <c r="FE31" s="300"/>
      <c r="FF31" s="300"/>
      <c r="FG31" s="300"/>
      <c r="FH31" s="300"/>
      <c r="FI31" s="300"/>
      <c r="FJ31" s="300"/>
      <c r="FK31" s="300"/>
      <c r="FL31" s="300"/>
      <c r="FM31" s="300"/>
      <c r="FN31" s="300"/>
      <c r="FO31" s="300"/>
      <c r="FP31" s="300"/>
      <c r="FQ31" s="300"/>
      <c r="FR31" s="300"/>
      <c r="FS31" s="300"/>
      <c r="FT31" s="300"/>
      <c r="FU31" s="300"/>
      <c r="FV31" s="300"/>
      <c r="FW31" s="300"/>
      <c r="FX31" s="300"/>
      <c r="FY31" s="300"/>
      <c r="FZ31" s="300"/>
      <c r="GA31" s="300"/>
      <c r="GB31" s="300"/>
      <c r="GC31" s="300"/>
      <c r="GD31" s="300"/>
      <c r="GE31" s="300"/>
      <c r="GF31" s="300"/>
      <c r="GG31" s="300"/>
      <c r="GH31" s="300"/>
      <c r="GI31" s="300"/>
      <c r="GJ31" s="300"/>
      <c r="GK31" s="300"/>
      <c r="GL31" s="300"/>
      <c r="GM31" s="300"/>
      <c r="GN31" s="300"/>
      <c r="GO31" s="300"/>
      <c r="GP31" s="300"/>
      <c r="GQ31" s="300"/>
      <c r="GR31" s="300"/>
      <c r="GS31" s="300"/>
      <c r="GT31" s="300"/>
      <c r="GU31" s="300"/>
      <c r="GV31" s="300"/>
      <c r="GW31" s="300"/>
      <c r="GX31" s="300"/>
      <c r="GY31" s="300"/>
      <c r="GZ31" s="300"/>
      <c r="HA31" s="300"/>
      <c r="HB31" s="300"/>
      <c r="HC31" s="300"/>
      <c r="HD31" s="300"/>
      <c r="HE31" s="300"/>
      <c r="HF31" s="300"/>
      <c r="HG31" s="300"/>
      <c r="HH31" s="300"/>
      <c r="HI31" s="300"/>
      <c r="HJ31" s="300"/>
      <c r="HK31" s="300"/>
      <c r="HL31" s="300"/>
      <c r="HM31" s="300"/>
      <c r="HN31" s="300"/>
      <c r="HO31" s="300"/>
      <c r="HP31" s="300"/>
      <c r="HQ31" s="300"/>
      <c r="HR31" s="300"/>
      <c r="HS31" s="300"/>
      <c r="HT31" s="300"/>
      <c r="HU31" s="300"/>
      <c r="HV31" s="300"/>
      <c r="HW31" s="300"/>
      <c r="HX31" s="300"/>
      <c r="HY31" s="300"/>
      <c r="HZ31" s="300"/>
      <c r="IA31" s="300"/>
      <c r="IB31" s="300"/>
      <c r="IC31" s="300"/>
      <c r="ID31" s="300"/>
      <c r="IE31" s="300"/>
      <c r="IF31" s="300"/>
      <c r="IG31" s="300"/>
      <c r="IH31" s="300"/>
      <c r="II31" s="300"/>
      <c r="IJ31" s="300"/>
      <c r="IK31" s="300"/>
      <c r="IL31" s="303"/>
      <c r="IM31" s="303"/>
      <c r="IN31" s="300"/>
      <c r="IO31" s="300"/>
      <c r="IP31" s="300"/>
      <c r="IQ31" s="300"/>
      <c r="IR31" s="300"/>
      <c r="IS31" s="300"/>
      <c r="IT31" s="300"/>
      <c r="IU31" s="300"/>
      <c r="IV31" s="300"/>
      <c r="IW31" s="300"/>
      <c r="IX31" s="300"/>
      <c r="IY31" s="300"/>
      <c r="IZ31" s="300"/>
      <c r="JA31" s="300"/>
      <c r="JB31" s="300"/>
      <c r="JC31" s="303"/>
      <c r="JD31" s="300"/>
      <c r="JE31" s="300"/>
      <c r="JF31" s="33"/>
      <c r="JG31" s="33"/>
      <c r="JH31" s="33"/>
      <c r="JI31" s="33"/>
      <c r="JJ31" s="33"/>
      <c r="JK31" s="33"/>
      <c r="JL31" s="33"/>
      <c r="JM31" s="33"/>
      <c r="JN31" s="33"/>
      <c r="JO31" s="33"/>
      <c r="JP31" s="33"/>
      <c r="JQ31" s="33"/>
      <c r="JR31" s="33"/>
      <c r="JS31" s="33"/>
      <c r="JT31" s="33"/>
      <c r="JU31" s="33"/>
      <c r="JV31" s="33"/>
      <c r="JW31" s="33"/>
      <c r="JX31" s="33"/>
      <c r="JY31" s="33"/>
      <c r="JZ31" s="33"/>
      <c r="KA31" s="33"/>
      <c r="KB31" s="33"/>
      <c r="KC31" s="33"/>
      <c r="KD31" s="33"/>
      <c r="KE31" s="33"/>
      <c r="KF31" s="33"/>
      <c r="KG31" s="33"/>
      <c r="KH31" s="33"/>
      <c r="KI31" s="33"/>
      <c r="KJ31" s="33"/>
      <c r="KK31" s="33"/>
    </row>
    <row r="32" spans="1:297" s="20" customFormat="1" ht="12.75" customHeight="1">
      <c r="A32" s="507" t="s">
        <v>2938</v>
      </c>
      <c r="B32" s="3"/>
      <c r="C32" s="1"/>
      <c r="D32" s="826" t="s">
        <v>527</v>
      </c>
      <c r="E32" s="827">
        <v>0</v>
      </c>
      <c r="F32" s="828">
        <f>'Part VI-Revenues &amp; Expenses'!$J$152</f>
        <v>0</v>
      </c>
      <c r="G32" s="828"/>
      <c r="H32" s="974"/>
      <c r="I32" s="510" t="str">
        <f>CONCATENATE("x ", F32," units = ")</f>
        <v xml:space="preserve">x 0 units = </v>
      </c>
      <c r="J32" s="829">
        <f>F32*H32</f>
        <v>0</v>
      </c>
      <c r="K32" s="13"/>
      <c r="L32" s="828">
        <f>'Part VI-Revenues &amp; Expenses'!$J$153</f>
        <v>0</v>
      </c>
      <c r="M32" s="828"/>
      <c r="N32" s="974"/>
      <c r="O32" s="510" t="str">
        <f>CONCATENATE("x ", L32," units = ")</f>
        <v xml:space="preserve">x 0 units = </v>
      </c>
      <c r="P32" s="829">
        <f>L32*N32</f>
        <v>0</v>
      </c>
      <c r="Q32" s="496"/>
      <c r="R32" s="2196" t="s">
        <v>2361</v>
      </c>
      <c r="S32" s="2196"/>
      <c r="T32" s="288"/>
      <c r="U32" s="288"/>
      <c r="V32" s="11"/>
      <c r="W32" s="11"/>
      <c r="X32" s="301"/>
      <c r="Y32" s="301"/>
      <c r="Z32" s="302"/>
      <c r="AA32" s="301"/>
      <c r="AB32" s="304"/>
      <c r="AC32" s="305"/>
      <c r="AD32" s="305"/>
      <c r="AE32" s="305"/>
      <c r="AF32" s="305"/>
      <c r="AG32" s="305"/>
      <c r="AH32" s="305"/>
      <c r="AI32" s="554"/>
      <c r="AJ32" s="300"/>
      <c r="AK32" s="300"/>
      <c r="AL32" s="300"/>
      <c r="AM32" s="300"/>
      <c r="AN32" s="300"/>
      <c r="AO32" s="300"/>
      <c r="AP32" s="300"/>
      <c r="AQ32" s="300"/>
      <c r="AR32" s="300"/>
      <c r="AS32" s="300"/>
      <c r="AT32" s="300"/>
      <c r="AU32" s="300"/>
      <c r="AV32" s="300"/>
      <c r="AW32" s="300"/>
      <c r="AX32" s="300"/>
      <c r="AY32" s="300"/>
      <c r="AZ32" s="300"/>
      <c r="BA32" s="300"/>
      <c r="BB32" s="300"/>
      <c r="BC32" s="300"/>
      <c r="BD32" s="300"/>
      <c r="BE32" s="300"/>
      <c r="BF32" s="300"/>
      <c r="BG32" s="300"/>
      <c r="BH32" s="300"/>
      <c r="BI32" s="300"/>
      <c r="BJ32" s="300"/>
      <c r="BK32" s="300"/>
      <c r="BL32" s="300"/>
      <c r="BM32" s="300"/>
      <c r="BN32" s="300"/>
      <c r="BO32" s="300"/>
      <c r="BP32" s="300"/>
      <c r="BQ32" s="300"/>
      <c r="BR32" s="300"/>
      <c r="BS32" s="300"/>
      <c r="BT32" s="300"/>
      <c r="BU32" s="300"/>
      <c r="BV32" s="300"/>
      <c r="BW32" s="300"/>
      <c r="BX32" s="300"/>
      <c r="BY32" s="300"/>
      <c r="BZ32" s="300"/>
      <c r="CA32" s="300"/>
      <c r="CB32" s="300"/>
      <c r="CC32" s="300"/>
      <c r="CD32" s="300"/>
      <c r="CE32" s="300"/>
      <c r="CF32" s="300"/>
      <c r="CG32" s="300"/>
      <c r="CH32" s="300"/>
      <c r="CI32" s="300"/>
      <c r="CJ32" s="300"/>
      <c r="CK32" s="300"/>
      <c r="CL32" s="300"/>
      <c r="CM32" s="300"/>
      <c r="CN32" s="300"/>
      <c r="CO32" s="300"/>
      <c r="CP32" s="300"/>
      <c r="CQ32" s="300"/>
      <c r="CR32" s="300"/>
      <c r="CS32" s="300"/>
      <c r="CT32" s="300"/>
      <c r="CU32" s="300"/>
      <c r="CV32" s="300"/>
      <c r="CW32" s="300"/>
      <c r="CX32" s="300"/>
      <c r="CY32" s="300"/>
      <c r="CZ32" s="300"/>
      <c r="DA32" s="300"/>
      <c r="DB32" s="300"/>
      <c r="DC32" s="300"/>
      <c r="DD32" s="300"/>
      <c r="DE32" s="300"/>
      <c r="DF32" s="300"/>
      <c r="DG32" s="300"/>
      <c r="DH32" s="300"/>
      <c r="DI32" s="300"/>
      <c r="DJ32" s="300"/>
      <c r="DK32" s="300"/>
      <c r="DL32" s="300"/>
      <c r="DM32" s="300"/>
      <c r="DN32" s="300"/>
      <c r="DO32" s="300"/>
      <c r="DP32" s="300"/>
      <c r="DQ32" s="300"/>
      <c r="DR32" s="300"/>
      <c r="DS32" s="300"/>
      <c r="DT32" s="300"/>
      <c r="DU32" s="300"/>
      <c r="DV32" s="300"/>
      <c r="DW32" s="300"/>
      <c r="DX32" s="300"/>
      <c r="DY32" s="300"/>
      <c r="DZ32" s="300"/>
      <c r="EA32" s="300"/>
      <c r="EB32" s="300"/>
      <c r="EC32" s="300"/>
      <c r="ED32" s="300"/>
      <c r="EE32" s="300"/>
      <c r="EF32" s="300"/>
      <c r="EG32" s="300"/>
      <c r="EH32" s="300"/>
      <c r="EI32" s="300"/>
      <c r="EJ32" s="300"/>
      <c r="EK32" s="300"/>
      <c r="EL32" s="300"/>
      <c r="EM32" s="300"/>
      <c r="EN32" s="300"/>
      <c r="EO32" s="300"/>
      <c r="EP32" s="300"/>
      <c r="EQ32" s="300"/>
      <c r="ER32" s="300"/>
      <c r="ES32" s="300"/>
      <c r="ET32" s="300"/>
      <c r="EU32" s="300"/>
      <c r="EV32" s="300"/>
      <c r="EW32" s="300"/>
      <c r="EX32" s="300"/>
      <c r="EY32" s="300"/>
      <c r="EZ32" s="300"/>
      <c r="FA32" s="300"/>
      <c r="FB32" s="300"/>
      <c r="FC32" s="300"/>
      <c r="FD32" s="300"/>
      <c r="FE32" s="300"/>
      <c r="FF32" s="300"/>
      <c r="FG32" s="300"/>
      <c r="FH32" s="300"/>
      <c r="FI32" s="300"/>
      <c r="FJ32" s="300"/>
      <c r="FK32" s="300"/>
      <c r="FL32" s="300"/>
      <c r="FM32" s="300"/>
      <c r="FN32" s="300"/>
      <c r="FO32" s="300"/>
      <c r="FP32" s="300"/>
      <c r="FQ32" s="300"/>
      <c r="FR32" s="300"/>
      <c r="FS32" s="300"/>
      <c r="FT32" s="300"/>
      <c r="FU32" s="300"/>
      <c r="FV32" s="300"/>
      <c r="FW32" s="300"/>
      <c r="FX32" s="300"/>
      <c r="FY32" s="300"/>
      <c r="FZ32" s="300"/>
      <c r="GA32" s="300"/>
      <c r="GB32" s="300"/>
      <c r="GC32" s="300"/>
      <c r="GD32" s="300"/>
      <c r="GE32" s="300"/>
      <c r="GF32" s="300"/>
      <c r="GG32" s="300"/>
      <c r="GH32" s="300"/>
      <c r="GI32" s="300"/>
      <c r="GJ32" s="300"/>
      <c r="GK32" s="300"/>
      <c r="GL32" s="300"/>
      <c r="GM32" s="300"/>
      <c r="GN32" s="300"/>
      <c r="GO32" s="300"/>
      <c r="GP32" s="300"/>
      <c r="GQ32" s="300"/>
      <c r="GR32" s="300"/>
      <c r="GS32" s="300"/>
      <c r="GT32" s="300"/>
      <c r="GU32" s="300"/>
      <c r="GV32" s="300"/>
      <c r="GW32" s="300"/>
      <c r="GX32" s="300"/>
      <c r="GY32" s="300"/>
      <c r="GZ32" s="300"/>
      <c r="HA32" s="300"/>
      <c r="HB32" s="300"/>
      <c r="HC32" s="300"/>
      <c r="HD32" s="300"/>
      <c r="HE32" s="300"/>
      <c r="HF32" s="300"/>
      <c r="HG32" s="300"/>
      <c r="HH32" s="300"/>
      <c r="HI32" s="300"/>
      <c r="HJ32" s="300"/>
      <c r="HK32" s="300"/>
      <c r="HL32" s="300"/>
      <c r="HM32" s="300"/>
      <c r="HN32" s="300"/>
      <c r="HO32" s="300"/>
      <c r="HP32" s="300"/>
      <c r="HQ32" s="300"/>
      <c r="HR32" s="300"/>
      <c r="HS32" s="300"/>
      <c r="HT32" s="300"/>
      <c r="HU32" s="300"/>
      <c r="HV32" s="300"/>
      <c r="HW32" s="300"/>
      <c r="HX32" s="300"/>
      <c r="HY32" s="300"/>
      <c r="HZ32" s="300"/>
      <c r="IA32" s="300"/>
      <c r="IB32" s="300"/>
      <c r="IC32" s="300"/>
      <c r="ID32" s="300"/>
      <c r="IE32" s="300"/>
      <c r="IF32" s="300"/>
      <c r="IG32" s="300"/>
      <c r="IH32" s="300"/>
      <c r="II32" s="300"/>
      <c r="IJ32" s="300"/>
      <c r="IK32" s="300"/>
      <c r="IL32" s="303"/>
      <c r="IM32" s="303"/>
      <c r="IN32" s="300"/>
      <c r="IO32" s="300"/>
      <c r="IP32" s="300"/>
      <c r="IQ32" s="300"/>
      <c r="IR32" s="300"/>
      <c r="IS32" s="300"/>
      <c r="IT32" s="300"/>
      <c r="IU32" s="300"/>
      <c r="IV32" s="300"/>
      <c r="IW32" s="300"/>
      <c r="IX32" s="300"/>
      <c r="IY32" s="300"/>
      <c r="IZ32" s="300"/>
      <c r="JA32" s="300"/>
      <c r="JB32" s="300"/>
      <c r="JC32" s="303"/>
      <c r="JD32" s="300"/>
      <c r="JE32" s="300"/>
      <c r="JF32" s="33"/>
      <c r="JG32" s="33"/>
      <c r="JH32" s="33"/>
      <c r="JI32" s="33"/>
      <c r="JJ32" s="33"/>
      <c r="JK32" s="33"/>
      <c r="JL32" s="33"/>
      <c r="JM32" s="33"/>
      <c r="JN32" s="33"/>
      <c r="JO32" s="33"/>
      <c r="JP32" s="33"/>
      <c r="JQ32" s="33"/>
      <c r="JR32" s="33"/>
      <c r="JS32" s="33"/>
      <c r="JT32" s="33"/>
      <c r="JU32" s="33"/>
      <c r="JV32" s="33"/>
      <c r="JW32" s="33"/>
      <c r="JX32" s="33"/>
      <c r="JY32" s="33"/>
      <c r="JZ32" s="33"/>
      <c r="KA32" s="33"/>
      <c r="KB32" s="33"/>
      <c r="KC32" s="33"/>
      <c r="KD32" s="33"/>
      <c r="KE32" s="33"/>
      <c r="KF32" s="33"/>
      <c r="KG32" s="33"/>
      <c r="KH32" s="33"/>
      <c r="KI32" s="33"/>
      <c r="KJ32" s="33"/>
      <c r="KK32" s="33"/>
    </row>
    <row r="33" spans="1:297" s="20" customFormat="1" ht="12.75" customHeight="1">
      <c r="A33" s="3"/>
      <c r="B33" s="3"/>
      <c r="C33" s="1"/>
      <c r="D33" s="826" t="s">
        <v>2165</v>
      </c>
      <c r="E33" s="827">
        <v>1</v>
      </c>
      <c r="F33" s="828">
        <f>'Part VI-Revenues &amp; Expenses'!$K$152</f>
        <v>0</v>
      </c>
      <c r="G33" s="828"/>
      <c r="H33" s="974"/>
      <c r="I33" s="510" t="str">
        <f>CONCATENATE("x ", F33," units = ")</f>
        <v xml:space="preserve">x 0 units = </v>
      </c>
      <c r="J33" s="829">
        <f>F33*H33</f>
        <v>0</v>
      </c>
      <c r="K33" s="13"/>
      <c r="L33" s="828">
        <f>'Part VI-Revenues &amp; Expenses'!$K$153</f>
        <v>0</v>
      </c>
      <c r="M33" s="828"/>
      <c r="N33" s="974"/>
      <c r="O33" s="510" t="str">
        <f>CONCATENATE("x ", L33," units = ")</f>
        <v xml:space="preserve">x 0 units = </v>
      </c>
      <c r="P33" s="829">
        <f>L33*N33</f>
        <v>0</v>
      </c>
      <c r="Q33" s="496"/>
      <c r="R33" s="2196"/>
      <c r="S33" s="2196"/>
      <c r="T33" s="288"/>
      <c r="W33" s="11"/>
      <c r="X33" s="301"/>
      <c r="Y33" s="301"/>
      <c r="Z33" s="302"/>
      <c r="AA33" s="301"/>
      <c r="AB33" s="304"/>
      <c r="AC33" s="305"/>
      <c r="AD33" s="305"/>
      <c r="AE33" s="305"/>
      <c r="AF33" s="305"/>
      <c r="AG33" s="305"/>
      <c r="AH33" s="305"/>
      <c r="AI33" s="554"/>
      <c r="AJ33" s="300"/>
      <c r="AK33" s="300"/>
      <c r="AL33" s="300"/>
      <c r="AM33" s="300"/>
      <c r="AN33" s="300"/>
      <c r="AO33" s="300"/>
      <c r="AP33" s="300"/>
      <c r="AQ33" s="300"/>
      <c r="AR33" s="300"/>
      <c r="AS33" s="300"/>
      <c r="AT33" s="300"/>
      <c r="AU33" s="300"/>
      <c r="AV33" s="300"/>
      <c r="AW33" s="300"/>
      <c r="AX33" s="300"/>
      <c r="AY33" s="300"/>
      <c r="AZ33" s="300"/>
      <c r="BA33" s="300"/>
      <c r="BB33" s="300"/>
      <c r="BC33" s="300"/>
      <c r="BD33" s="300"/>
      <c r="BE33" s="300"/>
      <c r="BF33" s="300"/>
      <c r="BG33" s="300"/>
      <c r="BH33" s="300"/>
      <c r="BI33" s="300"/>
      <c r="BJ33" s="300"/>
      <c r="BK33" s="300"/>
      <c r="BL33" s="300"/>
      <c r="BM33" s="300"/>
      <c r="BN33" s="300"/>
      <c r="BO33" s="300"/>
      <c r="BP33" s="300"/>
      <c r="BQ33" s="300"/>
      <c r="BR33" s="300"/>
      <c r="BS33" s="300"/>
      <c r="BT33" s="300"/>
      <c r="BU33" s="300"/>
      <c r="BV33" s="300"/>
      <c r="BW33" s="300"/>
      <c r="BX33" s="300"/>
      <c r="BY33" s="300"/>
      <c r="BZ33" s="300"/>
      <c r="CA33" s="300"/>
      <c r="CB33" s="300"/>
      <c r="CC33" s="300"/>
      <c r="CD33" s="300"/>
      <c r="CE33" s="300"/>
      <c r="CF33" s="300"/>
      <c r="CG33" s="300"/>
      <c r="CH33" s="300"/>
      <c r="CI33" s="300"/>
      <c r="CJ33" s="300"/>
      <c r="CK33" s="300"/>
      <c r="CL33" s="300"/>
      <c r="CM33" s="300"/>
      <c r="CN33" s="300"/>
      <c r="CO33" s="300"/>
      <c r="CP33" s="300"/>
      <c r="CQ33" s="300"/>
      <c r="CR33" s="300"/>
      <c r="CS33" s="300"/>
      <c r="CT33" s="300"/>
      <c r="CU33" s="300"/>
      <c r="CV33" s="300"/>
      <c r="CW33" s="300"/>
      <c r="CX33" s="300"/>
      <c r="CY33" s="300"/>
      <c r="CZ33" s="300"/>
      <c r="DA33" s="300"/>
      <c r="DB33" s="300"/>
      <c r="DC33" s="300"/>
      <c r="DD33" s="300"/>
      <c r="DE33" s="300"/>
      <c r="DF33" s="300"/>
      <c r="DG33" s="300"/>
      <c r="DH33" s="300"/>
      <c r="DI33" s="300"/>
      <c r="DJ33" s="300"/>
      <c r="DK33" s="300"/>
      <c r="DL33" s="300"/>
      <c r="DM33" s="300"/>
      <c r="DN33" s="300"/>
      <c r="DO33" s="300"/>
      <c r="DP33" s="300"/>
      <c r="DQ33" s="300"/>
      <c r="DR33" s="300"/>
      <c r="DS33" s="300"/>
      <c r="DT33" s="300"/>
      <c r="DU33" s="300"/>
      <c r="DV33" s="300"/>
      <c r="DW33" s="300"/>
      <c r="DX33" s="300"/>
      <c r="DY33" s="300"/>
      <c r="DZ33" s="300"/>
      <c r="EA33" s="300"/>
      <c r="EB33" s="300"/>
      <c r="EC33" s="300"/>
      <c r="ED33" s="300"/>
      <c r="EE33" s="300"/>
      <c r="EF33" s="300"/>
      <c r="EG33" s="300"/>
      <c r="EH33" s="300"/>
      <c r="EI33" s="300"/>
      <c r="EJ33" s="300"/>
      <c r="EK33" s="300"/>
      <c r="EL33" s="300"/>
      <c r="EM33" s="300"/>
      <c r="EN33" s="300"/>
      <c r="EO33" s="300"/>
      <c r="EP33" s="300"/>
      <c r="EQ33" s="300"/>
      <c r="ER33" s="300"/>
      <c r="ES33" s="300"/>
      <c r="ET33" s="300"/>
      <c r="EU33" s="300"/>
      <c r="EV33" s="300"/>
      <c r="EW33" s="300"/>
      <c r="EX33" s="300"/>
      <c r="EY33" s="300"/>
      <c r="EZ33" s="300"/>
      <c r="FA33" s="300"/>
      <c r="FB33" s="300"/>
      <c r="FC33" s="300"/>
      <c r="FD33" s="300"/>
      <c r="FE33" s="300"/>
      <c r="FF33" s="300"/>
      <c r="FG33" s="300"/>
      <c r="FH33" s="300"/>
      <c r="FI33" s="300"/>
      <c r="FJ33" s="300"/>
      <c r="FK33" s="300"/>
      <c r="FL33" s="300"/>
      <c r="FM33" s="300"/>
      <c r="FN33" s="300"/>
      <c r="FO33" s="300"/>
      <c r="FP33" s="300"/>
      <c r="FQ33" s="300"/>
      <c r="FR33" s="300"/>
      <c r="FS33" s="300"/>
      <c r="FT33" s="300"/>
      <c r="FU33" s="300"/>
      <c r="FV33" s="300"/>
      <c r="FW33" s="300"/>
      <c r="FX33" s="300"/>
      <c r="FY33" s="300"/>
      <c r="FZ33" s="300"/>
      <c r="GA33" s="300"/>
      <c r="GB33" s="300"/>
      <c r="GC33" s="300"/>
      <c r="GD33" s="300"/>
      <c r="GE33" s="300"/>
      <c r="GF33" s="300"/>
      <c r="GG33" s="300"/>
      <c r="GH33" s="300"/>
      <c r="GI33" s="300"/>
      <c r="GJ33" s="300"/>
      <c r="GK33" s="300"/>
      <c r="GL33" s="300"/>
      <c r="GM33" s="300"/>
      <c r="GN33" s="300"/>
      <c r="GO33" s="300"/>
      <c r="GP33" s="300"/>
      <c r="GQ33" s="300"/>
      <c r="GR33" s="300"/>
      <c r="GS33" s="300"/>
      <c r="GT33" s="300"/>
      <c r="GU33" s="300"/>
      <c r="GV33" s="300"/>
      <c r="GW33" s="300"/>
      <c r="GX33" s="300"/>
      <c r="GY33" s="300"/>
      <c r="GZ33" s="300"/>
      <c r="HA33" s="300"/>
      <c r="HB33" s="300"/>
      <c r="HC33" s="300"/>
      <c r="HD33" s="300"/>
      <c r="HE33" s="300"/>
      <c r="HF33" s="300"/>
      <c r="HG33" s="300"/>
      <c r="HH33" s="300"/>
      <c r="HI33" s="300"/>
      <c r="HJ33" s="300"/>
      <c r="HK33" s="300"/>
      <c r="HL33" s="300"/>
      <c r="HM33" s="300"/>
      <c r="HN33" s="300"/>
      <c r="HO33" s="300"/>
      <c r="HP33" s="300"/>
      <c r="HQ33" s="300"/>
      <c r="HR33" s="300"/>
      <c r="HS33" s="300"/>
      <c r="HT33" s="300"/>
      <c r="HU33" s="300"/>
      <c r="HV33" s="300"/>
      <c r="HW33" s="300"/>
      <c r="HX33" s="300"/>
      <c r="HY33" s="300"/>
      <c r="HZ33" s="300"/>
      <c r="IA33" s="300"/>
      <c r="IB33" s="300"/>
      <c r="IC33" s="300"/>
      <c r="ID33" s="300"/>
      <c r="IE33" s="300"/>
      <c r="IF33" s="300"/>
      <c r="IG33" s="300"/>
      <c r="IH33" s="300"/>
      <c r="II33" s="300"/>
      <c r="IJ33" s="300"/>
      <c r="IK33" s="300"/>
      <c r="IL33" s="303"/>
      <c r="IM33" s="303"/>
      <c r="IN33" s="300"/>
      <c r="IO33" s="300"/>
      <c r="IP33" s="300"/>
      <c r="IQ33" s="300"/>
      <c r="IR33" s="300"/>
      <c r="IS33" s="300"/>
      <c r="IT33" s="300"/>
      <c r="IU33" s="300"/>
      <c r="IV33" s="300"/>
      <c r="IW33" s="300"/>
      <c r="IX33" s="300"/>
      <c r="IY33" s="300"/>
      <c r="IZ33" s="300"/>
      <c r="JA33" s="300"/>
      <c r="JB33" s="300"/>
      <c r="JC33" s="303"/>
      <c r="JD33" s="300"/>
      <c r="JE33" s="300"/>
      <c r="JF33" s="33"/>
      <c r="JG33" s="33"/>
      <c r="JH33" s="33"/>
      <c r="JI33" s="33"/>
      <c r="JJ33" s="33"/>
      <c r="JK33" s="33"/>
      <c r="JL33" s="33"/>
      <c r="JM33" s="33"/>
      <c r="JN33" s="33"/>
      <c r="JO33" s="33"/>
      <c r="JP33" s="33"/>
      <c r="JQ33" s="33"/>
      <c r="JR33" s="33"/>
      <c r="JS33" s="33"/>
      <c r="JT33" s="33"/>
      <c r="JU33" s="33"/>
      <c r="JV33" s="33"/>
      <c r="JW33" s="33"/>
      <c r="JX33" s="33"/>
      <c r="JY33" s="33"/>
      <c r="JZ33" s="33"/>
      <c r="KA33" s="33"/>
      <c r="KB33" s="33"/>
      <c r="KC33" s="33"/>
      <c r="KD33" s="33"/>
      <c r="KE33" s="33"/>
      <c r="KF33" s="33"/>
      <c r="KG33" s="33"/>
      <c r="KH33" s="33"/>
      <c r="KI33" s="33"/>
      <c r="KJ33" s="33"/>
      <c r="KK33" s="33"/>
    </row>
    <row r="34" spans="1:297" s="20" customFormat="1" ht="12.75" customHeight="1">
      <c r="A34" s="3"/>
      <c r="B34" s="3"/>
      <c r="C34" s="1"/>
      <c r="D34" s="826" t="s">
        <v>2166</v>
      </c>
      <c r="E34" s="827">
        <v>2</v>
      </c>
      <c r="F34" s="828">
        <f>'Part VI-Revenues &amp; Expenses'!$L$152</f>
        <v>0</v>
      </c>
      <c r="G34" s="828"/>
      <c r="H34" s="974"/>
      <c r="I34" s="510" t="str">
        <f>CONCATENATE("x ", F34," units = ")</f>
        <v xml:space="preserve">x 0 units = </v>
      </c>
      <c r="J34" s="829">
        <f>F34*H34</f>
        <v>0</v>
      </c>
      <c r="K34" s="13"/>
      <c r="L34" s="828">
        <f>'Part VI-Revenues &amp; Expenses'!$L$153</f>
        <v>0</v>
      </c>
      <c r="M34" s="828"/>
      <c r="N34" s="974"/>
      <c r="O34" s="510" t="str">
        <f>CONCATENATE("x ", L34," units = ")</f>
        <v xml:space="preserve">x 0 units = </v>
      </c>
      <c r="P34" s="829">
        <f>L34*N34</f>
        <v>0</v>
      </c>
      <c r="R34" s="2196"/>
      <c r="S34" s="2196"/>
      <c r="T34" s="288"/>
      <c r="W34" s="11"/>
      <c r="X34" s="301"/>
      <c r="Y34" s="301"/>
      <c r="Z34" s="302"/>
      <c r="AA34" s="301"/>
      <c r="AB34" s="304"/>
      <c r="AC34" s="305"/>
      <c r="AD34" s="305"/>
      <c r="AE34" s="305"/>
      <c r="AF34" s="305"/>
      <c r="AG34" s="305"/>
      <c r="AH34" s="305"/>
      <c r="AI34" s="554"/>
      <c r="AJ34" s="300"/>
      <c r="AK34" s="300"/>
      <c r="AL34" s="300"/>
      <c r="AM34" s="300"/>
      <c r="AN34" s="300"/>
      <c r="AO34" s="300"/>
      <c r="AP34" s="300"/>
      <c r="AQ34" s="300"/>
      <c r="AR34" s="300"/>
      <c r="AS34" s="300"/>
      <c r="AT34" s="300"/>
      <c r="AU34" s="300"/>
      <c r="AV34" s="300"/>
      <c r="AW34" s="300"/>
      <c r="AX34" s="300"/>
      <c r="AY34" s="300"/>
      <c r="AZ34" s="300"/>
      <c r="BA34" s="300"/>
      <c r="BB34" s="300"/>
      <c r="BC34" s="300"/>
      <c r="BD34" s="300"/>
      <c r="BE34" s="300"/>
      <c r="BF34" s="300"/>
      <c r="BG34" s="300"/>
      <c r="BH34" s="300"/>
      <c r="BI34" s="300"/>
      <c r="BJ34" s="300"/>
      <c r="BK34" s="300"/>
      <c r="BL34" s="300"/>
      <c r="BM34" s="300"/>
      <c r="BN34" s="300"/>
      <c r="BO34" s="300"/>
      <c r="BP34" s="300"/>
      <c r="BQ34" s="300"/>
      <c r="BR34" s="300"/>
      <c r="BS34" s="300"/>
      <c r="BT34" s="300"/>
      <c r="BU34" s="300"/>
      <c r="BV34" s="300"/>
      <c r="BW34" s="300"/>
      <c r="BX34" s="300"/>
      <c r="BY34" s="300"/>
      <c r="BZ34" s="300"/>
      <c r="CA34" s="300"/>
      <c r="CB34" s="300"/>
      <c r="CC34" s="300"/>
      <c r="CD34" s="300"/>
      <c r="CE34" s="300"/>
      <c r="CF34" s="300"/>
      <c r="CG34" s="300"/>
      <c r="CH34" s="300"/>
      <c r="CI34" s="300"/>
      <c r="CJ34" s="300"/>
      <c r="CK34" s="300"/>
      <c r="CL34" s="300"/>
      <c r="CM34" s="300"/>
      <c r="CN34" s="300"/>
      <c r="CO34" s="300"/>
      <c r="CP34" s="300"/>
      <c r="CQ34" s="300"/>
      <c r="CR34" s="300"/>
      <c r="CS34" s="300"/>
      <c r="CT34" s="300"/>
      <c r="CU34" s="300"/>
      <c r="CV34" s="300"/>
      <c r="CW34" s="300"/>
      <c r="CX34" s="300"/>
      <c r="CY34" s="300"/>
      <c r="CZ34" s="300"/>
      <c r="DA34" s="300"/>
      <c r="DB34" s="300"/>
      <c r="DC34" s="300"/>
      <c r="DD34" s="300"/>
      <c r="DE34" s="300"/>
      <c r="DF34" s="300"/>
      <c r="DG34" s="300"/>
      <c r="DH34" s="300"/>
      <c r="DI34" s="300"/>
      <c r="DJ34" s="300"/>
      <c r="DK34" s="300"/>
      <c r="DL34" s="300"/>
      <c r="DM34" s="300"/>
      <c r="DN34" s="300"/>
      <c r="DO34" s="300"/>
      <c r="DP34" s="300"/>
      <c r="DQ34" s="300"/>
      <c r="DR34" s="300"/>
      <c r="DS34" s="300"/>
      <c r="DT34" s="300"/>
      <c r="DU34" s="300"/>
      <c r="DV34" s="300"/>
      <c r="DW34" s="300"/>
      <c r="DX34" s="300"/>
      <c r="DY34" s="300"/>
      <c r="DZ34" s="300"/>
      <c r="EA34" s="300"/>
      <c r="EB34" s="300"/>
      <c r="EC34" s="300"/>
      <c r="ED34" s="300"/>
      <c r="EE34" s="300"/>
      <c r="EF34" s="300"/>
      <c r="EG34" s="300"/>
      <c r="EH34" s="300"/>
      <c r="EI34" s="300"/>
      <c r="EJ34" s="300"/>
      <c r="EK34" s="300"/>
      <c r="EL34" s="300"/>
      <c r="EM34" s="300"/>
      <c r="EN34" s="300"/>
      <c r="EO34" s="300"/>
      <c r="EP34" s="300"/>
      <c r="EQ34" s="300"/>
      <c r="ER34" s="300"/>
      <c r="ES34" s="300"/>
      <c r="ET34" s="300"/>
      <c r="EU34" s="300"/>
      <c r="EV34" s="300"/>
      <c r="EW34" s="300"/>
      <c r="EX34" s="300"/>
      <c r="EY34" s="300"/>
      <c r="EZ34" s="300"/>
      <c r="FA34" s="300"/>
      <c r="FB34" s="300"/>
      <c r="FC34" s="300"/>
      <c r="FD34" s="300"/>
      <c r="FE34" s="300"/>
      <c r="FF34" s="300"/>
      <c r="FG34" s="300"/>
      <c r="FH34" s="300"/>
      <c r="FI34" s="300"/>
      <c r="FJ34" s="300"/>
      <c r="FK34" s="300"/>
      <c r="FL34" s="300"/>
      <c r="FM34" s="300"/>
      <c r="FN34" s="300"/>
      <c r="FO34" s="300"/>
      <c r="FP34" s="300"/>
      <c r="FQ34" s="300"/>
      <c r="FR34" s="300"/>
      <c r="FS34" s="300"/>
      <c r="FT34" s="300"/>
      <c r="FU34" s="300"/>
      <c r="FV34" s="300"/>
      <c r="FW34" s="300"/>
      <c r="FX34" s="300"/>
      <c r="FY34" s="300"/>
      <c r="FZ34" s="300"/>
      <c r="GA34" s="300"/>
      <c r="GB34" s="300"/>
      <c r="GC34" s="300"/>
      <c r="GD34" s="300"/>
      <c r="GE34" s="300"/>
      <c r="GF34" s="300"/>
      <c r="GG34" s="300"/>
      <c r="GH34" s="300"/>
      <c r="GI34" s="300"/>
      <c r="GJ34" s="300"/>
      <c r="GK34" s="300"/>
      <c r="GL34" s="300"/>
      <c r="GM34" s="300"/>
      <c r="GN34" s="300"/>
      <c r="GO34" s="300"/>
      <c r="GP34" s="300"/>
      <c r="GQ34" s="300"/>
      <c r="GR34" s="300"/>
      <c r="GS34" s="300"/>
      <c r="GT34" s="300"/>
      <c r="GU34" s="300"/>
      <c r="GV34" s="300"/>
      <c r="GW34" s="300"/>
      <c r="GX34" s="300"/>
      <c r="GY34" s="300"/>
      <c r="GZ34" s="300"/>
      <c r="HA34" s="300"/>
      <c r="HB34" s="300"/>
      <c r="HC34" s="300"/>
      <c r="HD34" s="300"/>
      <c r="HE34" s="300"/>
      <c r="HF34" s="300"/>
      <c r="HG34" s="300"/>
      <c r="HH34" s="300"/>
      <c r="HI34" s="300"/>
      <c r="HJ34" s="300"/>
      <c r="HK34" s="300"/>
      <c r="HL34" s="300"/>
      <c r="HM34" s="300"/>
      <c r="HN34" s="300"/>
      <c r="HO34" s="300"/>
      <c r="HP34" s="300"/>
      <c r="HQ34" s="300"/>
      <c r="HR34" s="300"/>
      <c r="HS34" s="300"/>
      <c r="HT34" s="300"/>
      <c r="HU34" s="300"/>
      <c r="HV34" s="300"/>
      <c r="HW34" s="300"/>
      <c r="HX34" s="300"/>
      <c r="HY34" s="300"/>
      <c r="HZ34" s="300"/>
      <c r="IA34" s="300"/>
      <c r="IB34" s="300"/>
      <c r="IC34" s="300"/>
      <c r="ID34" s="300"/>
      <c r="IE34" s="300"/>
      <c r="IF34" s="300"/>
      <c r="IG34" s="300"/>
      <c r="IH34" s="300"/>
      <c r="II34" s="300"/>
      <c r="IJ34" s="300"/>
      <c r="IK34" s="300"/>
      <c r="IL34" s="303"/>
      <c r="IM34" s="303"/>
      <c r="IN34" s="300"/>
      <c r="IO34" s="300"/>
      <c r="IP34" s="300"/>
      <c r="IQ34" s="300"/>
      <c r="IR34" s="300"/>
      <c r="IS34" s="300"/>
      <c r="IT34" s="300"/>
      <c r="IU34" s="300"/>
      <c r="IV34" s="300"/>
      <c r="IW34" s="300"/>
      <c r="IX34" s="300"/>
      <c r="IY34" s="300"/>
      <c r="IZ34" s="300"/>
      <c r="JA34" s="300"/>
      <c r="JB34" s="300"/>
      <c r="JC34" s="303"/>
      <c r="JD34" s="300"/>
      <c r="JE34" s="300"/>
      <c r="JF34" s="33"/>
      <c r="JG34" s="33"/>
      <c r="JH34" s="33"/>
      <c r="JI34" s="33"/>
      <c r="JJ34" s="33"/>
      <c r="JK34" s="33"/>
      <c r="JL34" s="33"/>
      <c r="JM34" s="33"/>
      <c r="JN34" s="33"/>
      <c r="JO34" s="33"/>
      <c r="JP34" s="33"/>
      <c r="JQ34" s="33"/>
      <c r="JR34" s="33"/>
      <c r="JS34" s="33"/>
      <c r="JT34" s="33"/>
      <c r="JU34" s="33"/>
      <c r="JV34" s="33"/>
      <c r="JW34" s="33"/>
      <c r="JX34" s="33"/>
      <c r="JY34" s="33"/>
      <c r="JZ34" s="33"/>
      <c r="KA34" s="33"/>
      <c r="KB34" s="33"/>
      <c r="KC34" s="33"/>
      <c r="KD34" s="33"/>
      <c r="KE34" s="33"/>
      <c r="KF34" s="33"/>
      <c r="KG34" s="33"/>
      <c r="KH34" s="33"/>
      <c r="KI34" s="33"/>
      <c r="KJ34" s="33"/>
      <c r="KK34" s="33"/>
    </row>
    <row r="35" spans="1:297" s="20" customFormat="1" ht="12.75" customHeight="1">
      <c r="A35" s="3"/>
      <c r="B35" s="3"/>
      <c r="C35" s="1"/>
      <c r="D35" s="826" t="s">
        <v>2167</v>
      </c>
      <c r="E35" s="827">
        <v>3</v>
      </c>
      <c r="F35" s="828">
        <f>'Part VI-Revenues &amp; Expenses'!$M$152</f>
        <v>0</v>
      </c>
      <c r="G35" s="828"/>
      <c r="H35" s="974"/>
      <c r="I35" s="510" t="str">
        <f>CONCATENATE("x ", F35," units = ")</f>
        <v xml:space="preserve">x 0 units = </v>
      </c>
      <c r="J35" s="829">
        <f>F35*H35</f>
        <v>0</v>
      </c>
      <c r="K35" s="13"/>
      <c r="L35" s="828">
        <f>'Part VI-Revenues &amp; Expenses'!$M$153</f>
        <v>0</v>
      </c>
      <c r="M35" s="828"/>
      <c r="N35" s="974"/>
      <c r="O35" s="510" t="str">
        <f>CONCATENATE("x ", L35," units = ")</f>
        <v xml:space="preserve">x 0 units = </v>
      </c>
      <c r="P35" s="829">
        <f>L35*N35</f>
        <v>0</v>
      </c>
      <c r="R35" s="2196"/>
      <c r="S35" s="2196"/>
      <c r="T35" s="288"/>
      <c r="W35" s="11"/>
      <c r="X35" s="301"/>
      <c r="Y35" s="301"/>
      <c r="Z35" s="302"/>
      <c r="AA35" s="301"/>
      <c r="AB35" s="304"/>
      <c r="AC35" s="305"/>
      <c r="AD35" s="305"/>
      <c r="AE35" s="305"/>
      <c r="AF35" s="305"/>
      <c r="AG35" s="305"/>
      <c r="AH35" s="305"/>
      <c r="AI35" s="554"/>
      <c r="AJ35" s="300"/>
      <c r="AK35" s="300"/>
      <c r="AL35" s="300"/>
      <c r="AM35" s="300"/>
      <c r="AN35" s="300"/>
      <c r="AO35" s="300"/>
      <c r="AP35" s="300"/>
      <c r="AQ35" s="300"/>
      <c r="AR35" s="300"/>
      <c r="AS35" s="300"/>
      <c r="AT35" s="300"/>
      <c r="AU35" s="300"/>
      <c r="AV35" s="300"/>
      <c r="AW35" s="300"/>
      <c r="AX35" s="300"/>
      <c r="AY35" s="300"/>
      <c r="AZ35" s="300"/>
      <c r="BA35" s="300"/>
      <c r="BB35" s="300"/>
      <c r="BC35" s="300"/>
      <c r="BD35" s="300"/>
      <c r="BE35" s="300"/>
      <c r="BF35" s="300"/>
      <c r="BG35" s="300"/>
      <c r="BH35" s="300"/>
      <c r="BI35" s="300"/>
      <c r="BJ35" s="300"/>
      <c r="BK35" s="300"/>
      <c r="BL35" s="300"/>
      <c r="BM35" s="300"/>
      <c r="BN35" s="300"/>
      <c r="BO35" s="300"/>
      <c r="BP35" s="300"/>
      <c r="BQ35" s="300"/>
      <c r="BR35" s="300"/>
      <c r="BS35" s="300"/>
      <c r="BT35" s="300"/>
      <c r="BU35" s="300"/>
      <c r="BV35" s="300"/>
      <c r="BW35" s="300"/>
      <c r="BX35" s="300"/>
      <c r="BY35" s="300"/>
      <c r="BZ35" s="300"/>
      <c r="CA35" s="300"/>
      <c r="CB35" s="300"/>
      <c r="CC35" s="300"/>
      <c r="CD35" s="300"/>
      <c r="CE35" s="300"/>
      <c r="CF35" s="300"/>
      <c r="CG35" s="300"/>
      <c r="CH35" s="300"/>
      <c r="CI35" s="300"/>
      <c r="CJ35" s="300"/>
      <c r="CK35" s="300"/>
      <c r="CL35" s="300"/>
      <c r="CM35" s="300"/>
      <c r="CN35" s="300"/>
      <c r="CO35" s="300"/>
      <c r="CP35" s="300"/>
      <c r="CQ35" s="300"/>
      <c r="CR35" s="300"/>
      <c r="CS35" s="300"/>
      <c r="CT35" s="300"/>
      <c r="CU35" s="300"/>
      <c r="CV35" s="300"/>
      <c r="CW35" s="300"/>
      <c r="CX35" s="300"/>
      <c r="CY35" s="300"/>
      <c r="CZ35" s="300"/>
      <c r="DA35" s="300"/>
      <c r="DB35" s="300"/>
      <c r="DC35" s="300"/>
      <c r="DD35" s="300"/>
      <c r="DE35" s="300"/>
      <c r="DF35" s="300"/>
      <c r="DG35" s="300"/>
      <c r="DH35" s="300"/>
      <c r="DI35" s="300"/>
      <c r="DJ35" s="300"/>
      <c r="DK35" s="300"/>
      <c r="DL35" s="300"/>
      <c r="DM35" s="300"/>
      <c r="DN35" s="300"/>
      <c r="DO35" s="300"/>
      <c r="DP35" s="300"/>
      <c r="DQ35" s="300"/>
      <c r="DR35" s="300"/>
      <c r="DS35" s="300"/>
      <c r="DT35" s="300"/>
      <c r="DU35" s="300"/>
      <c r="DV35" s="300"/>
      <c r="DW35" s="300"/>
      <c r="DX35" s="300"/>
      <c r="DY35" s="300"/>
      <c r="DZ35" s="300"/>
      <c r="EA35" s="300"/>
      <c r="EB35" s="300"/>
      <c r="EC35" s="300"/>
      <c r="ED35" s="300"/>
      <c r="EE35" s="300"/>
      <c r="EF35" s="300"/>
      <c r="EG35" s="300"/>
      <c r="EH35" s="300"/>
      <c r="EI35" s="300"/>
      <c r="EJ35" s="300"/>
      <c r="EK35" s="300"/>
      <c r="EL35" s="300"/>
      <c r="EM35" s="300"/>
      <c r="EN35" s="300"/>
      <c r="EO35" s="300"/>
      <c r="EP35" s="300"/>
      <c r="EQ35" s="300"/>
      <c r="ER35" s="300"/>
      <c r="ES35" s="300"/>
      <c r="ET35" s="300"/>
      <c r="EU35" s="300"/>
      <c r="EV35" s="300"/>
      <c r="EW35" s="300"/>
      <c r="EX35" s="300"/>
      <c r="EY35" s="300"/>
      <c r="EZ35" s="300"/>
      <c r="FA35" s="300"/>
      <c r="FB35" s="300"/>
      <c r="FC35" s="300"/>
      <c r="FD35" s="300"/>
      <c r="FE35" s="300"/>
      <c r="FF35" s="300"/>
      <c r="FG35" s="300"/>
      <c r="FH35" s="300"/>
      <c r="FI35" s="300"/>
      <c r="FJ35" s="300"/>
      <c r="FK35" s="300"/>
      <c r="FL35" s="300"/>
      <c r="FM35" s="300"/>
      <c r="FN35" s="300"/>
      <c r="FO35" s="300"/>
      <c r="FP35" s="300"/>
      <c r="FQ35" s="300"/>
      <c r="FR35" s="300"/>
      <c r="FS35" s="300"/>
      <c r="FT35" s="300"/>
      <c r="FU35" s="300"/>
      <c r="FV35" s="300"/>
      <c r="FW35" s="300"/>
      <c r="FX35" s="300"/>
      <c r="FY35" s="300"/>
      <c r="FZ35" s="300"/>
      <c r="GA35" s="300"/>
      <c r="GB35" s="300"/>
      <c r="GC35" s="300"/>
      <c r="GD35" s="300"/>
      <c r="GE35" s="300"/>
      <c r="GF35" s="300"/>
      <c r="GG35" s="300"/>
      <c r="GH35" s="300"/>
      <c r="GI35" s="300"/>
      <c r="GJ35" s="300"/>
      <c r="GK35" s="300"/>
      <c r="GL35" s="300"/>
      <c r="GM35" s="300"/>
      <c r="GN35" s="300"/>
      <c r="GO35" s="300"/>
      <c r="GP35" s="300"/>
      <c r="GQ35" s="300"/>
      <c r="GR35" s="300"/>
      <c r="GS35" s="300"/>
      <c r="GT35" s="300"/>
      <c r="GU35" s="300"/>
      <c r="GV35" s="300"/>
      <c r="GW35" s="300"/>
      <c r="GX35" s="300"/>
      <c r="GY35" s="300"/>
      <c r="GZ35" s="300"/>
      <c r="HA35" s="300"/>
      <c r="HB35" s="300"/>
      <c r="HC35" s="300"/>
      <c r="HD35" s="300"/>
      <c r="HE35" s="300"/>
      <c r="HF35" s="300"/>
      <c r="HG35" s="300"/>
      <c r="HH35" s="300"/>
      <c r="HI35" s="300"/>
      <c r="HJ35" s="300"/>
      <c r="HK35" s="300"/>
      <c r="HL35" s="300"/>
      <c r="HM35" s="300"/>
      <c r="HN35" s="300"/>
      <c r="HO35" s="300"/>
      <c r="HP35" s="300"/>
      <c r="HQ35" s="300"/>
      <c r="HR35" s="300"/>
      <c r="HS35" s="300"/>
      <c r="HT35" s="300"/>
      <c r="HU35" s="300"/>
      <c r="HV35" s="300"/>
      <c r="HW35" s="300"/>
      <c r="HX35" s="300"/>
      <c r="HY35" s="300"/>
      <c r="HZ35" s="300"/>
      <c r="IA35" s="300"/>
      <c r="IB35" s="300"/>
      <c r="IC35" s="300"/>
      <c r="ID35" s="300"/>
      <c r="IE35" s="300"/>
      <c r="IF35" s="300"/>
      <c r="IG35" s="300"/>
      <c r="IH35" s="300"/>
      <c r="II35" s="300"/>
      <c r="IJ35" s="300"/>
      <c r="IK35" s="300"/>
      <c r="IL35" s="303"/>
      <c r="IM35" s="303"/>
      <c r="IN35" s="300"/>
      <c r="IO35" s="300"/>
      <c r="IP35" s="300"/>
      <c r="IQ35" s="300"/>
      <c r="IR35" s="300"/>
      <c r="IS35" s="300"/>
      <c r="IT35" s="300"/>
      <c r="IU35" s="300"/>
      <c r="IV35" s="300"/>
      <c r="IW35" s="300"/>
      <c r="IX35" s="300"/>
      <c r="IY35" s="300"/>
      <c r="IZ35" s="300"/>
      <c r="JA35" s="300"/>
      <c r="JB35" s="300"/>
      <c r="JC35" s="303"/>
      <c r="JD35" s="300"/>
      <c r="JE35" s="300"/>
      <c r="JF35" s="33"/>
      <c r="JG35" s="33"/>
      <c r="JH35" s="33"/>
      <c r="JI35" s="33"/>
      <c r="JJ35" s="33"/>
      <c r="JK35" s="33"/>
      <c r="JL35" s="33"/>
      <c r="JM35" s="33"/>
      <c r="JN35" s="33"/>
      <c r="JO35" s="33"/>
      <c r="JP35" s="33"/>
      <c r="JQ35" s="33"/>
      <c r="JR35" s="33"/>
      <c r="JS35" s="33"/>
      <c r="JT35" s="33"/>
      <c r="JU35" s="33"/>
      <c r="JV35" s="33"/>
      <c r="JW35" s="33"/>
      <c r="JX35" s="33"/>
      <c r="JY35" s="33"/>
      <c r="JZ35" s="33"/>
      <c r="KA35" s="33"/>
      <c r="KB35" s="33"/>
      <c r="KC35" s="33"/>
      <c r="KD35" s="33"/>
      <c r="KE35" s="33"/>
      <c r="KF35" s="33"/>
      <c r="KG35" s="33"/>
      <c r="KH35" s="33"/>
      <c r="KI35" s="33"/>
      <c r="KJ35" s="33"/>
      <c r="KK35" s="33"/>
    </row>
    <row r="36" spans="1:297" s="20" customFormat="1" ht="12.75" customHeight="1">
      <c r="A36" s="3"/>
      <c r="B36" s="3"/>
      <c r="C36" s="1"/>
      <c r="D36" s="830" t="s">
        <v>2168</v>
      </c>
      <c r="E36" s="827">
        <v>4</v>
      </c>
      <c r="F36" s="828">
        <f>'Part VI-Revenues &amp; Expenses'!$N$152</f>
        <v>0</v>
      </c>
      <c r="G36" s="828"/>
      <c r="H36" s="974"/>
      <c r="I36" s="510" t="str">
        <f>CONCATENATE("x ", F36," units = ")</f>
        <v xml:space="preserve">x 0 units = </v>
      </c>
      <c r="J36" s="829">
        <f>F36*H36</f>
        <v>0</v>
      </c>
      <c r="K36" s="13"/>
      <c r="L36" s="828">
        <f>'Part VI-Revenues &amp; Expenses'!$N$153</f>
        <v>0</v>
      </c>
      <c r="M36" s="828"/>
      <c r="N36" s="974"/>
      <c r="O36" s="510" t="str">
        <f>CONCATENATE("x ", L36," units = ")</f>
        <v xml:space="preserve">x 0 units = </v>
      </c>
      <c r="P36" s="829">
        <f>L36*N36</f>
        <v>0</v>
      </c>
      <c r="Q36" s="496"/>
      <c r="R36" s="2196"/>
      <c r="S36" s="2196"/>
      <c r="T36" s="288"/>
      <c r="W36" s="11"/>
      <c r="X36" s="301"/>
      <c r="Y36" s="301"/>
      <c r="Z36" s="302"/>
      <c r="AA36" s="301"/>
      <c r="AB36" s="304"/>
      <c r="AC36" s="305"/>
      <c r="AD36" s="305"/>
      <c r="AE36" s="305"/>
      <c r="AF36" s="305"/>
      <c r="AG36" s="305"/>
      <c r="AH36" s="305"/>
      <c r="AI36" s="554"/>
      <c r="AJ36" s="300"/>
      <c r="AK36" s="300"/>
      <c r="AL36" s="300"/>
      <c r="AM36" s="300"/>
      <c r="AN36" s="300"/>
      <c r="AO36" s="300"/>
      <c r="AP36" s="300"/>
      <c r="AQ36" s="300"/>
      <c r="AR36" s="300"/>
      <c r="AS36" s="300"/>
      <c r="AT36" s="300"/>
      <c r="AU36" s="300"/>
      <c r="AV36" s="300"/>
      <c r="AW36" s="300"/>
      <c r="AX36" s="300"/>
      <c r="AY36" s="300"/>
      <c r="AZ36" s="300"/>
      <c r="BA36" s="300"/>
      <c r="BB36" s="300"/>
      <c r="BC36" s="300"/>
      <c r="BD36" s="300"/>
      <c r="BE36" s="300"/>
      <c r="BF36" s="300"/>
      <c r="BG36" s="300"/>
      <c r="BH36" s="300"/>
      <c r="BI36" s="300"/>
      <c r="BJ36" s="300"/>
      <c r="BK36" s="300"/>
      <c r="BL36" s="300"/>
      <c r="BM36" s="300"/>
      <c r="BN36" s="300"/>
      <c r="BO36" s="300"/>
      <c r="BP36" s="300"/>
      <c r="BQ36" s="300"/>
      <c r="BR36" s="300"/>
      <c r="BS36" s="300"/>
      <c r="BT36" s="300"/>
      <c r="BU36" s="300"/>
      <c r="BV36" s="300"/>
      <c r="BW36" s="300"/>
      <c r="BX36" s="300"/>
      <c r="BY36" s="300"/>
      <c r="BZ36" s="300"/>
      <c r="CA36" s="300"/>
      <c r="CB36" s="300"/>
      <c r="CC36" s="300"/>
      <c r="CD36" s="300"/>
      <c r="CE36" s="300"/>
      <c r="CF36" s="300"/>
      <c r="CG36" s="300"/>
      <c r="CH36" s="300"/>
      <c r="CI36" s="300"/>
      <c r="CJ36" s="300"/>
      <c r="CK36" s="300"/>
      <c r="CL36" s="300"/>
      <c r="CM36" s="300"/>
      <c r="CN36" s="300"/>
      <c r="CO36" s="300"/>
      <c r="CP36" s="300"/>
      <c r="CQ36" s="300"/>
      <c r="CR36" s="300"/>
      <c r="CS36" s="300"/>
      <c r="CT36" s="300"/>
      <c r="CU36" s="300"/>
      <c r="CV36" s="300"/>
      <c r="CW36" s="300"/>
      <c r="CX36" s="300"/>
      <c r="CY36" s="300"/>
      <c r="CZ36" s="300"/>
      <c r="DA36" s="300"/>
      <c r="DB36" s="300"/>
      <c r="DC36" s="300"/>
      <c r="DD36" s="300"/>
      <c r="DE36" s="300"/>
      <c r="DF36" s="300"/>
      <c r="DG36" s="300"/>
      <c r="DH36" s="300"/>
      <c r="DI36" s="300"/>
      <c r="DJ36" s="300"/>
      <c r="DK36" s="300"/>
      <c r="DL36" s="300"/>
      <c r="DM36" s="300"/>
      <c r="DN36" s="300"/>
      <c r="DO36" s="300"/>
      <c r="DP36" s="300"/>
      <c r="DQ36" s="300"/>
      <c r="DR36" s="300"/>
      <c r="DS36" s="300"/>
      <c r="DT36" s="300"/>
      <c r="DU36" s="300"/>
      <c r="DV36" s="300"/>
      <c r="DW36" s="300"/>
      <c r="DX36" s="300"/>
      <c r="DY36" s="300"/>
      <c r="DZ36" s="300"/>
      <c r="EA36" s="300"/>
      <c r="EB36" s="300"/>
      <c r="EC36" s="300"/>
      <c r="ED36" s="300"/>
      <c r="EE36" s="300"/>
      <c r="EF36" s="300"/>
      <c r="EG36" s="300"/>
      <c r="EH36" s="300"/>
      <c r="EI36" s="300"/>
      <c r="EJ36" s="300"/>
      <c r="EK36" s="300"/>
      <c r="EL36" s="300"/>
      <c r="EM36" s="300"/>
      <c r="EN36" s="300"/>
      <c r="EO36" s="300"/>
      <c r="EP36" s="300"/>
      <c r="EQ36" s="300"/>
      <c r="ER36" s="300"/>
      <c r="ES36" s="300"/>
      <c r="ET36" s="300"/>
      <c r="EU36" s="300"/>
      <c r="EV36" s="300"/>
      <c r="EW36" s="300"/>
      <c r="EX36" s="300"/>
      <c r="EY36" s="300"/>
      <c r="EZ36" s="300"/>
      <c r="FA36" s="300"/>
      <c r="FB36" s="300"/>
      <c r="FC36" s="300"/>
      <c r="FD36" s="300"/>
      <c r="FE36" s="300"/>
      <c r="FF36" s="300"/>
      <c r="FG36" s="300"/>
      <c r="FH36" s="300"/>
      <c r="FI36" s="300"/>
      <c r="FJ36" s="300"/>
      <c r="FK36" s="300"/>
      <c r="FL36" s="300"/>
      <c r="FM36" s="300"/>
      <c r="FN36" s="300"/>
      <c r="FO36" s="300"/>
      <c r="FP36" s="300"/>
      <c r="FQ36" s="300"/>
      <c r="FR36" s="300"/>
      <c r="FS36" s="300"/>
      <c r="FT36" s="300"/>
      <c r="FU36" s="300"/>
      <c r="FV36" s="300"/>
      <c r="FW36" s="300"/>
      <c r="FX36" s="300"/>
      <c r="FY36" s="300"/>
      <c r="FZ36" s="300"/>
      <c r="GA36" s="300"/>
      <c r="GB36" s="300"/>
      <c r="GC36" s="300"/>
      <c r="GD36" s="300"/>
      <c r="GE36" s="300"/>
      <c r="GF36" s="300"/>
      <c r="GG36" s="300"/>
      <c r="GH36" s="300"/>
      <c r="GI36" s="300"/>
      <c r="GJ36" s="300"/>
      <c r="GK36" s="300"/>
      <c r="GL36" s="300"/>
      <c r="GM36" s="300"/>
      <c r="GN36" s="300"/>
      <c r="GO36" s="300"/>
      <c r="GP36" s="300"/>
      <c r="GQ36" s="300"/>
      <c r="GR36" s="300"/>
      <c r="GS36" s="300"/>
      <c r="GT36" s="300"/>
      <c r="GU36" s="300"/>
      <c r="GV36" s="300"/>
      <c r="GW36" s="300"/>
      <c r="GX36" s="300"/>
      <c r="GY36" s="300"/>
      <c r="GZ36" s="300"/>
      <c r="HA36" s="300"/>
      <c r="HB36" s="300"/>
      <c r="HC36" s="300"/>
      <c r="HD36" s="300"/>
      <c r="HE36" s="300"/>
      <c r="HF36" s="300"/>
      <c r="HG36" s="300"/>
      <c r="HH36" s="300"/>
      <c r="HI36" s="300"/>
      <c r="HJ36" s="300"/>
      <c r="HK36" s="300"/>
      <c r="HL36" s="300"/>
      <c r="HM36" s="300"/>
      <c r="HN36" s="300"/>
      <c r="HO36" s="300"/>
      <c r="HP36" s="300"/>
      <c r="HQ36" s="300"/>
      <c r="HR36" s="300"/>
      <c r="HS36" s="300"/>
      <c r="HT36" s="300"/>
      <c r="HU36" s="300"/>
      <c r="HV36" s="300"/>
      <c r="HW36" s="300"/>
      <c r="HX36" s="300"/>
      <c r="HY36" s="300"/>
      <c r="HZ36" s="300"/>
      <c r="IA36" s="300"/>
      <c r="IB36" s="300"/>
      <c r="IC36" s="300"/>
      <c r="ID36" s="300"/>
      <c r="IE36" s="300"/>
      <c r="IF36" s="300"/>
      <c r="IG36" s="300"/>
      <c r="IH36" s="300"/>
      <c r="II36" s="300"/>
      <c r="IJ36" s="300"/>
      <c r="IK36" s="300"/>
      <c r="IL36" s="303"/>
      <c r="IM36" s="303"/>
      <c r="IN36" s="300"/>
      <c r="IO36" s="300"/>
      <c r="IP36" s="300"/>
      <c r="IQ36" s="300"/>
      <c r="IR36" s="300"/>
      <c r="IS36" s="300"/>
      <c r="IT36" s="300"/>
      <c r="IU36" s="300"/>
      <c r="IV36" s="300"/>
      <c r="IW36" s="300"/>
      <c r="IX36" s="300"/>
      <c r="IY36" s="300"/>
      <c r="IZ36" s="300"/>
      <c r="JA36" s="300"/>
      <c r="JB36" s="300"/>
      <c r="JC36" s="303"/>
      <c r="JD36" s="300"/>
      <c r="JE36" s="300"/>
      <c r="JF36" s="33"/>
      <c r="JG36" s="33"/>
      <c r="JH36" s="33"/>
      <c r="JI36" s="33"/>
      <c r="JJ36" s="33"/>
      <c r="JK36" s="33"/>
      <c r="JL36" s="33"/>
      <c r="JM36" s="33"/>
      <c r="JN36" s="33"/>
      <c r="JO36" s="33"/>
      <c r="JP36" s="33"/>
      <c r="JQ36" s="33"/>
      <c r="JR36" s="33"/>
      <c r="JS36" s="33"/>
      <c r="JT36" s="33"/>
      <c r="JU36" s="33"/>
      <c r="JV36" s="33"/>
      <c r="JW36" s="33"/>
      <c r="JX36" s="33"/>
      <c r="JY36" s="33"/>
      <c r="JZ36" s="33"/>
      <c r="KA36" s="33"/>
      <c r="KB36" s="33"/>
      <c r="KC36" s="33"/>
      <c r="KD36" s="33"/>
      <c r="KE36" s="33"/>
      <c r="KF36" s="33"/>
      <c r="KG36" s="33"/>
      <c r="KH36" s="33"/>
      <c r="KI36" s="33"/>
      <c r="KJ36" s="33"/>
      <c r="KK36" s="33"/>
    </row>
    <row r="37" spans="1:297" s="20" customFormat="1" ht="12.75" customHeight="1">
      <c r="A37" s="3"/>
      <c r="B37" s="3"/>
      <c r="C37" s="1"/>
      <c r="D37" s="508" t="s">
        <v>2951</v>
      </c>
      <c r="E37" s="11"/>
      <c r="F37" s="518">
        <f>SUM(F32:F36)</f>
        <v>0</v>
      </c>
      <c r="G37" s="971"/>
      <c r="H37" s="539"/>
      <c r="I37" s="519"/>
      <c r="J37" s="520">
        <f>SUM(J32:J36)</f>
        <v>0</v>
      </c>
      <c r="K37" s="521"/>
      <c r="L37" s="518">
        <f>SUM(L32:L36)</f>
        <v>0</v>
      </c>
      <c r="M37" s="971"/>
      <c r="N37" s="521"/>
      <c r="O37" s="519"/>
      <c r="P37" s="520">
        <f>SUM(P32:P36)</f>
        <v>0</v>
      </c>
      <c r="Q37" s="496"/>
      <c r="T37" s="288"/>
      <c r="W37" s="11"/>
      <c r="X37" s="301"/>
      <c r="Y37" s="301"/>
      <c r="Z37" s="302"/>
      <c r="AA37" s="301"/>
      <c r="AB37" s="304"/>
      <c r="AC37" s="305"/>
      <c r="AD37" s="305"/>
      <c r="AE37" s="305"/>
      <c r="AF37" s="305"/>
      <c r="AG37" s="305"/>
      <c r="AH37" s="305"/>
      <c r="AI37" s="554"/>
      <c r="AJ37" s="300"/>
      <c r="AK37" s="300"/>
      <c r="AL37" s="300"/>
      <c r="AM37" s="300"/>
      <c r="AN37" s="300"/>
      <c r="AO37" s="300"/>
      <c r="AP37" s="300"/>
      <c r="AQ37" s="300"/>
      <c r="AR37" s="300"/>
      <c r="AS37" s="300"/>
      <c r="AT37" s="300"/>
      <c r="AU37" s="300"/>
      <c r="AV37" s="300"/>
      <c r="AW37" s="300"/>
      <c r="AX37" s="300"/>
      <c r="AY37" s="300"/>
      <c r="AZ37" s="300"/>
      <c r="BA37" s="300"/>
      <c r="BB37" s="300"/>
      <c r="BC37" s="300"/>
      <c r="BD37" s="300"/>
      <c r="BE37" s="300"/>
      <c r="BF37" s="300"/>
      <c r="BG37" s="300"/>
      <c r="BH37" s="300"/>
      <c r="BI37" s="300"/>
      <c r="BJ37" s="300"/>
      <c r="BK37" s="300"/>
      <c r="BL37" s="300"/>
      <c r="BM37" s="300"/>
      <c r="BN37" s="300"/>
      <c r="BO37" s="300"/>
      <c r="BP37" s="300"/>
      <c r="BQ37" s="300"/>
      <c r="BR37" s="300"/>
      <c r="BS37" s="300"/>
      <c r="BT37" s="300"/>
      <c r="BU37" s="300"/>
      <c r="BV37" s="300"/>
      <c r="BW37" s="300"/>
      <c r="BX37" s="300"/>
      <c r="BY37" s="300"/>
      <c r="BZ37" s="300"/>
      <c r="CA37" s="300"/>
      <c r="CB37" s="300"/>
      <c r="CC37" s="300"/>
      <c r="CD37" s="300"/>
      <c r="CE37" s="300"/>
      <c r="CF37" s="300"/>
      <c r="CG37" s="300"/>
      <c r="CH37" s="300"/>
      <c r="CI37" s="300"/>
      <c r="CJ37" s="300"/>
      <c r="CK37" s="300"/>
      <c r="CL37" s="300"/>
      <c r="CM37" s="300"/>
      <c r="CN37" s="300"/>
      <c r="CO37" s="300"/>
      <c r="CP37" s="300"/>
      <c r="CQ37" s="300"/>
      <c r="CR37" s="300"/>
      <c r="CS37" s="300"/>
      <c r="CT37" s="300"/>
      <c r="CU37" s="300"/>
      <c r="CV37" s="300"/>
      <c r="CW37" s="300"/>
      <c r="CX37" s="300"/>
      <c r="CY37" s="300"/>
      <c r="CZ37" s="300"/>
      <c r="DA37" s="300"/>
      <c r="DB37" s="300"/>
      <c r="DC37" s="300"/>
      <c r="DD37" s="300"/>
      <c r="DE37" s="300"/>
      <c r="DF37" s="300"/>
      <c r="DG37" s="300"/>
      <c r="DH37" s="300"/>
      <c r="DI37" s="300"/>
      <c r="DJ37" s="300"/>
      <c r="DK37" s="300"/>
      <c r="DL37" s="300"/>
      <c r="DM37" s="300"/>
      <c r="DN37" s="300"/>
      <c r="DO37" s="300"/>
      <c r="DP37" s="300"/>
      <c r="DQ37" s="300"/>
      <c r="DR37" s="300"/>
      <c r="DS37" s="300"/>
      <c r="DT37" s="300"/>
      <c r="DU37" s="300"/>
      <c r="DV37" s="300"/>
      <c r="DW37" s="300"/>
      <c r="DX37" s="300"/>
      <c r="DY37" s="300"/>
      <c r="DZ37" s="300"/>
      <c r="EA37" s="300"/>
      <c r="EB37" s="300"/>
      <c r="EC37" s="300"/>
      <c r="ED37" s="300"/>
      <c r="EE37" s="300"/>
      <c r="EF37" s="300"/>
      <c r="EG37" s="300"/>
      <c r="EH37" s="300"/>
      <c r="EI37" s="300"/>
      <c r="EJ37" s="300"/>
      <c r="EK37" s="300"/>
      <c r="EL37" s="300"/>
      <c r="EM37" s="300"/>
      <c r="EN37" s="300"/>
      <c r="EO37" s="300"/>
      <c r="EP37" s="300"/>
      <c r="EQ37" s="300"/>
      <c r="ER37" s="300"/>
      <c r="ES37" s="300"/>
      <c r="ET37" s="300"/>
      <c r="EU37" s="300"/>
      <c r="EV37" s="300"/>
      <c r="EW37" s="300"/>
      <c r="EX37" s="300"/>
      <c r="EY37" s="300"/>
      <c r="EZ37" s="300"/>
      <c r="FA37" s="300"/>
      <c r="FB37" s="300"/>
      <c r="FC37" s="300"/>
      <c r="FD37" s="300"/>
      <c r="FE37" s="300"/>
      <c r="FF37" s="300"/>
      <c r="FG37" s="300"/>
      <c r="FH37" s="300"/>
      <c r="FI37" s="300"/>
      <c r="FJ37" s="300"/>
      <c r="FK37" s="300"/>
      <c r="FL37" s="300"/>
      <c r="FM37" s="300"/>
      <c r="FN37" s="300"/>
      <c r="FO37" s="300"/>
      <c r="FP37" s="300"/>
      <c r="FQ37" s="300"/>
      <c r="FR37" s="300"/>
      <c r="FS37" s="300"/>
      <c r="FT37" s="300"/>
      <c r="FU37" s="300"/>
      <c r="FV37" s="300"/>
      <c r="FW37" s="300"/>
      <c r="FX37" s="300"/>
      <c r="FY37" s="300"/>
      <c r="FZ37" s="300"/>
      <c r="GA37" s="300"/>
      <c r="GB37" s="300"/>
      <c r="GC37" s="300"/>
      <c r="GD37" s="300"/>
      <c r="GE37" s="300"/>
      <c r="GF37" s="300"/>
      <c r="GG37" s="300"/>
      <c r="GH37" s="300"/>
      <c r="GI37" s="300"/>
      <c r="GJ37" s="300"/>
      <c r="GK37" s="300"/>
      <c r="GL37" s="300"/>
      <c r="GM37" s="300"/>
      <c r="GN37" s="300"/>
      <c r="GO37" s="300"/>
      <c r="GP37" s="300"/>
      <c r="GQ37" s="300"/>
      <c r="GR37" s="300"/>
      <c r="GS37" s="300"/>
      <c r="GT37" s="300"/>
      <c r="GU37" s="300"/>
      <c r="GV37" s="300"/>
      <c r="GW37" s="300"/>
      <c r="GX37" s="300"/>
      <c r="GY37" s="300"/>
      <c r="GZ37" s="300"/>
      <c r="HA37" s="300"/>
      <c r="HB37" s="300"/>
      <c r="HC37" s="300"/>
      <c r="HD37" s="300"/>
      <c r="HE37" s="300"/>
      <c r="HF37" s="300"/>
      <c r="HG37" s="300"/>
      <c r="HH37" s="300"/>
      <c r="HI37" s="300"/>
      <c r="HJ37" s="300"/>
      <c r="HK37" s="300"/>
      <c r="HL37" s="300"/>
      <c r="HM37" s="300"/>
      <c r="HN37" s="300"/>
      <c r="HO37" s="300"/>
      <c r="HP37" s="300"/>
      <c r="HQ37" s="300"/>
      <c r="HR37" s="300"/>
      <c r="HS37" s="300"/>
      <c r="HT37" s="300"/>
      <c r="HU37" s="300"/>
      <c r="HV37" s="300"/>
      <c r="HW37" s="300"/>
      <c r="HX37" s="300"/>
      <c r="HY37" s="300"/>
      <c r="HZ37" s="300"/>
      <c r="IA37" s="300"/>
      <c r="IB37" s="300"/>
      <c r="IC37" s="300"/>
      <c r="ID37" s="300"/>
      <c r="IE37" s="300"/>
      <c r="IF37" s="300"/>
      <c r="IG37" s="300"/>
      <c r="IH37" s="300"/>
      <c r="II37" s="300"/>
      <c r="IJ37" s="300"/>
      <c r="IK37" s="300"/>
      <c r="IL37" s="303"/>
      <c r="IM37" s="303"/>
      <c r="IN37" s="300"/>
      <c r="IO37" s="300"/>
      <c r="IP37" s="300"/>
      <c r="IQ37" s="300"/>
      <c r="IR37" s="300"/>
      <c r="IS37" s="300"/>
      <c r="IT37" s="300"/>
      <c r="IU37" s="300"/>
      <c r="IV37" s="300"/>
      <c r="IW37" s="300"/>
      <c r="IX37" s="300"/>
      <c r="IY37" s="300"/>
      <c r="IZ37" s="300"/>
      <c r="JA37" s="300"/>
      <c r="JB37" s="300"/>
      <c r="JC37" s="303"/>
      <c r="JD37" s="300"/>
      <c r="JE37" s="300"/>
      <c r="JF37" s="33"/>
      <c r="JG37" s="33"/>
      <c r="JH37" s="33"/>
      <c r="JI37" s="33"/>
      <c r="JJ37" s="33"/>
      <c r="JK37" s="33"/>
      <c r="JL37" s="33"/>
      <c r="JM37" s="33"/>
      <c r="JN37" s="33"/>
      <c r="JO37" s="33"/>
      <c r="JP37" s="33"/>
      <c r="JQ37" s="33"/>
      <c r="JR37" s="33"/>
      <c r="JS37" s="33"/>
      <c r="JT37" s="33"/>
      <c r="JU37" s="33"/>
      <c r="JV37" s="33"/>
      <c r="JW37" s="33"/>
      <c r="JX37" s="33"/>
      <c r="JY37" s="33"/>
      <c r="JZ37" s="33"/>
      <c r="KA37" s="33"/>
      <c r="KB37" s="33"/>
      <c r="KC37" s="33"/>
      <c r="KD37" s="33"/>
      <c r="KE37" s="33"/>
      <c r="KF37" s="33"/>
      <c r="KG37" s="33"/>
      <c r="KH37" s="33"/>
      <c r="KI37" s="33"/>
      <c r="KJ37" s="33"/>
      <c r="KK37" s="33"/>
    </row>
    <row r="38" spans="1:297" s="20" customFormat="1" ht="3" customHeight="1" thickBot="1">
      <c r="A38" s="3"/>
      <c r="B38" s="3"/>
      <c r="C38" s="1"/>
      <c r="D38" s="1"/>
      <c r="E38" s="21"/>
      <c r="F38" s="1"/>
      <c r="G38" s="1"/>
      <c r="H38" s="16"/>
      <c r="I38" s="495"/>
      <c r="J38" s="495"/>
      <c r="K38" s="495"/>
      <c r="L38" s="495"/>
      <c r="M38" s="495"/>
      <c r="N38" s="495"/>
      <c r="O38" s="495"/>
      <c r="P38" s="404"/>
      <c r="Q38" s="496"/>
      <c r="T38" s="288"/>
      <c r="U38" s="288"/>
      <c r="V38" s="11"/>
      <c r="W38" s="11"/>
      <c r="X38" s="301"/>
      <c r="Y38" s="301"/>
      <c r="Z38" s="302"/>
      <c r="AA38" s="301"/>
      <c r="AB38" s="304"/>
      <c r="AC38" s="305"/>
      <c r="AD38" s="305"/>
      <c r="AE38" s="305"/>
      <c r="AF38" s="305"/>
      <c r="AG38" s="305"/>
      <c r="AH38" s="305"/>
      <c r="AI38" s="554"/>
      <c r="AJ38" s="300"/>
      <c r="AK38" s="300"/>
      <c r="AL38" s="300"/>
      <c r="AM38" s="300"/>
      <c r="AN38" s="300"/>
      <c r="AO38" s="300"/>
      <c r="AP38" s="300"/>
      <c r="AQ38" s="300"/>
      <c r="AR38" s="300"/>
      <c r="AS38" s="300"/>
      <c r="AT38" s="300"/>
      <c r="AU38" s="300"/>
      <c r="AV38" s="300"/>
      <c r="AW38" s="300"/>
      <c r="AX38" s="300"/>
      <c r="AY38" s="300"/>
      <c r="AZ38" s="300"/>
      <c r="BA38" s="300"/>
      <c r="BB38" s="300"/>
      <c r="BC38" s="300"/>
      <c r="BD38" s="300"/>
      <c r="BE38" s="300"/>
      <c r="BF38" s="300"/>
      <c r="BG38" s="300"/>
      <c r="BH38" s="300"/>
      <c r="BI38" s="300"/>
      <c r="BJ38" s="300"/>
      <c r="BK38" s="300"/>
      <c r="BL38" s="300"/>
      <c r="BM38" s="300"/>
      <c r="BN38" s="300"/>
      <c r="BO38" s="300"/>
      <c r="BP38" s="300"/>
      <c r="BQ38" s="300"/>
      <c r="BR38" s="300"/>
      <c r="BS38" s="300"/>
      <c r="BT38" s="300"/>
      <c r="BU38" s="300"/>
      <c r="BV38" s="300"/>
      <c r="BW38" s="300"/>
      <c r="BX38" s="300"/>
      <c r="BY38" s="300"/>
      <c r="BZ38" s="300"/>
      <c r="CA38" s="300"/>
      <c r="CB38" s="300"/>
      <c r="CC38" s="300"/>
      <c r="CD38" s="300"/>
      <c r="CE38" s="300"/>
      <c r="CF38" s="300"/>
      <c r="CG38" s="300"/>
      <c r="CH38" s="300"/>
      <c r="CI38" s="300"/>
      <c r="CJ38" s="300"/>
      <c r="CK38" s="300"/>
      <c r="CL38" s="300"/>
      <c r="CM38" s="300"/>
      <c r="CN38" s="300"/>
      <c r="CO38" s="300"/>
      <c r="CP38" s="300"/>
      <c r="CQ38" s="300"/>
      <c r="CR38" s="300"/>
      <c r="CS38" s="300"/>
      <c r="CT38" s="300"/>
      <c r="CU38" s="300"/>
      <c r="CV38" s="300"/>
      <c r="CW38" s="300"/>
      <c r="CX38" s="300"/>
      <c r="CY38" s="300"/>
      <c r="CZ38" s="300"/>
      <c r="DA38" s="300"/>
      <c r="DB38" s="300"/>
      <c r="DC38" s="300"/>
      <c r="DD38" s="300"/>
      <c r="DE38" s="300"/>
      <c r="DF38" s="300"/>
      <c r="DG38" s="300"/>
      <c r="DH38" s="300"/>
      <c r="DI38" s="300"/>
      <c r="DJ38" s="300"/>
      <c r="DK38" s="300"/>
      <c r="DL38" s="300"/>
      <c r="DM38" s="300"/>
      <c r="DN38" s="300"/>
      <c r="DO38" s="300"/>
      <c r="DP38" s="300"/>
      <c r="DQ38" s="300"/>
      <c r="DR38" s="300"/>
      <c r="DS38" s="300"/>
      <c r="DT38" s="300"/>
      <c r="DU38" s="300"/>
      <c r="DV38" s="300"/>
      <c r="DW38" s="300"/>
      <c r="DX38" s="300"/>
      <c r="DY38" s="300"/>
      <c r="DZ38" s="300"/>
      <c r="EA38" s="300"/>
      <c r="EB38" s="300"/>
      <c r="EC38" s="300"/>
      <c r="ED38" s="300"/>
      <c r="EE38" s="300"/>
      <c r="EF38" s="300"/>
      <c r="EG38" s="300"/>
      <c r="EH38" s="300"/>
      <c r="EI38" s="300"/>
      <c r="EJ38" s="300"/>
      <c r="EK38" s="300"/>
      <c r="EL38" s="300"/>
      <c r="EM38" s="300"/>
      <c r="EN38" s="300"/>
      <c r="EO38" s="300"/>
      <c r="EP38" s="300"/>
      <c r="EQ38" s="300"/>
      <c r="ER38" s="300"/>
      <c r="ES38" s="300"/>
      <c r="ET38" s="300"/>
      <c r="EU38" s="300"/>
      <c r="EV38" s="300"/>
      <c r="EW38" s="300"/>
      <c r="EX38" s="300"/>
      <c r="EY38" s="300"/>
      <c r="EZ38" s="300"/>
      <c r="FA38" s="300"/>
      <c r="FB38" s="300"/>
      <c r="FC38" s="300"/>
      <c r="FD38" s="300"/>
      <c r="FE38" s="300"/>
      <c r="FF38" s="300"/>
      <c r="FG38" s="300"/>
      <c r="FH38" s="300"/>
      <c r="FI38" s="300"/>
      <c r="FJ38" s="300"/>
      <c r="FK38" s="300"/>
      <c r="FL38" s="300"/>
      <c r="FM38" s="300"/>
      <c r="FN38" s="300"/>
      <c r="FO38" s="300"/>
      <c r="FP38" s="300"/>
      <c r="FQ38" s="300"/>
      <c r="FR38" s="300"/>
      <c r="FS38" s="300"/>
      <c r="FT38" s="300"/>
      <c r="FU38" s="300"/>
      <c r="FV38" s="300"/>
      <c r="FW38" s="300"/>
      <c r="FX38" s="300"/>
      <c r="FY38" s="300"/>
      <c r="FZ38" s="300"/>
      <c r="GA38" s="300"/>
      <c r="GB38" s="300"/>
      <c r="GC38" s="300"/>
      <c r="GD38" s="300"/>
      <c r="GE38" s="300"/>
      <c r="GF38" s="300"/>
      <c r="GG38" s="300"/>
      <c r="GH38" s="300"/>
      <c r="GI38" s="300"/>
      <c r="GJ38" s="300"/>
      <c r="GK38" s="300"/>
      <c r="GL38" s="300"/>
      <c r="GM38" s="300"/>
      <c r="GN38" s="300"/>
      <c r="GO38" s="300"/>
      <c r="GP38" s="300"/>
      <c r="GQ38" s="300"/>
      <c r="GR38" s="300"/>
      <c r="GS38" s="300"/>
      <c r="GT38" s="300"/>
      <c r="GU38" s="300"/>
      <c r="GV38" s="300"/>
      <c r="GW38" s="300"/>
      <c r="GX38" s="300"/>
      <c r="GY38" s="300"/>
      <c r="GZ38" s="300"/>
      <c r="HA38" s="300"/>
      <c r="HB38" s="300"/>
      <c r="HC38" s="300"/>
      <c r="HD38" s="300"/>
      <c r="HE38" s="300"/>
      <c r="HF38" s="300"/>
      <c r="HG38" s="300"/>
      <c r="HH38" s="300"/>
      <c r="HI38" s="300"/>
      <c r="HJ38" s="300"/>
      <c r="HK38" s="300"/>
      <c r="HL38" s="300"/>
      <c r="HM38" s="300"/>
      <c r="HN38" s="300"/>
      <c r="HO38" s="300"/>
      <c r="HP38" s="300"/>
      <c r="HQ38" s="300"/>
      <c r="HR38" s="300"/>
      <c r="HS38" s="300"/>
      <c r="HT38" s="300"/>
      <c r="HU38" s="300"/>
      <c r="HV38" s="300"/>
      <c r="HW38" s="300"/>
      <c r="HX38" s="300"/>
      <c r="HY38" s="300"/>
      <c r="HZ38" s="300"/>
      <c r="IA38" s="300"/>
      <c r="IB38" s="300"/>
      <c r="IC38" s="300"/>
      <c r="ID38" s="300"/>
      <c r="IE38" s="300"/>
      <c r="IF38" s="300"/>
      <c r="IG38" s="300"/>
      <c r="IH38" s="300"/>
      <c r="II38" s="300"/>
      <c r="IJ38" s="300"/>
      <c r="IK38" s="300"/>
      <c r="IL38" s="303"/>
      <c r="IM38" s="303"/>
      <c r="IN38" s="300"/>
      <c r="IO38" s="300"/>
      <c r="IP38" s="300"/>
      <c r="IQ38" s="300"/>
      <c r="IR38" s="300"/>
      <c r="IS38" s="300"/>
      <c r="IT38" s="300"/>
      <c r="IU38" s="300"/>
      <c r="IV38" s="300"/>
      <c r="IW38" s="300"/>
      <c r="IX38" s="300"/>
      <c r="IY38" s="300"/>
      <c r="IZ38" s="300"/>
      <c r="JA38" s="300"/>
      <c r="JB38" s="300"/>
      <c r="JC38" s="303"/>
      <c r="JD38" s="300"/>
      <c r="JE38" s="300"/>
      <c r="JF38" s="33"/>
      <c r="JG38" s="33"/>
      <c r="JH38" s="33"/>
      <c r="JI38" s="33"/>
      <c r="JJ38" s="33"/>
      <c r="JK38" s="33"/>
      <c r="JL38" s="33"/>
      <c r="JM38" s="33"/>
      <c r="JN38" s="33"/>
      <c r="JO38" s="33"/>
      <c r="JP38" s="33"/>
      <c r="JQ38" s="33"/>
      <c r="JR38" s="33"/>
      <c r="JS38" s="33"/>
      <c r="JT38" s="33"/>
      <c r="JU38" s="33"/>
      <c r="JV38" s="33"/>
      <c r="JW38" s="33"/>
      <c r="JX38" s="33"/>
      <c r="JY38" s="33"/>
      <c r="JZ38" s="33"/>
      <c r="KA38" s="33"/>
      <c r="KB38" s="33"/>
      <c r="KC38" s="33"/>
      <c r="KD38" s="33"/>
      <c r="KE38" s="33"/>
      <c r="KF38" s="33"/>
      <c r="KG38" s="33"/>
      <c r="KH38" s="33"/>
      <c r="KI38" s="33"/>
      <c r="KJ38" s="33"/>
      <c r="KK38" s="33"/>
    </row>
    <row r="39" spans="1:297" s="20" customFormat="1" ht="13.5" customHeight="1" thickTop="1">
      <c r="A39" s="27" t="s">
        <v>3226</v>
      </c>
      <c r="B39" s="1"/>
      <c r="C39" s="1"/>
      <c r="D39" s="22"/>
      <c r="E39" s="26"/>
      <c r="F39" s="535">
        <f>F16+F23+F30+F37</f>
        <v>0</v>
      </c>
      <c r="G39" s="931"/>
      <c r="H39" s="198"/>
      <c r="I39" s="536"/>
      <c r="J39" s="535">
        <f>J16+J23+J30+J37</f>
        <v>0</v>
      </c>
      <c r="K39" s="536"/>
      <c r="L39" s="535">
        <f>L16+L23+L30+L37</f>
        <v>0</v>
      </c>
      <c r="M39" s="931"/>
      <c r="N39" s="536"/>
      <c r="O39" s="536"/>
      <c r="P39" s="535">
        <f>P16+P23+P30+P37</f>
        <v>0</v>
      </c>
      <c r="Q39" s="496"/>
      <c r="T39" s="288"/>
      <c r="U39" s="288"/>
      <c r="V39" s="11"/>
      <c r="W39" s="11"/>
      <c r="X39" s="301"/>
      <c r="Y39" s="301"/>
      <c r="Z39" s="302"/>
      <c r="AA39" s="301"/>
      <c r="AB39" s="304"/>
      <c r="AC39" s="305"/>
      <c r="AD39" s="305"/>
      <c r="AE39" s="305"/>
      <c r="AF39" s="305"/>
      <c r="AG39" s="305"/>
      <c r="AH39" s="305"/>
      <c r="AI39" s="554"/>
      <c r="AJ39" s="300"/>
      <c r="AK39" s="300"/>
      <c r="AL39" s="300"/>
      <c r="AM39" s="300"/>
      <c r="AN39" s="300"/>
      <c r="AO39" s="300"/>
      <c r="AP39" s="300"/>
      <c r="AQ39" s="300"/>
      <c r="AR39" s="300"/>
      <c r="AS39" s="300"/>
      <c r="AT39" s="300"/>
      <c r="AU39" s="300"/>
      <c r="AV39" s="300"/>
      <c r="AW39" s="300"/>
      <c r="AX39" s="300"/>
      <c r="AY39" s="300"/>
      <c r="AZ39" s="300"/>
      <c r="BA39" s="300"/>
      <c r="BB39" s="300"/>
      <c r="BC39" s="300"/>
      <c r="BD39" s="300"/>
      <c r="BE39" s="300"/>
      <c r="BF39" s="300"/>
      <c r="BG39" s="300"/>
      <c r="BH39" s="300"/>
      <c r="BI39" s="300"/>
      <c r="BJ39" s="300"/>
      <c r="BK39" s="300"/>
      <c r="BL39" s="300"/>
      <c r="BM39" s="300"/>
      <c r="BN39" s="300"/>
      <c r="BO39" s="300"/>
      <c r="BP39" s="300"/>
      <c r="BQ39" s="300"/>
      <c r="BR39" s="300"/>
      <c r="BS39" s="300"/>
      <c r="BT39" s="300"/>
      <c r="BU39" s="300"/>
      <c r="BV39" s="300"/>
      <c r="BW39" s="300"/>
      <c r="BX39" s="300"/>
      <c r="BY39" s="300"/>
      <c r="BZ39" s="300"/>
      <c r="CA39" s="300"/>
      <c r="CB39" s="300"/>
      <c r="CC39" s="300"/>
      <c r="CD39" s="300"/>
      <c r="CE39" s="300"/>
      <c r="CF39" s="300"/>
      <c r="CG39" s="300"/>
      <c r="CH39" s="300"/>
      <c r="CI39" s="300"/>
      <c r="CJ39" s="300"/>
      <c r="CK39" s="300"/>
      <c r="CL39" s="300"/>
      <c r="CM39" s="300"/>
      <c r="CN39" s="300"/>
      <c r="CO39" s="300"/>
      <c r="CP39" s="300"/>
      <c r="CQ39" s="300"/>
      <c r="CR39" s="300"/>
      <c r="CS39" s="300"/>
      <c r="CT39" s="300"/>
      <c r="CU39" s="300"/>
      <c r="CV39" s="300"/>
      <c r="CW39" s="300"/>
      <c r="CX39" s="300"/>
      <c r="CY39" s="300"/>
      <c r="CZ39" s="300"/>
      <c r="DA39" s="300"/>
      <c r="DB39" s="300"/>
      <c r="DC39" s="300"/>
      <c r="DD39" s="300"/>
      <c r="DE39" s="300"/>
      <c r="DF39" s="300"/>
      <c r="DG39" s="300"/>
      <c r="DH39" s="300"/>
      <c r="DI39" s="300"/>
      <c r="DJ39" s="300"/>
      <c r="DK39" s="300"/>
      <c r="DL39" s="300"/>
      <c r="DM39" s="300"/>
      <c r="DN39" s="300"/>
      <c r="DO39" s="300"/>
      <c r="DP39" s="300"/>
      <c r="DQ39" s="300"/>
      <c r="DR39" s="300"/>
      <c r="DS39" s="300"/>
      <c r="DT39" s="300"/>
      <c r="DU39" s="300"/>
      <c r="DV39" s="300"/>
      <c r="DW39" s="300"/>
      <c r="DX39" s="300"/>
      <c r="DY39" s="300"/>
      <c r="DZ39" s="300"/>
      <c r="EA39" s="300"/>
      <c r="EB39" s="300"/>
      <c r="EC39" s="300"/>
      <c r="ED39" s="300"/>
      <c r="EE39" s="300"/>
      <c r="EF39" s="300"/>
      <c r="EG39" s="300"/>
      <c r="EH39" s="300"/>
      <c r="EI39" s="300"/>
      <c r="EJ39" s="300"/>
      <c r="EK39" s="300"/>
      <c r="EL39" s="300"/>
      <c r="EM39" s="300"/>
      <c r="EN39" s="300"/>
      <c r="EO39" s="300"/>
      <c r="EP39" s="300"/>
      <c r="EQ39" s="300"/>
      <c r="ER39" s="300"/>
      <c r="ES39" s="300"/>
      <c r="ET39" s="300"/>
      <c r="EU39" s="300"/>
      <c r="EV39" s="300"/>
      <c r="EW39" s="300"/>
      <c r="EX39" s="300"/>
      <c r="EY39" s="300"/>
      <c r="EZ39" s="300"/>
      <c r="FA39" s="300"/>
      <c r="FB39" s="300"/>
      <c r="FC39" s="300"/>
      <c r="FD39" s="300"/>
      <c r="FE39" s="300"/>
      <c r="FF39" s="300"/>
      <c r="FG39" s="300"/>
      <c r="FH39" s="300"/>
      <c r="FI39" s="300"/>
      <c r="FJ39" s="300"/>
      <c r="FK39" s="300"/>
      <c r="FL39" s="300"/>
      <c r="FM39" s="300"/>
      <c r="FN39" s="300"/>
      <c r="FO39" s="300"/>
      <c r="FP39" s="300"/>
      <c r="FQ39" s="300"/>
      <c r="FR39" s="300"/>
      <c r="FS39" s="300"/>
      <c r="FT39" s="300"/>
      <c r="FU39" s="300"/>
      <c r="FV39" s="300"/>
      <c r="FW39" s="300"/>
      <c r="FX39" s="300"/>
      <c r="FY39" s="300"/>
      <c r="FZ39" s="300"/>
      <c r="GA39" s="300"/>
      <c r="GB39" s="300"/>
      <c r="GC39" s="300"/>
      <c r="GD39" s="300"/>
      <c r="GE39" s="300"/>
      <c r="GF39" s="300"/>
      <c r="GG39" s="300"/>
      <c r="GH39" s="300"/>
      <c r="GI39" s="300"/>
      <c r="GJ39" s="300"/>
      <c r="GK39" s="300"/>
      <c r="GL39" s="300"/>
      <c r="GM39" s="300"/>
      <c r="GN39" s="300"/>
      <c r="GO39" s="300"/>
      <c r="GP39" s="300"/>
      <c r="GQ39" s="300"/>
      <c r="GR39" s="300"/>
      <c r="GS39" s="300"/>
      <c r="GT39" s="300"/>
      <c r="GU39" s="300"/>
      <c r="GV39" s="300"/>
      <c r="GW39" s="300"/>
      <c r="GX39" s="300"/>
      <c r="GY39" s="300"/>
      <c r="GZ39" s="300"/>
      <c r="HA39" s="300"/>
      <c r="HB39" s="300"/>
      <c r="HC39" s="300"/>
      <c r="HD39" s="300"/>
      <c r="HE39" s="300"/>
      <c r="HF39" s="300"/>
      <c r="HG39" s="300"/>
      <c r="HH39" s="300"/>
      <c r="HI39" s="300"/>
      <c r="HJ39" s="300"/>
      <c r="HK39" s="300"/>
      <c r="HL39" s="300"/>
      <c r="HM39" s="300"/>
      <c r="HN39" s="300"/>
      <c r="HO39" s="300"/>
      <c r="HP39" s="300"/>
      <c r="HQ39" s="300"/>
      <c r="HR39" s="300"/>
      <c r="HS39" s="300"/>
      <c r="HT39" s="300"/>
      <c r="HU39" s="300"/>
      <c r="HV39" s="300"/>
      <c r="HW39" s="300"/>
      <c r="HX39" s="300"/>
      <c r="HY39" s="300"/>
      <c r="HZ39" s="300"/>
      <c r="IA39" s="300"/>
      <c r="IB39" s="300"/>
      <c r="IC39" s="300"/>
      <c r="ID39" s="300"/>
      <c r="IE39" s="300"/>
      <c r="IF39" s="300"/>
      <c r="IG39" s="300"/>
      <c r="IH39" s="300"/>
      <c r="II39" s="300"/>
      <c r="IJ39" s="300"/>
      <c r="IK39" s="300"/>
      <c r="IL39" s="303"/>
      <c r="IM39" s="303"/>
      <c r="IN39" s="300"/>
      <c r="IO39" s="300"/>
      <c r="IP39" s="300"/>
      <c r="IQ39" s="300"/>
      <c r="IR39" s="300"/>
      <c r="IS39" s="300"/>
      <c r="IT39" s="300"/>
      <c r="IU39" s="300"/>
      <c r="IV39" s="300"/>
      <c r="IW39" s="300"/>
      <c r="IX39" s="300"/>
      <c r="IY39" s="300"/>
      <c r="IZ39" s="300"/>
      <c r="JA39" s="300"/>
      <c r="JB39" s="300"/>
      <c r="JC39" s="303"/>
      <c r="JD39" s="300"/>
      <c r="JE39" s="300"/>
      <c r="JF39" s="33"/>
      <c r="JG39" s="33"/>
      <c r="JH39" s="33"/>
      <c r="JI39" s="33"/>
      <c r="JJ39" s="33"/>
      <c r="JK39" s="33"/>
      <c r="JL39" s="33"/>
      <c r="JM39" s="33"/>
      <c r="JN39" s="33"/>
      <c r="JO39" s="33"/>
      <c r="JP39" s="33"/>
      <c r="JQ39" s="33"/>
      <c r="JR39" s="33"/>
      <c r="JS39" s="33"/>
      <c r="JT39" s="33"/>
      <c r="JU39" s="33"/>
      <c r="JV39" s="33"/>
      <c r="JW39" s="33"/>
      <c r="JX39" s="33"/>
      <c r="JY39" s="33"/>
      <c r="JZ39" s="33"/>
      <c r="KA39" s="33"/>
      <c r="KB39" s="33"/>
      <c r="KC39" s="33"/>
      <c r="KD39" s="33"/>
      <c r="KE39" s="33"/>
      <c r="KF39" s="33"/>
      <c r="KG39" s="33"/>
      <c r="KH39" s="33"/>
      <c r="KI39" s="33"/>
      <c r="KJ39" s="33"/>
      <c r="KK39" s="33"/>
    </row>
    <row r="40" spans="1:297" s="20" customFormat="1" ht="3" customHeight="1">
      <c r="A40" s="27"/>
      <c r="B40" s="1"/>
      <c r="C40" s="1"/>
      <c r="D40" s="22"/>
      <c r="E40" s="26"/>
      <c r="F40" s="931"/>
      <c r="G40" s="931"/>
      <c r="H40" s="198"/>
      <c r="I40" s="536"/>
      <c r="J40" s="931"/>
      <c r="K40" s="536"/>
      <c r="L40" s="931"/>
      <c r="M40" s="931"/>
      <c r="N40" s="536"/>
      <c r="O40" s="536"/>
      <c r="P40" s="931"/>
      <c r="Q40" s="496"/>
      <c r="T40" s="288"/>
      <c r="U40" s="288"/>
      <c r="V40" s="11"/>
      <c r="W40" s="11"/>
      <c r="X40" s="301"/>
      <c r="Y40" s="301"/>
      <c r="Z40" s="302"/>
      <c r="AA40" s="301"/>
      <c r="AB40" s="304"/>
      <c r="AC40" s="305"/>
      <c r="AD40" s="305"/>
      <c r="AE40" s="305"/>
      <c r="AF40" s="305"/>
      <c r="AG40" s="305"/>
      <c r="AH40" s="305"/>
      <c r="AI40" s="838"/>
      <c r="AJ40" s="300"/>
      <c r="AK40" s="300"/>
      <c r="AL40" s="300"/>
      <c r="AM40" s="300"/>
      <c r="AN40" s="300"/>
      <c r="AO40" s="300"/>
      <c r="AP40" s="300"/>
      <c r="AQ40" s="300"/>
      <c r="AR40" s="300"/>
      <c r="AS40" s="300"/>
      <c r="AT40" s="300"/>
      <c r="AU40" s="300"/>
      <c r="AV40" s="300"/>
      <c r="AW40" s="300"/>
      <c r="AX40" s="300"/>
      <c r="AY40" s="300"/>
      <c r="AZ40" s="300"/>
      <c r="BA40" s="300"/>
      <c r="BB40" s="300"/>
      <c r="BC40" s="300"/>
      <c r="BD40" s="300"/>
      <c r="BE40" s="300"/>
      <c r="BF40" s="300"/>
      <c r="BG40" s="300"/>
      <c r="BH40" s="300"/>
      <c r="BI40" s="300"/>
      <c r="BJ40" s="300"/>
      <c r="BK40" s="300"/>
      <c r="BL40" s="300"/>
      <c r="BM40" s="300"/>
      <c r="BN40" s="300"/>
      <c r="BO40" s="300"/>
      <c r="BP40" s="300"/>
      <c r="BQ40" s="300"/>
      <c r="BR40" s="300"/>
      <c r="BS40" s="300"/>
      <c r="BT40" s="300"/>
      <c r="BU40" s="300"/>
      <c r="BV40" s="300"/>
      <c r="BW40" s="300"/>
      <c r="BX40" s="300"/>
      <c r="BY40" s="300"/>
      <c r="BZ40" s="300"/>
      <c r="CA40" s="300"/>
      <c r="CB40" s="300"/>
      <c r="CC40" s="300"/>
      <c r="CD40" s="300"/>
      <c r="CE40" s="300"/>
      <c r="CF40" s="300"/>
      <c r="CG40" s="300"/>
      <c r="CH40" s="300"/>
      <c r="CI40" s="300"/>
      <c r="CJ40" s="300"/>
      <c r="CK40" s="300"/>
      <c r="CL40" s="300"/>
      <c r="CM40" s="300"/>
      <c r="CN40" s="300"/>
      <c r="CO40" s="300"/>
      <c r="CP40" s="300"/>
      <c r="CQ40" s="300"/>
      <c r="CR40" s="300"/>
      <c r="CS40" s="300"/>
      <c r="CT40" s="300"/>
      <c r="CU40" s="300"/>
      <c r="CV40" s="300"/>
      <c r="CW40" s="300"/>
      <c r="CX40" s="300"/>
      <c r="CY40" s="300"/>
      <c r="CZ40" s="300"/>
      <c r="DA40" s="300"/>
      <c r="DB40" s="300"/>
      <c r="DC40" s="300"/>
      <c r="DD40" s="300"/>
      <c r="DE40" s="300"/>
      <c r="DF40" s="300"/>
      <c r="DG40" s="300"/>
      <c r="DH40" s="300"/>
      <c r="DI40" s="300"/>
      <c r="DJ40" s="300"/>
      <c r="DK40" s="300"/>
      <c r="DL40" s="300"/>
      <c r="DM40" s="300"/>
      <c r="DN40" s="300"/>
      <c r="DO40" s="300"/>
      <c r="DP40" s="300"/>
      <c r="DQ40" s="300"/>
      <c r="DR40" s="300"/>
      <c r="DS40" s="300"/>
      <c r="DT40" s="300"/>
      <c r="DU40" s="300"/>
      <c r="DV40" s="300"/>
      <c r="DW40" s="300"/>
      <c r="DX40" s="300"/>
      <c r="DY40" s="300"/>
      <c r="DZ40" s="300"/>
      <c r="EA40" s="300"/>
      <c r="EB40" s="300"/>
      <c r="EC40" s="300"/>
      <c r="ED40" s="300"/>
      <c r="EE40" s="300"/>
      <c r="EF40" s="300"/>
      <c r="EG40" s="300"/>
      <c r="EH40" s="300"/>
      <c r="EI40" s="300"/>
      <c r="EJ40" s="300"/>
      <c r="EK40" s="300"/>
      <c r="EL40" s="300"/>
      <c r="EM40" s="300"/>
      <c r="EN40" s="300"/>
      <c r="EO40" s="300"/>
      <c r="EP40" s="300"/>
      <c r="EQ40" s="300"/>
      <c r="ER40" s="300"/>
      <c r="ES40" s="300"/>
      <c r="ET40" s="300"/>
      <c r="EU40" s="300"/>
      <c r="EV40" s="300"/>
      <c r="EW40" s="300"/>
      <c r="EX40" s="300"/>
      <c r="EY40" s="300"/>
      <c r="EZ40" s="300"/>
      <c r="FA40" s="300"/>
      <c r="FB40" s="300"/>
      <c r="FC40" s="300"/>
      <c r="FD40" s="300"/>
      <c r="FE40" s="300"/>
      <c r="FF40" s="300"/>
      <c r="FG40" s="300"/>
      <c r="FH40" s="300"/>
      <c r="FI40" s="300"/>
      <c r="FJ40" s="300"/>
      <c r="FK40" s="300"/>
      <c r="FL40" s="300"/>
      <c r="FM40" s="300"/>
      <c r="FN40" s="300"/>
      <c r="FO40" s="300"/>
      <c r="FP40" s="300"/>
      <c r="FQ40" s="300"/>
      <c r="FR40" s="300"/>
      <c r="FS40" s="300"/>
      <c r="FT40" s="300"/>
      <c r="FU40" s="300"/>
      <c r="FV40" s="300"/>
      <c r="FW40" s="300"/>
      <c r="FX40" s="300"/>
      <c r="FY40" s="300"/>
      <c r="FZ40" s="300"/>
      <c r="GA40" s="300"/>
      <c r="GB40" s="300"/>
      <c r="GC40" s="300"/>
      <c r="GD40" s="300"/>
      <c r="GE40" s="300"/>
      <c r="GF40" s="300"/>
      <c r="GG40" s="300"/>
      <c r="GH40" s="300"/>
      <c r="GI40" s="300"/>
      <c r="GJ40" s="300"/>
      <c r="GK40" s="300"/>
      <c r="GL40" s="300"/>
      <c r="GM40" s="300"/>
      <c r="GN40" s="300"/>
      <c r="GO40" s="300"/>
      <c r="GP40" s="300"/>
      <c r="GQ40" s="300"/>
      <c r="GR40" s="300"/>
      <c r="GS40" s="300"/>
      <c r="GT40" s="300"/>
      <c r="GU40" s="300"/>
      <c r="GV40" s="300"/>
      <c r="GW40" s="300"/>
      <c r="GX40" s="300"/>
      <c r="GY40" s="300"/>
      <c r="GZ40" s="300"/>
      <c r="HA40" s="300"/>
      <c r="HB40" s="300"/>
      <c r="HC40" s="300"/>
      <c r="HD40" s="300"/>
      <c r="HE40" s="300"/>
      <c r="HF40" s="300"/>
      <c r="HG40" s="300"/>
      <c r="HH40" s="300"/>
      <c r="HI40" s="300"/>
      <c r="HJ40" s="300"/>
      <c r="HK40" s="300"/>
      <c r="HL40" s="300"/>
      <c r="HM40" s="300"/>
      <c r="HN40" s="300"/>
      <c r="HO40" s="300"/>
      <c r="HP40" s="300"/>
      <c r="HQ40" s="300"/>
      <c r="HR40" s="300"/>
      <c r="HS40" s="300"/>
      <c r="HT40" s="300"/>
      <c r="HU40" s="300"/>
      <c r="HV40" s="300"/>
      <c r="HW40" s="300"/>
      <c r="HX40" s="300"/>
      <c r="HY40" s="300"/>
      <c r="HZ40" s="300"/>
      <c r="IA40" s="300"/>
      <c r="IB40" s="300"/>
      <c r="IC40" s="300"/>
      <c r="ID40" s="300"/>
      <c r="IE40" s="300"/>
      <c r="IF40" s="300"/>
      <c r="IG40" s="300"/>
      <c r="IH40" s="300"/>
      <c r="II40" s="300"/>
      <c r="IJ40" s="300"/>
      <c r="IK40" s="300"/>
      <c r="IL40" s="303"/>
      <c r="IM40" s="303"/>
      <c r="IN40" s="300"/>
      <c r="IO40" s="300"/>
      <c r="IP40" s="300"/>
      <c r="IQ40" s="300"/>
      <c r="IR40" s="300"/>
      <c r="IS40" s="300"/>
      <c r="IT40" s="300"/>
      <c r="IU40" s="300"/>
      <c r="IV40" s="300"/>
      <c r="IW40" s="300"/>
      <c r="IX40" s="300"/>
      <c r="IY40" s="300"/>
      <c r="IZ40" s="300"/>
      <c r="JA40" s="300"/>
      <c r="JB40" s="300"/>
      <c r="JC40" s="303"/>
      <c r="JD40" s="300"/>
      <c r="JE40" s="300"/>
      <c r="JF40" s="33"/>
      <c r="JG40" s="33"/>
      <c r="JH40" s="33"/>
      <c r="JI40" s="33"/>
      <c r="JJ40" s="33"/>
      <c r="JK40" s="33"/>
      <c r="JL40" s="33"/>
      <c r="JM40" s="33"/>
      <c r="JN40" s="33"/>
      <c r="JO40" s="33"/>
      <c r="JP40" s="33"/>
      <c r="JQ40" s="33"/>
      <c r="JR40" s="33"/>
      <c r="JS40" s="33"/>
      <c r="JT40" s="33"/>
      <c r="JU40" s="33"/>
      <c r="JV40" s="33"/>
      <c r="JW40" s="33"/>
      <c r="JX40" s="33"/>
      <c r="JY40" s="33"/>
      <c r="JZ40" s="33"/>
      <c r="KA40" s="33"/>
      <c r="KB40" s="33"/>
      <c r="KC40" s="33"/>
      <c r="KD40" s="33"/>
      <c r="KE40" s="33"/>
      <c r="KF40" s="33"/>
      <c r="KG40" s="33"/>
      <c r="KH40" s="33"/>
      <c r="KI40" s="33"/>
      <c r="KJ40" s="33"/>
      <c r="KK40" s="33"/>
    </row>
    <row r="41" spans="1:297" ht="10.5" customHeight="1">
      <c r="B41" s="24" t="s">
        <v>1680</v>
      </c>
      <c r="D41" s="24"/>
      <c r="E41" s="24"/>
      <c r="F41" s="24"/>
      <c r="G41" s="24"/>
      <c r="H41" s="24"/>
      <c r="I41" s="12"/>
      <c r="J41" s="510"/>
      <c r="K41" s="510"/>
      <c r="L41" s="32" t="s">
        <v>1681</v>
      </c>
      <c r="M41" s="32"/>
      <c r="N41" s="835"/>
      <c r="O41" s="835"/>
      <c r="P41" s="835"/>
      <c r="Q41" s="835"/>
      <c r="R41" s="835"/>
      <c r="S41" s="15"/>
    </row>
    <row r="42" spans="1:297" ht="85.5" customHeight="1">
      <c r="A42" s="2408"/>
      <c r="B42" s="2409"/>
      <c r="C42" s="2409"/>
      <c r="D42" s="2409"/>
      <c r="E42" s="2409"/>
      <c r="F42" s="2409"/>
      <c r="G42" s="2410"/>
      <c r="H42" s="2409"/>
      <c r="I42" s="2409"/>
      <c r="J42" s="2409"/>
      <c r="K42" s="2411"/>
      <c r="L42" s="2404"/>
      <c r="M42" s="2405"/>
      <c r="N42" s="2406"/>
      <c r="O42" s="2406"/>
      <c r="P42" s="2406"/>
      <c r="Q42" s="2406"/>
      <c r="R42" s="2406"/>
      <c r="S42" s="2407"/>
      <c r="T42" s="299" t="s">
        <v>1161</v>
      </c>
      <c r="W42" s="31"/>
      <c r="X42" s="31"/>
      <c r="Y42" s="31"/>
      <c r="Z42" s="31"/>
      <c r="AA42" s="31"/>
      <c r="AB42" s="31"/>
      <c r="AC42" s="31"/>
      <c r="AD42" s="31"/>
      <c r="AE42" s="31"/>
      <c r="AF42" s="31"/>
      <c r="AG42" s="309"/>
    </row>
    <row r="43" spans="1:297" ht="3" customHeight="1">
      <c r="B43" s="510"/>
      <c r="C43" s="836"/>
      <c r="D43" s="836"/>
      <c r="E43" s="836"/>
      <c r="F43" s="836"/>
      <c r="G43" s="965"/>
      <c r="H43" s="836"/>
      <c r="I43" s="836"/>
      <c r="J43" s="836"/>
      <c r="K43" s="836"/>
      <c r="L43" s="836"/>
      <c r="M43" s="965"/>
      <c r="N43" s="836"/>
      <c r="O43" s="836"/>
      <c r="P43" s="836"/>
      <c r="Q43" s="836"/>
      <c r="R43" s="836"/>
      <c r="S43" s="835"/>
    </row>
    <row r="88" spans="1:34" s="13" customFormat="1" ht="11.25" customHeight="1">
      <c r="A88" s="17"/>
      <c r="B88" s="17"/>
      <c r="C88" s="17"/>
      <c r="D88" s="11"/>
      <c r="E88" s="11"/>
      <c r="F88" s="11"/>
      <c r="G88" s="11"/>
      <c r="H88" s="12"/>
      <c r="I88" s="12"/>
      <c r="J88" s="12"/>
      <c r="K88" s="12"/>
      <c r="L88" s="17"/>
      <c r="M88" s="17"/>
      <c r="N88" s="17"/>
      <c r="O88" s="17"/>
      <c r="P88" s="11"/>
      <c r="Q88" s="12"/>
      <c r="R88" s="12"/>
      <c r="S88" s="17"/>
      <c r="AG88" s="14"/>
      <c r="AH88" s="14"/>
    </row>
    <row r="89" spans="1:34" s="13" customFormat="1" ht="11.25" customHeight="1">
      <c r="A89" s="12"/>
      <c r="B89" s="12"/>
      <c r="C89" s="12"/>
      <c r="D89" s="11"/>
      <c r="E89" s="11"/>
      <c r="F89" s="11"/>
      <c r="G89" s="11"/>
      <c r="H89" s="12"/>
      <c r="I89" s="12"/>
      <c r="J89" s="12"/>
      <c r="K89" s="12"/>
      <c r="L89" s="12"/>
      <c r="M89" s="12"/>
      <c r="N89" s="12"/>
      <c r="O89" s="12"/>
      <c r="P89" s="11"/>
      <c r="Q89" s="12"/>
      <c r="R89" s="12"/>
      <c r="S89" s="12"/>
      <c r="AG89" s="14"/>
      <c r="AH89" s="14"/>
    </row>
    <row r="90" spans="1:34" s="13" customFormat="1" ht="11.25" customHeight="1">
      <c r="A90" s="12"/>
      <c r="B90" s="12"/>
      <c r="C90" s="12"/>
      <c r="D90" s="11"/>
      <c r="E90" s="11"/>
      <c r="F90" s="11"/>
      <c r="G90" s="11"/>
      <c r="H90" s="12"/>
      <c r="I90" s="12"/>
      <c r="J90" s="12"/>
      <c r="K90" s="12"/>
      <c r="L90" s="12"/>
      <c r="M90" s="12"/>
      <c r="N90" s="12"/>
      <c r="O90" s="12"/>
      <c r="P90" s="11"/>
      <c r="Q90" s="12"/>
      <c r="R90" s="12"/>
      <c r="S90" s="12"/>
      <c r="AG90" s="14"/>
      <c r="AH90" s="14"/>
    </row>
    <row r="91" spans="1:34" s="13" customFormat="1" ht="11.25" customHeight="1">
      <c r="A91" s="12"/>
      <c r="B91" s="12"/>
      <c r="C91" s="12"/>
      <c r="D91" s="11"/>
      <c r="E91" s="11"/>
      <c r="F91" s="11"/>
      <c r="G91" s="11"/>
      <c r="H91" s="12"/>
      <c r="I91" s="12"/>
      <c r="J91" s="12"/>
      <c r="K91" s="12"/>
      <c r="L91" s="12"/>
      <c r="M91" s="12"/>
      <c r="N91" s="12"/>
      <c r="O91" s="12"/>
      <c r="P91" s="11"/>
      <c r="Q91" s="12"/>
      <c r="R91" s="12"/>
      <c r="S91" s="12"/>
      <c r="AG91" s="14"/>
      <c r="AH91" s="14"/>
    </row>
    <row r="92" spans="1:34" s="13" customFormat="1" ht="11.25" customHeight="1">
      <c r="A92" s="12"/>
      <c r="B92" s="12"/>
      <c r="C92" s="12"/>
      <c r="D92" s="11"/>
      <c r="E92" s="11"/>
      <c r="F92" s="11"/>
      <c r="G92" s="11"/>
      <c r="H92" s="11"/>
      <c r="I92" s="11"/>
      <c r="J92" s="12"/>
      <c r="K92" s="12"/>
      <c r="L92" s="12"/>
      <c r="M92" s="12"/>
      <c r="N92" s="12"/>
      <c r="O92" s="12"/>
      <c r="P92" s="11"/>
      <c r="Q92" s="12"/>
      <c r="R92" s="11"/>
      <c r="S92" s="12"/>
      <c r="AG92" s="14"/>
      <c r="AH92" s="14"/>
    </row>
    <row r="93" spans="1:34">
      <c r="A93" s="12"/>
      <c r="B93" s="12"/>
      <c r="C93" s="12"/>
      <c r="L93" s="12"/>
      <c r="M93" s="12"/>
      <c r="N93" s="12"/>
      <c r="O93" s="12"/>
      <c r="S93" s="12"/>
    </row>
  </sheetData>
  <sheetProtection formatColumns="0" formatRows="0"/>
  <mergeCells count="24">
    <mergeCell ref="A1:S1"/>
    <mergeCell ref="A18:C20"/>
    <mergeCell ref="A11:C14"/>
    <mergeCell ref="R18:S18"/>
    <mergeCell ref="L7:P7"/>
    <mergeCell ref="A3:S3"/>
    <mergeCell ref="F5:J5"/>
    <mergeCell ref="F6:J6"/>
    <mergeCell ref="L6:P6"/>
    <mergeCell ref="L5:P5"/>
    <mergeCell ref="R20:S21"/>
    <mergeCell ref="A9:B9"/>
    <mergeCell ref="R5:S6"/>
    <mergeCell ref="R8:S9"/>
    <mergeCell ref="L42:S42"/>
    <mergeCell ref="A42:K42"/>
    <mergeCell ref="R11:S13"/>
    <mergeCell ref="R28:S29"/>
    <mergeCell ref="R14:S15"/>
    <mergeCell ref="R17:S17"/>
    <mergeCell ref="R19:S19"/>
    <mergeCell ref="R22:S22"/>
    <mergeCell ref="R25:S27"/>
    <mergeCell ref="R32:S36"/>
  </mergeCells>
  <phoneticPr fontId="7" type="noConversion"/>
  <conditionalFormatting sqref="T38:U40 T17:U24 T29:T30 T32:U32 S31:T31 R30 T25 T33:T37 T11:T12 T9">
    <cfRule type="cellIs" dxfId="50" priority="5" stopIfTrue="1" operator="greaterThan">
      <formula>0</formula>
    </cfRule>
  </conditionalFormatting>
  <printOptions horizontalCentered="1"/>
  <pageMargins left="0.35" right="0.35" top="0.5" bottom="0.4" header="0.3" footer="0.25"/>
  <pageSetup fitToHeight="0" orientation="landscape" r:id="rId1"/>
  <headerFooter alignWithMargins="0">
    <oddHeader>&amp;L&amp;11Georgia Department of Community Affairs&amp;C&amp;11OHF Cost Certification Application&amp;R&amp;11Housing Finance and Development Division</oddHeader>
    <oddFooter>&amp;L&amp;"Arial Narrow,Regular"&amp;G &amp;F&amp;C&amp;"Arial Narrow,Regular"&amp;A&amp;R&amp;"Arial Narrow,Regular"&amp;P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S174"/>
  <sheetViews>
    <sheetView showGridLines="0" zoomScaleNormal="100" workbookViewId="0">
      <selection sqref="A1:K1"/>
    </sheetView>
  </sheetViews>
  <sheetFormatPr defaultColWidth="8.85546875" defaultRowHeight="12.75"/>
  <cols>
    <col min="1" max="1" width="22.140625" style="33" customWidth="1"/>
    <col min="2" max="11" width="12" style="33" customWidth="1"/>
    <col min="12" max="13" width="2.140625" style="33" customWidth="1"/>
    <col min="14" max="14" width="19.140625" style="33" customWidth="1"/>
    <col min="15" max="15" width="83" style="33" customWidth="1"/>
    <col min="16" max="16" width="8.85546875" style="33" customWidth="1"/>
    <col min="17" max="17" width="7.5703125" style="33" hidden="1" customWidth="1"/>
    <col min="18" max="18" width="12.85546875" style="33" hidden="1" customWidth="1"/>
    <col min="19" max="19" width="25" style="33" hidden="1" customWidth="1"/>
    <col min="20" max="16384" width="8.85546875" style="33"/>
  </cols>
  <sheetData>
    <row r="1" spans="1:19" s="1334" customFormat="1" ht="14.1" customHeight="1">
      <c r="A1" s="2450" t="str">
        <f>CONCATENATE("PART SEVEN - OPERATING PRO FORMA","  -  ",'Part I-Project Information'!$O$4," ",'Part I-Project Information'!$F$24,", ",'Part I-Project Information'!$F$27,", ",'Part I-Project Information'!$J$28," County")</f>
        <v>PART SEVEN - OPERATING PRO FORMA  -  20##-### SB OHF Test Villas, Peachtree Corners, Gwinnett County</v>
      </c>
      <c r="B1" s="2451"/>
      <c r="C1" s="2451"/>
      <c r="D1" s="2451"/>
      <c r="E1" s="2451"/>
      <c r="F1" s="2451"/>
      <c r="G1" s="2451"/>
      <c r="H1" s="2451"/>
      <c r="I1" s="2451"/>
      <c r="J1" s="2451"/>
      <c r="K1" s="2452"/>
      <c r="L1" s="4"/>
      <c r="M1" s="4"/>
      <c r="N1" s="2449" t="str">
        <f>A1</f>
        <v>PART SEVEN - OPERATING PRO FORMA  -  20##-### SB OHF Test Villas, Peachtree Corners, Gwinnett County</v>
      </c>
      <c r="O1" s="2449"/>
      <c r="P1" s="4"/>
    </row>
    <row r="2" spans="1:19" ht="13.5" customHeight="1">
      <c r="A2" s="339"/>
      <c r="B2" s="339"/>
      <c r="C2" s="339"/>
      <c r="D2" s="339"/>
      <c r="E2" s="339"/>
      <c r="F2" s="339"/>
      <c r="G2" s="339"/>
      <c r="H2" s="339"/>
      <c r="I2" s="339"/>
      <c r="J2" s="339"/>
      <c r="K2" s="339"/>
      <c r="N2" s="2448" t="s">
        <v>1661</v>
      </c>
      <c r="O2" s="2448"/>
    </row>
    <row r="3" spans="1:19" ht="13.5" customHeight="1">
      <c r="A3" s="5" t="s">
        <v>85</v>
      </c>
      <c r="C3" s="1453"/>
      <c r="D3" s="1335" t="s">
        <v>75</v>
      </c>
      <c r="E3" s="1336"/>
      <c r="F3" s="1337" t="s">
        <v>3418</v>
      </c>
      <c r="N3" s="5" t="str">
        <f>A3</f>
        <v>I.  OPERATING ASSUMPTIONS</v>
      </c>
      <c r="O3" s="9"/>
    </row>
    <row r="4" spans="1:19" ht="2.4500000000000002" customHeight="1">
      <c r="A4" s="1334"/>
      <c r="B4" s="1334"/>
      <c r="C4" s="1453"/>
      <c r="H4" s="1334"/>
      <c r="I4" s="1334"/>
    </row>
    <row r="5" spans="1:19" ht="13.5" customHeight="1">
      <c r="A5" s="1334" t="s">
        <v>1951</v>
      </c>
      <c r="B5" s="1338">
        <v>0.02</v>
      </c>
      <c r="C5" s="1453"/>
      <c r="D5" s="2453" t="s">
        <v>3419</v>
      </c>
      <c r="E5" s="2453"/>
      <c r="F5" s="2453"/>
      <c r="G5" s="1339"/>
      <c r="H5" s="1340" t="s">
        <v>1715</v>
      </c>
      <c r="K5" s="1341" t="str">
        <f>IF(($B$14+$B$15+$B$16+$B$17)=0,"",-B30/($B$14+$B$15+$B$16+$B$17))</f>
        <v/>
      </c>
      <c r="N5" s="2446"/>
      <c r="O5" s="2447"/>
    </row>
    <row r="6" spans="1:19">
      <c r="A6" s="1334" t="s">
        <v>1952</v>
      </c>
      <c r="B6" s="1338">
        <v>0.03</v>
      </c>
      <c r="C6" s="1453"/>
      <c r="D6" s="2453"/>
      <c r="E6" s="2453"/>
      <c r="F6" s="2453"/>
      <c r="G6" s="1342">
        <f>IF(OR('Part III-Sources of Funds'!E5="Yes",'Part III-Sources of Funds'!H5&gt;0),'DCA Underwriting Assumptions'!$Q$96,0)</f>
        <v>0</v>
      </c>
      <c r="H6" s="1334"/>
      <c r="I6" s="1334"/>
      <c r="J6" s="1334"/>
      <c r="K6" s="1334"/>
      <c r="N6" s="2376"/>
      <c r="O6" s="2378"/>
    </row>
    <row r="7" spans="1:19">
      <c r="A7" s="1334" t="s">
        <v>1954</v>
      </c>
      <c r="B7" s="1338">
        <v>0.03</v>
      </c>
      <c r="C7" s="1453"/>
      <c r="D7" s="1343" t="s">
        <v>249</v>
      </c>
      <c r="G7" s="1344"/>
      <c r="H7" s="1340" t="s">
        <v>2109</v>
      </c>
      <c r="K7" s="1341" t="str">
        <f>IF(($B$14+$B$15+$B$16+$B$17)=0,"",-B21/($B$14+$B$15+$B$16+$B$17))</f>
        <v/>
      </c>
      <c r="N7" s="2376"/>
      <c r="O7" s="2378"/>
    </row>
    <row r="8" spans="1:19" ht="13.35" customHeight="1">
      <c r="A8" s="1334" t="s">
        <v>1953</v>
      </c>
      <c r="B8" s="1345">
        <v>7.0000000000000007E-2</v>
      </c>
      <c r="C8" s="1346" t="str">
        <f>IF(B8&lt;0.07, "Must be &gt;= 7%!","")</f>
        <v/>
      </c>
      <c r="D8" s="505" t="s">
        <v>2222</v>
      </c>
      <c r="G8" s="1347"/>
      <c r="H8" s="1348" t="s">
        <v>1326</v>
      </c>
      <c r="K8" s="1349"/>
      <c r="N8" s="2376"/>
      <c r="O8" s="2378"/>
    </row>
    <row r="9" spans="1:19">
      <c r="A9" s="1334" t="s">
        <v>1304</v>
      </c>
      <c r="B9" s="1338">
        <v>0.02</v>
      </c>
      <c r="D9" s="505" t="s">
        <v>1549</v>
      </c>
      <c r="G9" s="1350"/>
      <c r="H9" s="1348" t="s">
        <v>2094</v>
      </c>
      <c r="K9" s="1351"/>
      <c r="N9" s="2304"/>
      <c r="O9" s="2306"/>
    </row>
    <row r="10" spans="1:19" ht="9" customHeight="1"/>
    <row r="11" spans="1:19">
      <c r="A11" s="5" t="s">
        <v>86</v>
      </c>
      <c r="D11" s="1352"/>
      <c r="N11" s="5" t="str">
        <f>A11</f>
        <v>II.  OPERATING PRO FORMA</v>
      </c>
    </row>
    <row r="12" spans="1:19" ht="2.4500000000000002" customHeight="1"/>
    <row r="13" spans="1:19" ht="14.45" customHeight="1">
      <c r="A13" s="5" t="s">
        <v>2199</v>
      </c>
      <c r="B13" s="5">
        <v>1</v>
      </c>
      <c r="C13" s="5">
        <f t="shared" ref="C13:K13" si="0">B13+1</f>
        <v>2</v>
      </c>
      <c r="D13" s="5">
        <f t="shared" si="0"/>
        <v>3</v>
      </c>
      <c r="E13" s="5">
        <f t="shared" si="0"/>
        <v>4</v>
      </c>
      <c r="F13" s="5">
        <f t="shared" si="0"/>
        <v>5</v>
      </c>
      <c r="G13" s="5">
        <f t="shared" si="0"/>
        <v>6</v>
      </c>
      <c r="H13" s="5">
        <f t="shared" si="0"/>
        <v>7</v>
      </c>
      <c r="I13" s="5">
        <f t="shared" si="0"/>
        <v>8</v>
      </c>
      <c r="J13" s="5">
        <f t="shared" si="0"/>
        <v>9</v>
      </c>
      <c r="K13" s="5">
        <f t="shared" si="0"/>
        <v>10</v>
      </c>
      <c r="N13" s="2454" t="s">
        <v>2332</v>
      </c>
      <c r="O13" s="2454"/>
    </row>
    <row r="14" spans="1:19" ht="13.35" customHeight="1">
      <c r="A14" s="1353" t="s">
        <v>2133</v>
      </c>
      <c r="B14" s="1354">
        <f>'Part VI-Revenues &amp; Expenses'!$L$49</f>
        <v>0</v>
      </c>
      <c r="C14" s="1354">
        <f t="shared" ref="C14:K14" si="1">$B$14*(1+$B$5)^(C13-1)</f>
        <v>0</v>
      </c>
      <c r="D14" s="1354">
        <f t="shared" si="1"/>
        <v>0</v>
      </c>
      <c r="E14" s="1354">
        <f t="shared" si="1"/>
        <v>0</v>
      </c>
      <c r="F14" s="1354">
        <f t="shared" si="1"/>
        <v>0</v>
      </c>
      <c r="G14" s="1354">
        <f t="shared" si="1"/>
        <v>0</v>
      </c>
      <c r="H14" s="1354">
        <f t="shared" si="1"/>
        <v>0</v>
      </c>
      <c r="I14" s="1354">
        <f t="shared" si="1"/>
        <v>0</v>
      </c>
      <c r="J14" s="1354">
        <f t="shared" si="1"/>
        <v>0</v>
      </c>
      <c r="K14" s="1355">
        <f t="shared" si="1"/>
        <v>0</v>
      </c>
      <c r="N14" s="2446"/>
      <c r="O14" s="2447"/>
      <c r="S14" s="2455" t="s">
        <v>3420</v>
      </c>
    </row>
    <row r="15" spans="1:19" ht="13.35" customHeight="1">
      <c r="A15" s="292" t="s">
        <v>940</v>
      </c>
      <c r="B15" s="1356">
        <f>MIN(B14*B9,'Part VI-Revenues &amp; Expenses'!$H$174)</f>
        <v>0</v>
      </c>
      <c r="C15" s="1356">
        <f t="shared" ref="C15:K15" si="2">$B$15*(1+$B$5)^(C13-1)</f>
        <v>0</v>
      </c>
      <c r="D15" s="1356">
        <f t="shared" si="2"/>
        <v>0</v>
      </c>
      <c r="E15" s="1356">
        <f t="shared" si="2"/>
        <v>0</v>
      </c>
      <c r="F15" s="1356">
        <f t="shared" si="2"/>
        <v>0</v>
      </c>
      <c r="G15" s="1356">
        <f t="shared" si="2"/>
        <v>0</v>
      </c>
      <c r="H15" s="1356">
        <f t="shared" si="2"/>
        <v>0</v>
      </c>
      <c r="I15" s="1356">
        <f t="shared" si="2"/>
        <v>0</v>
      </c>
      <c r="J15" s="1356">
        <f t="shared" si="2"/>
        <v>0</v>
      </c>
      <c r="K15" s="1357">
        <f t="shared" si="2"/>
        <v>0</v>
      </c>
      <c r="N15" s="2376"/>
      <c r="O15" s="2378"/>
      <c r="S15" s="2456"/>
    </row>
    <row r="16" spans="1:19" ht="13.35" customHeight="1">
      <c r="A16" s="292" t="s">
        <v>2134</v>
      </c>
      <c r="B16" s="1356">
        <f t="shared" ref="B16:K16" si="3">-(B14+B15)*$B$8</f>
        <v>0</v>
      </c>
      <c r="C16" s="1356">
        <f t="shared" si="3"/>
        <v>0</v>
      </c>
      <c r="D16" s="1356">
        <f t="shared" si="3"/>
        <v>0</v>
      </c>
      <c r="E16" s="1356">
        <f t="shared" si="3"/>
        <v>0</v>
      </c>
      <c r="F16" s="1356">
        <f t="shared" si="3"/>
        <v>0</v>
      </c>
      <c r="G16" s="1356">
        <f t="shared" si="3"/>
        <v>0</v>
      </c>
      <c r="H16" s="1356">
        <f t="shared" si="3"/>
        <v>0</v>
      </c>
      <c r="I16" s="1356">
        <f t="shared" si="3"/>
        <v>0</v>
      </c>
      <c r="J16" s="1356">
        <f t="shared" si="3"/>
        <v>0</v>
      </c>
      <c r="K16" s="1357">
        <f t="shared" si="3"/>
        <v>0</v>
      </c>
      <c r="N16" s="2376"/>
      <c r="O16" s="2378"/>
      <c r="Q16" s="2458" t="s">
        <v>3421</v>
      </c>
      <c r="R16" s="2458" t="s">
        <v>3422</v>
      </c>
      <c r="S16" s="2456"/>
    </row>
    <row r="17" spans="1:19" ht="13.35" customHeight="1">
      <c r="A17" s="292" t="s">
        <v>47</v>
      </c>
      <c r="B17" s="1356">
        <f>+'Part VI-Revenues &amp; Expenses'!G180</f>
        <v>0</v>
      </c>
      <c r="C17" s="1356">
        <f>+'Part VI-Revenues &amp; Expenses'!H180</f>
        <v>0</v>
      </c>
      <c r="D17" s="1356">
        <f>+'Part VI-Revenues &amp; Expenses'!I180</f>
        <v>0</v>
      </c>
      <c r="E17" s="1356">
        <f>+'Part VI-Revenues &amp; Expenses'!J180</f>
        <v>0</v>
      </c>
      <c r="F17" s="1356">
        <f>+'Part VI-Revenues &amp; Expenses'!K180</f>
        <v>0</v>
      </c>
      <c r="G17" s="1356">
        <f>+'Part VI-Revenues &amp; Expenses'!L180</f>
        <v>0</v>
      </c>
      <c r="H17" s="1356">
        <f>+'Part VI-Revenues &amp; Expenses'!M180</f>
        <v>0</v>
      </c>
      <c r="I17" s="1356">
        <f>+'Part VI-Revenues &amp; Expenses'!N180</f>
        <v>0</v>
      </c>
      <c r="J17" s="1356">
        <f>+'Part VI-Revenues &amp; Expenses'!O180</f>
        <v>0</v>
      </c>
      <c r="K17" s="1357">
        <f>+'Part VI-Revenues &amp; Expenses'!P180</f>
        <v>0</v>
      </c>
      <c r="N17" s="2376"/>
      <c r="O17" s="2378"/>
      <c r="Q17" s="2458"/>
      <c r="R17" s="2458"/>
      <c r="S17" s="2457"/>
    </row>
    <row r="18" spans="1:19" ht="13.35" customHeight="1">
      <c r="A18" s="292" t="s">
        <v>48</v>
      </c>
      <c r="B18" s="1356">
        <f>'Part VI-Revenues &amp; Expenses'!G184</f>
        <v>0</v>
      </c>
      <c r="C18" s="1356">
        <f>'Part VI-Revenues &amp; Expenses'!H184</f>
        <v>0</v>
      </c>
      <c r="D18" s="1356">
        <f>'Part VI-Revenues &amp; Expenses'!I184</f>
        <v>0</v>
      </c>
      <c r="E18" s="1356">
        <f>'Part VI-Revenues &amp; Expenses'!J184</f>
        <v>0</v>
      </c>
      <c r="F18" s="1356">
        <f>'Part VI-Revenues &amp; Expenses'!K184</f>
        <v>0</v>
      </c>
      <c r="G18" s="1356">
        <f>'Part VI-Revenues &amp; Expenses'!L184</f>
        <v>0</v>
      </c>
      <c r="H18" s="1356">
        <f>'Part VI-Revenues &amp; Expenses'!M184</f>
        <v>0</v>
      </c>
      <c r="I18" s="1356">
        <f>'Part VI-Revenues &amp; Expenses'!N184</f>
        <v>0</v>
      </c>
      <c r="J18" s="1356">
        <f>'Part VI-Revenues &amp; Expenses'!O184</f>
        <v>0</v>
      </c>
      <c r="K18" s="1357">
        <f>'Part VI-Revenues &amp; Expenses'!P184</f>
        <v>0</v>
      </c>
      <c r="N18" s="2376"/>
      <c r="O18" s="2378"/>
    </row>
    <row r="19" spans="1:19" ht="13.35" customHeight="1">
      <c r="A19" s="292" t="s">
        <v>3423</v>
      </c>
      <c r="B19" s="1356">
        <f>SUM(B14:B18)</f>
        <v>0</v>
      </c>
      <c r="C19" s="1356">
        <f t="shared" ref="C19:K19" si="4">SUM(C14:C18)</f>
        <v>0</v>
      </c>
      <c r="D19" s="1356">
        <f t="shared" si="4"/>
        <v>0</v>
      </c>
      <c r="E19" s="1356">
        <f t="shared" si="4"/>
        <v>0</v>
      </c>
      <c r="F19" s="1356">
        <f t="shared" si="4"/>
        <v>0</v>
      </c>
      <c r="G19" s="1356">
        <f t="shared" si="4"/>
        <v>0</v>
      </c>
      <c r="H19" s="1356">
        <f t="shared" si="4"/>
        <v>0</v>
      </c>
      <c r="I19" s="1356">
        <f t="shared" si="4"/>
        <v>0</v>
      </c>
      <c r="J19" s="1356">
        <f t="shared" si="4"/>
        <v>0</v>
      </c>
      <c r="K19" s="1357">
        <f t="shared" si="4"/>
        <v>0</v>
      </c>
      <c r="N19" s="2376"/>
      <c r="O19" s="2378"/>
    </row>
    <row r="20" spans="1:19" ht="13.35" customHeight="1">
      <c r="A20" s="292" t="s">
        <v>571</v>
      </c>
      <c r="B20" s="1356">
        <f>-('Part VI-Revenues &amp; Expenses'!$P$227-'Part VI-Revenues &amp; Expenses'!$P$222)</f>
        <v>0</v>
      </c>
      <c r="C20" s="1356">
        <f t="shared" ref="C20:K20" si="5">$B$20*(1+$B$6)^(C13-1)</f>
        <v>0</v>
      </c>
      <c r="D20" s="1356">
        <f t="shared" si="5"/>
        <v>0</v>
      </c>
      <c r="E20" s="1356">
        <f t="shared" si="5"/>
        <v>0</v>
      </c>
      <c r="F20" s="1356">
        <f t="shared" si="5"/>
        <v>0</v>
      </c>
      <c r="G20" s="1356">
        <f t="shared" si="5"/>
        <v>0</v>
      </c>
      <c r="H20" s="1356">
        <f t="shared" si="5"/>
        <v>0</v>
      </c>
      <c r="I20" s="1356">
        <f t="shared" si="5"/>
        <v>0</v>
      </c>
      <c r="J20" s="1356">
        <f t="shared" si="5"/>
        <v>0</v>
      </c>
      <c r="K20" s="1357">
        <f t="shared" si="5"/>
        <v>0</v>
      </c>
      <c r="N20" s="2376"/>
      <c r="O20" s="2378"/>
      <c r="Q20" s="1358">
        <v>1</v>
      </c>
      <c r="R20" s="1359">
        <f>-B31</f>
        <v>0</v>
      </c>
      <c r="S20" s="1359">
        <f>B32+R20</f>
        <v>0</v>
      </c>
    </row>
    <row r="21" spans="1:19" ht="13.35" customHeight="1">
      <c r="A21" s="292" t="s">
        <v>1035</v>
      </c>
      <c r="B21" s="1356" t="str">
        <f t="shared" ref="B21:K21" si="6">IF(AND($G$8="Yes",$G$9="Yes"),"Choose One!",IF($G$8="Yes",ROUND((-$K$8*(1+$B$6)^(B13-1)),),IF($G$9="Yes",ROUND((-(SUM(B14:B17)*$K$9)),),"Choose mgt fee")))</f>
        <v>Choose mgt fee</v>
      </c>
      <c r="C21" s="1356" t="str">
        <f t="shared" si="6"/>
        <v>Choose mgt fee</v>
      </c>
      <c r="D21" s="1356" t="str">
        <f t="shared" si="6"/>
        <v>Choose mgt fee</v>
      </c>
      <c r="E21" s="1356" t="str">
        <f t="shared" si="6"/>
        <v>Choose mgt fee</v>
      </c>
      <c r="F21" s="1356" t="str">
        <f t="shared" si="6"/>
        <v>Choose mgt fee</v>
      </c>
      <c r="G21" s="1356" t="str">
        <f t="shared" si="6"/>
        <v>Choose mgt fee</v>
      </c>
      <c r="H21" s="1356" t="str">
        <f t="shared" si="6"/>
        <v>Choose mgt fee</v>
      </c>
      <c r="I21" s="1356" t="str">
        <f t="shared" si="6"/>
        <v>Choose mgt fee</v>
      </c>
      <c r="J21" s="1356" t="str">
        <f t="shared" si="6"/>
        <v>Choose mgt fee</v>
      </c>
      <c r="K21" s="1357" t="str">
        <f t="shared" si="6"/>
        <v>Choose mgt fee</v>
      </c>
      <c r="N21" s="2376"/>
      <c r="O21" s="2378"/>
      <c r="Q21" s="1358">
        <v>2</v>
      </c>
      <c r="R21" s="1359">
        <f>-SUM(B31:C31)</f>
        <v>0</v>
      </c>
      <c r="S21" s="1359">
        <f>SUM(B32:C32)+R21</f>
        <v>0</v>
      </c>
    </row>
    <row r="22" spans="1:19" ht="13.35" customHeight="1">
      <c r="A22" s="292" t="s">
        <v>1110</v>
      </c>
      <c r="B22" s="1356">
        <f>-('Part VI-Revenues &amp; Expenses'!$P$231)</f>
        <v>0</v>
      </c>
      <c r="C22" s="1356">
        <f t="shared" ref="C22:K22" si="7">$B$22*(1+$B$7)^(C13-1)</f>
        <v>0</v>
      </c>
      <c r="D22" s="1356">
        <f t="shared" si="7"/>
        <v>0</v>
      </c>
      <c r="E22" s="1356">
        <f t="shared" si="7"/>
        <v>0</v>
      </c>
      <c r="F22" s="1356">
        <f t="shared" si="7"/>
        <v>0</v>
      </c>
      <c r="G22" s="1356">
        <f t="shared" si="7"/>
        <v>0</v>
      </c>
      <c r="H22" s="1356">
        <f t="shared" si="7"/>
        <v>0</v>
      </c>
      <c r="I22" s="1356">
        <f t="shared" si="7"/>
        <v>0</v>
      </c>
      <c r="J22" s="1356">
        <f t="shared" si="7"/>
        <v>0</v>
      </c>
      <c r="K22" s="1357">
        <f t="shared" si="7"/>
        <v>0</v>
      </c>
      <c r="N22" s="2376"/>
      <c r="O22" s="2378"/>
      <c r="Q22" s="1358">
        <v>3</v>
      </c>
      <c r="R22" s="1359">
        <f>-SUM(B31:D31)</f>
        <v>0</v>
      </c>
      <c r="S22" s="1359">
        <f>SUM(B32:D32)+R22</f>
        <v>0</v>
      </c>
    </row>
    <row r="23" spans="1:19" ht="13.35" customHeight="1">
      <c r="A23" s="292" t="s">
        <v>3424</v>
      </c>
      <c r="B23" s="1360">
        <f>IF(B13&lt;=+'Part VI-Revenues &amp; Expenses'!$K$244,-'Part VI-Revenues &amp; Expenses'!$H$244,0)</f>
        <v>0</v>
      </c>
      <c r="C23" s="1360">
        <f>IF(C13&lt;=+'Part VI-Revenues &amp; Expenses'!$K$244,-'Part VI-Revenues &amp; Expenses'!$H$244,0)</f>
        <v>0</v>
      </c>
      <c r="D23" s="1360">
        <f>IF(D13&lt;=+'Part VI-Revenues &amp; Expenses'!$K$244,-'Part VI-Revenues &amp; Expenses'!$H$244,0)</f>
        <v>0</v>
      </c>
      <c r="E23" s="1360">
        <f>IF(E13&lt;=+'Part VI-Revenues &amp; Expenses'!$K$244,-'Part VI-Revenues &amp; Expenses'!$H$244,0)</f>
        <v>0</v>
      </c>
      <c r="F23" s="1360">
        <f>IF(F13&lt;=+'Part VI-Revenues &amp; Expenses'!$K$244,-'Part VI-Revenues &amp; Expenses'!$H$244,0)</f>
        <v>0</v>
      </c>
      <c r="G23" s="1360">
        <f>IF(G13&lt;=+'Part VI-Revenues &amp; Expenses'!$K$244,-'Part VI-Revenues &amp; Expenses'!$H$244,0)</f>
        <v>0</v>
      </c>
      <c r="H23" s="1360">
        <f>IF(H13&lt;=+'Part VI-Revenues &amp; Expenses'!$K$244,-'Part VI-Revenues &amp; Expenses'!$H$244,0)</f>
        <v>0</v>
      </c>
      <c r="I23" s="1360">
        <f>IF(I13&lt;=+'Part VI-Revenues &amp; Expenses'!$K$244,-'Part VI-Revenues &amp; Expenses'!$H$244,0)</f>
        <v>0</v>
      </c>
      <c r="J23" s="1360">
        <f>IF(J13&lt;=+'Part VI-Revenues &amp; Expenses'!$K$244,-'Part VI-Revenues &amp; Expenses'!$H$244,0)</f>
        <v>0</v>
      </c>
      <c r="K23" s="1360">
        <f>IF(K13&lt;=+'Part VI-Revenues &amp; Expenses'!$K$244,-'Part VI-Revenues &amp; Expenses'!$H$244,0)</f>
        <v>0</v>
      </c>
      <c r="N23" s="2376"/>
      <c r="O23" s="2378"/>
      <c r="Q23" s="1358">
        <v>4</v>
      </c>
      <c r="R23" s="1359">
        <f>-SUM(B31:E31)</f>
        <v>0</v>
      </c>
      <c r="S23" s="1359">
        <f>SUM(B32:E32)+R23</f>
        <v>0</v>
      </c>
    </row>
    <row r="24" spans="1:19" ht="13.35" customHeight="1">
      <c r="A24" s="292" t="s">
        <v>1111</v>
      </c>
      <c r="B24" s="1356">
        <f>SUM(B19:B23)</f>
        <v>0</v>
      </c>
      <c r="C24" s="1356">
        <f t="shared" ref="C24:J24" si="8">SUM(C19:C23)</f>
        <v>0</v>
      </c>
      <c r="D24" s="1356">
        <f t="shared" si="8"/>
        <v>0</v>
      </c>
      <c r="E24" s="1356">
        <f t="shared" si="8"/>
        <v>0</v>
      </c>
      <c r="F24" s="1356">
        <f t="shared" si="8"/>
        <v>0</v>
      </c>
      <c r="G24" s="1356">
        <f t="shared" si="8"/>
        <v>0</v>
      </c>
      <c r="H24" s="1356">
        <f t="shared" si="8"/>
        <v>0</v>
      </c>
      <c r="I24" s="1356">
        <f t="shared" si="8"/>
        <v>0</v>
      </c>
      <c r="J24" s="1356">
        <f t="shared" si="8"/>
        <v>0</v>
      </c>
      <c r="K24" s="1361">
        <f>SUM(K19:K23)</f>
        <v>0</v>
      </c>
      <c r="N24" s="2376"/>
      <c r="O24" s="2378"/>
      <c r="Q24" s="1358">
        <v>5</v>
      </c>
      <c r="R24" s="1359">
        <f>-SUM(B31:F31)</f>
        <v>0</v>
      </c>
      <c r="S24" s="1359">
        <f>SUM(B32:F32)+R24</f>
        <v>0</v>
      </c>
    </row>
    <row r="25" spans="1:19" ht="13.35" customHeight="1">
      <c r="A25" s="292" t="s">
        <v>1444</v>
      </c>
      <c r="B25" s="1362">
        <f>IF('Part III-Sources of Funds'!$N$18="", 0,-'Part III-Sources of Funds'!$N$18)</f>
        <v>0</v>
      </c>
      <c r="C25" s="1362">
        <f>IF('Part III-Sources of Funds'!$N$18="", 0,-'Part III-Sources of Funds'!$N$18)</f>
        <v>0</v>
      </c>
      <c r="D25" s="1362">
        <f>IF('Part III-Sources of Funds'!$N$18="", 0,-'Part III-Sources of Funds'!$N$18)</f>
        <v>0</v>
      </c>
      <c r="E25" s="1362">
        <f>IF('Part III-Sources of Funds'!$N$18="", 0,-'Part III-Sources of Funds'!$N$18)</f>
        <v>0</v>
      </c>
      <c r="F25" s="1362">
        <f>IF('Part III-Sources of Funds'!$N$18="", 0,-'Part III-Sources of Funds'!$N$18)</f>
        <v>0</v>
      </c>
      <c r="G25" s="1362">
        <f>IF('Part III-Sources of Funds'!$N$18="", 0,-'Part III-Sources of Funds'!$N$18)</f>
        <v>0</v>
      </c>
      <c r="H25" s="1362">
        <f>IF('Part III-Sources of Funds'!$N$18="", 0,-'Part III-Sources of Funds'!$N$18)</f>
        <v>0</v>
      </c>
      <c r="I25" s="1362">
        <f>IF('Part III-Sources of Funds'!$N$18="", 0,-'Part III-Sources of Funds'!$N$18)</f>
        <v>0</v>
      </c>
      <c r="J25" s="1362">
        <f>IF('Part III-Sources of Funds'!$N$18="", 0,-'Part III-Sources of Funds'!$N$18)</f>
        <v>0</v>
      </c>
      <c r="K25" s="1362">
        <f>IF('Part III-Sources of Funds'!$N$18="", 0,-'Part III-Sources of Funds'!$N$18)</f>
        <v>0</v>
      </c>
      <c r="N25" s="2376"/>
      <c r="O25" s="2378"/>
      <c r="Q25" s="1358">
        <v>6</v>
      </c>
      <c r="R25" s="1359">
        <f>-SUM(B31:G31)</f>
        <v>0</v>
      </c>
      <c r="S25" s="1359">
        <f>SUM(B32:G32)+R25</f>
        <v>0</v>
      </c>
    </row>
    <row r="26" spans="1:19" ht="13.35" customHeight="1">
      <c r="A26" s="292" t="s">
        <v>1445</v>
      </c>
      <c r="B26" s="1363">
        <f>IF('Part III-Sources of Funds'!$N$19="", 0,-'Part III-Sources of Funds'!$N$19)</f>
        <v>0</v>
      </c>
      <c r="C26" s="1363">
        <f>IF('Part III-Sources of Funds'!$N$19="", 0,-'Part III-Sources of Funds'!$N$19)</f>
        <v>0</v>
      </c>
      <c r="D26" s="1363">
        <f>IF('Part III-Sources of Funds'!$N$19="", 0,-'Part III-Sources of Funds'!$N$19)</f>
        <v>0</v>
      </c>
      <c r="E26" s="1363">
        <f>IF('Part III-Sources of Funds'!$N$19="", 0,-'Part III-Sources of Funds'!$N$19)</f>
        <v>0</v>
      </c>
      <c r="F26" s="1363">
        <f>IF('Part III-Sources of Funds'!$N$19="", 0,-'Part III-Sources of Funds'!$N$19)</f>
        <v>0</v>
      </c>
      <c r="G26" s="1363">
        <f>IF('Part III-Sources of Funds'!$N$19="", 0,-'Part III-Sources of Funds'!$N$19)</f>
        <v>0</v>
      </c>
      <c r="H26" s="1363">
        <f>IF('Part III-Sources of Funds'!$N$19="", 0,-'Part III-Sources of Funds'!$N$19)</f>
        <v>0</v>
      </c>
      <c r="I26" s="1363">
        <f>IF('Part III-Sources of Funds'!$N$19="", 0,-'Part III-Sources of Funds'!$N$19)</f>
        <v>0</v>
      </c>
      <c r="J26" s="1363">
        <f>IF('Part III-Sources of Funds'!$N$19="", 0,-'Part III-Sources of Funds'!$N$19)</f>
        <v>0</v>
      </c>
      <c r="K26" s="1363">
        <f>IF('Part III-Sources of Funds'!$N$19="", 0,-'Part III-Sources of Funds'!$N$19)</f>
        <v>0</v>
      </c>
      <c r="N26" s="2376"/>
      <c r="O26" s="2378"/>
      <c r="Q26" s="1358">
        <v>7</v>
      </c>
      <c r="R26" s="1359">
        <f>-SUM(B31:H31)</f>
        <v>0</v>
      </c>
      <c r="S26" s="1359">
        <f>SUM(B32:H32)+R26</f>
        <v>0</v>
      </c>
    </row>
    <row r="27" spans="1:19" ht="13.35" customHeight="1">
      <c r="A27" s="292" t="s">
        <v>1446</v>
      </c>
      <c r="B27" s="1363">
        <f>IF('Part III-Sources of Funds'!$N$20="", 0,-'Part III-Sources of Funds'!$N$20)</f>
        <v>0</v>
      </c>
      <c r="C27" s="1363">
        <f>IF('Part III-Sources of Funds'!$N$20="", 0,-'Part III-Sources of Funds'!$N$20)</f>
        <v>0</v>
      </c>
      <c r="D27" s="1363">
        <f>IF('Part III-Sources of Funds'!$N$20="", 0,-'Part III-Sources of Funds'!$N$20)</f>
        <v>0</v>
      </c>
      <c r="E27" s="1363">
        <f>IF('Part III-Sources of Funds'!$N$20="", 0,-'Part III-Sources of Funds'!$N$20)</f>
        <v>0</v>
      </c>
      <c r="F27" s="1363">
        <f>IF('Part III-Sources of Funds'!$N$20="", 0,-'Part III-Sources of Funds'!$N$20)</f>
        <v>0</v>
      </c>
      <c r="G27" s="1363">
        <f>IF('Part III-Sources of Funds'!$N$20="", 0,-'Part III-Sources of Funds'!$N$20)</f>
        <v>0</v>
      </c>
      <c r="H27" s="1363">
        <f>IF('Part III-Sources of Funds'!$N$20="", 0,-'Part III-Sources of Funds'!$N$20)</f>
        <v>0</v>
      </c>
      <c r="I27" s="1363">
        <f>IF('Part III-Sources of Funds'!$N$20="", 0,-'Part III-Sources of Funds'!$N$20)</f>
        <v>0</v>
      </c>
      <c r="J27" s="1363">
        <f>IF('Part III-Sources of Funds'!$N$20="", 0,-'Part III-Sources of Funds'!$N$20)</f>
        <v>0</v>
      </c>
      <c r="K27" s="1363">
        <f>IF('Part III-Sources of Funds'!$N$20="", 0,-'Part III-Sources of Funds'!$N$20)</f>
        <v>0</v>
      </c>
      <c r="N27" s="2376"/>
      <c r="O27" s="2378"/>
      <c r="Q27" s="1358">
        <v>8</v>
      </c>
      <c r="R27" s="1359">
        <f>-SUM(B31:I31)</f>
        <v>0</v>
      </c>
      <c r="S27" s="1359">
        <f>SUM(B32:I32)+R27</f>
        <v>0</v>
      </c>
    </row>
    <row r="28" spans="1:19" ht="13.35" customHeight="1">
      <c r="A28" s="292" t="s">
        <v>3425</v>
      </c>
      <c r="B28" s="1363">
        <f>IF('Part III-Sources of Funds'!$N$21="", 0,-'Part III-Sources of Funds'!$N$21)</f>
        <v>0</v>
      </c>
      <c r="C28" s="1363">
        <f>IF('Part III-Sources of Funds'!$N$21="", 0,-'Part III-Sources of Funds'!$N$21)</f>
        <v>0</v>
      </c>
      <c r="D28" s="1363">
        <f>IF('Part III-Sources of Funds'!$N$21="", 0,-'Part III-Sources of Funds'!$N$21)</f>
        <v>0</v>
      </c>
      <c r="E28" s="1363">
        <f>IF('Part III-Sources of Funds'!$N$21="", 0,-'Part III-Sources of Funds'!$N$21)</f>
        <v>0</v>
      </c>
      <c r="F28" s="1363">
        <f>IF('Part III-Sources of Funds'!$N$21="", 0,-'Part III-Sources of Funds'!$N$21)</f>
        <v>0</v>
      </c>
      <c r="G28" s="1363">
        <f>IF('Part III-Sources of Funds'!$N$21="", 0,-'Part III-Sources of Funds'!$N$21)</f>
        <v>0</v>
      </c>
      <c r="H28" s="1363">
        <f>IF('Part III-Sources of Funds'!$N$21="", 0,-'Part III-Sources of Funds'!$N$21)</f>
        <v>0</v>
      </c>
      <c r="I28" s="1363">
        <f>IF('Part III-Sources of Funds'!$N$21="", 0,-'Part III-Sources of Funds'!$N$21)</f>
        <v>0</v>
      </c>
      <c r="J28" s="1363">
        <f>IF('Part III-Sources of Funds'!$N$21="", 0,-'Part III-Sources of Funds'!$N$21)</f>
        <v>0</v>
      </c>
      <c r="K28" s="1363">
        <f>IF('Part III-Sources of Funds'!$N$21="", 0,-'Part III-Sources of Funds'!$N$21)</f>
        <v>0</v>
      </c>
      <c r="N28" s="2376"/>
      <c r="O28" s="2378"/>
      <c r="Q28" s="1358">
        <v>9</v>
      </c>
      <c r="R28" s="1359">
        <f>-SUM(B31:J31)</f>
        <v>0</v>
      </c>
      <c r="S28" s="1359">
        <f>SUM(B32:J32)+R28</f>
        <v>0</v>
      </c>
    </row>
    <row r="29" spans="1:19" ht="13.35" customHeight="1">
      <c r="A29" s="292" t="s">
        <v>706</v>
      </c>
      <c r="B29" s="1364"/>
      <c r="C29" s="1364"/>
      <c r="D29" s="1364"/>
      <c r="E29" s="1364"/>
      <c r="F29" s="1364"/>
      <c r="G29" s="1364"/>
      <c r="H29" s="1364"/>
      <c r="I29" s="1364"/>
      <c r="J29" s="1364"/>
      <c r="K29" s="1364"/>
      <c r="N29" s="2376"/>
      <c r="O29" s="2378"/>
      <c r="Q29" s="1358">
        <v>10</v>
      </c>
      <c r="R29" s="1359">
        <f>-SUM(B31:K31)</f>
        <v>0</v>
      </c>
      <c r="S29" s="1359">
        <f>SUM(B32:K32)+R29</f>
        <v>0</v>
      </c>
    </row>
    <row r="30" spans="1:19" ht="13.35" customHeight="1">
      <c r="A30" s="292" t="s">
        <v>1079</v>
      </c>
      <c r="B30" s="1365">
        <f>-$G$5</f>
        <v>0</v>
      </c>
      <c r="C30" s="1365">
        <f t="shared" ref="C30:K30" si="9">+B30</f>
        <v>0</v>
      </c>
      <c r="D30" s="1365">
        <f t="shared" si="9"/>
        <v>0</v>
      </c>
      <c r="E30" s="1365">
        <f t="shared" si="9"/>
        <v>0</v>
      </c>
      <c r="F30" s="1365">
        <f t="shared" si="9"/>
        <v>0</v>
      </c>
      <c r="G30" s="1365">
        <f t="shared" si="9"/>
        <v>0</v>
      </c>
      <c r="H30" s="1365">
        <f t="shared" si="9"/>
        <v>0</v>
      </c>
      <c r="I30" s="1365">
        <f t="shared" si="9"/>
        <v>0</v>
      </c>
      <c r="J30" s="1365">
        <f t="shared" si="9"/>
        <v>0</v>
      </c>
      <c r="K30" s="1365">
        <f t="shared" si="9"/>
        <v>0</v>
      </c>
      <c r="N30" s="2376"/>
      <c r="O30" s="2378"/>
      <c r="Q30" s="1358">
        <v>11</v>
      </c>
      <c r="R30" s="1359">
        <f>-SUM(B31:K31)-B63</f>
        <v>0</v>
      </c>
      <c r="S30" s="1359">
        <f>SUM(B32:K32)+B64+R30</f>
        <v>0</v>
      </c>
    </row>
    <row r="31" spans="1:19" ht="13.35" customHeight="1">
      <c r="A31" s="292" t="s">
        <v>1112</v>
      </c>
      <c r="B31" s="1366">
        <f>IF('Part III-Sources of Funds'!$N$23="", 0,-'Part III-Sources of Funds'!$N$23)</f>
        <v>0</v>
      </c>
      <c r="C31" s="1366">
        <f>IF('Part III-Sources of Funds'!$N$23="", 0,-'Part III-Sources of Funds'!$N$23)</f>
        <v>0</v>
      </c>
      <c r="D31" s="1366">
        <f>IF('Part III-Sources of Funds'!$N$23="", 0,-'Part III-Sources of Funds'!$N$23)</f>
        <v>0</v>
      </c>
      <c r="E31" s="1366">
        <f>IF('Part III-Sources of Funds'!$N$23="", 0,-'Part III-Sources of Funds'!$N$23)</f>
        <v>0</v>
      </c>
      <c r="F31" s="1366">
        <f>IF('Part III-Sources of Funds'!$N$23="", 0,-'Part III-Sources of Funds'!$N$23)</f>
        <v>0</v>
      </c>
      <c r="G31" s="1366">
        <f>IF('Part III-Sources of Funds'!$N$23="", 0,-'Part III-Sources of Funds'!$N$23)</f>
        <v>0</v>
      </c>
      <c r="H31" s="1366">
        <f>IF('Part III-Sources of Funds'!$N$23="", 0,-'Part III-Sources of Funds'!$N$23)</f>
        <v>0</v>
      </c>
      <c r="I31" s="1366">
        <f>IF('Part III-Sources of Funds'!$N$23="", 0,-'Part III-Sources of Funds'!$N$23)</f>
        <v>0</v>
      </c>
      <c r="J31" s="1366">
        <f>IF('Part III-Sources of Funds'!$N$23="", 0,-'Part III-Sources of Funds'!$N$23)</f>
        <v>0</v>
      </c>
      <c r="K31" s="1366">
        <f>IF('Part III-Sources of Funds'!$N$23="", 0,-'Part III-Sources of Funds'!$N$23)</f>
        <v>0</v>
      </c>
      <c r="N31" s="2376"/>
      <c r="O31" s="2378"/>
      <c r="Q31" s="1358">
        <v>12</v>
      </c>
      <c r="R31" s="1359">
        <f>-SUM(B31:K31) - SUM(B63:C63)</f>
        <v>0</v>
      </c>
      <c r="S31" s="1359">
        <f>SUM(B32:K32) + SUM(B64:C64)+R31</f>
        <v>0</v>
      </c>
    </row>
    <row r="32" spans="1:19" ht="13.35" customHeight="1">
      <c r="A32" s="292" t="s">
        <v>1080</v>
      </c>
      <c r="B32" s="1356">
        <f t="shared" ref="B32:K32" si="10">SUM(B24:B31)</f>
        <v>0</v>
      </c>
      <c r="C32" s="1356">
        <f t="shared" si="10"/>
        <v>0</v>
      </c>
      <c r="D32" s="1356">
        <f t="shared" si="10"/>
        <v>0</v>
      </c>
      <c r="E32" s="1356">
        <f t="shared" si="10"/>
        <v>0</v>
      </c>
      <c r="F32" s="1356">
        <f t="shared" si="10"/>
        <v>0</v>
      </c>
      <c r="G32" s="1356">
        <f t="shared" si="10"/>
        <v>0</v>
      </c>
      <c r="H32" s="1356">
        <f t="shared" si="10"/>
        <v>0</v>
      </c>
      <c r="I32" s="1356">
        <f t="shared" si="10"/>
        <v>0</v>
      </c>
      <c r="J32" s="1356">
        <f t="shared" si="10"/>
        <v>0</v>
      </c>
      <c r="K32" s="1357">
        <f t="shared" si="10"/>
        <v>0</v>
      </c>
      <c r="N32" s="2376"/>
      <c r="O32" s="2378"/>
      <c r="Q32" s="1358">
        <v>13</v>
      </c>
      <c r="R32" s="1359">
        <f>-SUM(B31:K31) - SUM(B63:D63)</f>
        <v>0</v>
      </c>
      <c r="S32" s="1359">
        <f>SUM(B32:K32) + SUM(B64:D64)+R32</f>
        <v>0</v>
      </c>
    </row>
    <row r="33" spans="1:19" ht="13.35" customHeight="1">
      <c r="A33" s="292" t="str">
        <f>IF('Part III-Sources of Funds'!$E$38 = "Neither", "", "DCR Mortgage A")</f>
        <v>DCR Mortgage A</v>
      </c>
      <c r="B33" s="1367" t="str">
        <f t="shared" ref="B33:K33" si="11">IF(B25=0,"",-B24/B25)</f>
        <v/>
      </c>
      <c r="C33" s="1367" t="str">
        <f t="shared" si="11"/>
        <v/>
      </c>
      <c r="D33" s="1367" t="str">
        <f t="shared" si="11"/>
        <v/>
      </c>
      <c r="E33" s="1367" t="str">
        <f t="shared" si="11"/>
        <v/>
      </c>
      <c r="F33" s="1367" t="str">
        <f t="shared" si="11"/>
        <v/>
      </c>
      <c r="G33" s="1367" t="str">
        <f t="shared" si="11"/>
        <v/>
      </c>
      <c r="H33" s="1367" t="str">
        <f t="shared" si="11"/>
        <v/>
      </c>
      <c r="I33" s="1367" t="str">
        <f t="shared" si="11"/>
        <v/>
      </c>
      <c r="J33" s="1367" t="str">
        <f t="shared" si="11"/>
        <v/>
      </c>
      <c r="K33" s="1368" t="str">
        <f t="shared" si="11"/>
        <v/>
      </c>
      <c r="N33" s="2376"/>
      <c r="O33" s="2378"/>
      <c r="Q33" s="1358">
        <v>14</v>
      </c>
      <c r="R33" s="1359">
        <f>-SUM(B31:K31) - SUM(B63:E63)</f>
        <v>0</v>
      </c>
      <c r="S33" s="1359">
        <f>SUM(B32:K32) + SUM(B64:E64)+R33</f>
        <v>0</v>
      </c>
    </row>
    <row r="34" spans="1:19" ht="13.35" customHeight="1">
      <c r="A34" s="292" t="str">
        <f>IF('Part III-Sources of Funds'!$E$38 = "Neither", "", "DCR Mortgage B")</f>
        <v>DCR Mortgage B</v>
      </c>
      <c r="B34" s="1367" t="str">
        <f t="shared" ref="B34:K34" si="12">IF(B26=0,"",-(B24+B25)/B26)</f>
        <v/>
      </c>
      <c r="C34" s="1367" t="str">
        <f t="shared" si="12"/>
        <v/>
      </c>
      <c r="D34" s="1367" t="str">
        <f t="shared" si="12"/>
        <v/>
      </c>
      <c r="E34" s="1367" t="str">
        <f t="shared" si="12"/>
        <v/>
      </c>
      <c r="F34" s="1367" t="str">
        <f t="shared" si="12"/>
        <v/>
      </c>
      <c r="G34" s="1367" t="str">
        <f t="shared" si="12"/>
        <v/>
      </c>
      <c r="H34" s="1367" t="str">
        <f t="shared" si="12"/>
        <v/>
      </c>
      <c r="I34" s="1367" t="str">
        <f t="shared" si="12"/>
        <v/>
      </c>
      <c r="J34" s="1367" t="str">
        <f t="shared" si="12"/>
        <v/>
      </c>
      <c r="K34" s="1368" t="str">
        <f t="shared" si="12"/>
        <v/>
      </c>
      <c r="N34" s="2376"/>
      <c r="O34" s="2378"/>
      <c r="Q34" s="1358">
        <v>15</v>
      </c>
      <c r="R34" s="1359">
        <f>-SUM(B31:K31) - SUM(B63:F63)</f>
        <v>0</v>
      </c>
      <c r="S34" s="1359">
        <f>SUM(B32:K32) + SUM(B64:F64)+R34</f>
        <v>0</v>
      </c>
    </row>
    <row r="35" spans="1:19" ht="13.35" customHeight="1">
      <c r="A35" s="292" t="str">
        <f>IF('Part III-Sources of Funds'!$E$38 = "Neither", "DCR First Mortgage", "DCR Mortgage C")</f>
        <v>DCR Mortgage C</v>
      </c>
      <c r="B35" s="1367" t="str">
        <f t="shared" ref="B35:K35" si="13">IF(B27=0,"",-(B24+B25+B26)/B27)</f>
        <v/>
      </c>
      <c r="C35" s="1367" t="str">
        <f t="shared" si="13"/>
        <v/>
      </c>
      <c r="D35" s="1367" t="str">
        <f t="shared" si="13"/>
        <v/>
      </c>
      <c r="E35" s="1367" t="str">
        <f t="shared" si="13"/>
        <v/>
      </c>
      <c r="F35" s="1367" t="str">
        <f t="shared" si="13"/>
        <v/>
      </c>
      <c r="G35" s="1367" t="str">
        <f t="shared" si="13"/>
        <v/>
      </c>
      <c r="H35" s="1367" t="str">
        <f t="shared" si="13"/>
        <v/>
      </c>
      <c r="I35" s="1367" t="str">
        <f t="shared" si="13"/>
        <v/>
      </c>
      <c r="J35" s="1367" t="str">
        <f t="shared" si="13"/>
        <v/>
      </c>
      <c r="K35" s="1368" t="str">
        <f t="shared" si="13"/>
        <v/>
      </c>
      <c r="N35" s="2376"/>
      <c r="O35" s="2378"/>
      <c r="Q35" s="1358">
        <v>16</v>
      </c>
      <c r="R35" s="1359">
        <f>-SUM(B31:K31) - SUM(B63:G63)</f>
        <v>0</v>
      </c>
      <c r="S35" s="1359">
        <f>SUM(B32:K32) + SUM(B64:G64)+R35</f>
        <v>0</v>
      </c>
    </row>
    <row r="36" spans="1:19" ht="13.35" customHeight="1">
      <c r="A36" s="292" t="s">
        <v>723</v>
      </c>
      <c r="B36" s="1367" t="str">
        <f t="shared" ref="B36:K36" si="14">IF(B28=0,"",-(B24+B25+B26+B27)/B28)</f>
        <v/>
      </c>
      <c r="C36" s="1367" t="str">
        <f t="shared" si="14"/>
        <v/>
      </c>
      <c r="D36" s="1367" t="str">
        <f t="shared" si="14"/>
        <v/>
      </c>
      <c r="E36" s="1367" t="str">
        <f t="shared" si="14"/>
        <v/>
      </c>
      <c r="F36" s="1367" t="str">
        <f t="shared" si="14"/>
        <v/>
      </c>
      <c r="G36" s="1367" t="str">
        <f t="shared" si="14"/>
        <v/>
      </c>
      <c r="H36" s="1367" t="str">
        <f t="shared" si="14"/>
        <v/>
      </c>
      <c r="I36" s="1367" t="str">
        <f t="shared" si="14"/>
        <v/>
      </c>
      <c r="J36" s="1367" t="str">
        <f t="shared" si="14"/>
        <v/>
      </c>
      <c r="K36" s="1368" t="str">
        <f t="shared" si="14"/>
        <v/>
      </c>
      <c r="N36" s="2376"/>
      <c r="O36" s="2378"/>
      <c r="Q36" s="1358">
        <v>17</v>
      </c>
      <c r="R36" s="1359">
        <f>-SUM(B31:K31) - SUM(B63:H63)</f>
        <v>0</v>
      </c>
      <c r="S36" s="1359">
        <f>SUM(B32:K32) + SUM(B64:H64)+R36</f>
        <v>0</v>
      </c>
    </row>
    <row r="37" spans="1:19" ht="13.35" customHeight="1">
      <c r="A37" s="292" t="s">
        <v>3426</v>
      </c>
      <c r="B37" s="1367" t="str">
        <f t="shared" ref="B37:K37" si="15">IF(AND(B25=0,B26=0,B27=0,B28=0),"",-B24/(B25+B26+B27+B28))</f>
        <v/>
      </c>
      <c r="C37" s="1367" t="str">
        <f t="shared" si="15"/>
        <v/>
      </c>
      <c r="D37" s="1367" t="str">
        <f t="shared" si="15"/>
        <v/>
      </c>
      <c r="E37" s="1367" t="str">
        <f t="shared" si="15"/>
        <v/>
      </c>
      <c r="F37" s="1367" t="str">
        <f t="shared" si="15"/>
        <v/>
      </c>
      <c r="G37" s="1367" t="str">
        <f t="shared" si="15"/>
        <v/>
      </c>
      <c r="H37" s="1367" t="str">
        <f t="shared" si="15"/>
        <v/>
      </c>
      <c r="I37" s="1367" t="str">
        <f t="shared" si="15"/>
        <v/>
      </c>
      <c r="J37" s="1367" t="str">
        <f t="shared" si="15"/>
        <v/>
      </c>
      <c r="K37" s="1368" t="str">
        <f t="shared" si="15"/>
        <v/>
      </c>
      <c r="N37" s="2376"/>
      <c r="O37" s="2378"/>
      <c r="Q37" s="1358">
        <v>18</v>
      </c>
      <c r="R37" s="1359">
        <f>-SUM(B31:K31) - SUM(B63:I63)</f>
        <v>0</v>
      </c>
      <c r="S37" s="1359">
        <f>SUM(B32:K32) + SUM(B64:I64)+R37</f>
        <v>0</v>
      </c>
    </row>
    <row r="38" spans="1:19" ht="13.35" customHeight="1">
      <c r="A38" s="292" t="s">
        <v>713</v>
      </c>
      <c r="B38" s="1369" t="str">
        <f t="shared" ref="B38:K38" si="16">IF(OR(B21="Choose mgt fee",B21="Choose One!"),"",(B14+B15+B16+B17+B18) / -(B20+B21+B22))</f>
        <v/>
      </c>
      <c r="C38" s="1369" t="str">
        <f t="shared" si="16"/>
        <v/>
      </c>
      <c r="D38" s="1369" t="str">
        <f t="shared" si="16"/>
        <v/>
      </c>
      <c r="E38" s="1369" t="str">
        <f t="shared" si="16"/>
        <v/>
      </c>
      <c r="F38" s="1369" t="str">
        <f t="shared" si="16"/>
        <v/>
      </c>
      <c r="G38" s="1369" t="str">
        <f t="shared" si="16"/>
        <v/>
      </c>
      <c r="H38" s="1369" t="str">
        <f t="shared" si="16"/>
        <v/>
      </c>
      <c r="I38" s="1369" t="str">
        <f t="shared" si="16"/>
        <v/>
      </c>
      <c r="J38" s="1369" t="str">
        <f t="shared" si="16"/>
        <v/>
      </c>
      <c r="K38" s="1370" t="str">
        <f t="shared" si="16"/>
        <v/>
      </c>
      <c r="N38" s="2376"/>
      <c r="O38" s="2378"/>
      <c r="Q38" s="1358">
        <v>19</v>
      </c>
      <c r="R38" s="1359">
        <f>-SUM(B31:K31) - SUM(B63:J63)</f>
        <v>0</v>
      </c>
      <c r="S38" s="1359">
        <f>SUM(B32:K32) + SUM(B64:J64)+R38</f>
        <v>0</v>
      </c>
    </row>
    <row r="39" spans="1:19" ht="13.35" customHeight="1">
      <c r="A39" s="292" t="s">
        <v>2326</v>
      </c>
      <c r="B39" s="1371" t="str">
        <f>IF('Part III-Sources of Funds'!$I$18="","",-FV('Part III-Sources of Funds'!$K$18/12,12,B25/12,'Part III-Sources of Funds'!$I$18))</f>
        <v/>
      </c>
      <c r="C39" s="1371" t="str">
        <f>IF('Part III-Sources of Funds'!$I$18="","",-FV('Part III-Sources of Funds'!$K$18/12,12,C25/12,B39))</f>
        <v/>
      </c>
      <c r="D39" s="1371" t="str">
        <f>IF('Part III-Sources of Funds'!$I$18="","",-FV('Part III-Sources of Funds'!$K$18/12,12,D25/12,C39))</f>
        <v/>
      </c>
      <c r="E39" s="1371" t="str">
        <f>IF('Part III-Sources of Funds'!$I$18="","",-FV('Part III-Sources of Funds'!$K$18/12,12,E25/12,D39))</f>
        <v/>
      </c>
      <c r="F39" s="1371" t="str">
        <f>IF('Part III-Sources of Funds'!$I$18="","",-FV('Part III-Sources of Funds'!$K$18/12,12,F25/12,E39))</f>
        <v/>
      </c>
      <c r="G39" s="1371" t="str">
        <f>IF('Part III-Sources of Funds'!$I$18="","",-FV('Part III-Sources of Funds'!$K$18/12,12,G25/12,F39))</f>
        <v/>
      </c>
      <c r="H39" s="1371" t="str">
        <f>IF('Part III-Sources of Funds'!$I$18="","",-FV('Part III-Sources of Funds'!$K$18/12,12,H25/12,G39))</f>
        <v/>
      </c>
      <c r="I39" s="1371" t="str">
        <f>IF('Part III-Sources of Funds'!$I$18="","",-FV('Part III-Sources of Funds'!$K$18/12,12,I25/12,H39))</f>
        <v/>
      </c>
      <c r="J39" s="1371" t="str">
        <f>IF('Part III-Sources of Funds'!$I$18="","",-FV('Part III-Sources of Funds'!$K$18/12,12,J25/12,I39))</f>
        <v/>
      </c>
      <c r="K39" s="1371" t="str">
        <f>IF('Part III-Sources of Funds'!$I$18="","",-FV('Part III-Sources of Funds'!$K$18/12,12,K25/12,J39))</f>
        <v/>
      </c>
      <c r="N39" s="2376"/>
      <c r="O39" s="2378"/>
      <c r="Q39" s="1358">
        <v>20</v>
      </c>
      <c r="R39" s="1359">
        <f>-SUM(B31:K31) - SUM(B63:K63)</f>
        <v>0</v>
      </c>
      <c r="S39" s="1359">
        <f>SUM(B32:K32) + SUM(B64:K64)+R39</f>
        <v>0</v>
      </c>
    </row>
    <row r="40" spans="1:19" ht="13.35" customHeight="1">
      <c r="A40" s="292" t="s">
        <v>2327</v>
      </c>
      <c r="B40" s="1363" t="str">
        <f>IF('Part III-Sources of Funds'!$I$19="","",-FV('Part III-Sources of Funds'!$K$19/12,12,B26/12,'Part III-Sources of Funds'!$I$19))</f>
        <v/>
      </c>
      <c r="C40" s="1363" t="str">
        <f>IF('Part III-Sources of Funds'!$I$19="","",-FV('Part III-Sources of Funds'!$K$19/12,12,C26/12,B40))</f>
        <v/>
      </c>
      <c r="D40" s="1363" t="str">
        <f>IF('Part III-Sources of Funds'!$I$19="","",-FV('Part III-Sources of Funds'!$K$19/12,12,D26/12,C40))</f>
        <v/>
      </c>
      <c r="E40" s="1363" t="str">
        <f>IF('Part III-Sources of Funds'!$I$19="","",-FV('Part III-Sources of Funds'!$K$19/12,12,E26/12,D40))</f>
        <v/>
      </c>
      <c r="F40" s="1363" t="str">
        <f>IF('Part III-Sources of Funds'!$I$19="","",-FV('Part III-Sources of Funds'!$K$19/12,12,F26/12,E40))</f>
        <v/>
      </c>
      <c r="G40" s="1363" t="str">
        <f>IF('Part III-Sources of Funds'!$I$19="","",-FV('Part III-Sources of Funds'!$K$19/12,12,G26/12,F40))</f>
        <v/>
      </c>
      <c r="H40" s="1363" t="str">
        <f>IF('Part III-Sources of Funds'!$I$19="","",-FV('Part III-Sources of Funds'!$K$19/12,12,H26/12,G40))</f>
        <v/>
      </c>
      <c r="I40" s="1363" t="str">
        <f>IF('Part III-Sources of Funds'!$I$19="","",-FV('Part III-Sources of Funds'!$K$19/12,12,I26/12,H40))</f>
        <v/>
      </c>
      <c r="J40" s="1363" t="str">
        <f>IF('Part III-Sources of Funds'!$I$19="","",-FV('Part III-Sources of Funds'!$K$19/12,12,J26/12,I40))</f>
        <v/>
      </c>
      <c r="K40" s="1363" t="str">
        <f>IF('Part III-Sources of Funds'!$I$19="","",-FV('Part III-Sources of Funds'!$K$19/12,12,K26/12,J40))</f>
        <v/>
      </c>
      <c r="N40" s="2376"/>
      <c r="O40" s="2378"/>
    </row>
    <row r="41" spans="1:19" ht="13.35" customHeight="1">
      <c r="A41" s="292" t="s">
        <v>2328</v>
      </c>
      <c r="B41" s="1363" t="str">
        <f>IF('Part III-Sources of Funds'!$I$20="","",-FV('Part III-Sources of Funds'!$K$20/12,12,B27/12,'Part III-Sources of Funds'!$I$20))</f>
        <v/>
      </c>
      <c r="C41" s="1363" t="str">
        <f>IF('Part III-Sources of Funds'!$I$20="","",-FV('Part III-Sources of Funds'!$K$20/12,12,C27/12,B41))</f>
        <v/>
      </c>
      <c r="D41" s="1363" t="str">
        <f>IF('Part III-Sources of Funds'!$I$20="","",-FV('Part III-Sources of Funds'!$K$20/12,12,D27/12,C41))</f>
        <v/>
      </c>
      <c r="E41" s="1363" t="str">
        <f>IF('Part III-Sources of Funds'!$I$20="","",-FV('Part III-Sources of Funds'!$K$20/12,12,E27/12,D41))</f>
        <v/>
      </c>
      <c r="F41" s="1363" t="str">
        <f>IF('Part III-Sources of Funds'!$I$20="","",-FV('Part III-Sources of Funds'!$K$20/12,12,F27/12,E41))</f>
        <v/>
      </c>
      <c r="G41" s="1363" t="str">
        <f>IF('Part III-Sources of Funds'!$I$20="","",-FV('Part III-Sources of Funds'!$K$20/12,12,G27/12,F41))</f>
        <v/>
      </c>
      <c r="H41" s="1363" t="str">
        <f>IF('Part III-Sources of Funds'!$I$20="","",-FV('Part III-Sources of Funds'!$K$20/12,12,H27/12,G41))</f>
        <v/>
      </c>
      <c r="I41" s="1363" t="str">
        <f>IF('Part III-Sources of Funds'!$I$20="","",-FV('Part III-Sources of Funds'!$K$20/12,12,I27/12,H41))</f>
        <v/>
      </c>
      <c r="J41" s="1363" t="str">
        <f>IF('Part III-Sources of Funds'!$I$20="","",-FV('Part III-Sources of Funds'!$K$20/12,12,J27/12,I41))</f>
        <v/>
      </c>
      <c r="K41" s="1363" t="str">
        <f>IF('Part III-Sources of Funds'!$I$20="","",-FV('Part III-Sources of Funds'!$K$20/12,12,K27/12,J41))</f>
        <v/>
      </c>
      <c r="N41" s="2376"/>
      <c r="O41" s="2378"/>
    </row>
    <row r="42" spans="1:19" ht="13.35" customHeight="1">
      <c r="A42" s="292" t="s">
        <v>724</v>
      </c>
      <c r="B42" s="1363" t="str">
        <f>IF('Part III-Sources of Funds'!$I$21="","",-FV('Part III-Sources of Funds'!$K$21/12,12,B28/12,'Part III-Sources of Funds'!$I$21))</f>
        <v/>
      </c>
      <c r="C42" s="1363" t="str">
        <f>IF('Part III-Sources of Funds'!$I$21="","",-FV('Part III-Sources of Funds'!$K$21/12,12,C28/12,B42))</f>
        <v/>
      </c>
      <c r="D42" s="1363" t="str">
        <f>IF('Part III-Sources of Funds'!$I$21="","",-FV('Part III-Sources of Funds'!$K$21/12,12,D28/12,C42))</f>
        <v/>
      </c>
      <c r="E42" s="1363" t="str">
        <f>IF('Part III-Sources of Funds'!$I$21="","",-FV('Part III-Sources of Funds'!$K$21/12,12,E28/12,D42))</f>
        <v/>
      </c>
      <c r="F42" s="1363" t="str">
        <f>IF('Part III-Sources of Funds'!$I$21="","",-FV('Part III-Sources of Funds'!$K$21/12,12,F28/12,E42))</f>
        <v/>
      </c>
      <c r="G42" s="1363" t="str">
        <f>IF('Part III-Sources of Funds'!$I$21="","",-FV('Part III-Sources of Funds'!$K$21/12,12,G28/12,F42))</f>
        <v/>
      </c>
      <c r="H42" s="1363" t="str">
        <f>IF('Part III-Sources of Funds'!$I$21="","",-FV('Part III-Sources of Funds'!$K$21/12,12,H28/12,G42))</f>
        <v/>
      </c>
      <c r="I42" s="1363" t="str">
        <f>IF('Part III-Sources of Funds'!$I$21="","",-FV('Part III-Sources of Funds'!$K$21/12,12,I28/12,H42))</f>
        <v/>
      </c>
      <c r="J42" s="1363" t="str">
        <f>IF('Part III-Sources of Funds'!$I$21="","",-FV('Part III-Sources of Funds'!$K$21/12,12,J28/12,I42))</f>
        <v/>
      </c>
      <c r="K42" s="1363" t="str">
        <f>IF('Part III-Sources of Funds'!$I$21="","",-FV('Part III-Sources of Funds'!$K$21/12,12,K28/12,J42))</f>
        <v/>
      </c>
      <c r="N42" s="2376"/>
      <c r="O42" s="2378"/>
    </row>
    <row r="43" spans="1:19" ht="13.35" customHeight="1">
      <c r="A43" s="292" t="s">
        <v>1145</v>
      </c>
      <c r="B43" s="1366" t="str">
        <f>IF('Part III-Sources of Funds'!$I$23="","",-FV('Part III-Sources of Funds'!$K$23/12,12,B31/12,'Part III-Sources of Funds'!$I$23))</f>
        <v/>
      </c>
      <c r="C43" s="1366" t="str">
        <f>IF('Part III-Sources of Funds'!$I$23="","",IF(-FV('Part III-Sources of Funds'!$K$23/12,12,C31/12,B43)&gt;0,-FV('Part III-Sources of Funds'!$K$23/12,12,C31/12,B43),0))</f>
        <v/>
      </c>
      <c r="D43" s="1366" t="str">
        <f>IF('Part III-Sources of Funds'!$I$23="","",IF(-FV('Part III-Sources of Funds'!$K$23/12,12,D31/12,C43)&gt;0,-FV('Part III-Sources of Funds'!$K$23/12,12,D31/12,C43),0))</f>
        <v/>
      </c>
      <c r="E43" s="1366" t="str">
        <f>IF('Part III-Sources of Funds'!$I$23="","",IF(-FV('Part III-Sources of Funds'!$K$23/12,12,E31/12,D43)&gt;0,-FV('Part III-Sources of Funds'!$K$23/12,12,E31/12,D43),0))</f>
        <v/>
      </c>
      <c r="F43" s="1366" t="str">
        <f>IF('Part III-Sources of Funds'!$I$23="","",IF(-FV('Part III-Sources of Funds'!$K$23/12,12,F31/12,E43)&gt;0,-FV('Part III-Sources of Funds'!$K$23/12,12,F31/12,E43),0))</f>
        <v/>
      </c>
      <c r="G43" s="1366" t="str">
        <f>IF('Part III-Sources of Funds'!$I$23="","",IF(-FV('Part III-Sources of Funds'!$K$23/12,12,G31/12,F43)&gt;0,-FV('Part III-Sources of Funds'!$K$23/12,12,G31/12,F43),0))</f>
        <v/>
      </c>
      <c r="H43" s="1366" t="str">
        <f>IF('Part III-Sources of Funds'!$I$23="","",IF(-FV('Part III-Sources of Funds'!$K$23/12,12,H31/12,G43)&gt;0,-FV('Part III-Sources of Funds'!$K$23/12,12,H31/12,G43),0))</f>
        <v/>
      </c>
      <c r="I43" s="1366" t="str">
        <f>IF('Part III-Sources of Funds'!$I$23="","",IF(-FV('Part III-Sources of Funds'!$K$23/12,12,I31/12,H43)&gt;0,-FV('Part III-Sources of Funds'!$K$23/12,12,I31/12,H43),0))</f>
        <v/>
      </c>
      <c r="J43" s="1366" t="str">
        <f>IF('Part III-Sources of Funds'!$I$23="","",IF(-FV('Part III-Sources of Funds'!$K$23/12,12,J31/12,I43)&gt;0,-FV('Part III-Sources of Funds'!$K$23/12,12,J31/12,I43),0))</f>
        <v/>
      </c>
      <c r="K43" s="1366" t="str">
        <f>IF('Part III-Sources of Funds'!$I$23="","",IF(-FV('Part III-Sources of Funds'!$K$23/12,12,K31/12,J43)&gt;0,-FV('Part III-Sources of Funds'!$K$23/12,12,K31/12,J43),0))</f>
        <v/>
      </c>
      <c r="N43" s="2304"/>
      <c r="O43" s="2306"/>
    </row>
    <row r="44" spans="1:19" ht="4.3499999999999996" customHeight="1">
      <c r="B44" s="1372"/>
      <c r="C44" s="1372"/>
      <c r="D44" s="1372"/>
      <c r="E44" s="1372"/>
      <c r="F44" s="1372"/>
      <c r="G44" s="1372"/>
      <c r="H44" s="1372"/>
      <c r="I44" s="1372"/>
      <c r="J44" s="1372"/>
      <c r="K44" s="1372"/>
    </row>
    <row r="45" spans="1:19" ht="14.45" customHeight="1">
      <c r="A45" s="5" t="s">
        <v>2199</v>
      </c>
      <c r="B45" s="6">
        <f>K13+1</f>
        <v>11</v>
      </c>
      <c r="C45" s="6">
        <f t="shared" ref="C45:K45" si="17">B45+1</f>
        <v>12</v>
      </c>
      <c r="D45" s="6">
        <f t="shared" si="17"/>
        <v>13</v>
      </c>
      <c r="E45" s="6">
        <f t="shared" si="17"/>
        <v>14</v>
      </c>
      <c r="F45" s="6">
        <f t="shared" si="17"/>
        <v>15</v>
      </c>
      <c r="G45" s="6">
        <f t="shared" si="17"/>
        <v>16</v>
      </c>
      <c r="H45" s="6">
        <f t="shared" si="17"/>
        <v>17</v>
      </c>
      <c r="I45" s="6">
        <f t="shared" si="17"/>
        <v>18</v>
      </c>
      <c r="J45" s="6">
        <f t="shared" si="17"/>
        <v>19</v>
      </c>
      <c r="K45" s="6">
        <f t="shared" si="17"/>
        <v>20</v>
      </c>
      <c r="N45" s="2454" t="s">
        <v>2330</v>
      </c>
      <c r="O45" s="2454"/>
    </row>
    <row r="46" spans="1:19" ht="13.35" customHeight="1">
      <c r="A46" s="1353" t="s">
        <v>2133</v>
      </c>
      <c r="B46" s="1354">
        <f t="shared" ref="B46:K46" si="18">$B$14*(1+$B$5)^(B45-1)</f>
        <v>0</v>
      </c>
      <c r="C46" s="1354">
        <f t="shared" si="18"/>
        <v>0</v>
      </c>
      <c r="D46" s="1354">
        <f t="shared" si="18"/>
        <v>0</v>
      </c>
      <c r="E46" s="1354">
        <f t="shared" si="18"/>
        <v>0</v>
      </c>
      <c r="F46" s="1354">
        <f t="shared" si="18"/>
        <v>0</v>
      </c>
      <c r="G46" s="1354">
        <f t="shared" si="18"/>
        <v>0</v>
      </c>
      <c r="H46" s="1354">
        <f t="shared" si="18"/>
        <v>0</v>
      </c>
      <c r="I46" s="1354">
        <f t="shared" si="18"/>
        <v>0</v>
      </c>
      <c r="J46" s="1354">
        <f t="shared" si="18"/>
        <v>0</v>
      </c>
      <c r="K46" s="1355">
        <f t="shared" si="18"/>
        <v>0</v>
      </c>
      <c r="N46" s="2446"/>
      <c r="O46" s="2447"/>
    </row>
    <row r="47" spans="1:19" ht="13.35" customHeight="1">
      <c r="A47" s="292" t="s">
        <v>940</v>
      </c>
      <c r="B47" s="1356">
        <f t="shared" ref="B47:K47" si="19">$B$15*(1+$B$5)^(B45-1)</f>
        <v>0</v>
      </c>
      <c r="C47" s="1356">
        <f t="shared" si="19"/>
        <v>0</v>
      </c>
      <c r="D47" s="1356">
        <f t="shared" si="19"/>
        <v>0</v>
      </c>
      <c r="E47" s="1356">
        <f t="shared" si="19"/>
        <v>0</v>
      </c>
      <c r="F47" s="1356">
        <f t="shared" si="19"/>
        <v>0</v>
      </c>
      <c r="G47" s="1356">
        <f t="shared" si="19"/>
        <v>0</v>
      </c>
      <c r="H47" s="1356">
        <f t="shared" si="19"/>
        <v>0</v>
      </c>
      <c r="I47" s="1356">
        <f t="shared" si="19"/>
        <v>0</v>
      </c>
      <c r="J47" s="1356">
        <f t="shared" si="19"/>
        <v>0</v>
      </c>
      <c r="K47" s="1357">
        <f t="shared" si="19"/>
        <v>0</v>
      </c>
      <c r="N47" s="2376"/>
      <c r="O47" s="2378"/>
    </row>
    <row r="48" spans="1:19" ht="13.35" customHeight="1">
      <c r="A48" s="292" t="s">
        <v>2134</v>
      </c>
      <c r="B48" s="1356">
        <f t="shared" ref="B48:K48" si="20">-(B46+B47)*$B$8</f>
        <v>0</v>
      </c>
      <c r="C48" s="1356">
        <f t="shared" si="20"/>
        <v>0</v>
      </c>
      <c r="D48" s="1356">
        <f t="shared" si="20"/>
        <v>0</v>
      </c>
      <c r="E48" s="1356">
        <f t="shared" si="20"/>
        <v>0</v>
      </c>
      <c r="F48" s="1356">
        <f t="shared" si="20"/>
        <v>0</v>
      </c>
      <c r="G48" s="1356">
        <f t="shared" si="20"/>
        <v>0</v>
      </c>
      <c r="H48" s="1356">
        <f t="shared" si="20"/>
        <v>0</v>
      </c>
      <c r="I48" s="1356">
        <f t="shared" si="20"/>
        <v>0</v>
      </c>
      <c r="J48" s="1356">
        <f t="shared" si="20"/>
        <v>0</v>
      </c>
      <c r="K48" s="1357">
        <f t="shared" si="20"/>
        <v>0</v>
      </c>
      <c r="N48" s="2376"/>
      <c r="O48" s="2378"/>
    </row>
    <row r="49" spans="1:19" ht="13.35" customHeight="1">
      <c r="A49" s="292" t="s">
        <v>47</v>
      </c>
      <c r="B49" s="1356">
        <f>'Part VI-Revenues &amp; Expenses'!G189</f>
        <v>0</v>
      </c>
      <c r="C49" s="1356">
        <f>'Part VI-Revenues &amp; Expenses'!H189</f>
        <v>0</v>
      </c>
      <c r="D49" s="1356">
        <f>'Part VI-Revenues &amp; Expenses'!I189</f>
        <v>0</v>
      </c>
      <c r="E49" s="1356">
        <f>'Part VI-Revenues &amp; Expenses'!J189</f>
        <v>0</v>
      </c>
      <c r="F49" s="1356">
        <f>'Part VI-Revenues &amp; Expenses'!K189</f>
        <v>0</v>
      </c>
      <c r="G49" s="1356">
        <f>'Part VI-Revenues &amp; Expenses'!L189</f>
        <v>0</v>
      </c>
      <c r="H49" s="1356">
        <f>'Part VI-Revenues &amp; Expenses'!M189</f>
        <v>0</v>
      </c>
      <c r="I49" s="1356">
        <f>'Part VI-Revenues &amp; Expenses'!N189</f>
        <v>0</v>
      </c>
      <c r="J49" s="1356">
        <f>'Part VI-Revenues &amp; Expenses'!O189</f>
        <v>0</v>
      </c>
      <c r="K49" s="1357">
        <f>'Part VI-Revenues &amp; Expenses'!P189</f>
        <v>0</v>
      </c>
      <c r="N49" s="2376"/>
      <c r="O49" s="2378"/>
    </row>
    <row r="50" spans="1:19" ht="13.35" customHeight="1">
      <c r="A50" s="292" t="s">
        <v>48</v>
      </c>
      <c r="B50" s="1356">
        <f>'Part VI-Revenues &amp; Expenses'!G193</f>
        <v>0</v>
      </c>
      <c r="C50" s="1356">
        <f>'Part VI-Revenues &amp; Expenses'!H193</f>
        <v>0</v>
      </c>
      <c r="D50" s="1356">
        <f>'Part VI-Revenues &amp; Expenses'!I193</f>
        <v>0</v>
      </c>
      <c r="E50" s="1356">
        <f>'Part VI-Revenues &amp; Expenses'!J193</f>
        <v>0</v>
      </c>
      <c r="F50" s="1356">
        <f>'Part VI-Revenues &amp; Expenses'!K193</f>
        <v>0</v>
      </c>
      <c r="G50" s="1356">
        <f>'Part VI-Revenues &amp; Expenses'!L193</f>
        <v>0</v>
      </c>
      <c r="H50" s="1356">
        <f>'Part VI-Revenues &amp; Expenses'!M193</f>
        <v>0</v>
      </c>
      <c r="I50" s="1356">
        <f>'Part VI-Revenues &amp; Expenses'!N193</f>
        <v>0</v>
      </c>
      <c r="J50" s="1356">
        <f>'Part VI-Revenues &amp; Expenses'!O193</f>
        <v>0</v>
      </c>
      <c r="K50" s="1357">
        <f>'Part VI-Revenues &amp; Expenses'!P193</f>
        <v>0</v>
      </c>
      <c r="N50" s="2376"/>
      <c r="O50" s="2378"/>
    </row>
    <row r="51" spans="1:19" ht="13.35" customHeight="1">
      <c r="A51" s="292" t="s">
        <v>3423</v>
      </c>
      <c r="B51" s="1356">
        <f t="shared" ref="B51:K51" si="21">SUM(B46:B50)</f>
        <v>0</v>
      </c>
      <c r="C51" s="1356">
        <f t="shared" si="21"/>
        <v>0</v>
      </c>
      <c r="D51" s="1356">
        <f t="shared" si="21"/>
        <v>0</v>
      </c>
      <c r="E51" s="1356">
        <f t="shared" si="21"/>
        <v>0</v>
      </c>
      <c r="F51" s="1356">
        <f t="shared" si="21"/>
        <v>0</v>
      </c>
      <c r="G51" s="1356">
        <f t="shared" si="21"/>
        <v>0</v>
      </c>
      <c r="H51" s="1356">
        <f t="shared" si="21"/>
        <v>0</v>
      </c>
      <c r="I51" s="1356">
        <f t="shared" si="21"/>
        <v>0</v>
      </c>
      <c r="J51" s="1356">
        <f t="shared" si="21"/>
        <v>0</v>
      </c>
      <c r="K51" s="1357">
        <f t="shared" si="21"/>
        <v>0</v>
      </c>
      <c r="N51" s="2376"/>
      <c r="O51" s="2378"/>
    </row>
    <row r="52" spans="1:19" ht="13.35" customHeight="1">
      <c r="A52" s="292" t="s">
        <v>571</v>
      </c>
      <c r="B52" s="1356">
        <f t="shared" ref="B52:K52" si="22">$B$20*(1+$B$6)^(B45-1)</f>
        <v>0</v>
      </c>
      <c r="C52" s="1356">
        <f t="shared" si="22"/>
        <v>0</v>
      </c>
      <c r="D52" s="1356">
        <f t="shared" si="22"/>
        <v>0</v>
      </c>
      <c r="E52" s="1356">
        <f t="shared" si="22"/>
        <v>0</v>
      </c>
      <c r="F52" s="1356">
        <f t="shared" si="22"/>
        <v>0</v>
      </c>
      <c r="G52" s="1356">
        <f t="shared" si="22"/>
        <v>0</v>
      </c>
      <c r="H52" s="1356">
        <f t="shared" si="22"/>
        <v>0</v>
      </c>
      <c r="I52" s="1356">
        <f t="shared" si="22"/>
        <v>0</v>
      </c>
      <c r="J52" s="1356">
        <f t="shared" si="22"/>
        <v>0</v>
      </c>
      <c r="K52" s="1357">
        <f t="shared" si="22"/>
        <v>0</v>
      </c>
      <c r="N52" s="2376"/>
      <c r="O52" s="2378"/>
    </row>
    <row r="53" spans="1:19" ht="13.35" customHeight="1">
      <c r="A53" s="292" t="s">
        <v>1035</v>
      </c>
      <c r="B53" s="1356" t="str">
        <f t="shared" ref="B53:K53" si="23">IF(AND($G$8="Yes",$G$9="Yes"),"Choose One!",IF($G$8="Yes",ROUND((-$K$8*(1+$B$6)^(B45-1)),),IF($G$9="Yes",ROUND((-(SUM(B46:B49)*$K$9)),),"Choose mgt fee")))</f>
        <v>Choose mgt fee</v>
      </c>
      <c r="C53" s="1356" t="str">
        <f t="shared" si="23"/>
        <v>Choose mgt fee</v>
      </c>
      <c r="D53" s="1356" t="str">
        <f t="shared" si="23"/>
        <v>Choose mgt fee</v>
      </c>
      <c r="E53" s="1356" t="str">
        <f t="shared" si="23"/>
        <v>Choose mgt fee</v>
      </c>
      <c r="F53" s="1356" t="str">
        <f t="shared" si="23"/>
        <v>Choose mgt fee</v>
      </c>
      <c r="G53" s="1356" t="str">
        <f t="shared" si="23"/>
        <v>Choose mgt fee</v>
      </c>
      <c r="H53" s="1356" t="str">
        <f t="shared" si="23"/>
        <v>Choose mgt fee</v>
      </c>
      <c r="I53" s="1356" t="str">
        <f t="shared" si="23"/>
        <v>Choose mgt fee</v>
      </c>
      <c r="J53" s="1356" t="str">
        <f t="shared" si="23"/>
        <v>Choose mgt fee</v>
      </c>
      <c r="K53" s="1357" t="str">
        <f t="shared" si="23"/>
        <v>Choose mgt fee</v>
      </c>
      <c r="N53" s="2376"/>
      <c r="O53" s="2378"/>
    </row>
    <row r="54" spans="1:19" ht="13.35" customHeight="1">
      <c r="A54" s="292" t="s">
        <v>1110</v>
      </c>
      <c r="B54" s="1356">
        <f t="shared" ref="B54:K54" si="24">$B$22*(1+$B$7)^(B45-1)</f>
        <v>0</v>
      </c>
      <c r="C54" s="1356">
        <f t="shared" si="24"/>
        <v>0</v>
      </c>
      <c r="D54" s="1356">
        <f t="shared" si="24"/>
        <v>0</v>
      </c>
      <c r="E54" s="1356">
        <f t="shared" si="24"/>
        <v>0</v>
      </c>
      <c r="F54" s="1356">
        <f t="shared" si="24"/>
        <v>0</v>
      </c>
      <c r="G54" s="1356">
        <f t="shared" si="24"/>
        <v>0</v>
      </c>
      <c r="H54" s="1356">
        <f t="shared" si="24"/>
        <v>0</v>
      </c>
      <c r="I54" s="1356">
        <f t="shared" si="24"/>
        <v>0</v>
      </c>
      <c r="J54" s="1356">
        <f t="shared" si="24"/>
        <v>0</v>
      </c>
      <c r="K54" s="1357">
        <f t="shared" si="24"/>
        <v>0</v>
      </c>
      <c r="N54" s="2376"/>
      <c r="O54" s="2378"/>
    </row>
    <row r="55" spans="1:19" ht="13.35" customHeight="1">
      <c r="A55" s="292" t="s">
        <v>3424</v>
      </c>
      <c r="B55" s="1360">
        <f>IF(B45&lt;=+'Part VI-Revenues &amp; Expenses'!$K$244,-'Part VI-Revenues &amp; Expenses'!$H$244,0)</f>
        <v>0</v>
      </c>
      <c r="C55" s="1360">
        <f>IF(C45&lt;=+'Part VI-Revenues &amp; Expenses'!$K$244,-'Part VI-Revenues &amp; Expenses'!$H$244,0)</f>
        <v>0</v>
      </c>
      <c r="D55" s="1360">
        <f>IF(D45&lt;=+'Part VI-Revenues &amp; Expenses'!$K$244,-'Part VI-Revenues &amp; Expenses'!$H$244,0)</f>
        <v>0</v>
      </c>
      <c r="E55" s="1360">
        <f>IF(E45&lt;=+'Part VI-Revenues &amp; Expenses'!$K$244,-'Part VI-Revenues &amp; Expenses'!$H$244,0)</f>
        <v>0</v>
      </c>
      <c r="F55" s="1360">
        <f>IF(F45&lt;=+'Part VI-Revenues &amp; Expenses'!$K$244,-'Part VI-Revenues &amp; Expenses'!$H$244,0)</f>
        <v>0</v>
      </c>
      <c r="G55" s="1360">
        <f>IF(G45&lt;=+'Part VI-Revenues &amp; Expenses'!$K$244,-'Part VI-Revenues &amp; Expenses'!$H$244,0)</f>
        <v>0</v>
      </c>
      <c r="H55" s="1360">
        <f>IF(H45&lt;=+'Part VI-Revenues &amp; Expenses'!$K$244,-'Part VI-Revenues &amp; Expenses'!$H$244,0)</f>
        <v>0</v>
      </c>
      <c r="I55" s="1360">
        <f>IF(I45&lt;=+'Part VI-Revenues &amp; Expenses'!$K$244,-'Part VI-Revenues &amp; Expenses'!$H$244,0)</f>
        <v>0</v>
      </c>
      <c r="J55" s="1360">
        <f>IF(J45&lt;=+'Part VI-Revenues &amp; Expenses'!$K$244,-'Part VI-Revenues &amp; Expenses'!$H$244,0)</f>
        <v>0</v>
      </c>
      <c r="K55" s="1360">
        <f>IF(K45&lt;=+'Part VI-Revenues &amp; Expenses'!$K$244,-'Part VI-Revenues &amp; Expenses'!$H$244,0)</f>
        <v>0</v>
      </c>
      <c r="N55" s="2376"/>
      <c r="O55" s="2378"/>
      <c r="Q55" s="1358">
        <v>10</v>
      </c>
      <c r="R55" s="1359">
        <f>-SUM(B60:K60)</f>
        <v>0</v>
      </c>
      <c r="S55" s="1359">
        <f>SUM(B61:K61)+R55</f>
        <v>0</v>
      </c>
    </row>
    <row r="56" spans="1:19" ht="13.35" customHeight="1">
      <c r="A56" s="292" t="s">
        <v>1111</v>
      </c>
      <c r="B56" s="1356">
        <f>SUM(B51:B55)</f>
        <v>0</v>
      </c>
      <c r="C56" s="1356">
        <f t="shared" ref="C56:J56" si="25">SUM(C51:C55)</f>
        <v>0</v>
      </c>
      <c r="D56" s="1356">
        <f t="shared" si="25"/>
        <v>0</v>
      </c>
      <c r="E56" s="1356">
        <f t="shared" si="25"/>
        <v>0</v>
      </c>
      <c r="F56" s="1356">
        <f t="shared" si="25"/>
        <v>0</v>
      </c>
      <c r="G56" s="1356">
        <f t="shared" si="25"/>
        <v>0</v>
      </c>
      <c r="H56" s="1356">
        <f t="shared" si="25"/>
        <v>0</v>
      </c>
      <c r="I56" s="1356">
        <f t="shared" si="25"/>
        <v>0</v>
      </c>
      <c r="J56" s="1356">
        <f t="shared" si="25"/>
        <v>0</v>
      </c>
      <c r="K56" s="1361">
        <f>SUM(K51:K55)</f>
        <v>0</v>
      </c>
      <c r="N56" s="2376"/>
      <c r="O56" s="2378"/>
    </row>
    <row r="57" spans="1:19" ht="13.35" customHeight="1">
      <c r="A57" s="292" t="str">
        <f>$A25</f>
        <v>Mortgage A</v>
      </c>
      <c r="B57" s="1362">
        <f>IF('Part III-Sources of Funds'!$N$18="", 0,-'Part III-Sources of Funds'!$N$18)</f>
        <v>0</v>
      </c>
      <c r="C57" s="1362">
        <f>IF('Part III-Sources of Funds'!$N$18="", 0,-'Part III-Sources of Funds'!$N$18)</f>
        <v>0</v>
      </c>
      <c r="D57" s="1362">
        <f>IF('Part III-Sources of Funds'!$N$18="", 0,-'Part III-Sources of Funds'!$N$18)</f>
        <v>0</v>
      </c>
      <c r="E57" s="1362">
        <f>IF('Part III-Sources of Funds'!$N$18="", 0,-'Part III-Sources of Funds'!$N$18)</f>
        <v>0</v>
      </c>
      <c r="F57" s="1362">
        <f>IF('Part III-Sources of Funds'!$N$18="", 0,-'Part III-Sources of Funds'!$N$18)</f>
        <v>0</v>
      </c>
      <c r="G57" s="1362">
        <f>IF('Part III-Sources of Funds'!$N$18="", 0,-'Part III-Sources of Funds'!$N$18)</f>
        <v>0</v>
      </c>
      <c r="H57" s="1362">
        <f>IF('Part III-Sources of Funds'!$N$18="", 0,-'Part III-Sources of Funds'!$N$18)</f>
        <v>0</v>
      </c>
      <c r="I57" s="1362">
        <f>IF('Part III-Sources of Funds'!$N$18="", 0,-'Part III-Sources of Funds'!$N$18)</f>
        <v>0</v>
      </c>
      <c r="J57" s="1362">
        <f>IF('Part III-Sources of Funds'!$N$18="", 0,-'Part III-Sources of Funds'!$N$18)</f>
        <v>0</v>
      </c>
      <c r="K57" s="1362">
        <f>IF('Part III-Sources of Funds'!$N$18="", 0,-'Part III-Sources of Funds'!$N$18)</f>
        <v>0</v>
      </c>
      <c r="N57" s="2376"/>
      <c r="O57" s="2378"/>
    </row>
    <row r="58" spans="1:19" ht="13.35" customHeight="1">
      <c r="A58" s="292" t="str">
        <f>$A26</f>
        <v>Mortgage B</v>
      </c>
      <c r="B58" s="1363">
        <f>IF('Part III-Sources of Funds'!$N$19="", 0,-'Part III-Sources of Funds'!$N$19)</f>
        <v>0</v>
      </c>
      <c r="C58" s="1363">
        <f>IF('Part III-Sources of Funds'!$N$19="", 0,-'Part III-Sources of Funds'!$N$19)</f>
        <v>0</v>
      </c>
      <c r="D58" s="1363">
        <f>IF('Part III-Sources of Funds'!$N$19="", 0,-'Part III-Sources of Funds'!$N$19)</f>
        <v>0</v>
      </c>
      <c r="E58" s="1363">
        <f>IF('Part III-Sources of Funds'!$N$19="", 0,-'Part III-Sources of Funds'!$N$19)</f>
        <v>0</v>
      </c>
      <c r="F58" s="1363">
        <f>IF('Part III-Sources of Funds'!$N$19="", 0,-'Part III-Sources of Funds'!$N$19)</f>
        <v>0</v>
      </c>
      <c r="G58" s="1363">
        <f>IF('Part III-Sources of Funds'!$N$19="", 0,-'Part III-Sources of Funds'!$N$19)</f>
        <v>0</v>
      </c>
      <c r="H58" s="1363">
        <f>IF('Part III-Sources of Funds'!$N$19="", 0,-'Part III-Sources of Funds'!$N$19)</f>
        <v>0</v>
      </c>
      <c r="I58" s="1363">
        <f>IF('Part III-Sources of Funds'!$N$19="", 0,-'Part III-Sources of Funds'!$N$19)</f>
        <v>0</v>
      </c>
      <c r="J58" s="1363">
        <f>IF('Part III-Sources of Funds'!$N$19="", 0,-'Part III-Sources of Funds'!$N$19)</f>
        <v>0</v>
      </c>
      <c r="K58" s="1363">
        <f>IF('Part III-Sources of Funds'!$N$19="", 0,-'Part III-Sources of Funds'!$N$19)</f>
        <v>0</v>
      </c>
      <c r="N58" s="2376"/>
      <c r="O58" s="2378"/>
    </row>
    <row r="59" spans="1:19" ht="13.35" customHeight="1">
      <c r="A59" s="292" t="str">
        <f>$A27</f>
        <v>Mortgage C</v>
      </c>
      <c r="B59" s="1363">
        <f>IF('Part III-Sources of Funds'!$N$20="", 0,-'Part III-Sources of Funds'!$N$20)</f>
        <v>0</v>
      </c>
      <c r="C59" s="1363">
        <f>IF('Part III-Sources of Funds'!$N$20="", 0,-'Part III-Sources of Funds'!$N$20)</f>
        <v>0</v>
      </c>
      <c r="D59" s="1363">
        <f>IF('Part III-Sources of Funds'!$N$20="", 0,-'Part III-Sources of Funds'!$N$20)</f>
        <v>0</v>
      </c>
      <c r="E59" s="1363">
        <f>IF('Part III-Sources of Funds'!$N$20="", 0,-'Part III-Sources of Funds'!$N$20)</f>
        <v>0</v>
      </c>
      <c r="F59" s="1363">
        <f>IF('Part III-Sources of Funds'!$N$20="", 0,-'Part III-Sources of Funds'!$N$20)</f>
        <v>0</v>
      </c>
      <c r="G59" s="1363">
        <f>IF('Part III-Sources of Funds'!$N$20="", 0,-'Part III-Sources of Funds'!$N$20)</f>
        <v>0</v>
      </c>
      <c r="H59" s="1363">
        <f>IF('Part III-Sources of Funds'!$N$20="", 0,-'Part III-Sources of Funds'!$N$20)</f>
        <v>0</v>
      </c>
      <c r="I59" s="1363">
        <f>IF('Part III-Sources of Funds'!$N$20="", 0,-'Part III-Sources of Funds'!$N$20)</f>
        <v>0</v>
      </c>
      <c r="J59" s="1363">
        <f>IF('Part III-Sources of Funds'!$N$20="", 0,-'Part III-Sources of Funds'!$N$20)</f>
        <v>0</v>
      </c>
      <c r="K59" s="1363">
        <f>IF('Part III-Sources of Funds'!$N$20="", 0,-'Part III-Sources of Funds'!$N$20)</f>
        <v>0</v>
      </c>
      <c r="N59" s="2376"/>
      <c r="O59" s="2378"/>
    </row>
    <row r="60" spans="1:19" ht="13.35" customHeight="1">
      <c r="A60" s="292" t="str">
        <f>$A28</f>
        <v>D/S Other Source,not DDF</v>
      </c>
      <c r="B60" s="1363">
        <f>IF('Part III-Sources of Funds'!$N$21="", 0,-'Part III-Sources of Funds'!$N$21)</f>
        <v>0</v>
      </c>
      <c r="C60" s="1363">
        <f>IF('Part III-Sources of Funds'!$N$21="", 0,-'Part III-Sources of Funds'!$N$21)</f>
        <v>0</v>
      </c>
      <c r="D60" s="1363">
        <f>IF('Part III-Sources of Funds'!$N$21="", 0,-'Part III-Sources of Funds'!$N$21)</f>
        <v>0</v>
      </c>
      <c r="E60" s="1363">
        <f>IF('Part III-Sources of Funds'!$N$21="", 0,-'Part III-Sources of Funds'!$N$21)</f>
        <v>0</v>
      </c>
      <c r="F60" s="1363">
        <f>IF('Part III-Sources of Funds'!$N$21="", 0,-'Part III-Sources of Funds'!$N$21)</f>
        <v>0</v>
      </c>
      <c r="G60" s="1363">
        <f>IF('Part III-Sources of Funds'!$N$21="", 0,-'Part III-Sources of Funds'!$N$21)</f>
        <v>0</v>
      </c>
      <c r="H60" s="1363">
        <f>IF('Part III-Sources of Funds'!$N$21="", 0,-'Part III-Sources of Funds'!$N$21)</f>
        <v>0</v>
      </c>
      <c r="I60" s="1363">
        <f>IF('Part III-Sources of Funds'!$N$21="", 0,-'Part III-Sources of Funds'!$N$21)</f>
        <v>0</v>
      </c>
      <c r="J60" s="1363">
        <f>IF('Part III-Sources of Funds'!$N$21="", 0,-'Part III-Sources of Funds'!$N$21)</f>
        <v>0</v>
      </c>
      <c r="K60" s="1363">
        <f>IF('Part III-Sources of Funds'!$N$21="", 0,-'Part III-Sources of Funds'!$N$21)</f>
        <v>0</v>
      </c>
      <c r="N60" s="2376"/>
      <c r="O60" s="2378"/>
    </row>
    <row r="61" spans="1:19" ht="13.35" customHeight="1">
      <c r="A61" s="292" t="s">
        <v>706</v>
      </c>
      <c r="B61" s="1364"/>
      <c r="C61" s="1364"/>
      <c r="D61" s="1364"/>
      <c r="E61" s="1364"/>
      <c r="F61" s="1364"/>
      <c r="G61" s="1364"/>
      <c r="H61" s="1364"/>
      <c r="I61" s="1364"/>
      <c r="J61" s="1364"/>
      <c r="K61" s="1364"/>
      <c r="N61" s="2376"/>
      <c r="O61" s="2378"/>
    </row>
    <row r="62" spans="1:19" ht="13.35" customHeight="1">
      <c r="A62" s="292" t="s">
        <v>1079</v>
      </c>
      <c r="B62" s="1363">
        <f>+K30</f>
        <v>0</v>
      </c>
      <c r="C62" s="1363">
        <f t="shared" ref="C62:K62" si="26">+B62</f>
        <v>0</v>
      </c>
      <c r="D62" s="1363">
        <f t="shared" si="26"/>
        <v>0</v>
      </c>
      <c r="E62" s="1363">
        <f t="shared" si="26"/>
        <v>0</v>
      </c>
      <c r="F62" s="1363">
        <f t="shared" si="26"/>
        <v>0</v>
      </c>
      <c r="G62" s="1363">
        <f t="shared" si="26"/>
        <v>0</v>
      </c>
      <c r="H62" s="1363">
        <f t="shared" si="26"/>
        <v>0</v>
      </c>
      <c r="I62" s="1363">
        <f t="shared" si="26"/>
        <v>0</v>
      </c>
      <c r="J62" s="1363">
        <f t="shared" si="26"/>
        <v>0</v>
      </c>
      <c r="K62" s="1363">
        <f t="shared" si="26"/>
        <v>0</v>
      </c>
      <c r="N62" s="2376"/>
      <c r="O62" s="2378"/>
      <c r="Q62" s="1358"/>
      <c r="R62" s="1359"/>
    </row>
    <row r="63" spans="1:19" ht="13.35" customHeight="1">
      <c r="A63" s="292" t="s">
        <v>1112</v>
      </c>
      <c r="B63" s="1366">
        <f>IF('Part III-Sources of Funds'!$N$23="", 0,-'Part III-Sources of Funds'!$N$23)</f>
        <v>0</v>
      </c>
      <c r="C63" s="1366">
        <f>IF('Part III-Sources of Funds'!$N$23="", 0,-'Part III-Sources of Funds'!$N$23)</f>
        <v>0</v>
      </c>
      <c r="D63" s="1366">
        <f>IF('Part III-Sources of Funds'!$N$23="", 0,-'Part III-Sources of Funds'!$N$23)</f>
        <v>0</v>
      </c>
      <c r="E63" s="1366">
        <f>IF('Part III-Sources of Funds'!$N$23="", 0,-'Part III-Sources of Funds'!$N$23)</f>
        <v>0</v>
      </c>
      <c r="F63" s="1366">
        <f>IF('Part III-Sources of Funds'!$N$23="", 0,-'Part III-Sources of Funds'!$N$23)</f>
        <v>0</v>
      </c>
      <c r="G63" s="1366"/>
      <c r="H63" s="1366"/>
      <c r="I63" s="1366"/>
      <c r="J63" s="1366"/>
      <c r="K63" s="1366"/>
      <c r="N63" s="2376"/>
      <c r="O63" s="2378"/>
    </row>
    <row r="64" spans="1:19" ht="13.35" customHeight="1">
      <c r="A64" s="292" t="s">
        <v>1080</v>
      </c>
      <c r="B64" s="1356">
        <f t="shared" ref="B64:K64" si="27">SUM(B56:B63)</f>
        <v>0</v>
      </c>
      <c r="C64" s="1356">
        <f t="shared" si="27"/>
        <v>0</v>
      </c>
      <c r="D64" s="1356">
        <f t="shared" si="27"/>
        <v>0</v>
      </c>
      <c r="E64" s="1356">
        <f t="shared" si="27"/>
        <v>0</v>
      </c>
      <c r="F64" s="1356">
        <f t="shared" si="27"/>
        <v>0</v>
      </c>
      <c r="G64" s="1356">
        <f t="shared" si="27"/>
        <v>0</v>
      </c>
      <c r="H64" s="1356">
        <f t="shared" si="27"/>
        <v>0</v>
      </c>
      <c r="I64" s="1356">
        <f t="shared" si="27"/>
        <v>0</v>
      </c>
      <c r="J64" s="1356">
        <f t="shared" si="27"/>
        <v>0</v>
      </c>
      <c r="K64" s="1355">
        <f t="shared" si="27"/>
        <v>0</v>
      </c>
      <c r="N64" s="2376"/>
      <c r="O64" s="2378"/>
    </row>
    <row r="65" spans="1:15" ht="13.35" customHeight="1">
      <c r="A65" s="292" t="str">
        <f>$A33</f>
        <v>DCR Mortgage A</v>
      </c>
      <c r="B65" s="1367" t="str">
        <f t="shared" ref="B65:K65" si="28">IF(B57=0,"",-B56/B57)</f>
        <v/>
      </c>
      <c r="C65" s="1367" t="str">
        <f t="shared" si="28"/>
        <v/>
      </c>
      <c r="D65" s="1367" t="str">
        <f t="shared" si="28"/>
        <v/>
      </c>
      <c r="E65" s="1367" t="str">
        <f t="shared" si="28"/>
        <v/>
      </c>
      <c r="F65" s="1367" t="str">
        <f t="shared" si="28"/>
        <v/>
      </c>
      <c r="G65" s="1367" t="str">
        <f t="shared" si="28"/>
        <v/>
      </c>
      <c r="H65" s="1367" t="str">
        <f t="shared" si="28"/>
        <v/>
      </c>
      <c r="I65" s="1367" t="str">
        <f t="shared" si="28"/>
        <v/>
      </c>
      <c r="J65" s="1367" t="str">
        <f t="shared" si="28"/>
        <v/>
      </c>
      <c r="K65" s="1368" t="str">
        <f t="shared" si="28"/>
        <v/>
      </c>
      <c r="N65" s="2376"/>
      <c r="O65" s="2378"/>
    </row>
    <row r="66" spans="1:15" ht="13.35" customHeight="1">
      <c r="A66" s="292" t="str">
        <f>$A34</f>
        <v>DCR Mortgage B</v>
      </c>
      <c r="B66" s="1367" t="str">
        <f t="shared" ref="B66:K66" si="29">IF(B58=0,"",-(B56+B57)/B58)</f>
        <v/>
      </c>
      <c r="C66" s="1367" t="str">
        <f t="shared" si="29"/>
        <v/>
      </c>
      <c r="D66" s="1367" t="str">
        <f t="shared" si="29"/>
        <v/>
      </c>
      <c r="E66" s="1367" t="str">
        <f t="shared" si="29"/>
        <v/>
      </c>
      <c r="F66" s="1367" t="str">
        <f t="shared" si="29"/>
        <v/>
      </c>
      <c r="G66" s="1367" t="str">
        <f t="shared" si="29"/>
        <v/>
      </c>
      <c r="H66" s="1367" t="str">
        <f t="shared" si="29"/>
        <v/>
      </c>
      <c r="I66" s="1367" t="str">
        <f t="shared" si="29"/>
        <v/>
      </c>
      <c r="J66" s="1367" t="str">
        <f t="shared" si="29"/>
        <v/>
      </c>
      <c r="K66" s="1368" t="str">
        <f t="shared" si="29"/>
        <v/>
      </c>
      <c r="N66" s="2376"/>
      <c r="O66" s="2378"/>
    </row>
    <row r="67" spans="1:15" ht="13.35" customHeight="1">
      <c r="A67" s="292" t="str">
        <f>$A35</f>
        <v>DCR Mortgage C</v>
      </c>
      <c r="B67" s="1367" t="str">
        <f t="shared" ref="B67:K67" si="30">IF(B59=0,"",-(B56+B57+B58)/B59)</f>
        <v/>
      </c>
      <c r="C67" s="1367" t="str">
        <f t="shared" si="30"/>
        <v/>
      </c>
      <c r="D67" s="1367" t="str">
        <f t="shared" si="30"/>
        <v/>
      </c>
      <c r="E67" s="1367" t="str">
        <f t="shared" si="30"/>
        <v/>
      </c>
      <c r="F67" s="1367" t="str">
        <f t="shared" si="30"/>
        <v/>
      </c>
      <c r="G67" s="1367" t="str">
        <f t="shared" si="30"/>
        <v/>
      </c>
      <c r="H67" s="1367" t="str">
        <f t="shared" si="30"/>
        <v/>
      </c>
      <c r="I67" s="1367" t="str">
        <f t="shared" si="30"/>
        <v/>
      </c>
      <c r="J67" s="1367" t="str">
        <f t="shared" si="30"/>
        <v/>
      </c>
      <c r="K67" s="1368" t="str">
        <f t="shared" si="30"/>
        <v/>
      </c>
      <c r="N67" s="2376"/>
      <c r="O67" s="2378"/>
    </row>
    <row r="68" spans="1:15" ht="13.35" customHeight="1">
      <c r="A68" s="292" t="str">
        <f>$A36</f>
        <v>DCR Other Source</v>
      </c>
      <c r="B68" s="1367" t="str">
        <f t="shared" ref="B68:K68" si="31">IF(B60=0,"",-(B56+B57+B58+B59)/B60)</f>
        <v/>
      </c>
      <c r="C68" s="1367" t="str">
        <f t="shared" si="31"/>
        <v/>
      </c>
      <c r="D68" s="1367" t="str">
        <f t="shared" si="31"/>
        <v/>
      </c>
      <c r="E68" s="1367" t="str">
        <f t="shared" si="31"/>
        <v/>
      </c>
      <c r="F68" s="1367" t="str">
        <f t="shared" si="31"/>
        <v/>
      </c>
      <c r="G68" s="1367" t="str">
        <f t="shared" si="31"/>
        <v/>
      </c>
      <c r="H68" s="1367" t="str">
        <f t="shared" si="31"/>
        <v/>
      </c>
      <c r="I68" s="1367" t="str">
        <f t="shared" si="31"/>
        <v/>
      </c>
      <c r="J68" s="1367" t="str">
        <f t="shared" si="31"/>
        <v/>
      </c>
      <c r="K68" s="1368" t="str">
        <f t="shared" si="31"/>
        <v/>
      </c>
      <c r="N68" s="2376"/>
      <c r="O68" s="2378"/>
    </row>
    <row r="69" spans="1:15" ht="13.35" customHeight="1">
      <c r="A69" s="292" t="s">
        <v>3426</v>
      </c>
      <c r="B69" s="1367" t="str">
        <f t="shared" ref="B69:K69" si="32">IF(AND(B57=0,B58=0,B59=0,B60=0),"",-B56/(B57+B58+B59+B60))</f>
        <v/>
      </c>
      <c r="C69" s="1367" t="str">
        <f t="shared" si="32"/>
        <v/>
      </c>
      <c r="D69" s="1367" t="str">
        <f t="shared" si="32"/>
        <v/>
      </c>
      <c r="E69" s="1367" t="str">
        <f t="shared" si="32"/>
        <v/>
      </c>
      <c r="F69" s="1367" t="str">
        <f t="shared" si="32"/>
        <v/>
      </c>
      <c r="G69" s="1367" t="str">
        <f t="shared" si="32"/>
        <v/>
      </c>
      <c r="H69" s="1367" t="str">
        <f t="shared" si="32"/>
        <v/>
      </c>
      <c r="I69" s="1367" t="str">
        <f t="shared" si="32"/>
        <v/>
      </c>
      <c r="J69" s="1367" t="str">
        <f t="shared" si="32"/>
        <v/>
      </c>
      <c r="K69" s="1368" t="str">
        <f t="shared" si="32"/>
        <v/>
      </c>
      <c r="N69" s="2376"/>
      <c r="O69" s="2378"/>
    </row>
    <row r="70" spans="1:15" ht="13.35" customHeight="1">
      <c r="A70" s="292" t="s">
        <v>713</v>
      </c>
      <c r="B70" s="1369" t="str">
        <f t="shared" ref="B70:K70" si="33">IF(OR(B53="Choose mgt fee",B53="Choose One!"),"",(B46+B47+B48+B49+B50) / -(B52+B53+B54))</f>
        <v/>
      </c>
      <c r="C70" s="1369" t="str">
        <f t="shared" si="33"/>
        <v/>
      </c>
      <c r="D70" s="1369" t="str">
        <f t="shared" si="33"/>
        <v/>
      </c>
      <c r="E70" s="1369" t="str">
        <f t="shared" si="33"/>
        <v/>
      </c>
      <c r="F70" s="1369" t="str">
        <f t="shared" si="33"/>
        <v/>
      </c>
      <c r="G70" s="1369" t="str">
        <f t="shared" si="33"/>
        <v/>
      </c>
      <c r="H70" s="1369" t="str">
        <f t="shared" si="33"/>
        <v/>
      </c>
      <c r="I70" s="1369" t="str">
        <f t="shared" si="33"/>
        <v/>
      </c>
      <c r="J70" s="1369" t="str">
        <f t="shared" si="33"/>
        <v/>
      </c>
      <c r="K70" s="1370" t="str">
        <f t="shared" si="33"/>
        <v/>
      </c>
      <c r="N70" s="2376"/>
      <c r="O70" s="2378"/>
    </row>
    <row r="71" spans="1:15" ht="13.35" customHeight="1">
      <c r="A71" s="292" t="s">
        <v>2326</v>
      </c>
      <c r="B71" s="1371" t="str">
        <f>IF('Part III-Sources of Funds'!$I$18="","",-FV('Part III-Sources of Funds'!$K$18/12,12,B57/12,K39))</f>
        <v/>
      </c>
      <c r="C71" s="1371" t="str">
        <f>IF('Part III-Sources of Funds'!$I$18="","",-FV('Part III-Sources of Funds'!$K$18/12,12,C57/12,B71))</f>
        <v/>
      </c>
      <c r="D71" s="1371" t="str">
        <f>IF('Part III-Sources of Funds'!$I$18="","",-FV('Part III-Sources of Funds'!$K$18/12,12,D57/12,C71))</f>
        <v/>
      </c>
      <c r="E71" s="1371" t="str">
        <f>IF('Part III-Sources of Funds'!$I$18="","",-FV('Part III-Sources of Funds'!$K$18/12,12,E57/12,D71))</f>
        <v/>
      </c>
      <c r="F71" s="1371" t="str">
        <f>IF('Part III-Sources of Funds'!$I$18="","",-FV('Part III-Sources of Funds'!$K$18/12,12,F57/12,E71))</f>
        <v/>
      </c>
      <c r="G71" s="1371" t="str">
        <f>IF('Part III-Sources of Funds'!$I$18="","",-FV('Part III-Sources of Funds'!$K$18/12,12,G57/12,F71))</f>
        <v/>
      </c>
      <c r="H71" s="1371" t="str">
        <f>IF('Part III-Sources of Funds'!$I$18="","",-FV('Part III-Sources of Funds'!$K$18/12,12,H57/12,G71))</f>
        <v/>
      </c>
      <c r="I71" s="1371" t="str">
        <f>IF('Part III-Sources of Funds'!$I$18="","",-FV('Part III-Sources of Funds'!$K$18/12,12,I57/12,H71))</f>
        <v/>
      </c>
      <c r="J71" s="1371" t="str">
        <f>IF('Part III-Sources of Funds'!$I$18="","",-FV('Part III-Sources of Funds'!$K$18/12,12,J57/12,I71))</f>
        <v/>
      </c>
      <c r="K71" s="1371" t="str">
        <f>IF('Part III-Sources of Funds'!$I$18="","",-FV('Part III-Sources of Funds'!$K$18/12,12,K57/12,J71))</f>
        <v/>
      </c>
      <c r="N71" s="2376"/>
      <c r="O71" s="2378"/>
    </row>
    <row r="72" spans="1:15" ht="13.35" customHeight="1">
      <c r="A72" s="292" t="s">
        <v>2327</v>
      </c>
      <c r="B72" s="1363" t="str">
        <f>IF('Part III-Sources of Funds'!$I$19="","",-FV('Part III-Sources of Funds'!$K$19/12,12,B58/12,K40))</f>
        <v/>
      </c>
      <c r="C72" s="1363" t="str">
        <f>IF('Part III-Sources of Funds'!$I$19="","",-FV('Part III-Sources of Funds'!$K$19/12,12,C58/12,B72))</f>
        <v/>
      </c>
      <c r="D72" s="1363" t="str">
        <f>IF('Part III-Sources of Funds'!$I$19="","",-FV('Part III-Sources of Funds'!$K$19/12,12,D58/12,C72))</f>
        <v/>
      </c>
      <c r="E72" s="1363" t="str">
        <f>IF('Part III-Sources of Funds'!$I$19="","",-FV('Part III-Sources of Funds'!$K$19/12,12,E58/12,D72))</f>
        <v/>
      </c>
      <c r="F72" s="1363" t="str">
        <f>IF('Part III-Sources of Funds'!$I$19="","",-FV('Part III-Sources of Funds'!$K$19/12,12,F58/12,E72))</f>
        <v/>
      </c>
      <c r="G72" s="1363" t="str">
        <f>IF('Part III-Sources of Funds'!$I$19="","",-FV('Part III-Sources of Funds'!$K$19/12,12,G58/12,F72))</f>
        <v/>
      </c>
      <c r="H72" s="1363" t="str">
        <f>IF('Part III-Sources of Funds'!$I$19="","",-FV('Part III-Sources of Funds'!$K$19/12,12,H58/12,G72))</f>
        <v/>
      </c>
      <c r="I72" s="1363" t="str">
        <f>IF('Part III-Sources of Funds'!$I$19="","",-FV('Part III-Sources of Funds'!$K$19/12,12,I58/12,H72))</f>
        <v/>
      </c>
      <c r="J72" s="1363" t="str">
        <f>IF('Part III-Sources of Funds'!$I$19="","",-FV('Part III-Sources of Funds'!$K$19/12,12,J58/12,I72))</f>
        <v/>
      </c>
      <c r="K72" s="1363" t="str">
        <f>IF('Part III-Sources of Funds'!$I$19="","",-FV('Part III-Sources of Funds'!$K$19/12,12,K58/12,J72))</f>
        <v/>
      </c>
      <c r="N72" s="2376"/>
      <c r="O72" s="2378"/>
    </row>
    <row r="73" spans="1:15" ht="13.35" customHeight="1">
      <c r="A73" s="292" t="s">
        <v>2328</v>
      </c>
      <c r="B73" s="1363" t="str">
        <f>IF('Part III-Sources of Funds'!$I$20="","",-FV('Part III-Sources of Funds'!$K$20/12,12,B59/12,K41))</f>
        <v/>
      </c>
      <c r="C73" s="1363" t="str">
        <f>IF('Part III-Sources of Funds'!$I$20="","",-FV('Part III-Sources of Funds'!$K$20/12,12,C59/12,B73))</f>
        <v/>
      </c>
      <c r="D73" s="1363" t="str">
        <f>IF('Part III-Sources of Funds'!$I$20="","",-FV('Part III-Sources of Funds'!$K$20/12,12,D59/12,C73))</f>
        <v/>
      </c>
      <c r="E73" s="1363" t="str">
        <f>IF('Part III-Sources of Funds'!$I$20="","",-FV('Part III-Sources of Funds'!$K$20/12,12,E59/12,D73))</f>
        <v/>
      </c>
      <c r="F73" s="1363" t="str">
        <f>IF('Part III-Sources of Funds'!$I$20="","",-FV('Part III-Sources of Funds'!$K$20/12,12,F59/12,E73))</f>
        <v/>
      </c>
      <c r="G73" s="1363" t="str">
        <f>IF('Part III-Sources of Funds'!$I$20="","",-FV('Part III-Sources of Funds'!$K$20/12,12,G59/12,F73))</f>
        <v/>
      </c>
      <c r="H73" s="1363" t="str">
        <f>IF('Part III-Sources of Funds'!$I$20="","",-FV('Part III-Sources of Funds'!$K$20/12,12,H59/12,G73))</f>
        <v/>
      </c>
      <c r="I73" s="1363" t="str">
        <f>IF('Part III-Sources of Funds'!$I$20="","",-FV('Part III-Sources of Funds'!$K$20/12,12,I59/12,H73))</f>
        <v/>
      </c>
      <c r="J73" s="1363" t="str">
        <f>IF('Part III-Sources of Funds'!$I$20="","",-FV('Part III-Sources of Funds'!$K$20/12,12,J59/12,I73))</f>
        <v/>
      </c>
      <c r="K73" s="1363" t="str">
        <f>IF('Part III-Sources of Funds'!$I$20="","",-FV('Part III-Sources of Funds'!$K$20/12,12,K59/12,J73))</f>
        <v/>
      </c>
      <c r="N73" s="2376"/>
      <c r="O73" s="2378"/>
    </row>
    <row r="74" spans="1:15" ht="13.35" customHeight="1">
      <c r="A74" s="292" t="s">
        <v>724</v>
      </c>
      <c r="B74" s="1363" t="str">
        <f>IF('Part III-Sources of Funds'!$I$21="","",-FV('Part III-Sources of Funds'!$K$21/12,12,B60/12,K42))</f>
        <v/>
      </c>
      <c r="C74" s="1363" t="str">
        <f>IF('Part III-Sources of Funds'!$I$21="","",-FV('Part III-Sources of Funds'!$K$21/12,12,C60/12,B74))</f>
        <v/>
      </c>
      <c r="D74" s="1363" t="str">
        <f>IF('Part III-Sources of Funds'!$I$21="","",-FV('Part III-Sources of Funds'!$K$21/12,12,D60/12,C74))</f>
        <v/>
      </c>
      <c r="E74" s="1363" t="str">
        <f>IF('Part III-Sources of Funds'!$I$21="","",-FV('Part III-Sources of Funds'!$K$21/12,12,E60/12,D74))</f>
        <v/>
      </c>
      <c r="F74" s="1363" t="str">
        <f>IF('Part III-Sources of Funds'!$I$21="","",-FV('Part III-Sources of Funds'!$K$21/12,12,F60/12,E74))</f>
        <v/>
      </c>
      <c r="G74" s="1363" t="str">
        <f>IF('Part III-Sources of Funds'!$I$21="","",-FV('Part III-Sources of Funds'!$K$21/12,12,G60/12,F74))</f>
        <v/>
      </c>
      <c r="H74" s="1363" t="str">
        <f>IF('Part III-Sources of Funds'!$I$21="","",-FV('Part III-Sources of Funds'!$K$21/12,12,H60/12,G74))</f>
        <v/>
      </c>
      <c r="I74" s="1363" t="str">
        <f>IF('Part III-Sources of Funds'!$I$21="","",-FV('Part III-Sources of Funds'!$K$21/12,12,I60/12,H74))</f>
        <v/>
      </c>
      <c r="J74" s="1363" t="str">
        <f>IF('Part III-Sources of Funds'!$I$21="","",-FV('Part III-Sources of Funds'!$K$21/12,12,J60/12,I74))</f>
        <v/>
      </c>
      <c r="K74" s="1363" t="str">
        <f>IF('Part III-Sources of Funds'!$I$21="","",-FV('Part III-Sources of Funds'!$K$21/12,12,K60/12,J74))</f>
        <v/>
      </c>
      <c r="N74" s="2376"/>
      <c r="O74" s="2378"/>
    </row>
    <row r="75" spans="1:15" ht="13.35" customHeight="1">
      <c r="A75" s="292" t="s">
        <v>1145</v>
      </c>
      <c r="B75" s="1366" t="str">
        <f>IF('Part III-Sources of Funds'!$I$23="","",IF(-FV('Part III-Sources of Funds'!$K$23/12,12,B63/12,K43)&gt;0,-FV('Part III-Sources of Funds'!$K$23/12,12,B63/12,K43),0))</f>
        <v/>
      </c>
      <c r="C75" s="1366" t="str">
        <f>IF('Part III-Sources of Funds'!$I$23="","",IF(-FV('Part III-Sources of Funds'!$K$23/12,12,C63/12,B75)&gt;0,-FV('Part III-Sources of Funds'!$K$23/12,12,C63/12,B75),0))</f>
        <v/>
      </c>
      <c r="D75" s="1366" t="str">
        <f>IF('Part III-Sources of Funds'!$I$23="","",IF(-FV('Part III-Sources of Funds'!$K$23/12,12,D63/12,C75)&gt;0,-FV('Part III-Sources of Funds'!$K$23/12,12,D63/12,C75),0))</f>
        <v/>
      </c>
      <c r="E75" s="1366" t="str">
        <f>IF('Part III-Sources of Funds'!$I$23="","",IF(-FV('Part III-Sources of Funds'!$K$23/12,12,E63/12,D75)&gt;0,-FV('Part III-Sources of Funds'!$K$23/12,12,E63/12,D75),0))</f>
        <v/>
      </c>
      <c r="F75" s="1366" t="str">
        <f>IF('Part III-Sources of Funds'!$I$23="","",IF(-FV('Part III-Sources of Funds'!$K$23/12,12,F63/12,E75)&gt;0,-FV('Part III-Sources of Funds'!$K$23/12,12,F63/12,E75),0))</f>
        <v/>
      </c>
      <c r="G75" s="1366" t="str">
        <f>IF('Part III-Sources of Funds'!$I$23="","",IF(-FV('Part III-Sources of Funds'!$K$23/12,12,G63/12,F75)&gt;0,-FV('Part III-Sources of Funds'!$K$23/12,12,G63/12,F75),0))</f>
        <v/>
      </c>
      <c r="H75" s="1366" t="str">
        <f>IF('Part III-Sources of Funds'!$I$41="","",-FV('Part III-Sources of Funds'!$K$41/12,12,H61/12,G75))</f>
        <v/>
      </c>
      <c r="I75" s="1366" t="str">
        <f>IF('Part III-Sources of Funds'!$I$41="","",-FV('Part III-Sources of Funds'!$K$41/12,12,I61/12,H75))</f>
        <v/>
      </c>
      <c r="J75" s="1366" t="str">
        <f>IF('Part III-Sources of Funds'!$I$41="","",-FV('Part III-Sources of Funds'!$K$41/12,12,J61/12,I75))</f>
        <v/>
      </c>
      <c r="K75" s="1366" t="str">
        <f>IF('Part III-Sources of Funds'!$I$41="","",-FV('Part III-Sources of Funds'!$K$41/12,12,K61/12,J75))</f>
        <v/>
      </c>
      <c r="N75" s="2304"/>
      <c r="O75" s="2306"/>
    </row>
    <row r="76" spans="1:15" ht="4.3499999999999996" customHeight="1">
      <c r="B76" s="1372"/>
      <c r="C76" s="1372"/>
      <c r="D76" s="1372"/>
      <c r="E76" s="1372"/>
      <c r="F76" s="1372"/>
      <c r="G76" s="1372"/>
      <c r="H76" s="1372"/>
      <c r="I76" s="1372"/>
      <c r="J76" s="1372"/>
      <c r="K76" s="1372"/>
    </row>
    <row r="77" spans="1:15" ht="14.45" customHeight="1">
      <c r="A77" s="5" t="s">
        <v>2199</v>
      </c>
      <c r="B77" s="6">
        <f>K45+1</f>
        <v>21</v>
      </c>
      <c r="C77" s="6">
        <f t="shared" ref="C77:K77" si="34">B77+1</f>
        <v>22</v>
      </c>
      <c r="D77" s="6">
        <f t="shared" si="34"/>
        <v>23</v>
      </c>
      <c r="E77" s="6">
        <f t="shared" si="34"/>
        <v>24</v>
      </c>
      <c r="F77" s="6">
        <f t="shared" si="34"/>
        <v>25</v>
      </c>
      <c r="G77" s="6">
        <f t="shared" si="34"/>
        <v>26</v>
      </c>
      <c r="H77" s="6">
        <f t="shared" si="34"/>
        <v>27</v>
      </c>
      <c r="I77" s="6">
        <f t="shared" si="34"/>
        <v>28</v>
      </c>
      <c r="J77" s="6">
        <f t="shared" si="34"/>
        <v>29</v>
      </c>
      <c r="K77" s="6">
        <f t="shared" si="34"/>
        <v>30</v>
      </c>
      <c r="N77" s="2454" t="s">
        <v>2331</v>
      </c>
      <c r="O77" s="2454"/>
    </row>
    <row r="78" spans="1:15" ht="13.35" customHeight="1">
      <c r="A78" s="1353" t="s">
        <v>2133</v>
      </c>
      <c r="B78" s="1354">
        <f t="shared" ref="B78:K78" si="35">$B$14*(1+$B$5)^(B77-1)</f>
        <v>0</v>
      </c>
      <c r="C78" s="1354">
        <f t="shared" si="35"/>
        <v>0</v>
      </c>
      <c r="D78" s="1354">
        <f t="shared" si="35"/>
        <v>0</v>
      </c>
      <c r="E78" s="1354">
        <f t="shared" si="35"/>
        <v>0</v>
      </c>
      <c r="F78" s="1354">
        <f t="shared" si="35"/>
        <v>0</v>
      </c>
      <c r="G78" s="1354">
        <f t="shared" si="35"/>
        <v>0</v>
      </c>
      <c r="H78" s="1354">
        <f t="shared" si="35"/>
        <v>0</v>
      </c>
      <c r="I78" s="1354">
        <f t="shared" si="35"/>
        <v>0</v>
      </c>
      <c r="J78" s="1354">
        <f t="shared" si="35"/>
        <v>0</v>
      </c>
      <c r="K78" s="1355">
        <f t="shared" si="35"/>
        <v>0</v>
      </c>
      <c r="N78" s="2446"/>
      <c r="O78" s="2447"/>
    </row>
    <row r="79" spans="1:15" ht="13.35" customHeight="1">
      <c r="A79" s="292" t="s">
        <v>940</v>
      </c>
      <c r="B79" s="1356">
        <f t="shared" ref="B79:K79" si="36">$B$15*(1+$B$5)^(B77-1)</f>
        <v>0</v>
      </c>
      <c r="C79" s="1356">
        <f t="shared" si="36"/>
        <v>0</v>
      </c>
      <c r="D79" s="1356">
        <f t="shared" si="36"/>
        <v>0</v>
      </c>
      <c r="E79" s="1356">
        <f t="shared" si="36"/>
        <v>0</v>
      </c>
      <c r="F79" s="1356">
        <f t="shared" si="36"/>
        <v>0</v>
      </c>
      <c r="G79" s="1356">
        <f t="shared" si="36"/>
        <v>0</v>
      </c>
      <c r="H79" s="1356">
        <f t="shared" si="36"/>
        <v>0</v>
      </c>
      <c r="I79" s="1356">
        <f t="shared" si="36"/>
        <v>0</v>
      </c>
      <c r="J79" s="1356">
        <f t="shared" si="36"/>
        <v>0</v>
      </c>
      <c r="K79" s="1357">
        <f t="shared" si="36"/>
        <v>0</v>
      </c>
      <c r="N79" s="2376"/>
      <c r="O79" s="2378"/>
    </row>
    <row r="80" spans="1:15" ht="13.35" customHeight="1">
      <c r="A80" s="292" t="s">
        <v>2134</v>
      </c>
      <c r="B80" s="1356">
        <f t="shared" ref="B80:K80" si="37">-(B78+B79)*$B$8</f>
        <v>0</v>
      </c>
      <c r="C80" s="1356">
        <f t="shared" si="37"/>
        <v>0</v>
      </c>
      <c r="D80" s="1356">
        <f t="shared" si="37"/>
        <v>0</v>
      </c>
      <c r="E80" s="1356">
        <f t="shared" si="37"/>
        <v>0</v>
      </c>
      <c r="F80" s="1356">
        <f t="shared" si="37"/>
        <v>0</v>
      </c>
      <c r="G80" s="1356">
        <f t="shared" si="37"/>
        <v>0</v>
      </c>
      <c r="H80" s="1356">
        <f t="shared" si="37"/>
        <v>0</v>
      </c>
      <c r="I80" s="1356">
        <f t="shared" si="37"/>
        <v>0</v>
      </c>
      <c r="J80" s="1356">
        <f t="shared" si="37"/>
        <v>0</v>
      </c>
      <c r="K80" s="1357">
        <f t="shared" si="37"/>
        <v>0</v>
      </c>
      <c r="N80" s="2376"/>
      <c r="O80" s="2378"/>
    </row>
    <row r="81" spans="1:19" ht="13.35" customHeight="1">
      <c r="A81" s="292" t="s">
        <v>47</v>
      </c>
      <c r="B81" s="1356">
        <f>'Part VI-Revenues &amp; Expenses'!G198</f>
        <v>0</v>
      </c>
      <c r="C81" s="1356">
        <f>'Part VI-Revenues &amp; Expenses'!H198</f>
        <v>0</v>
      </c>
      <c r="D81" s="1356">
        <f>'Part VI-Revenues &amp; Expenses'!I198</f>
        <v>0</v>
      </c>
      <c r="E81" s="1356">
        <f>'Part VI-Revenues &amp; Expenses'!J198</f>
        <v>0</v>
      </c>
      <c r="F81" s="1356">
        <f>'Part VI-Revenues &amp; Expenses'!K198</f>
        <v>0</v>
      </c>
      <c r="G81" s="1356">
        <f>'Part VI-Revenues &amp; Expenses'!L198</f>
        <v>0</v>
      </c>
      <c r="H81" s="1356">
        <f>'Part VI-Revenues &amp; Expenses'!M198</f>
        <v>0</v>
      </c>
      <c r="I81" s="1356">
        <f>'Part VI-Revenues &amp; Expenses'!N198</f>
        <v>0</v>
      </c>
      <c r="J81" s="1356">
        <f>'Part VI-Revenues &amp; Expenses'!O198</f>
        <v>0</v>
      </c>
      <c r="K81" s="1357">
        <f>'Part VI-Revenues &amp; Expenses'!P198</f>
        <v>0</v>
      </c>
      <c r="N81" s="2376"/>
      <c r="O81" s="2378"/>
    </row>
    <row r="82" spans="1:19" ht="13.35" customHeight="1">
      <c r="A82" s="292" t="s">
        <v>48</v>
      </c>
      <c r="B82" s="1356">
        <f>'Part VI-Revenues &amp; Expenses'!G202</f>
        <v>0</v>
      </c>
      <c r="C82" s="1356">
        <f>'Part VI-Revenues &amp; Expenses'!H202</f>
        <v>0</v>
      </c>
      <c r="D82" s="1356">
        <f>'Part VI-Revenues &amp; Expenses'!I202</f>
        <v>0</v>
      </c>
      <c r="E82" s="1356">
        <f>'Part VI-Revenues &amp; Expenses'!J202</f>
        <v>0</v>
      </c>
      <c r="F82" s="1356">
        <f>'Part VI-Revenues &amp; Expenses'!K202</f>
        <v>0</v>
      </c>
      <c r="G82" s="1356">
        <f>'Part VI-Revenues &amp; Expenses'!L202</f>
        <v>0</v>
      </c>
      <c r="H82" s="1356">
        <f>'Part VI-Revenues &amp; Expenses'!M202</f>
        <v>0</v>
      </c>
      <c r="I82" s="1356">
        <f>'Part VI-Revenues &amp; Expenses'!N202</f>
        <v>0</v>
      </c>
      <c r="J82" s="1356">
        <f>'Part VI-Revenues &amp; Expenses'!O202</f>
        <v>0</v>
      </c>
      <c r="K82" s="1357">
        <f>'Part VI-Revenues &amp; Expenses'!P202</f>
        <v>0</v>
      </c>
      <c r="N82" s="2376"/>
      <c r="O82" s="2378"/>
    </row>
    <row r="83" spans="1:19" ht="13.35" customHeight="1">
      <c r="A83" s="292" t="s">
        <v>3423</v>
      </c>
      <c r="B83" s="1356">
        <f t="shared" ref="B83:K83" si="38">SUM(B78:B82)</f>
        <v>0</v>
      </c>
      <c r="C83" s="1356">
        <f t="shared" si="38"/>
        <v>0</v>
      </c>
      <c r="D83" s="1356">
        <f t="shared" si="38"/>
        <v>0</v>
      </c>
      <c r="E83" s="1356">
        <f t="shared" si="38"/>
        <v>0</v>
      </c>
      <c r="F83" s="1356">
        <f t="shared" si="38"/>
        <v>0</v>
      </c>
      <c r="G83" s="1356">
        <f t="shared" si="38"/>
        <v>0</v>
      </c>
      <c r="H83" s="1356">
        <f t="shared" si="38"/>
        <v>0</v>
      </c>
      <c r="I83" s="1356">
        <f t="shared" si="38"/>
        <v>0</v>
      </c>
      <c r="J83" s="1356">
        <f t="shared" si="38"/>
        <v>0</v>
      </c>
      <c r="K83" s="1357">
        <f t="shared" si="38"/>
        <v>0</v>
      </c>
      <c r="N83" s="2376"/>
      <c r="O83" s="2378"/>
    </row>
    <row r="84" spans="1:19" ht="13.35" customHeight="1">
      <c r="A84" s="292" t="s">
        <v>571</v>
      </c>
      <c r="B84" s="1356">
        <f t="shared" ref="B84:K84" si="39">$B$20*(1+$B$6)^(B77-1)</f>
        <v>0</v>
      </c>
      <c r="C84" s="1356">
        <f t="shared" si="39"/>
        <v>0</v>
      </c>
      <c r="D84" s="1356">
        <f t="shared" si="39"/>
        <v>0</v>
      </c>
      <c r="E84" s="1356">
        <f t="shared" si="39"/>
        <v>0</v>
      </c>
      <c r="F84" s="1356">
        <f t="shared" si="39"/>
        <v>0</v>
      </c>
      <c r="G84" s="1356">
        <f t="shared" si="39"/>
        <v>0</v>
      </c>
      <c r="H84" s="1356">
        <f t="shared" si="39"/>
        <v>0</v>
      </c>
      <c r="I84" s="1356">
        <f t="shared" si="39"/>
        <v>0</v>
      </c>
      <c r="J84" s="1356">
        <f t="shared" si="39"/>
        <v>0</v>
      </c>
      <c r="K84" s="1357">
        <f t="shared" si="39"/>
        <v>0</v>
      </c>
      <c r="N84" s="2376"/>
      <c r="O84" s="2378"/>
    </row>
    <row r="85" spans="1:19" ht="13.35" customHeight="1">
      <c r="A85" s="292" t="s">
        <v>1035</v>
      </c>
      <c r="B85" s="1356" t="str">
        <f t="shared" ref="B85:K85" si="40">IF(AND($G$8="Yes",$G$9="Yes"),"Choose One!",IF($G$8="Yes",ROUND((-$K$8*(1+$B$6)^(B77-1)),),IF($G$9="Yes",ROUND((-(SUM(B78:B81)*$K$9)),),"Choose mgt fee")))</f>
        <v>Choose mgt fee</v>
      </c>
      <c r="C85" s="1356" t="str">
        <f t="shared" si="40"/>
        <v>Choose mgt fee</v>
      </c>
      <c r="D85" s="1356" t="str">
        <f t="shared" si="40"/>
        <v>Choose mgt fee</v>
      </c>
      <c r="E85" s="1356" t="str">
        <f t="shared" si="40"/>
        <v>Choose mgt fee</v>
      </c>
      <c r="F85" s="1356" t="str">
        <f t="shared" si="40"/>
        <v>Choose mgt fee</v>
      </c>
      <c r="G85" s="1356" t="str">
        <f t="shared" si="40"/>
        <v>Choose mgt fee</v>
      </c>
      <c r="H85" s="1356" t="str">
        <f t="shared" si="40"/>
        <v>Choose mgt fee</v>
      </c>
      <c r="I85" s="1356" t="str">
        <f t="shared" si="40"/>
        <v>Choose mgt fee</v>
      </c>
      <c r="J85" s="1356" t="str">
        <f t="shared" si="40"/>
        <v>Choose mgt fee</v>
      </c>
      <c r="K85" s="1357" t="str">
        <f t="shared" si="40"/>
        <v>Choose mgt fee</v>
      </c>
      <c r="N85" s="2376"/>
      <c r="O85" s="2378"/>
    </row>
    <row r="86" spans="1:19" ht="13.35" customHeight="1">
      <c r="A86" s="292" t="s">
        <v>1110</v>
      </c>
      <c r="B86" s="1356">
        <f t="shared" ref="B86:K86" si="41">$B$22*(1+$B$7)^(B77-1)</f>
        <v>0</v>
      </c>
      <c r="C86" s="1356">
        <f t="shared" si="41"/>
        <v>0</v>
      </c>
      <c r="D86" s="1356">
        <f t="shared" si="41"/>
        <v>0</v>
      </c>
      <c r="E86" s="1356">
        <f t="shared" si="41"/>
        <v>0</v>
      </c>
      <c r="F86" s="1356">
        <f t="shared" si="41"/>
        <v>0</v>
      </c>
      <c r="G86" s="1356">
        <f t="shared" si="41"/>
        <v>0</v>
      </c>
      <c r="H86" s="1356">
        <f t="shared" si="41"/>
        <v>0</v>
      </c>
      <c r="I86" s="1356">
        <f t="shared" si="41"/>
        <v>0</v>
      </c>
      <c r="J86" s="1356">
        <f t="shared" si="41"/>
        <v>0</v>
      </c>
      <c r="K86" s="1357">
        <f t="shared" si="41"/>
        <v>0</v>
      </c>
      <c r="N86" s="2376"/>
      <c r="O86" s="2378"/>
    </row>
    <row r="87" spans="1:19" ht="13.35" customHeight="1">
      <c r="A87" s="292" t="s">
        <v>3424</v>
      </c>
      <c r="B87" s="1360">
        <f>IF(B77&lt;=+'Part VI-Revenues &amp; Expenses'!$K$244,-'Part VI-Revenues &amp; Expenses'!$H$244,0)</f>
        <v>0</v>
      </c>
      <c r="C87" s="1360">
        <f>IF(C77&lt;=+'Part VI-Revenues &amp; Expenses'!$K$244,-'Part VI-Revenues &amp; Expenses'!$H$244,0)</f>
        <v>0</v>
      </c>
      <c r="D87" s="1360">
        <f>IF(D77&lt;=+'Part VI-Revenues &amp; Expenses'!$K$244,-'Part VI-Revenues &amp; Expenses'!$H$244,0)</f>
        <v>0</v>
      </c>
      <c r="E87" s="1360">
        <f>IF(E77&lt;=+'Part VI-Revenues &amp; Expenses'!$K$244,-'Part VI-Revenues &amp; Expenses'!$H$244,0)</f>
        <v>0</v>
      </c>
      <c r="F87" s="1360">
        <f>IF(F77&lt;=+'Part VI-Revenues &amp; Expenses'!$K$244,-'Part VI-Revenues &amp; Expenses'!$H$244,0)</f>
        <v>0</v>
      </c>
      <c r="G87" s="1360">
        <f>IF(G77&lt;=+'Part VI-Revenues &amp; Expenses'!$K$244,-'Part VI-Revenues &amp; Expenses'!$H$244,0)</f>
        <v>0</v>
      </c>
      <c r="H87" s="1360">
        <f>IF(H77&lt;=+'Part VI-Revenues &amp; Expenses'!$K$244,-'Part VI-Revenues &amp; Expenses'!$H$244,0)</f>
        <v>0</v>
      </c>
      <c r="I87" s="1360">
        <f>IF(I77&lt;=+'Part VI-Revenues &amp; Expenses'!$K$244,-'Part VI-Revenues &amp; Expenses'!$H$244,0)</f>
        <v>0</v>
      </c>
      <c r="J87" s="1360">
        <f>IF(J77&lt;=+'Part VI-Revenues &amp; Expenses'!$K$244,-'Part VI-Revenues &amp; Expenses'!$H$244,0)</f>
        <v>0</v>
      </c>
      <c r="K87" s="1360">
        <f>IF(K77&lt;=+'Part VI-Revenues &amp; Expenses'!$K$244,-'Part VI-Revenues &amp; Expenses'!$H$244,0)</f>
        <v>0</v>
      </c>
      <c r="N87" s="2376"/>
      <c r="O87" s="2378"/>
      <c r="Q87" s="1358">
        <v>10</v>
      </c>
      <c r="R87" s="1359">
        <f>-SUM(B92:K92)</f>
        <v>0</v>
      </c>
      <c r="S87" s="1359">
        <f>SUM(B93:K93)+R87</f>
        <v>0</v>
      </c>
    </row>
    <row r="88" spans="1:19" ht="13.35" customHeight="1">
      <c r="A88" s="292" t="s">
        <v>1111</v>
      </c>
      <c r="B88" s="1356">
        <f>SUM(B83:B87)</f>
        <v>0</v>
      </c>
      <c r="C88" s="1356">
        <f t="shared" ref="C88:J88" si="42">SUM(C83:C87)</f>
        <v>0</v>
      </c>
      <c r="D88" s="1356">
        <f t="shared" si="42"/>
        <v>0</v>
      </c>
      <c r="E88" s="1356">
        <f t="shared" si="42"/>
        <v>0</v>
      </c>
      <c r="F88" s="1356">
        <f t="shared" si="42"/>
        <v>0</v>
      </c>
      <c r="G88" s="1356">
        <f t="shared" si="42"/>
        <v>0</v>
      </c>
      <c r="H88" s="1356">
        <f t="shared" si="42"/>
        <v>0</v>
      </c>
      <c r="I88" s="1356">
        <f t="shared" si="42"/>
        <v>0</v>
      </c>
      <c r="J88" s="1356">
        <f t="shared" si="42"/>
        <v>0</v>
      </c>
      <c r="K88" s="1361">
        <f>SUM(K83:K87)</f>
        <v>0</v>
      </c>
      <c r="N88" s="2376"/>
      <c r="O88" s="2378"/>
    </row>
    <row r="89" spans="1:19" ht="13.35" customHeight="1">
      <c r="A89" s="292" t="str">
        <f>$A57</f>
        <v>Mortgage A</v>
      </c>
      <c r="B89" s="1362">
        <f>IF('Part III-Sources of Funds'!$N$18="", 0,-'Part III-Sources of Funds'!$N$18)</f>
        <v>0</v>
      </c>
      <c r="C89" s="1362">
        <f>IF('Part III-Sources of Funds'!$N$18="", 0,-'Part III-Sources of Funds'!$N$18)</f>
        <v>0</v>
      </c>
      <c r="D89" s="1362">
        <f>IF('Part III-Sources of Funds'!$N$18="", 0,-'Part III-Sources of Funds'!$N$18)</f>
        <v>0</v>
      </c>
      <c r="E89" s="1362">
        <f>IF('Part III-Sources of Funds'!$N$18="", 0,-'Part III-Sources of Funds'!$N$18)</f>
        <v>0</v>
      </c>
      <c r="F89" s="1362">
        <f>IF('Part III-Sources of Funds'!$N$18="", 0,-'Part III-Sources of Funds'!$N$18)</f>
        <v>0</v>
      </c>
      <c r="G89" s="1362">
        <f>IF('Part III-Sources of Funds'!$N$18="", 0,-'Part III-Sources of Funds'!$N$18)</f>
        <v>0</v>
      </c>
      <c r="H89" s="1362">
        <f>IF('Part III-Sources of Funds'!$N$18="", 0,-'Part III-Sources of Funds'!$N$18)</f>
        <v>0</v>
      </c>
      <c r="I89" s="1362">
        <f>IF('Part III-Sources of Funds'!$N$18="", 0,-'Part III-Sources of Funds'!$N$18)</f>
        <v>0</v>
      </c>
      <c r="J89" s="1362">
        <f>IF('Part III-Sources of Funds'!$N$18="", 0,-'Part III-Sources of Funds'!$N$18)</f>
        <v>0</v>
      </c>
      <c r="K89" s="1362">
        <f>IF('Part III-Sources of Funds'!$N$18="", 0,-'Part III-Sources of Funds'!$N$18)</f>
        <v>0</v>
      </c>
      <c r="N89" s="2376"/>
      <c r="O89" s="2378"/>
    </row>
    <row r="90" spans="1:19" ht="13.35" customHeight="1">
      <c r="A90" s="292" t="str">
        <f>$A58</f>
        <v>Mortgage B</v>
      </c>
      <c r="B90" s="1363">
        <f>IF('Part III-Sources of Funds'!$N$19="", 0,-'Part III-Sources of Funds'!$N$19)</f>
        <v>0</v>
      </c>
      <c r="C90" s="1363">
        <f>IF('Part III-Sources of Funds'!$N$19="", 0,-'Part III-Sources of Funds'!$N$19)</f>
        <v>0</v>
      </c>
      <c r="D90" s="1363">
        <f>IF('Part III-Sources of Funds'!$N$19="", 0,-'Part III-Sources of Funds'!$N$19)</f>
        <v>0</v>
      </c>
      <c r="E90" s="1363">
        <f>IF('Part III-Sources of Funds'!$N$19="", 0,-'Part III-Sources of Funds'!$N$19)</f>
        <v>0</v>
      </c>
      <c r="F90" s="1363">
        <f>IF('Part III-Sources of Funds'!$N$19="", 0,-'Part III-Sources of Funds'!$N$19)</f>
        <v>0</v>
      </c>
      <c r="G90" s="1363">
        <f>IF('Part III-Sources of Funds'!$N$19="", 0,-'Part III-Sources of Funds'!$N$19)</f>
        <v>0</v>
      </c>
      <c r="H90" s="1363">
        <f>IF('Part III-Sources of Funds'!$N$19="", 0,-'Part III-Sources of Funds'!$N$19)</f>
        <v>0</v>
      </c>
      <c r="I90" s="1363">
        <f>IF('Part III-Sources of Funds'!$N$19="", 0,-'Part III-Sources of Funds'!$N$19)</f>
        <v>0</v>
      </c>
      <c r="J90" s="1363">
        <f>IF('Part III-Sources of Funds'!$N$19="", 0,-'Part III-Sources of Funds'!$N$19)</f>
        <v>0</v>
      </c>
      <c r="K90" s="1363">
        <f>IF('Part III-Sources of Funds'!$N$19="", 0,-'Part III-Sources of Funds'!$N$19)</f>
        <v>0</v>
      </c>
      <c r="N90" s="2376"/>
      <c r="O90" s="2378"/>
    </row>
    <row r="91" spans="1:19" ht="13.35" customHeight="1">
      <c r="A91" s="292" t="str">
        <f>$A59</f>
        <v>Mortgage C</v>
      </c>
      <c r="B91" s="1363">
        <f>IF('Part III-Sources of Funds'!$N$20="", 0,-'Part III-Sources of Funds'!$N$20)</f>
        <v>0</v>
      </c>
      <c r="C91" s="1363">
        <f>IF('Part III-Sources of Funds'!$N$20="", 0,-'Part III-Sources of Funds'!$N$20)</f>
        <v>0</v>
      </c>
      <c r="D91" s="1363">
        <f>IF('Part III-Sources of Funds'!$N$20="", 0,-'Part III-Sources of Funds'!$N$20)</f>
        <v>0</v>
      </c>
      <c r="E91" s="1363">
        <f>IF('Part III-Sources of Funds'!$N$20="", 0,-'Part III-Sources of Funds'!$N$20)</f>
        <v>0</v>
      </c>
      <c r="F91" s="1363">
        <f>IF('Part III-Sources of Funds'!$N$20="", 0,-'Part III-Sources of Funds'!$N$20)</f>
        <v>0</v>
      </c>
      <c r="G91" s="1363">
        <f>IF('Part III-Sources of Funds'!$N$20="", 0,-'Part III-Sources of Funds'!$N$20)</f>
        <v>0</v>
      </c>
      <c r="H91" s="1363">
        <f>IF('Part III-Sources of Funds'!$N$20="", 0,-'Part III-Sources of Funds'!$N$20)</f>
        <v>0</v>
      </c>
      <c r="I91" s="1363">
        <f>IF('Part III-Sources of Funds'!$N$20="", 0,-'Part III-Sources of Funds'!$N$20)</f>
        <v>0</v>
      </c>
      <c r="J91" s="1363">
        <f>IF('Part III-Sources of Funds'!$N$20="", 0,-'Part III-Sources of Funds'!$N$20)</f>
        <v>0</v>
      </c>
      <c r="K91" s="1363">
        <f>IF('Part III-Sources of Funds'!$N$20="", 0,-'Part III-Sources of Funds'!$N$20)</f>
        <v>0</v>
      </c>
      <c r="N91" s="2376"/>
      <c r="O91" s="2378"/>
    </row>
    <row r="92" spans="1:19" ht="13.35" customHeight="1">
      <c r="A92" s="292" t="str">
        <f>$A60</f>
        <v>D/S Other Source,not DDF</v>
      </c>
      <c r="B92" s="1363">
        <f>IF('Part III-Sources of Funds'!$N$21="", 0,-'Part III-Sources of Funds'!$N$21)</f>
        <v>0</v>
      </c>
      <c r="C92" s="1363">
        <f>IF('Part III-Sources of Funds'!$N$21="", 0,-'Part III-Sources of Funds'!$N$21)</f>
        <v>0</v>
      </c>
      <c r="D92" s="1363">
        <f>IF('Part III-Sources of Funds'!$N$21="", 0,-'Part III-Sources of Funds'!$N$21)</f>
        <v>0</v>
      </c>
      <c r="E92" s="1363">
        <f>IF('Part III-Sources of Funds'!$N$21="", 0,-'Part III-Sources of Funds'!$N$21)</f>
        <v>0</v>
      </c>
      <c r="F92" s="1363">
        <f>IF('Part III-Sources of Funds'!$N$21="", 0,-'Part III-Sources of Funds'!$N$21)</f>
        <v>0</v>
      </c>
      <c r="G92" s="1363">
        <f>IF('Part III-Sources of Funds'!$N$21="", 0,-'Part III-Sources of Funds'!$N$21)</f>
        <v>0</v>
      </c>
      <c r="H92" s="1363">
        <f>IF('Part III-Sources of Funds'!$N$21="", 0,-'Part III-Sources of Funds'!$N$21)</f>
        <v>0</v>
      </c>
      <c r="I92" s="1363">
        <f>IF('Part III-Sources of Funds'!$N$21="", 0,-'Part III-Sources of Funds'!$N$21)</f>
        <v>0</v>
      </c>
      <c r="J92" s="1363">
        <f>IF('Part III-Sources of Funds'!$N$21="", 0,-'Part III-Sources of Funds'!$N$21)</f>
        <v>0</v>
      </c>
      <c r="K92" s="1363">
        <f>IF('Part III-Sources of Funds'!$N$21="", 0,-'Part III-Sources of Funds'!$N$21)</f>
        <v>0</v>
      </c>
      <c r="N92" s="2376"/>
      <c r="O92" s="2378"/>
    </row>
    <row r="93" spans="1:19" ht="13.35" customHeight="1">
      <c r="A93" s="292" t="s">
        <v>706</v>
      </c>
      <c r="B93" s="1364"/>
      <c r="C93" s="1364"/>
      <c r="D93" s="1364"/>
      <c r="E93" s="1364"/>
      <c r="F93" s="1364"/>
      <c r="G93" s="1364"/>
      <c r="H93" s="1364"/>
      <c r="I93" s="1364"/>
      <c r="J93" s="1364"/>
      <c r="K93" s="1364"/>
      <c r="N93" s="2376"/>
      <c r="O93" s="2378"/>
    </row>
    <row r="94" spans="1:19" ht="13.35" customHeight="1">
      <c r="A94" s="292" t="s">
        <v>1079</v>
      </c>
      <c r="B94" s="1366">
        <f>+K62</f>
        <v>0</v>
      </c>
      <c r="C94" s="1366">
        <f t="shared" ref="C94:K94" si="43">+B94</f>
        <v>0</v>
      </c>
      <c r="D94" s="1366">
        <f t="shared" si="43"/>
        <v>0</v>
      </c>
      <c r="E94" s="1366">
        <f t="shared" si="43"/>
        <v>0</v>
      </c>
      <c r="F94" s="1366">
        <f t="shared" si="43"/>
        <v>0</v>
      </c>
      <c r="G94" s="1366">
        <f t="shared" si="43"/>
        <v>0</v>
      </c>
      <c r="H94" s="1366">
        <f t="shared" si="43"/>
        <v>0</v>
      </c>
      <c r="I94" s="1366">
        <f t="shared" si="43"/>
        <v>0</v>
      </c>
      <c r="J94" s="1366">
        <f t="shared" si="43"/>
        <v>0</v>
      </c>
      <c r="K94" s="1366">
        <f t="shared" si="43"/>
        <v>0</v>
      </c>
      <c r="N94" s="2376"/>
      <c r="O94" s="2378"/>
    </row>
    <row r="95" spans="1:19" ht="13.35" customHeight="1">
      <c r="A95" s="292" t="s">
        <v>1080</v>
      </c>
      <c r="B95" s="1356">
        <f t="shared" ref="B95:K95" si="44">SUM(B88:B94)</f>
        <v>0</v>
      </c>
      <c r="C95" s="1356">
        <f t="shared" si="44"/>
        <v>0</v>
      </c>
      <c r="D95" s="1356">
        <f t="shared" si="44"/>
        <v>0</v>
      </c>
      <c r="E95" s="1356">
        <f t="shared" si="44"/>
        <v>0</v>
      </c>
      <c r="F95" s="1356">
        <f t="shared" si="44"/>
        <v>0</v>
      </c>
      <c r="G95" s="1356">
        <f t="shared" si="44"/>
        <v>0</v>
      </c>
      <c r="H95" s="1356">
        <f t="shared" si="44"/>
        <v>0</v>
      </c>
      <c r="I95" s="1356">
        <f t="shared" si="44"/>
        <v>0</v>
      </c>
      <c r="J95" s="1356">
        <f t="shared" si="44"/>
        <v>0</v>
      </c>
      <c r="K95" s="1357">
        <f t="shared" si="44"/>
        <v>0</v>
      </c>
      <c r="N95" s="2376"/>
      <c r="O95" s="2378"/>
    </row>
    <row r="96" spans="1:19" ht="13.35" customHeight="1">
      <c r="A96" s="292" t="str">
        <f>$A65</f>
        <v>DCR Mortgage A</v>
      </c>
      <c r="B96" s="1367" t="str">
        <f t="shared" ref="B96:K96" si="45">IF(B89=0,"",-B88/B89)</f>
        <v/>
      </c>
      <c r="C96" s="1367" t="str">
        <f t="shared" si="45"/>
        <v/>
      </c>
      <c r="D96" s="1367" t="str">
        <f t="shared" si="45"/>
        <v/>
      </c>
      <c r="E96" s="1367" t="str">
        <f t="shared" si="45"/>
        <v/>
      </c>
      <c r="F96" s="1367" t="str">
        <f t="shared" si="45"/>
        <v/>
      </c>
      <c r="G96" s="1367" t="str">
        <f t="shared" si="45"/>
        <v/>
      </c>
      <c r="H96" s="1367" t="str">
        <f t="shared" si="45"/>
        <v/>
      </c>
      <c r="I96" s="1367" t="str">
        <f t="shared" si="45"/>
        <v/>
      </c>
      <c r="J96" s="1367" t="str">
        <f t="shared" si="45"/>
        <v/>
      </c>
      <c r="K96" s="1368" t="str">
        <f t="shared" si="45"/>
        <v/>
      </c>
      <c r="N96" s="2376"/>
      <c r="O96" s="2378"/>
    </row>
    <row r="97" spans="1:15" ht="13.35" customHeight="1">
      <c r="A97" s="292" t="str">
        <f>$A66</f>
        <v>DCR Mortgage B</v>
      </c>
      <c r="B97" s="1367" t="str">
        <f t="shared" ref="B97:K97" si="46">IF(B90=0,"",-(B88+B89)/B90)</f>
        <v/>
      </c>
      <c r="C97" s="1367" t="str">
        <f t="shared" si="46"/>
        <v/>
      </c>
      <c r="D97" s="1367" t="str">
        <f t="shared" si="46"/>
        <v/>
      </c>
      <c r="E97" s="1367" t="str">
        <f t="shared" si="46"/>
        <v/>
      </c>
      <c r="F97" s="1367" t="str">
        <f t="shared" si="46"/>
        <v/>
      </c>
      <c r="G97" s="1367" t="str">
        <f t="shared" si="46"/>
        <v/>
      </c>
      <c r="H97" s="1367" t="str">
        <f t="shared" si="46"/>
        <v/>
      </c>
      <c r="I97" s="1367" t="str">
        <f t="shared" si="46"/>
        <v/>
      </c>
      <c r="J97" s="1367" t="str">
        <f t="shared" si="46"/>
        <v/>
      </c>
      <c r="K97" s="1368" t="str">
        <f t="shared" si="46"/>
        <v/>
      </c>
      <c r="N97" s="2376"/>
      <c r="O97" s="2378"/>
    </row>
    <row r="98" spans="1:15" ht="13.35" customHeight="1">
      <c r="A98" s="292" t="str">
        <f>$A67</f>
        <v>DCR Mortgage C</v>
      </c>
      <c r="B98" s="1367" t="str">
        <f t="shared" ref="B98:K98" si="47">IF(B91=0,"",-(B88+B89+B90)/B91)</f>
        <v/>
      </c>
      <c r="C98" s="1367" t="str">
        <f t="shared" si="47"/>
        <v/>
      </c>
      <c r="D98" s="1367" t="str">
        <f t="shared" si="47"/>
        <v/>
      </c>
      <c r="E98" s="1367" t="str">
        <f t="shared" si="47"/>
        <v/>
      </c>
      <c r="F98" s="1367" t="str">
        <f t="shared" si="47"/>
        <v/>
      </c>
      <c r="G98" s="1367" t="str">
        <f t="shared" si="47"/>
        <v/>
      </c>
      <c r="H98" s="1367" t="str">
        <f t="shared" si="47"/>
        <v/>
      </c>
      <c r="I98" s="1367" t="str">
        <f t="shared" si="47"/>
        <v/>
      </c>
      <c r="J98" s="1367" t="str">
        <f t="shared" si="47"/>
        <v/>
      </c>
      <c r="K98" s="1368" t="str">
        <f t="shared" si="47"/>
        <v/>
      </c>
      <c r="N98" s="2376"/>
      <c r="O98" s="2378"/>
    </row>
    <row r="99" spans="1:15" ht="13.35" customHeight="1">
      <c r="A99" s="292" t="str">
        <f>$A68</f>
        <v>DCR Other Source</v>
      </c>
      <c r="B99" s="1367" t="str">
        <f t="shared" ref="B99:K99" si="48">IF(B92=0,"",-(B88+B89+B90+B91)/B92)</f>
        <v/>
      </c>
      <c r="C99" s="1367" t="str">
        <f t="shared" si="48"/>
        <v/>
      </c>
      <c r="D99" s="1367" t="str">
        <f t="shared" si="48"/>
        <v/>
      </c>
      <c r="E99" s="1367" t="str">
        <f t="shared" si="48"/>
        <v/>
      </c>
      <c r="F99" s="1367" t="str">
        <f t="shared" si="48"/>
        <v/>
      </c>
      <c r="G99" s="1367" t="str">
        <f t="shared" si="48"/>
        <v/>
      </c>
      <c r="H99" s="1367" t="str">
        <f t="shared" si="48"/>
        <v/>
      </c>
      <c r="I99" s="1367" t="str">
        <f t="shared" si="48"/>
        <v/>
      </c>
      <c r="J99" s="1367" t="str">
        <f t="shared" si="48"/>
        <v/>
      </c>
      <c r="K99" s="1368" t="str">
        <f t="shared" si="48"/>
        <v/>
      </c>
      <c r="N99" s="2376"/>
      <c r="O99" s="2378"/>
    </row>
    <row r="100" spans="1:15" ht="13.35" customHeight="1">
      <c r="A100" s="292" t="s">
        <v>3426</v>
      </c>
      <c r="B100" s="1367" t="str">
        <f t="shared" ref="B100:K100" si="49">IF(AND(B89=0,B90=0,B91=0,B92=0),"",-B88/(B89+B90+B91+B92))</f>
        <v/>
      </c>
      <c r="C100" s="1367" t="str">
        <f t="shared" si="49"/>
        <v/>
      </c>
      <c r="D100" s="1367" t="str">
        <f t="shared" si="49"/>
        <v/>
      </c>
      <c r="E100" s="1367" t="str">
        <f t="shared" si="49"/>
        <v/>
      </c>
      <c r="F100" s="1367" t="str">
        <f t="shared" si="49"/>
        <v/>
      </c>
      <c r="G100" s="1367" t="str">
        <f t="shared" si="49"/>
        <v/>
      </c>
      <c r="H100" s="1367" t="str">
        <f t="shared" si="49"/>
        <v/>
      </c>
      <c r="I100" s="1367" t="str">
        <f t="shared" si="49"/>
        <v/>
      </c>
      <c r="J100" s="1367" t="str">
        <f t="shared" si="49"/>
        <v/>
      </c>
      <c r="K100" s="1368" t="str">
        <f t="shared" si="49"/>
        <v/>
      </c>
      <c r="N100" s="2376"/>
      <c r="O100" s="2378"/>
    </row>
    <row r="101" spans="1:15" ht="13.35" customHeight="1">
      <c r="A101" s="292" t="s">
        <v>713</v>
      </c>
      <c r="B101" s="1369" t="str">
        <f>IF(OR(B85="Choose mgt fee",B85="Choose One!"),"",(B78+B79+B80+B81+B82) / -(B84+B85+B86))</f>
        <v/>
      </c>
      <c r="C101" s="1369" t="str">
        <f t="shared" ref="C101:K101" si="50">IF(OR(C85="Choose mgt fee",C85="Choose One!"),"",(C78+C79+C80+C81+C82) / -(C84+C85+C86))</f>
        <v/>
      </c>
      <c r="D101" s="1369" t="str">
        <f t="shared" si="50"/>
        <v/>
      </c>
      <c r="E101" s="1369" t="str">
        <f t="shared" si="50"/>
        <v/>
      </c>
      <c r="F101" s="1369" t="str">
        <f t="shared" si="50"/>
        <v/>
      </c>
      <c r="G101" s="1369" t="str">
        <f t="shared" si="50"/>
        <v/>
      </c>
      <c r="H101" s="1369" t="str">
        <f t="shared" si="50"/>
        <v/>
      </c>
      <c r="I101" s="1369" t="str">
        <f t="shared" si="50"/>
        <v/>
      </c>
      <c r="J101" s="1369" t="str">
        <f t="shared" si="50"/>
        <v/>
      </c>
      <c r="K101" s="1370" t="str">
        <f t="shared" si="50"/>
        <v/>
      </c>
      <c r="N101" s="2376"/>
      <c r="O101" s="2378"/>
    </row>
    <row r="102" spans="1:15" ht="13.35" customHeight="1">
      <c r="A102" s="292" t="s">
        <v>2326</v>
      </c>
      <c r="B102" s="1371" t="str">
        <f>IF('Part III-Sources of Funds'!$I$18="","",-FV('Part III-Sources of Funds'!$K$18/12,12,B89/12,K71))</f>
        <v/>
      </c>
      <c r="C102" s="1371" t="str">
        <f>IF('Part III-Sources of Funds'!$I$18="","",-FV('Part III-Sources of Funds'!$K$18/12,12,C89/12,B102))</f>
        <v/>
      </c>
      <c r="D102" s="1371" t="str">
        <f>IF('Part III-Sources of Funds'!$I$18="","",-FV('Part III-Sources of Funds'!$K$18/12,12,D89/12,C102))</f>
        <v/>
      </c>
      <c r="E102" s="1371" t="str">
        <f>IF('Part III-Sources of Funds'!$I$18="","",-FV('Part III-Sources of Funds'!$K$18/12,12,E89/12,D102))</f>
        <v/>
      </c>
      <c r="F102" s="1371" t="str">
        <f>IF('Part III-Sources of Funds'!$I$18="","",-FV('Part III-Sources of Funds'!$K$18/12,12,F89/12,E102))</f>
        <v/>
      </c>
      <c r="G102" s="1371" t="str">
        <f>IF('Part III-Sources of Funds'!$I$18="","",-FV('Part III-Sources of Funds'!$K$18/12,12,G89/12,F102))</f>
        <v/>
      </c>
      <c r="H102" s="1371" t="str">
        <f>IF('Part III-Sources of Funds'!$I$18="","",-FV('Part III-Sources of Funds'!$K$18/12,12,H89/12,G102))</f>
        <v/>
      </c>
      <c r="I102" s="1371" t="str">
        <f>IF('Part III-Sources of Funds'!$I$18="","",-FV('Part III-Sources of Funds'!$K$18/12,12,I89/12,H102))</f>
        <v/>
      </c>
      <c r="J102" s="1371" t="str">
        <f>IF('Part III-Sources of Funds'!$I$18="","",-FV('Part III-Sources of Funds'!$K$18/12,12,J89/12,I102))</f>
        <v/>
      </c>
      <c r="K102" s="1371" t="str">
        <f>IF('Part III-Sources of Funds'!$I$18="","",-FV('Part III-Sources of Funds'!$K$18/12,12,K89/12,J102))</f>
        <v/>
      </c>
      <c r="N102" s="2376"/>
      <c r="O102" s="2378"/>
    </row>
    <row r="103" spans="1:15" ht="13.35" customHeight="1">
      <c r="A103" s="292" t="s">
        <v>2327</v>
      </c>
      <c r="B103" s="1363" t="str">
        <f>IF('Part III-Sources of Funds'!$I$19="","",-FV('Part III-Sources of Funds'!$K$19/12,12,B90/12,K72))</f>
        <v/>
      </c>
      <c r="C103" s="1363" t="str">
        <f>IF('Part III-Sources of Funds'!$I$19="","",-FV('Part III-Sources of Funds'!$K$19/12,12,C90/12,B103))</f>
        <v/>
      </c>
      <c r="D103" s="1363" t="str">
        <f>IF('Part III-Sources of Funds'!$I$19="","",-FV('Part III-Sources of Funds'!$K$19/12,12,D90/12,C103))</f>
        <v/>
      </c>
      <c r="E103" s="1363" t="str">
        <f>IF('Part III-Sources of Funds'!$I$19="","",-FV('Part III-Sources of Funds'!$K$19/12,12,E90/12,D103))</f>
        <v/>
      </c>
      <c r="F103" s="1363" t="str">
        <f>IF('Part III-Sources of Funds'!$I$19="","",-FV('Part III-Sources of Funds'!$K$19/12,12,F90/12,E103))</f>
        <v/>
      </c>
      <c r="G103" s="1363" t="str">
        <f>IF('Part III-Sources of Funds'!$I$19="","",-FV('Part III-Sources of Funds'!$K$19/12,12,G90/12,F103))</f>
        <v/>
      </c>
      <c r="H103" s="1363" t="str">
        <f>IF('Part III-Sources of Funds'!$I$19="","",-FV('Part III-Sources of Funds'!$K$19/12,12,H90/12,G103))</f>
        <v/>
      </c>
      <c r="I103" s="1363" t="str">
        <f>IF('Part III-Sources of Funds'!$I$19="","",-FV('Part III-Sources of Funds'!$K$19/12,12,I90/12,H103))</f>
        <v/>
      </c>
      <c r="J103" s="1363" t="str">
        <f>IF('Part III-Sources of Funds'!$I$19="","",-FV('Part III-Sources of Funds'!$K$19/12,12,J90/12,I103))</f>
        <v/>
      </c>
      <c r="K103" s="1363" t="str">
        <f>IF('Part III-Sources of Funds'!$I$19="","",-FV('Part III-Sources of Funds'!$K$19/12,12,K90/12,J103))</f>
        <v/>
      </c>
      <c r="N103" s="2376"/>
      <c r="O103" s="2378"/>
    </row>
    <row r="104" spans="1:15" ht="13.35" customHeight="1">
      <c r="A104" s="292" t="s">
        <v>2328</v>
      </c>
      <c r="B104" s="1363" t="str">
        <f>IF('Part III-Sources of Funds'!$I$20="","",-FV('Part III-Sources of Funds'!$K$20/12,12,B91/12,K73))</f>
        <v/>
      </c>
      <c r="C104" s="1363" t="str">
        <f>IF('Part III-Sources of Funds'!$I$20="","",-FV('Part III-Sources of Funds'!$K$20/12,12,C91/12,B104))</f>
        <v/>
      </c>
      <c r="D104" s="1363" t="str">
        <f>IF('Part III-Sources of Funds'!$I$20="","",-FV('Part III-Sources of Funds'!$K$20/12,12,D91/12,C104))</f>
        <v/>
      </c>
      <c r="E104" s="1363" t="str">
        <f>IF('Part III-Sources of Funds'!$I$20="","",-FV('Part III-Sources of Funds'!$K$20/12,12,E91/12,D104))</f>
        <v/>
      </c>
      <c r="F104" s="1363" t="str">
        <f>IF('Part III-Sources of Funds'!$I$20="","",-FV('Part III-Sources of Funds'!$K$20/12,12,F91/12,E104))</f>
        <v/>
      </c>
      <c r="G104" s="1363" t="str">
        <f>IF('Part III-Sources of Funds'!$I$20="","",-FV('Part III-Sources of Funds'!$K$20/12,12,G91/12,F104))</f>
        <v/>
      </c>
      <c r="H104" s="1363" t="str">
        <f>IF('Part III-Sources of Funds'!$I$20="","",-FV('Part III-Sources of Funds'!$K$20/12,12,H91/12,G104))</f>
        <v/>
      </c>
      <c r="I104" s="1363" t="str">
        <f>IF('Part III-Sources of Funds'!$I$20="","",-FV('Part III-Sources of Funds'!$K$20/12,12,I91/12,H104))</f>
        <v/>
      </c>
      <c r="J104" s="1363" t="str">
        <f>IF('Part III-Sources of Funds'!$I$20="","",-FV('Part III-Sources of Funds'!$K$20/12,12,J91/12,I104))</f>
        <v/>
      </c>
      <c r="K104" s="1363" t="str">
        <f>IF('Part III-Sources of Funds'!$I$20="","",-FV('Part III-Sources of Funds'!$K$20/12,12,K91/12,J104))</f>
        <v/>
      </c>
      <c r="N104" s="2376"/>
      <c r="O104" s="2378"/>
    </row>
    <row r="105" spans="1:15" ht="13.35" customHeight="1">
      <c r="A105" s="292" t="s">
        <v>724</v>
      </c>
      <c r="B105" s="1366" t="str">
        <f>IF('Part III-Sources of Funds'!$I$21="","",-FV('Part III-Sources of Funds'!$K$21/12,12,B92/12,K74))</f>
        <v/>
      </c>
      <c r="C105" s="1366" t="str">
        <f>IF('Part III-Sources of Funds'!$I$21="","",-FV('Part III-Sources of Funds'!$K$21/12,12,C92/12,B105))</f>
        <v/>
      </c>
      <c r="D105" s="1366" t="str">
        <f>IF('Part III-Sources of Funds'!$I$21="","",-FV('Part III-Sources of Funds'!$K$21/12,12,D92/12,C105))</f>
        <v/>
      </c>
      <c r="E105" s="1366" t="str">
        <f>IF('Part III-Sources of Funds'!$I$21="","",-FV('Part III-Sources of Funds'!$K$21/12,12,E92/12,D105))</f>
        <v/>
      </c>
      <c r="F105" s="1366" t="str">
        <f>IF('Part III-Sources of Funds'!$I$21="","",-FV('Part III-Sources of Funds'!$K$21/12,12,F92/12,E105))</f>
        <v/>
      </c>
      <c r="G105" s="1366" t="str">
        <f>IF('Part III-Sources of Funds'!$I$21="","",-FV('Part III-Sources of Funds'!$K$21/12,12,G92/12,F105))</f>
        <v/>
      </c>
      <c r="H105" s="1366" t="str">
        <f>IF('Part III-Sources of Funds'!$I$21="","",-FV('Part III-Sources of Funds'!$K$21/12,12,H92/12,G105))</f>
        <v/>
      </c>
      <c r="I105" s="1366" t="str">
        <f>IF('Part III-Sources of Funds'!$I$21="","",-FV('Part III-Sources of Funds'!$K$21/12,12,I92/12,H105))</f>
        <v/>
      </c>
      <c r="J105" s="1366" t="str">
        <f>IF('Part III-Sources of Funds'!$I$21="","",-FV('Part III-Sources of Funds'!$K$21/12,12,J92/12,I105))</f>
        <v/>
      </c>
      <c r="K105" s="1366" t="str">
        <f>IF('Part III-Sources of Funds'!$I$21="","",-FV('Part III-Sources of Funds'!$K$21/12,12,K92/12,J105))</f>
        <v/>
      </c>
      <c r="N105" s="2304"/>
      <c r="O105" s="2306"/>
    </row>
    <row r="106" spans="1:15" ht="4.3499999999999996" customHeight="1">
      <c r="B106" s="1372"/>
      <c r="C106" s="1372"/>
      <c r="D106" s="1372"/>
      <c r="E106" s="1372"/>
      <c r="F106" s="1372"/>
      <c r="G106" s="1372"/>
      <c r="H106" s="1372"/>
      <c r="I106" s="1372"/>
      <c r="J106" s="1372"/>
      <c r="K106" s="1372"/>
    </row>
    <row r="107" spans="1:15" ht="14.45" customHeight="1">
      <c r="A107" s="5" t="s">
        <v>2199</v>
      </c>
      <c r="B107" s="6">
        <f>K77+1</f>
        <v>31</v>
      </c>
      <c r="C107" s="6">
        <f>B107+1</f>
        <v>32</v>
      </c>
      <c r="D107" s="6">
        <f>C107+1</f>
        <v>33</v>
      </c>
      <c r="E107" s="6">
        <f>D107+1</f>
        <v>34</v>
      </c>
      <c r="F107" s="6">
        <f>E107+1</f>
        <v>35</v>
      </c>
      <c r="G107" s="1372"/>
      <c r="H107" s="1372"/>
      <c r="I107" s="1372"/>
      <c r="J107" s="1372"/>
      <c r="K107" s="1372"/>
      <c r="N107" s="2454" t="s">
        <v>3213</v>
      </c>
      <c r="O107" s="2454"/>
    </row>
    <row r="108" spans="1:15" ht="13.35" customHeight="1">
      <c r="A108" s="1353" t="s">
        <v>2133</v>
      </c>
      <c r="B108" s="1354">
        <f>$B$14*(1+$B$5)^(B107-1)</f>
        <v>0</v>
      </c>
      <c r="C108" s="1354">
        <f>$B$14*(1+$B$5)^(C107-1)</f>
        <v>0</v>
      </c>
      <c r="D108" s="1354">
        <f>$B$14*(1+$B$5)^(D107-1)</f>
        <v>0</v>
      </c>
      <c r="E108" s="1354">
        <f>$B$14*(1+$B$5)^(E107-1)</f>
        <v>0</v>
      </c>
      <c r="F108" s="1355">
        <f>$B$14*(1+$B$5)^(F107-1)</f>
        <v>0</v>
      </c>
      <c r="G108" s="1372"/>
      <c r="H108" s="1372"/>
      <c r="I108" s="1372"/>
      <c r="J108" s="1372"/>
      <c r="K108" s="1372"/>
      <c r="N108" s="2446"/>
      <c r="O108" s="2447"/>
    </row>
    <row r="109" spans="1:15" ht="13.35" customHeight="1">
      <c r="A109" s="292" t="s">
        <v>940</v>
      </c>
      <c r="B109" s="1356">
        <f>$B$15*(1+$B$5)^(B107-1)</f>
        <v>0</v>
      </c>
      <c r="C109" s="1356">
        <f>$B$15*(1+$B$5)^(C107-1)</f>
        <v>0</v>
      </c>
      <c r="D109" s="1356">
        <f>$B$15*(1+$B$5)^(D107-1)</f>
        <v>0</v>
      </c>
      <c r="E109" s="1356">
        <f>$B$15*(1+$B$5)^(E107-1)</f>
        <v>0</v>
      </c>
      <c r="F109" s="1357">
        <f>$B$15*(1+$B$5)^(F107-1)</f>
        <v>0</v>
      </c>
      <c r="G109" s="1372"/>
      <c r="H109" s="1372"/>
      <c r="I109" s="1372"/>
      <c r="J109" s="1372"/>
      <c r="K109" s="1372"/>
      <c r="N109" s="2376"/>
      <c r="O109" s="2378"/>
    </row>
    <row r="110" spans="1:15" ht="13.35" customHeight="1">
      <c r="A110" s="292" t="s">
        <v>2134</v>
      </c>
      <c r="B110" s="1356">
        <f>-(B108+B109)*$B$8</f>
        <v>0</v>
      </c>
      <c r="C110" s="1356">
        <f>-(C108+C109)*$B$8</f>
        <v>0</v>
      </c>
      <c r="D110" s="1356">
        <f>-(D108+D109)*$B$8</f>
        <v>0</v>
      </c>
      <c r="E110" s="1356">
        <f>-(E108+E109)*$B$8</f>
        <v>0</v>
      </c>
      <c r="F110" s="1357">
        <f>-(F108+F109)*$B$8</f>
        <v>0</v>
      </c>
      <c r="G110" s="1372"/>
      <c r="H110" s="1372"/>
      <c r="I110" s="1372"/>
      <c r="J110" s="1372"/>
      <c r="K110" s="1372"/>
      <c r="N110" s="2376"/>
      <c r="O110" s="2378"/>
    </row>
    <row r="111" spans="1:15" ht="13.35" customHeight="1">
      <c r="A111" s="292" t="s">
        <v>47</v>
      </c>
      <c r="B111" s="1356">
        <f>'Part VI-Revenues &amp; Expenses'!G207</f>
        <v>0</v>
      </c>
      <c r="C111" s="1356">
        <f>'Part VI-Revenues &amp; Expenses'!H207</f>
        <v>0</v>
      </c>
      <c r="D111" s="1356">
        <f>'Part VI-Revenues &amp; Expenses'!I207</f>
        <v>0</v>
      </c>
      <c r="E111" s="1356">
        <f>'Part VI-Revenues &amp; Expenses'!J207</f>
        <v>0</v>
      </c>
      <c r="F111" s="1357">
        <f>'Part VI-Revenues &amp; Expenses'!K207</f>
        <v>0</v>
      </c>
      <c r="G111" s="1372"/>
      <c r="H111" s="1372"/>
      <c r="I111" s="1372"/>
      <c r="J111" s="1372"/>
      <c r="K111" s="1372"/>
      <c r="N111" s="2376"/>
      <c r="O111" s="2378"/>
    </row>
    <row r="112" spans="1:15" ht="13.35" customHeight="1">
      <c r="A112" s="292" t="s">
        <v>48</v>
      </c>
      <c r="B112" s="1356">
        <f>'Part VI-Revenues &amp; Expenses'!G211</f>
        <v>0</v>
      </c>
      <c r="C112" s="1356">
        <f>'Part VI-Revenues &amp; Expenses'!H211</f>
        <v>0</v>
      </c>
      <c r="D112" s="1356">
        <f>'Part VI-Revenues &amp; Expenses'!I211</f>
        <v>0</v>
      </c>
      <c r="E112" s="1356">
        <f>'Part VI-Revenues &amp; Expenses'!J211</f>
        <v>0</v>
      </c>
      <c r="F112" s="1357">
        <f>'Part VI-Revenues &amp; Expenses'!K211</f>
        <v>0</v>
      </c>
      <c r="G112" s="1372"/>
      <c r="H112" s="1372"/>
      <c r="I112" s="1372"/>
      <c r="J112" s="1372"/>
      <c r="K112" s="1372"/>
      <c r="N112" s="2376"/>
      <c r="O112" s="2378"/>
    </row>
    <row r="113" spans="1:19" ht="13.35" customHeight="1">
      <c r="A113" s="292" t="s">
        <v>3423</v>
      </c>
      <c r="B113" s="1356">
        <f>SUM(B108:B112)</f>
        <v>0</v>
      </c>
      <c r="C113" s="1356">
        <f>SUM(C108:C112)</f>
        <v>0</v>
      </c>
      <c r="D113" s="1356">
        <f>SUM(D108:D112)</f>
        <v>0</v>
      </c>
      <c r="E113" s="1356">
        <f>SUM(E108:E112)</f>
        <v>0</v>
      </c>
      <c r="F113" s="1357">
        <f>SUM(F108:F112)</f>
        <v>0</v>
      </c>
      <c r="G113" s="1372"/>
      <c r="H113" s="1372"/>
      <c r="I113" s="1372"/>
      <c r="J113" s="1372"/>
      <c r="K113" s="1372"/>
      <c r="N113" s="2376"/>
      <c r="O113" s="2378"/>
    </row>
    <row r="114" spans="1:19" ht="13.35" customHeight="1">
      <c r="A114" s="292" t="s">
        <v>571</v>
      </c>
      <c r="B114" s="1356">
        <f>$B$20*(1+$B$6)^(B107-1)</f>
        <v>0</v>
      </c>
      <c r="C114" s="1356">
        <f>$B$20*(1+$B$6)^(C107-1)</f>
        <v>0</v>
      </c>
      <c r="D114" s="1356">
        <f>$B$20*(1+$B$6)^(D107-1)</f>
        <v>0</v>
      </c>
      <c r="E114" s="1356">
        <f>$B$20*(1+$B$6)^(E107-1)</f>
        <v>0</v>
      </c>
      <c r="F114" s="1357">
        <f>$B$20*(1+$B$6)^(F107-1)</f>
        <v>0</v>
      </c>
      <c r="G114" s="1372"/>
      <c r="H114" s="1372"/>
      <c r="I114" s="1372"/>
      <c r="J114" s="1372"/>
      <c r="K114" s="1372"/>
      <c r="N114" s="2376"/>
      <c r="O114" s="2378"/>
    </row>
    <row r="115" spans="1:19" ht="13.35" customHeight="1">
      <c r="A115" s="292" t="s">
        <v>1035</v>
      </c>
      <c r="B115" s="1356" t="str">
        <f>IF(AND($G$8="Yes",$G$9="Yes"),"Choose One!",IF($G$8="Yes",ROUND((-$K$8*(1+$B$6)^(B107-1)),),IF($G$9="Yes",ROUND((-(SUM(B108:B111)*$K$9)),),"Choose mgt fee")))</f>
        <v>Choose mgt fee</v>
      </c>
      <c r="C115" s="1356" t="str">
        <f>IF(AND($G$8="Yes",$G$9="Yes"),"Choose One!",IF($G$8="Yes",ROUND((-$K$8*(1+$B$6)^(C107-1)),),IF($G$9="Yes",ROUND((-(SUM(C108:C111)*$K$9)),),"Choose mgt fee")))</f>
        <v>Choose mgt fee</v>
      </c>
      <c r="D115" s="1356" t="str">
        <f>IF(AND($G$8="Yes",$G$9="Yes"),"Choose One!",IF($G$8="Yes",ROUND((-$K$8*(1+$B$6)^(D107-1)),),IF($G$9="Yes",ROUND((-(SUM(D108:D111)*$K$9)),),"Choose mgt fee")))</f>
        <v>Choose mgt fee</v>
      </c>
      <c r="E115" s="1356" t="str">
        <f>IF(AND($G$8="Yes",$G$9="Yes"),"Choose One!",IF($G$8="Yes",ROUND((-$K$8*(1+$B$6)^(E107-1)),),IF($G$9="Yes",ROUND((-(SUM(E108:E111)*$K$9)),),"Choose mgt fee")))</f>
        <v>Choose mgt fee</v>
      </c>
      <c r="F115" s="1357" t="str">
        <f>IF(AND($G$8="Yes",$G$9="Yes"),"Choose One!",IF($G$8="Yes",ROUND((-$K$8*(1+$B$6)^(F107-1)),),IF($G$9="Yes",ROUND((-(SUM(F108:F111)*$K$9)),),"Choose mgt fee")))</f>
        <v>Choose mgt fee</v>
      </c>
      <c r="G115" s="1372"/>
      <c r="H115" s="1372"/>
      <c r="I115" s="1372"/>
      <c r="J115" s="1372"/>
      <c r="K115" s="1372"/>
      <c r="N115" s="2376"/>
      <c r="O115" s="2378"/>
    </row>
    <row r="116" spans="1:19" ht="13.35" customHeight="1">
      <c r="A116" s="292" t="s">
        <v>1110</v>
      </c>
      <c r="B116" s="1356">
        <f>$B$22*(1+$B$7)^(B107-1)</f>
        <v>0</v>
      </c>
      <c r="C116" s="1356">
        <f>$B$22*(1+$B$7)^(C107-1)</f>
        <v>0</v>
      </c>
      <c r="D116" s="1356">
        <f>$B$22*(1+$B$7)^(D107-1)</f>
        <v>0</v>
      </c>
      <c r="E116" s="1356">
        <f>$B$22*(1+$B$7)^(E107-1)</f>
        <v>0</v>
      </c>
      <c r="F116" s="1357">
        <f>$B$22*(1+$B$7)^(F107-1)</f>
        <v>0</v>
      </c>
      <c r="G116" s="1372"/>
      <c r="H116" s="1372"/>
      <c r="I116" s="1372"/>
      <c r="J116" s="1372"/>
      <c r="K116" s="1372"/>
      <c r="N116" s="2376"/>
      <c r="O116" s="2378"/>
    </row>
    <row r="117" spans="1:19" ht="13.35" customHeight="1">
      <c r="A117" s="292" t="s">
        <v>3424</v>
      </c>
      <c r="B117" s="1360">
        <f>IF(B107&lt;=+'Part VI-Revenues &amp; Expenses'!$K$244,-'Part VI-Revenues &amp; Expenses'!$H$244,0)</f>
        <v>0</v>
      </c>
      <c r="C117" s="1360">
        <f>IF(C107&lt;=+'Part VI-Revenues &amp; Expenses'!$K$244,-'Part VI-Revenues &amp; Expenses'!$H$244,0)</f>
        <v>0</v>
      </c>
      <c r="D117" s="1360">
        <f>IF(D107&lt;=+'Part VI-Revenues &amp; Expenses'!$K$244,-'Part VI-Revenues &amp; Expenses'!$H$244,0)</f>
        <v>0</v>
      </c>
      <c r="E117" s="1360">
        <f>IF(E107&lt;=+'Part VI-Revenues &amp; Expenses'!$K$244,-'Part VI-Revenues &amp; Expenses'!$H$244,0)</f>
        <v>0</v>
      </c>
      <c r="F117" s="1360">
        <f>IF(F107&lt;=+'Part VI-Revenues &amp; Expenses'!$K$244,-'Part VI-Revenues &amp; Expenses'!$H$244,0)</f>
        <v>0</v>
      </c>
      <c r="G117" s="1372"/>
      <c r="H117" s="1372"/>
      <c r="I117" s="1372"/>
      <c r="J117" s="1372"/>
      <c r="K117" s="1372"/>
      <c r="N117" s="2376"/>
      <c r="O117" s="2378"/>
      <c r="Q117" s="1358">
        <v>10</v>
      </c>
      <c r="R117" s="1359">
        <f>-SUM(B122:K122)</f>
        <v>0</v>
      </c>
      <c r="S117" s="1359">
        <f>SUM(B123:K123)+R117</f>
        <v>0</v>
      </c>
    </row>
    <row r="118" spans="1:19" ht="13.35" customHeight="1">
      <c r="A118" s="292" t="s">
        <v>1111</v>
      </c>
      <c r="B118" s="1356">
        <f t="shared" ref="B118" si="51">SUM(B113:B117)</f>
        <v>0</v>
      </c>
      <c r="C118" s="1356">
        <f t="shared" ref="C118:E118" si="52">SUM(C113:C117)</f>
        <v>0</v>
      </c>
      <c r="D118" s="1356">
        <f t="shared" si="52"/>
        <v>0</v>
      </c>
      <c r="E118" s="1356">
        <f t="shared" si="52"/>
        <v>0</v>
      </c>
      <c r="F118" s="1361">
        <f>SUM(F113:F117)</f>
        <v>0</v>
      </c>
      <c r="G118" s="1372"/>
      <c r="H118" s="1372"/>
      <c r="I118" s="1372"/>
      <c r="J118" s="1372"/>
      <c r="K118" s="1372"/>
      <c r="N118" s="2376"/>
      <c r="O118" s="2378"/>
    </row>
    <row r="119" spans="1:19" ht="13.35" customHeight="1">
      <c r="A119" s="292" t="str">
        <f>$A89</f>
        <v>Mortgage A</v>
      </c>
      <c r="B119" s="1362">
        <f>IF('Part III-Sources of Funds'!$N$18="", 0,-'Part III-Sources of Funds'!$N$18)</f>
        <v>0</v>
      </c>
      <c r="C119" s="1362">
        <f>IF('Part III-Sources of Funds'!$N$18="", 0,-'Part III-Sources of Funds'!$N$18)</f>
        <v>0</v>
      </c>
      <c r="D119" s="1362">
        <f>IF('Part III-Sources of Funds'!$N$18="", 0,-'Part III-Sources of Funds'!$N$18)</f>
        <v>0</v>
      </c>
      <c r="E119" s="1362">
        <f>IF('Part III-Sources of Funds'!$N$18="", 0,-'Part III-Sources of Funds'!$N$18)</f>
        <v>0</v>
      </c>
      <c r="F119" s="1362">
        <f>IF('Part III-Sources of Funds'!$N$18="", 0,-'Part III-Sources of Funds'!$N$18)</f>
        <v>0</v>
      </c>
      <c r="G119" s="1372"/>
      <c r="H119" s="1372"/>
      <c r="I119" s="1372"/>
      <c r="J119" s="1372"/>
      <c r="K119" s="1372"/>
      <c r="N119" s="2376"/>
      <c r="O119" s="2378"/>
    </row>
    <row r="120" spans="1:19" ht="13.35" customHeight="1">
      <c r="A120" s="292" t="str">
        <f>$A90</f>
        <v>Mortgage B</v>
      </c>
      <c r="B120" s="1363">
        <f>IF('Part III-Sources of Funds'!$N$19="", 0,-'Part III-Sources of Funds'!$N$19)</f>
        <v>0</v>
      </c>
      <c r="C120" s="1363">
        <f>IF('Part III-Sources of Funds'!$N$19="", 0,-'Part III-Sources of Funds'!$N$19)</f>
        <v>0</v>
      </c>
      <c r="D120" s="1363">
        <f>IF('Part III-Sources of Funds'!$N$19="", 0,-'Part III-Sources of Funds'!$N$19)</f>
        <v>0</v>
      </c>
      <c r="E120" s="1363">
        <f>IF('Part III-Sources of Funds'!$N$19="", 0,-'Part III-Sources of Funds'!$N$19)</f>
        <v>0</v>
      </c>
      <c r="F120" s="1363">
        <f>IF('Part III-Sources of Funds'!$N$19="", 0,-'Part III-Sources of Funds'!$N$19)</f>
        <v>0</v>
      </c>
      <c r="G120" s="1372"/>
      <c r="H120" s="1372"/>
      <c r="I120" s="1372"/>
      <c r="J120" s="1372"/>
      <c r="K120" s="1372"/>
      <c r="N120" s="2376"/>
      <c r="O120" s="2378"/>
    </row>
    <row r="121" spans="1:19" ht="13.35" customHeight="1">
      <c r="A121" s="292" t="str">
        <f>$A91</f>
        <v>Mortgage C</v>
      </c>
      <c r="B121" s="1363">
        <f>IF('Part III-Sources of Funds'!$N$20="", 0,-'Part III-Sources of Funds'!$N$20)</f>
        <v>0</v>
      </c>
      <c r="C121" s="1363">
        <f>IF('Part III-Sources of Funds'!$N$20="", 0,-'Part III-Sources of Funds'!$N$20)</f>
        <v>0</v>
      </c>
      <c r="D121" s="1363">
        <f>IF('Part III-Sources of Funds'!$N$20="", 0,-'Part III-Sources of Funds'!$N$20)</f>
        <v>0</v>
      </c>
      <c r="E121" s="1363">
        <f>IF('Part III-Sources of Funds'!$N$20="", 0,-'Part III-Sources of Funds'!$N$20)</f>
        <v>0</v>
      </c>
      <c r="F121" s="1363">
        <f>IF('Part III-Sources of Funds'!$N$20="", 0,-'Part III-Sources of Funds'!$N$20)</f>
        <v>0</v>
      </c>
      <c r="G121" s="1372"/>
      <c r="H121" s="1372"/>
      <c r="I121" s="1372"/>
      <c r="J121" s="1372"/>
      <c r="K121" s="1372"/>
      <c r="N121" s="2376"/>
      <c r="O121" s="2378"/>
    </row>
    <row r="122" spans="1:19" ht="13.35" customHeight="1">
      <c r="A122" s="292" t="str">
        <f>$A92</f>
        <v>D/S Other Source,not DDF</v>
      </c>
      <c r="B122" s="1363">
        <f>IF('Part III-Sources of Funds'!$N$21="", 0,-'Part III-Sources of Funds'!$N$21)</f>
        <v>0</v>
      </c>
      <c r="C122" s="1363">
        <f>IF('Part III-Sources of Funds'!$N$21="", 0,-'Part III-Sources of Funds'!$N$21)</f>
        <v>0</v>
      </c>
      <c r="D122" s="1363">
        <f>IF('Part III-Sources of Funds'!$N$21="", 0,-'Part III-Sources of Funds'!$N$21)</f>
        <v>0</v>
      </c>
      <c r="E122" s="1363">
        <f>IF('Part III-Sources of Funds'!$N$21="", 0,-'Part III-Sources of Funds'!$N$21)</f>
        <v>0</v>
      </c>
      <c r="F122" s="1363">
        <f>IF('Part III-Sources of Funds'!$N$21="", 0,-'Part III-Sources of Funds'!$N$21)</f>
        <v>0</v>
      </c>
      <c r="G122" s="1372"/>
      <c r="H122" s="1372"/>
      <c r="I122" s="1372"/>
      <c r="J122" s="1372"/>
      <c r="K122" s="1372"/>
      <c r="N122" s="2376"/>
      <c r="O122" s="2378"/>
    </row>
    <row r="123" spans="1:19" ht="13.35" customHeight="1">
      <c r="A123" s="292" t="s">
        <v>706</v>
      </c>
      <c r="B123" s="1364"/>
      <c r="C123" s="1364"/>
      <c r="D123" s="1364"/>
      <c r="E123" s="1364"/>
      <c r="F123" s="1364"/>
      <c r="G123" s="1372"/>
      <c r="H123" s="1372"/>
      <c r="I123" s="1372"/>
      <c r="J123" s="1372"/>
      <c r="K123" s="1372"/>
      <c r="N123" s="2376"/>
      <c r="O123" s="2378"/>
    </row>
    <row r="124" spans="1:19" ht="13.35" customHeight="1">
      <c r="A124" s="292" t="s">
        <v>1079</v>
      </c>
      <c r="B124" s="1366">
        <f>+K94</f>
        <v>0</v>
      </c>
      <c r="C124" s="1366">
        <f>+B124</f>
        <v>0</v>
      </c>
      <c r="D124" s="1366">
        <f>+C124</f>
        <v>0</v>
      </c>
      <c r="E124" s="1366">
        <f>+D124</f>
        <v>0</v>
      </c>
      <c r="F124" s="1366">
        <f>+E124</f>
        <v>0</v>
      </c>
      <c r="G124" s="1372"/>
      <c r="H124" s="1372"/>
      <c r="I124" s="1372"/>
      <c r="J124" s="1372"/>
      <c r="K124" s="1372"/>
      <c r="N124" s="2376"/>
      <c r="O124" s="2378"/>
    </row>
    <row r="125" spans="1:19" ht="13.35" customHeight="1">
      <c r="A125" s="292" t="s">
        <v>1080</v>
      </c>
      <c r="B125" s="1356">
        <f>SUM(B118:B124)</f>
        <v>0</v>
      </c>
      <c r="C125" s="1356">
        <f>SUM(C118:C124)</f>
        <v>0</v>
      </c>
      <c r="D125" s="1356">
        <f>SUM(D118:D124)</f>
        <v>0</v>
      </c>
      <c r="E125" s="1356">
        <f>SUM(E118:E124)</f>
        <v>0</v>
      </c>
      <c r="F125" s="1357">
        <f>SUM(F118:F124)</f>
        <v>0</v>
      </c>
      <c r="G125" s="1372"/>
      <c r="H125" s="1372"/>
      <c r="I125" s="1372"/>
      <c r="J125" s="1372"/>
      <c r="K125" s="1372"/>
      <c r="N125" s="2376"/>
      <c r="O125" s="2378"/>
    </row>
    <row r="126" spans="1:19" ht="13.35" customHeight="1">
      <c r="A126" s="292" t="str">
        <f>$A96</f>
        <v>DCR Mortgage A</v>
      </c>
      <c r="B126" s="1367" t="str">
        <f>IF(B119=0,"",-B118/B119)</f>
        <v/>
      </c>
      <c r="C126" s="1367" t="str">
        <f>IF(C119=0,"",-C118/C119)</f>
        <v/>
      </c>
      <c r="D126" s="1367" t="str">
        <f>IF(D119=0,"",-D118/D119)</f>
        <v/>
      </c>
      <c r="E126" s="1367" t="str">
        <f>IF(E119=0,"",-E118/E119)</f>
        <v/>
      </c>
      <c r="F126" s="1368" t="str">
        <f>IF(F119=0,"",-F118/F119)</f>
        <v/>
      </c>
      <c r="G126" s="1372"/>
      <c r="H126" s="1372"/>
      <c r="I126" s="1372"/>
      <c r="J126" s="1372"/>
      <c r="K126" s="1372"/>
      <c r="N126" s="2376"/>
      <c r="O126" s="2378"/>
    </row>
    <row r="127" spans="1:19" ht="13.35" customHeight="1">
      <c r="A127" s="292" t="str">
        <f>$A97</f>
        <v>DCR Mortgage B</v>
      </c>
      <c r="B127" s="1367" t="str">
        <f>IF(B120=0,"",-(B118+B119)/B120)</f>
        <v/>
      </c>
      <c r="C127" s="1367" t="str">
        <f>IF(C120=0,"",-(C118+C119)/C120)</f>
        <v/>
      </c>
      <c r="D127" s="1367" t="str">
        <f>IF(D120=0,"",-(D118+D119)/D120)</f>
        <v/>
      </c>
      <c r="E127" s="1367" t="str">
        <f>IF(E120=0,"",-(E118+E119)/E120)</f>
        <v/>
      </c>
      <c r="F127" s="1368" t="str">
        <f>IF(F120=0,"",-(F118+F119)/F120)</f>
        <v/>
      </c>
      <c r="G127" s="1372"/>
      <c r="H127" s="1372"/>
      <c r="I127" s="1372"/>
      <c r="J127" s="1372"/>
      <c r="K127" s="1372"/>
      <c r="N127" s="2376"/>
      <c r="O127" s="2378"/>
    </row>
    <row r="128" spans="1:19" ht="13.35" customHeight="1">
      <c r="A128" s="292" t="str">
        <f>$A98</f>
        <v>DCR Mortgage C</v>
      </c>
      <c r="B128" s="1367" t="str">
        <f>IF(B121=0,"",-(B118+B119+B120)/B121)</f>
        <v/>
      </c>
      <c r="C128" s="1367" t="str">
        <f>IF(C121=0,"",-(C118+C119+C120)/C121)</f>
        <v/>
      </c>
      <c r="D128" s="1367" t="str">
        <f>IF(D121=0,"",-(D118+D119+D120)/D121)</f>
        <v/>
      </c>
      <c r="E128" s="1367" t="str">
        <f>IF(E121=0,"",-(E118+E119+E120)/E121)</f>
        <v/>
      </c>
      <c r="F128" s="1368" t="str">
        <f>IF(F121=0,"",-(F118+F119+F120)/F121)</f>
        <v/>
      </c>
      <c r="G128" s="1372"/>
      <c r="H128" s="1372"/>
      <c r="I128" s="1372"/>
      <c r="J128" s="1372"/>
      <c r="K128" s="1372"/>
      <c r="N128" s="2376"/>
      <c r="O128" s="2378"/>
    </row>
    <row r="129" spans="1:18" ht="13.35" customHeight="1">
      <c r="A129" s="292" t="str">
        <f>$A99</f>
        <v>DCR Other Source</v>
      </c>
      <c r="B129" s="1367" t="str">
        <f>IF(B122=0,"",-(B118+B119+B120+B121)/B122)</f>
        <v/>
      </c>
      <c r="C129" s="1367" t="str">
        <f>IF(C122=0,"",-(C118+C119+C120+C121)/C122)</f>
        <v/>
      </c>
      <c r="D129" s="1367" t="str">
        <f>IF(D122=0,"",-(D118+D119+D120+D121)/D122)</f>
        <v/>
      </c>
      <c r="E129" s="1367" t="str">
        <f>IF(E122=0,"",-(E118+E119+E120+E121)/E122)</f>
        <v/>
      </c>
      <c r="F129" s="1368" t="str">
        <f>IF(F122=0,"",-(F118+F119+F120+F121)/F122)</f>
        <v/>
      </c>
      <c r="G129" s="1372"/>
      <c r="H129" s="1372"/>
      <c r="I129" s="1372"/>
      <c r="J129" s="1372"/>
      <c r="K129" s="1372"/>
      <c r="N129" s="2376"/>
      <c r="O129" s="2378"/>
    </row>
    <row r="130" spans="1:18" ht="13.35" customHeight="1">
      <c r="A130" s="292" t="s">
        <v>3426</v>
      </c>
      <c r="B130" s="1367" t="str">
        <f>IF(AND(B119=0,B120=0,B121=0,B122=0),"",-B118/(B119+B120+B121+B122))</f>
        <v/>
      </c>
      <c r="C130" s="1367" t="str">
        <f>IF(AND(C119=0,C120=0,C121=0,C122=0),"",-C118/(C119+C120+C121+C122))</f>
        <v/>
      </c>
      <c r="D130" s="1367" t="str">
        <f>IF(AND(D119=0,D120=0,D121=0,D122=0),"",-D118/(D119+D120+D121+D122))</f>
        <v/>
      </c>
      <c r="E130" s="1367" t="str">
        <f>IF(AND(E119=0,E120=0,E121=0,E122=0),"",-E118/(E119+E120+E121+E122))</f>
        <v/>
      </c>
      <c r="F130" s="1368" t="str">
        <f>IF(AND(F119=0,F120=0,F121=0,F122=0),"",-F118/(F119+F120+F121+F122))</f>
        <v/>
      </c>
      <c r="G130" s="1372"/>
      <c r="H130" s="1372"/>
      <c r="I130" s="1372"/>
      <c r="J130" s="1372"/>
      <c r="K130" s="1372"/>
      <c r="N130" s="2376"/>
      <c r="O130" s="2378"/>
    </row>
    <row r="131" spans="1:18" ht="13.35" customHeight="1">
      <c r="A131" s="292" t="s">
        <v>713</v>
      </c>
      <c r="B131" s="1369" t="str">
        <f>IF(OR(B115="Choose mgt fee",B115="Choose One!"),"",(B108+B109+B110+B111+B112) / -(B114+B115+B116))</f>
        <v/>
      </c>
      <c r="C131" s="1369" t="str">
        <f>IF(OR(C115="Choose mgt fee",C115="Choose One!"),"",(C108+C109+C110+C111+C112) / -(C114+C115+C116))</f>
        <v/>
      </c>
      <c r="D131" s="1369" t="str">
        <f>IF(OR(D115="Choose mgt fee",D115="Choose One!"),"",(D108+D109+D110+D111+D112) / -(D114+D115+D116))</f>
        <v/>
      </c>
      <c r="E131" s="1369" t="str">
        <f>IF(OR(E115="Choose mgt fee",E115="Choose One!"),"",(E108+E109+E110+E111+E112) / -(E114+E115+E116))</f>
        <v/>
      </c>
      <c r="F131" s="1373" t="str">
        <f>IF(OR(F115="Choose mgt fee",F115="Choose One!"),"",(F108+F109+F110+F111+F112) / -(F114+F115+F116))</f>
        <v/>
      </c>
      <c r="G131" s="1372"/>
      <c r="H131" s="1372"/>
      <c r="I131" s="1372"/>
      <c r="J131" s="1372"/>
      <c r="K131" s="1372"/>
      <c r="N131" s="2376"/>
      <c r="O131" s="2378"/>
    </row>
    <row r="132" spans="1:18" ht="13.35" customHeight="1">
      <c r="A132" s="292" t="s">
        <v>2326</v>
      </c>
      <c r="B132" s="1371" t="str">
        <f>IF('Part III-Sources of Funds'!$I$18="","",-FV('Part III-Sources of Funds'!$K$18/12,12,B119/12,K102))</f>
        <v/>
      </c>
      <c r="C132" s="1371" t="str">
        <f>IF('Part III-Sources of Funds'!$I$18="","",-FV('Part III-Sources of Funds'!$K$18/12,12,C119/12,B132))</f>
        <v/>
      </c>
      <c r="D132" s="1371" t="str">
        <f>IF('Part III-Sources of Funds'!$I$18="","",-FV('Part III-Sources of Funds'!$K$18/12,12,D119/12,C132))</f>
        <v/>
      </c>
      <c r="E132" s="1371" t="str">
        <f>IF('Part III-Sources of Funds'!$I$18="","",-FV('Part III-Sources of Funds'!$K$18/12,12,E119/12,D132))</f>
        <v/>
      </c>
      <c r="F132" s="1371" t="str">
        <f>IF('Part III-Sources of Funds'!$I$18="","",-FV('Part III-Sources of Funds'!$K$18/12,12,F119/12,E132))</f>
        <v/>
      </c>
      <c r="G132" s="1372"/>
      <c r="H132" s="1372"/>
      <c r="I132" s="1372"/>
      <c r="J132" s="1372"/>
      <c r="K132" s="1372"/>
      <c r="N132" s="2376"/>
      <c r="O132" s="2378"/>
    </row>
    <row r="133" spans="1:18" ht="13.35" customHeight="1">
      <c r="A133" s="292" t="s">
        <v>2327</v>
      </c>
      <c r="B133" s="1363" t="str">
        <f>IF('Part III-Sources of Funds'!$I$19="","",-FV('Part III-Sources of Funds'!$K$19/12,12,B120/12,K103))</f>
        <v/>
      </c>
      <c r="C133" s="1363" t="str">
        <f>IF('Part III-Sources of Funds'!$I$19="","",-FV('Part III-Sources of Funds'!$K$19/12,12,C120/12,B133))</f>
        <v/>
      </c>
      <c r="D133" s="1363" t="str">
        <f>IF('Part III-Sources of Funds'!$I$19="","",-FV('Part III-Sources of Funds'!$K$19/12,12,D120/12,C133))</f>
        <v/>
      </c>
      <c r="E133" s="1363" t="str">
        <f>IF('Part III-Sources of Funds'!$I$19="","",-FV('Part III-Sources of Funds'!$K$19/12,12,E120/12,D133))</f>
        <v/>
      </c>
      <c r="F133" s="1363" t="str">
        <f>IF('Part III-Sources of Funds'!$I$19="","",-FV('Part III-Sources of Funds'!$K$19/12,12,F120/12,E133))</f>
        <v/>
      </c>
      <c r="G133" s="1372"/>
      <c r="H133" s="1372"/>
      <c r="I133" s="1372"/>
      <c r="J133" s="1372"/>
      <c r="K133" s="1372"/>
      <c r="N133" s="2376"/>
      <c r="O133" s="2378"/>
    </row>
    <row r="134" spans="1:18" ht="13.35" customHeight="1">
      <c r="A134" s="292" t="s">
        <v>2328</v>
      </c>
      <c r="B134" s="1363" t="str">
        <f>IF('Part III-Sources of Funds'!$I$20="","",-FV('Part III-Sources of Funds'!$K$20/12,12,B121/12,K104))</f>
        <v/>
      </c>
      <c r="C134" s="1363" t="str">
        <f>IF('Part III-Sources of Funds'!$I$20="","",-FV('Part III-Sources of Funds'!$K$20/12,12,C121/12,B134))</f>
        <v/>
      </c>
      <c r="D134" s="1363" t="str">
        <f>IF('Part III-Sources of Funds'!$I$20="","",-FV('Part III-Sources of Funds'!$K$20/12,12,D121/12,C134))</f>
        <v/>
      </c>
      <c r="E134" s="1363" t="str">
        <f>IF('Part III-Sources of Funds'!$I$20="","",-FV('Part III-Sources of Funds'!$K$20/12,12,E121/12,D134))</f>
        <v/>
      </c>
      <c r="F134" s="1363" t="str">
        <f>IF('Part III-Sources of Funds'!$I$20="","",-FV('Part III-Sources of Funds'!$K$20/12,12,F121/12,E134))</f>
        <v/>
      </c>
      <c r="G134" s="1372"/>
      <c r="H134" s="1372"/>
      <c r="I134" s="1372"/>
      <c r="J134" s="1372"/>
      <c r="K134" s="1372"/>
      <c r="N134" s="2376"/>
      <c r="O134" s="2378"/>
    </row>
    <row r="135" spans="1:18" ht="13.35" customHeight="1">
      <c r="A135" s="1374" t="s">
        <v>724</v>
      </c>
      <c r="B135" s="1366" t="str">
        <f>IF('Part III-Sources of Funds'!$I$21="","",-FV('Part III-Sources of Funds'!$K$21/12,12,B122/12,K105))</f>
        <v/>
      </c>
      <c r="C135" s="1366" t="str">
        <f>IF('Part III-Sources of Funds'!$I$21="","",-FV('Part III-Sources of Funds'!$K$21/12,12,C122/12,B135))</f>
        <v/>
      </c>
      <c r="D135" s="1366" t="str">
        <f>IF('Part III-Sources of Funds'!$I$21="","",-FV('Part III-Sources of Funds'!$K$21/12,12,D122/12,C135))</f>
        <v/>
      </c>
      <c r="E135" s="1366" t="str">
        <f>IF('Part III-Sources of Funds'!$I$21="","",-FV('Part III-Sources of Funds'!$K$21/12,12,E122/12,D135))</f>
        <v/>
      </c>
      <c r="F135" s="1366" t="str">
        <f>IF('Part III-Sources of Funds'!$I$21="","",-FV('Part III-Sources of Funds'!$K$21/12,12,F122/12,E135))</f>
        <v/>
      </c>
      <c r="G135" s="1372"/>
      <c r="H135" s="1372"/>
      <c r="I135" s="1372"/>
      <c r="J135" s="1372"/>
      <c r="K135" s="1372"/>
      <c r="N135" s="2304"/>
      <c r="O135" s="2306"/>
    </row>
    <row r="136" spans="1:18" ht="4.3499999999999996" customHeight="1"/>
    <row r="137" spans="1:18" ht="12" customHeight="1">
      <c r="A137" s="5" t="s">
        <v>530</v>
      </c>
      <c r="B137" s="5"/>
      <c r="G137" s="5" t="s">
        <v>955</v>
      </c>
    </row>
    <row r="138" spans="1:18" ht="12" customHeight="1">
      <c r="B138" s="9"/>
    </row>
    <row r="139" spans="1:18" ht="409.5" customHeight="1">
      <c r="A139" s="2459" t="s">
        <v>3022</v>
      </c>
      <c r="B139" s="2460"/>
      <c r="C139" s="2460"/>
      <c r="D139" s="2460"/>
      <c r="E139" s="2460"/>
      <c r="F139" s="2461"/>
      <c r="G139" s="2462"/>
      <c r="H139" s="2463"/>
      <c r="I139" s="2463"/>
      <c r="J139" s="2463"/>
      <c r="K139" s="2464"/>
      <c r="N139" s="2100" t="s">
        <v>2342</v>
      </c>
      <c r="O139" s="2100"/>
    </row>
    <row r="140" spans="1:18" ht="11.25" customHeight="1"/>
    <row r="141" spans="1:18" ht="12" customHeight="1">
      <c r="B141" s="5"/>
    </row>
    <row r="142" spans="1:18" ht="12" customHeight="1">
      <c r="B142" s="9"/>
    </row>
    <row r="143" spans="1:18" ht="12" customHeight="1">
      <c r="Q143" s="23"/>
      <c r="R143" s="23"/>
    </row>
    <row r="144" spans="1:18" s="23" customFormat="1" ht="12" customHeight="1">
      <c r="L144" s="33"/>
      <c r="M144" s="33"/>
      <c r="N144" s="33"/>
      <c r="O144" s="33"/>
    </row>
    <row r="145" spans="12:18" s="23" customFormat="1" ht="12" customHeight="1">
      <c r="L145" s="33"/>
      <c r="M145" s="33"/>
      <c r="N145" s="33"/>
      <c r="O145" s="33"/>
    </row>
    <row r="146" spans="12:18" s="23" customFormat="1" ht="12" customHeight="1">
      <c r="L146" s="33"/>
      <c r="M146" s="33"/>
      <c r="N146" s="33"/>
      <c r="O146" s="33"/>
    </row>
    <row r="147" spans="12:18" s="23" customFormat="1" ht="12" customHeight="1">
      <c r="L147" s="33"/>
      <c r="M147" s="33"/>
      <c r="N147" s="33"/>
      <c r="O147" s="33"/>
      <c r="Q147" s="33"/>
      <c r="R147" s="33"/>
    </row>
    <row r="148" spans="12:18" ht="12" customHeight="1">
      <c r="Q148" s="23"/>
      <c r="R148" s="23"/>
    </row>
    <row r="149" spans="12:18" s="23" customFormat="1" ht="12" customHeight="1">
      <c r="L149" s="33"/>
      <c r="M149" s="33"/>
      <c r="N149" s="33"/>
      <c r="O149" s="33"/>
    </row>
    <row r="150" spans="12:18" s="23" customFormat="1" ht="12" customHeight="1">
      <c r="L150" s="33"/>
      <c r="M150" s="33"/>
      <c r="N150" s="33"/>
      <c r="O150" s="33"/>
      <c r="Q150" s="33"/>
      <c r="R150" s="33"/>
    </row>
    <row r="151" spans="12:18" ht="12" customHeight="1">
      <c r="Q151" s="23"/>
      <c r="R151" s="23"/>
    </row>
    <row r="152" spans="12:18" s="23" customFormat="1" ht="12" customHeight="1">
      <c r="L152" s="33"/>
      <c r="M152" s="33"/>
      <c r="N152" s="33"/>
      <c r="O152" s="33"/>
    </row>
    <row r="153" spans="12:18" s="23" customFormat="1" ht="12" customHeight="1">
      <c r="L153" s="33"/>
      <c r="M153" s="33"/>
      <c r="N153" s="33"/>
      <c r="O153" s="33"/>
    </row>
    <row r="154" spans="12:18" s="23" customFormat="1" ht="12" customHeight="1">
      <c r="L154" s="33"/>
      <c r="M154" s="33"/>
      <c r="N154" s="33"/>
      <c r="O154" s="33"/>
    </row>
    <row r="155" spans="12:18" s="23" customFormat="1" ht="12" customHeight="1">
      <c r="L155" s="33"/>
      <c r="M155" s="33"/>
      <c r="N155" s="33"/>
      <c r="O155" s="33"/>
    </row>
    <row r="156" spans="12:18" s="23" customFormat="1" ht="12" customHeight="1">
      <c r="L156" s="33"/>
      <c r="M156" s="33"/>
      <c r="N156" s="33"/>
      <c r="O156" s="33"/>
    </row>
    <row r="157" spans="12:18" s="23" customFormat="1" ht="12" customHeight="1">
      <c r="L157" s="33"/>
      <c r="M157" s="33"/>
      <c r="N157" s="33"/>
      <c r="O157" s="33"/>
    </row>
    <row r="158" spans="12:18" s="23" customFormat="1" ht="12" customHeight="1">
      <c r="L158" s="33"/>
      <c r="M158" s="33"/>
      <c r="N158" s="33"/>
      <c r="O158" s="33"/>
      <c r="Q158" s="33"/>
      <c r="R158" s="33"/>
    </row>
    <row r="159" spans="12:18" ht="12" customHeight="1">
      <c r="Q159" s="23"/>
      <c r="R159" s="23"/>
    </row>
    <row r="160" spans="12:18" s="23" customFormat="1" ht="12" customHeight="1">
      <c r="L160" s="33"/>
      <c r="M160" s="33"/>
      <c r="N160" s="33"/>
      <c r="O160" s="33"/>
    </row>
    <row r="161" spans="12:18" s="23" customFormat="1" ht="12" customHeight="1">
      <c r="L161" s="33"/>
      <c r="M161" s="33"/>
      <c r="N161" s="33"/>
      <c r="O161" s="33"/>
    </row>
    <row r="162" spans="12:18" s="23" customFormat="1" ht="12" customHeight="1">
      <c r="L162" s="33"/>
      <c r="M162" s="33"/>
      <c r="N162" s="33"/>
      <c r="O162" s="33"/>
    </row>
    <row r="163" spans="12:18" s="23" customFormat="1" ht="12" customHeight="1">
      <c r="L163" s="33"/>
      <c r="M163" s="33"/>
      <c r="N163" s="33"/>
      <c r="O163" s="33"/>
    </row>
    <row r="164" spans="12:18" s="23" customFormat="1" ht="12" customHeight="1">
      <c r="L164" s="33"/>
      <c r="M164" s="33"/>
      <c r="N164" s="33"/>
      <c r="O164" s="33"/>
    </row>
    <row r="165" spans="12:18" s="23" customFormat="1" ht="12" customHeight="1">
      <c r="L165" s="33"/>
      <c r="M165" s="33"/>
      <c r="N165" s="33"/>
      <c r="O165" s="33"/>
    </row>
    <row r="166" spans="12:18" s="23" customFormat="1" ht="12" customHeight="1">
      <c r="L166" s="33"/>
      <c r="M166" s="33"/>
      <c r="N166" s="33"/>
      <c r="O166" s="33"/>
    </row>
    <row r="167" spans="12:18" s="23" customFormat="1" ht="12" customHeight="1">
      <c r="L167" s="33"/>
      <c r="M167" s="33"/>
      <c r="N167" s="33"/>
      <c r="O167" s="33"/>
    </row>
    <row r="168" spans="12:18" s="23" customFormat="1" ht="12" customHeight="1">
      <c r="L168" s="33"/>
      <c r="M168" s="33"/>
      <c r="N168" s="33"/>
      <c r="O168" s="33"/>
    </row>
    <row r="169" spans="12:18" s="23" customFormat="1" ht="12" customHeight="1">
      <c r="L169" s="33"/>
      <c r="M169" s="33"/>
      <c r="N169" s="33"/>
      <c r="O169" s="33"/>
    </row>
    <row r="170" spans="12:18" s="23" customFormat="1" ht="12" customHeight="1">
      <c r="L170" s="33"/>
      <c r="M170" s="33"/>
      <c r="N170" s="33"/>
      <c r="O170" s="33"/>
      <c r="Q170" s="33"/>
      <c r="R170" s="33"/>
    </row>
    <row r="171" spans="12:18" ht="12" customHeight="1"/>
    <row r="172" spans="12:18" ht="12" customHeight="1"/>
    <row r="173" spans="12:18" ht="12" customHeight="1"/>
    <row r="174" spans="12:18" ht="12" customHeight="1"/>
  </sheetData>
  <sheetProtection algorithmName="SHA-512" hashValue="hfpAshKuMRG7fqFY+cOZ65i9HJRYvswDGEaLzm2z8H7wWCyi4uS+itrEVv3FykxZeuOFDIPMNPl2kputKLXjNQ==" saltValue="POKOLHvSiXoWxhfY8QmqIA==" spinCount="100000" sheet="1" objects="1" scenarios="1"/>
  <mergeCells count="135">
    <mergeCell ref="N135:O135"/>
    <mergeCell ref="A139:F139"/>
    <mergeCell ref="G139:K139"/>
    <mergeCell ref="N139:O139"/>
    <mergeCell ref="N129:O129"/>
    <mergeCell ref="N130:O130"/>
    <mergeCell ref="N131:O131"/>
    <mergeCell ref="N132:O132"/>
    <mergeCell ref="N133:O133"/>
    <mergeCell ref="N134:O134"/>
    <mergeCell ref="N123:O123"/>
    <mergeCell ref="N124:O124"/>
    <mergeCell ref="N125:O125"/>
    <mergeCell ref="N126:O126"/>
    <mergeCell ref="N127:O127"/>
    <mergeCell ref="N128:O128"/>
    <mergeCell ref="N117:O117"/>
    <mergeCell ref="N118:O118"/>
    <mergeCell ref="N119:O119"/>
    <mergeCell ref="N120:O120"/>
    <mergeCell ref="N121:O121"/>
    <mergeCell ref="N122:O122"/>
    <mergeCell ref="N111:O111"/>
    <mergeCell ref="N112:O112"/>
    <mergeCell ref="N113:O113"/>
    <mergeCell ref="N114:O114"/>
    <mergeCell ref="N115:O115"/>
    <mergeCell ref="N116:O116"/>
    <mergeCell ref="N104:O104"/>
    <mergeCell ref="N105:O105"/>
    <mergeCell ref="N107:O107"/>
    <mergeCell ref="N108:O108"/>
    <mergeCell ref="N109:O109"/>
    <mergeCell ref="N110:O110"/>
    <mergeCell ref="N98:O98"/>
    <mergeCell ref="N99:O99"/>
    <mergeCell ref="N100:O100"/>
    <mergeCell ref="N101:O101"/>
    <mergeCell ref="N102:O102"/>
    <mergeCell ref="N103:O103"/>
    <mergeCell ref="N92:O92"/>
    <mergeCell ref="N93:O93"/>
    <mergeCell ref="N94:O94"/>
    <mergeCell ref="N95:O95"/>
    <mergeCell ref="N96:O96"/>
    <mergeCell ref="N97:O97"/>
    <mergeCell ref="N86:O86"/>
    <mergeCell ref="N87:O87"/>
    <mergeCell ref="N88:O88"/>
    <mergeCell ref="N89:O89"/>
    <mergeCell ref="N90:O90"/>
    <mergeCell ref="N91:O91"/>
    <mergeCell ref="N80:O80"/>
    <mergeCell ref="N81:O81"/>
    <mergeCell ref="N82:O82"/>
    <mergeCell ref="N83:O83"/>
    <mergeCell ref="N84:O84"/>
    <mergeCell ref="N85:O85"/>
    <mergeCell ref="N73:O73"/>
    <mergeCell ref="N74:O74"/>
    <mergeCell ref="N75:O75"/>
    <mergeCell ref="N77:O77"/>
    <mergeCell ref="N78:O78"/>
    <mergeCell ref="N79:O79"/>
    <mergeCell ref="N67:O67"/>
    <mergeCell ref="N68:O68"/>
    <mergeCell ref="N69:O69"/>
    <mergeCell ref="N70:O70"/>
    <mergeCell ref="N71:O71"/>
    <mergeCell ref="N72:O72"/>
    <mergeCell ref="N61:O61"/>
    <mergeCell ref="N62:O62"/>
    <mergeCell ref="N63:O63"/>
    <mergeCell ref="N64:O64"/>
    <mergeCell ref="N65:O65"/>
    <mergeCell ref="N66:O66"/>
    <mergeCell ref="N55:O55"/>
    <mergeCell ref="N56:O56"/>
    <mergeCell ref="N57:O57"/>
    <mergeCell ref="N58:O58"/>
    <mergeCell ref="N59:O59"/>
    <mergeCell ref="N60:O60"/>
    <mergeCell ref="N49:O49"/>
    <mergeCell ref="N50:O50"/>
    <mergeCell ref="N51:O51"/>
    <mergeCell ref="N52:O52"/>
    <mergeCell ref="N53:O53"/>
    <mergeCell ref="N54:O54"/>
    <mergeCell ref="N42:O42"/>
    <mergeCell ref="N43:O43"/>
    <mergeCell ref="N45:O45"/>
    <mergeCell ref="N46:O46"/>
    <mergeCell ref="N47:O47"/>
    <mergeCell ref="N48:O48"/>
    <mergeCell ref="N36:O36"/>
    <mergeCell ref="N37:O37"/>
    <mergeCell ref="N38:O38"/>
    <mergeCell ref="N39:O39"/>
    <mergeCell ref="N40:O40"/>
    <mergeCell ref="N41:O41"/>
    <mergeCell ref="N30:O30"/>
    <mergeCell ref="N31:O31"/>
    <mergeCell ref="N32:O32"/>
    <mergeCell ref="N33:O33"/>
    <mergeCell ref="N34:O34"/>
    <mergeCell ref="N35:O35"/>
    <mergeCell ref="N25:O25"/>
    <mergeCell ref="N26:O26"/>
    <mergeCell ref="N27:O27"/>
    <mergeCell ref="N28:O28"/>
    <mergeCell ref="N29:O29"/>
    <mergeCell ref="N18:O18"/>
    <mergeCell ref="N19:O19"/>
    <mergeCell ref="N20:O20"/>
    <mergeCell ref="N21:O21"/>
    <mergeCell ref="N22:O22"/>
    <mergeCell ref="N23:O23"/>
    <mergeCell ref="N13:O13"/>
    <mergeCell ref="N14:O14"/>
    <mergeCell ref="S14:S17"/>
    <mergeCell ref="N15:O15"/>
    <mergeCell ref="N16:O16"/>
    <mergeCell ref="Q16:Q17"/>
    <mergeCell ref="R16:R17"/>
    <mergeCell ref="N17:O17"/>
    <mergeCell ref="N24:O24"/>
    <mergeCell ref="N9:O9"/>
    <mergeCell ref="N8:O8"/>
    <mergeCell ref="N7:O7"/>
    <mergeCell ref="N6:O6"/>
    <mergeCell ref="N5:O5"/>
    <mergeCell ref="N2:O2"/>
    <mergeCell ref="N1:O1"/>
    <mergeCell ref="A1:K1"/>
    <mergeCell ref="D5:F6"/>
  </mergeCells>
  <conditionalFormatting sqref="G6">
    <cfRule type="expression" dxfId="49" priority="9">
      <formula>$G$6&lt;$G$5</formula>
    </cfRule>
  </conditionalFormatting>
  <conditionalFormatting sqref="A30">
    <cfRule type="expression" dxfId="48" priority="8">
      <formula>"or(B28&lt;$G$6,C28&lt;$G$6,D28&lt;$G$6,E28&lt;$G$6,F28&lt;$G$6,G28&lt;$G$6,H28&lt;$G$6,I28&lt;$G$6,J28&lt;$G$6,K28&lt;$G$6,)"</formula>
    </cfRule>
  </conditionalFormatting>
  <conditionalFormatting sqref="A62">
    <cfRule type="expression" dxfId="47" priority="7">
      <formula>"or(B28&lt;$G$6,C28&lt;$G$6,D28&lt;$G$6,E28&lt;$G$6,F28&lt;$G$6,G28&lt;$G$6,H28&lt;$G$6,I28&lt;$G$6,J28&lt;$G$6,K28&lt;$G$6,)"</formula>
    </cfRule>
  </conditionalFormatting>
  <conditionalFormatting sqref="A94">
    <cfRule type="expression" dxfId="46" priority="6">
      <formula>"or(B28&lt;$G$6,C28&lt;$G$6,D28&lt;$G$6,E28&lt;$G$6,F28&lt;$G$6,G28&lt;$G$6,H28&lt;$G$6,I28&lt;$G$6,J28&lt;$G$6,K28&lt;$G$6,)"</formula>
    </cfRule>
  </conditionalFormatting>
  <conditionalFormatting sqref="A23">
    <cfRule type="expression" dxfId="45" priority="5">
      <formula>"or(B28&lt;$G$6,C28&lt;$G$6,D28&lt;$G$6,E28&lt;$G$6,F28&lt;$G$6,G28&lt;$G$6,H28&lt;$G$6,I28&lt;$G$6,J28&lt;$G$6,K28&lt;$G$6,)"</formula>
    </cfRule>
  </conditionalFormatting>
  <conditionalFormatting sqref="A55">
    <cfRule type="expression" dxfId="44" priority="4">
      <formula>"or(B28&lt;$G$6,C28&lt;$G$6,D28&lt;$G$6,E28&lt;$G$6,F28&lt;$G$6,G28&lt;$G$6,H28&lt;$G$6,I28&lt;$G$6,J28&lt;$G$6,K28&lt;$G$6,)"</formula>
    </cfRule>
  </conditionalFormatting>
  <conditionalFormatting sqref="A87">
    <cfRule type="expression" dxfId="43" priority="3">
      <formula>"or(B28&lt;$G$6,C28&lt;$G$6,D28&lt;$G$6,E28&lt;$G$6,F28&lt;$G$6,G28&lt;$G$6,H28&lt;$G$6,I28&lt;$G$6,J28&lt;$G$6,K28&lt;$G$6,)"</formula>
    </cfRule>
  </conditionalFormatting>
  <conditionalFormatting sqref="A117">
    <cfRule type="expression" dxfId="42" priority="2">
      <formula>"or(B28&lt;$G$6,C28&lt;$G$6,D28&lt;$G$6,E28&lt;$G$6,F28&lt;$G$6,G28&lt;$G$6,H28&lt;$G$6,I28&lt;$G$6,J28&lt;$G$6,K28&lt;$G$6,)"</formula>
    </cfRule>
  </conditionalFormatting>
  <conditionalFormatting sqref="C8">
    <cfRule type="containsText" dxfId="41" priority="1" operator="containsText" text="Must be &gt;= 7%!">
      <formula>NOT(ISERROR(SEARCH("Must be &gt;= 7%!",C8)))</formula>
    </cfRule>
  </conditionalFormatting>
  <dataValidations count="2">
    <dataValidation type="list" allowBlank="1" showInputMessage="1" showErrorMessage="1" error="Please choose a response from the list provided by using the drop-down arrow to the right of the box." sqref="G8:G9" xr:uid="{00000000-0002-0000-0B00-000000000000}">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B00-000001000000}">
      <formula1>0.05</formula1>
    </dataValidation>
  </dataValidations>
  <pageMargins left="0.7" right="0.7" top="0.75" bottom="0.75" header="0.3" footer="0.3"/>
  <pageSetup scale="87" fitToHeight="0" orientation="landscape" horizontalDpi="1200" verticalDpi="1200" r:id="rId1"/>
  <headerFooter>
    <oddHeader>&amp;LGeorgia Department of Community Affairs&amp;COHF Cost Certification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dimension ref="A1:K28"/>
  <sheetViews>
    <sheetView showGridLines="0" zoomScale="75" zoomScaleNormal="75" workbookViewId="0">
      <selection activeCell="A22" sqref="A22:J22"/>
    </sheetView>
  </sheetViews>
  <sheetFormatPr defaultColWidth="9.140625" defaultRowHeight="15"/>
  <cols>
    <col min="1" max="3" width="12.7109375" style="563" customWidth="1"/>
    <col min="4" max="4" width="15.42578125" style="563" customWidth="1"/>
    <col min="5" max="5" width="4.7109375" style="563" customWidth="1"/>
    <col min="6" max="9" width="12.7109375" style="563" customWidth="1"/>
    <col min="10" max="10" width="5.140625" style="563" customWidth="1"/>
    <col min="11" max="16384" width="9.140625" style="563"/>
  </cols>
  <sheetData>
    <row r="1" spans="1:11" ht="15.75">
      <c r="A1" s="2469" t="s">
        <v>2468</v>
      </c>
      <c r="B1" s="2469"/>
      <c r="C1" s="2469"/>
      <c r="D1" s="2469"/>
      <c r="E1" s="2469"/>
      <c r="F1" s="2469"/>
      <c r="G1" s="2469"/>
      <c r="H1" s="2469"/>
      <c r="I1" s="2469"/>
      <c r="J1" s="2469"/>
    </row>
    <row r="2" spans="1:11" ht="15.75">
      <c r="A2" s="2469" t="str">
        <f>Overview!C8</f>
        <v>SB OHF Test Villas</v>
      </c>
      <c r="B2" s="2469"/>
      <c r="C2" s="2469"/>
      <c r="D2" s="2469"/>
      <c r="E2" s="2469"/>
      <c r="F2" s="2469"/>
      <c r="G2" s="2469"/>
      <c r="H2" s="2469"/>
      <c r="I2" s="2469"/>
      <c r="J2" s="2469"/>
    </row>
    <row r="3" spans="1:11" ht="15.75">
      <c r="A3" s="2469" t="str">
        <f>'Subsidy Layering Memo'!F14</f>
        <v>Peachtree Corners, Gwinnett</v>
      </c>
      <c r="B3" s="2469"/>
      <c r="C3" s="2469"/>
      <c r="D3" s="2469"/>
      <c r="E3" s="2469"/>
      <c r="F3" s="2469"/>
      <c r="G3" s="2469"/>
      <c r="H3" s="2469"/>
      <c r="I3" s="2469"/>
      <c r="J3" s="2469"/>
    </row>
    <row r="4" spans="1:11" ht="15.75">
      <c r="A4" s="2470" t="s">
        <v>2469</v>
      </c>
      <c r="B4" s="2469"/>
      <c r="C4" s="2469"/>
      <c r="D4" s="2469"/>
      <c r="E4" s="2469"/>
      <c r="F4" s="2469"/>
      <c r="G4" s="2469"/>
      <c r="H4" s="2469"/>
      <c r="I4" s="2469"/>
      <c r="J4" s="2469"/>
    </row>
    <row r="5" spans="1:11" ht="5.25" customHeight="1"/>
    <row r="6" spans="1:11" ht="5.25" customHeight="1"/>
    <row r="7" spans="1:11" ht="15.75">
      <c r="A7" s="2471" t="s">
        <v>2470</v>
      </c>
      <c r="B7" s="2471"/>
      <c r="C7" s="2472"/>
    </row>
    <row r="8" spans="1:11" ht="123" customHeight="1">
      <c r="A8" s="2465" t="s">
        <v>2964</v>
      </c>
      <c r="B8" s="2465"/>
      <c r="C8" s="2465"/>
      <c r="D8" s="2465"/>
      <c r="E8" s="2465"/>
      <c r="F8" s="2465"/>
      <c r="G8" s="2465"/>
      <c r="H8" s="2465"/>
      <c r="I8" s="2465"/>
      <c r="J8" s="2465"/>
      <c r="K8" s="564"/>
    </row>
    <row r="9" spans="1:11" ht="15.75">
      <c r="A9" s="565" t="s">
        <v>2471</v>
      </c>
    </row>
    <row r="10" spans="1:11" ht="31.5" customHeight="1">
      <c r="A10" s="2465" t="str">
        <f>'Subsidy Layering Memo'!A44</f>
        <v xml:space="preserve">Ownership entity:  (NAME) LP, a Georgia Limited Partnership, will be the ownership entity for the proposed project. </v>
      </c>
      <c r="B10" s="2466"/>
      <c r="C10" s="2466"/>
      <c r="D10" s="2466"/>
      <c r="E10" s="2466"/>
      <c r="F10" s="2466"/>
      <c r="G10" s="2466"/>
      <c r="H10" s="2466"/>
      <c r="I10" s="2466"/>
      <c r="J10" s="2465"/>
    </row>
    <row r="11" spans="1:11" ht="76.5" customHeight="1">
      <c r="A11" s="2465"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2465"/>
      <c r="C11" s="2465"/>
      <c r="D11" s="2465"/>
      <c r="E11" s="2465"/>
      <c r="F11" s="2465"/>
      <c r="G11" s="2465"/>
      <c r="H11" s="2465"/>
      <c r="I11" s="2465"/>
      <c r="J11" s="2465"/>
    </row>
    <row r="12" spans="1:11" ht="62.25" customHeight="1">
      <c r="A12" s="2465"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2465"/>
      <c r="C12" s="2465"/>
      <c r="D12" s="2465"/>
      <c r="E12" s="2465"/>
      <c r="F12" s="2465"/>
      <c r="G12" s="2465"/>
      <c r="H12" s="2465"/>
      <c r="I12" s="2465"/>
      <c r="J12" s="2465"/>
    </row>
    <row r="13" spans="1:11" ht="15.75">
      <c r="A13" s="565" t="s">
        <v>2472</v>
      </c>
      <c r="B13" s="566"/>
    </row>
    <row r="14" spans="1:11">
      <c r="A14" s="563" t="s">
        <v>2473</v>
      </c>
      <c r="E14" s="567" t="s">
        <v>2474</v>
      </c>
    </row>
    <row r="15" spans="1:11">
      <c r="A15" s="563" t="s">
        <v>2475</v>
      </c>
      <c r="D15" s="568">
        <f>Overview!C25</f>
        <v>0</v>
      </c>
    </row>
    <row r="16" spans="1:11">
      <c r="A16" s="569" t="s">
        <v>2476</v>
      </c>
      <c r="D16" s="570" t="e">
        <f>Overview!C13</f>
        <v>#REF!</v>
      </c>
    </row>
    <row r="17" spans="1:11" ht="14.25" customHeight="1"/>
    <row r="18" spans="1:11" ht="15.75">
      <c r="A18" s="565" t="s">
        <v>2477</v>
      </c>
      <c r="B18" s="566"/>
      <c r="C18" s="566"/>
    </row>
    <row r="19" spans="1:11" ht="54" customHeight="1">
      <c r="A19" s="2467"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2467"/>
      <c r="C19" s="2467"/>
      <c r="D19" s="2467"/>
      <c r="E19" s="2467"/>
      <c r="F19" s="2467"/>
      <c r="G19" s="2467"/>
      <c r="H19" s="2467"/>
      <c r="I19" s="2467"/>
      <c r="J19" s="2467"/>
    </row>
    <row r="20" spans="1:11" ht="91.5" customHeight="1">
      <c r="A20" s="2465"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2465"/>
      <c r="C20" s="2465"/>
      <c r="D20" s="2465"/>
      <c r="E20" s="2465"/>
      <c r="F20" s="2465"/>
      <c r="G20" s="2465"/>
      <c r="H20" s="2465"/>
      <c r="I20" s="2465"/>
      <c r="J20" s="2465"/>
    </row>
    <row r="21" spans="1:11" ht="15.75">
      <c r="A21" s="565" t="s">
        <v>2478</v>
      </c>
      <c r="B21" s="566"/>
      <c r="C21" s="566"/>
      <c r="D21" s="566"/>
      <c r="E21" s="566"/>
      <c r="F21" s="566"/>
    </row>
    <row r="22" spans="1:11" ht="134.25" customHeight="1">
      <c r="A22" s="246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2468"/>
      <c r="C22" s="2468"/>
      <c r="D22" s="2468"/>
      <c r="E22" s="2468"/>
      <c r="F22" s="2468"/>
      <c r="G22" s="2468"/>
      <c r="H22" s="2468"/>
      <c r="I22" s="2468"/>
      <c r="J22" s="2468"/>
      <c r="K22" s="571"/>
    </row>
    <row r="23" spans="1:11" ht="15" customHeight="1">
      <c r="A23" s="2465"/>
      <c r="B23" s="2465"/>
      <c r="C23" s="2465"/>
      <c r="D23" s="2465"/>
      <c r="E23" s="2465"/>
      <c r="F23" s="2465"/>
      <c r="G23" s="2465"/>
      <c r="H23" s="2465"/>
      <c r="I23" s="2465"/>
      <c r="J23" s="2465"/>
      <c r="K23" s="563" t="s">
        <v>224</v>
      </c>
    </row>
    <row r="24" spans="1:11" ht="15" customHeight="1">
      <c r="B24" s="572"/>
      <c r="C24" s="572"/>
      <c r="D24" s="572"/>
      <c r="E24" s="572"/>
      <c r="F24" s="572"/>
      <c r="G24" s="572"/>
      <c r="H24" s="572"/>
      <c r="I24" s="572" t="s">
        <v>224</v>
      </c>
      <c r="J24" s="572"/>
    </row>
    <row r="25" spans="1:11" ht="15.75">
      <c r="A25" s="566" t="s">
        <v>2479</v>
      </c>
    </row>
    <row r="27" spans="1:11" ht="15.75" thickBot="1">
      <c r="A27" s="573"/>
      <c r="B27" s="573"/>
      <c r="C27" s="573"/>
      <c r="D27" s="573"/>
      <c r="F27" s="573"/>
      <c r="G27" s="573"/>
      <c r="H27" s="573"/>
      <c r="I27" s="573"/>
    </row>
    <row r="28" spans="1:11">
      <c r="A28" s="563" t="s">
        <v>2480</v>
      </c>
      <c r="D28" s="563" t="s">
        <v>861</v>
      </c>
      <c r="F28" s="563" t="s">
        <v>2481</v>
      </c>
      <c r="I28" s="563" t="s">
        <v>861</v>
      </c>
      <c r="J28" s="563" t="s">
        <v>224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577"/>
    <col min="2" max="2" width="7.7109375" style="577" customWidth="1"/>
    <col min="3" max="3" width="14.85546875" style="577" customWidth="1"/>
    <col min="4" max="4" width="20.28515625" style="577" customWidth="1"/>
    <col min="5" max="5" width="8" style="577" customWidth="1"/>
    <col min="6" max="6" width="5.140625" style="577" customWidth="1"/>
    <col min="7" max="7" width="5.42578125" style="577" customWidth="1"/>
    <col min="8" max="8" width="8.5703125" style="577" customWidth="1"/>
    <col min="9" max="9" width="28.5703125" style="577" customWidth="1"/>
    <col min="10" max="10" width="4.140625" style="577" hidden="1" customWidth="1"/>
    <col min="11" max="11" width="9.140625" style="577"/>
    <col min="12" max="12" width="16.140625" style="577" customWidth="1"/>
    <col min="13" max="13" width="11.28515625" style="577" customWidth="1"/>
    <col min="14" max="14" width="10.85546875" style="577" bestFit="1" customWidth="1"/>
    <col min="15" max="16384" width="9.140625" style="577"/>
  </cols>
  <sheetData>
    <row r="2" spans="1:10" ht="15">
      <c r="A2" s="574" t="s">
        <v>2482</v>
      </c>
      <c r="B2" s="575"/>
      <c r="C2" s="575"/>
      <c r="D2" s="575"/>
      <c r="E2" s="576"/>
      <c r="F2" s="575"/>
      <c r="G2" s="575"/>
      <c r="H2" s="575"/>
      <c r="I2" s="575"/>
      <c r="J2" s="575"/>
    </row>
    <row r="3" spans="1:10" ht="15">
      <c r="A3" s="578"/>
    </row>
    <row r="4" spans="1:10" ht="15">
      <c r="A4" s="578" t="s">
        <v>2483</v>
      </c>
      <c r="D4" s="577" t="s">
        <v>2484</v>
      </c>
    </row>
    <row r="5" spans="1:10" ht="15">
      <c r="A5" s="578"/>
    </row>
    <row r="6" spans="1:10" ht="15">
      <c r="A6" s="578" t="s">
        <v>2485</v>
      </c>
      <c r="D6" s="577" t="s">
        <v>2486</v>
      </c>
    </row>
    <row r="7" spans="1:10" ht="15">
      <c r="A7" s="578"/>
    </row>
    <row r="8" spans="1:10" ht="15">
      <c r="A8" s="578" t="s">
        <v>2487</v>
      </c>
      <c r="D8" s="579" t="s">
        <v>2488</v>
      </c>
    </row>
    <row r="9" spans="1:10" ht="15">
      <c r="A9" s="578"/>
    </row>
    <row r="10" spans="1:10" ht="15">
      <c r="A10" s="578" t="s">
        <v>2489</v>
      </c>
      <c r="D10" s="579" t="s">
        <v>2490</v>
      </c>
    </row>
    <row r="11" spans="1:10" ht="15">
      <c r="A11" s="578"/>
      <c r="D11" s="580"/>
    </row>
    <row r="12" spans="1:10" ht="15">
      <c r="A12" s="578" t="s">
        <v>2491</v>
      </c>
      <c r="D12" s="577" t="s">
        <v>573</v>
      </c>
      <c r="F12" s="580" t="str">
        <f>Overview!$C$8</f>
        <v>SB OHF Test Villas</v>
      </c>
    </row>
    <row r="13" spans="1:10" ht="15">
      <c r="A13" s="578"/>
      <c r="D13" s="577" t="s">
        <v>2492</v>
      </c>
      <c r="F13" s="580" t="str">
        <f>Overview!E8</f>
        <v>20##-###</v>
      </c>
    </row>
    <row r="14" spans="1:10" ht="15">
      <c r="A14" s="578"/>
      <c r="D14" s="577" t="s">
        <v>2493</v>
      </c>
      <c r="F14" s="580" t="str">
        <f>Overview!H8</f>
        <v>Peachtree Corners, Gwinnett</v>
      </c>
    </row>
    <row r="15" spans="1:10" ht="15">
      <c r="A15" s="578"/>
      <c r="D15" s="577" t="s">
        <v>2881</v>
      </c>
      <c r="F15" s="581">
        <f>Overview!$C$25</f>
        <v>0</v>
      </c>
    </row>
    <row r="16" spans="1:10" ht="15">
      <c r="A16" s="578"/>
      <c r="D16" s="582" t="s">
        <v>2494</v>
      </c>
      <c r="F16" s="583" t="e">
        <f>Overview!C13</f>
        <v>#REF!</v>
      </c>
      <c r="G16" s="584" t="s">
        <v>2882</v>
      </c>
      <c r="H16" s="580" t="e">
        <f>Overview!D13</f>
        <v>#REF!</v>
      </c>
    </row>
    <row r="17" spans="1:18" ht="15">
      <c r="A17" s="578"/>
      <c r="D17" s="582" t="s">
        <v>2459</v>
      </c>
      <c r="F17" s="580" t="str">
        <f>Overview!C14</f>
        <v>&lt;&lt;Select&gt;&gt;</v>
      </c>
    </row>
    <row r="18" spans="1:18" ht="15">
      <c r="A18" s="578"/>
      <c r="D18" s="582" t="s">
        <v>2887</v>
      </c>
      <c r="F18" s="580" t="str">
        <f>Overview!H15</f>
        <v>Urban</v>
      </c>
    </row>
    <row r="19" spans="1:18" ht="15">
      <c r="A19" s="578"/>
      <c r="D19" s="582" t="s">
        <v>2883</v>
      </c>
      <c r="F19" s="580">
        <f>Overview!E16</f>
        <v>0</v>
      </c>
    </row>
    <row r="20" spans="1:18" ht="15">
      <c r="A20" s="578"/>
      <c r="D20" s="582"/>
    </row>
    <row r="21" spans="1:18" ht="15">
      <c r="A21" s="585" t="s">
        <v>2495</v>
      </c>
    </row>
    <row r="22" spans="1:18" ht="111.75" customHeight="1">
      <c r="A22" s="2482" t="s">
        <v>3031</v>
      </c>
      <c r="B22" s="2482"/>
      <c r="C22" s="2482"/>
      <c r="D22" s="2482"/>
      <c r="E22" s="2482"/>
      <c r="F22" s="2482"/>
      <c r="G22" s="2482"/>
      <c r="H22" s="2482"/>
      <c r="I22" s="2482"/>
      <c r="J22" s="2482"/>
      <c r="L22" s="2487" t="s">
        <v>2892</v>
      </c>
      <c r="M22" s="2487"/>
      <c r="N22" s="2487"/>
      <c r="O22" s="2487"/>
      <c r="P22" s="2487"/>
      <c r="Q22" s="2487"/>
      <c r="R22" s="2487"/>
    </row>
    <row r="23" spans="1:18" ht="0.75" hidden="1" customHeight="1">
      <c r="A23" s="586"/>
      <c r="B23" s="586"/>
      <c r="C23" s="586"/>
      <c r="D23" s="586"/>
      <c r="E23" s="586"/>
      <c r="F23" s="586"/>
      <c r="G23" s="586"/>
      <c r="H23" s="586"/>
      <c r="I23" s="586"/>
      <c r="J23" s="586"/>
    </row>
    <row r="24" spans="1:18" ht="9.75" hidden="1" customHeight="1">
      <c r="A24" s="2488"/>
      <c r="B24" s="2488"/>
      <c r="C24" s="2488"/>
      <c r="D24" s="2488"/>
      <c r="E24" s="2488"/>
      <c r="F24" s="2488"/>
      <c r="G24" s="2488"/>
      <c r="H24" s="2488"/>
      <c r="I24" s="2488"/>
      <c r="J24" s="2488"/>
    </row>
    <row r="25" spans="1:18" ht="10.5" hidden="1" customHeight="1">
      <c r="A25" s="2489"/>
      <c r="B25" s="2489"/>
      <c r="C25" s="2489"/>
      <c r="D25" s="2489"/>
      <c r="E25" s="2489"/>
      <c r="F25" s="2489"/>
      <c r="G25" s="2489"/>
      <c r="H25" s="2489"/>
      <c r="I25" s="2489"/>
      <c r="J25" s="2489"/>
    </row>
    <row r="26" spans="1:18" ht="15">
      <c r="A26" s="585" t="s">
        <v>2496</v>
      </c>
    </row>
    <row r="27" spans="1:18" ht="14.25" customHeight="1">
      <c r="A27" s="2490" t="s">
        <v>2497</v>
      </c>
      <c r="B27" s="2490"/>
      <c r="C27" s="2490"/>
      <c r="D27" s="2490"/>
      <c r="E27" s="2490"/>
      <c r="F27" s="2490"/>
      <c r="G27" s="2490"/>
      <c r="H27" s="2490"/>
      <c r="I27" s="2490"/>
      <c r="J27" s="2490"/>
    </row>
    <row r="28" spans="1:18" ht="14.25" customHeight="1">
      <c r="A28" s="2490"/>
      <c r="B28" s="2490"/>
      <c r="C28" s="2490"/>
      <c r="D28" s="2490"/>
      <c r="E28" s="2490"/>
      <c r="F28" s="2490"/>
      <c r="G28" s="2490"/>
      <c r="H28" s="2490"/>
      <c r="I28" s="2490"/>
      <c r="J28" s="2490"/>
    </row>
    <row r="29" spans="1:18" ht="6.75" customHeight="1">
      <c r="A29" s="2490"/>
      <c r="B29" s="2490"/>
      <c r="C29" s="2490"/>
      <c r="D29" s="2490"/>
      <c r="E29" s="2490"/>
      <c r="F29" s="2490"/>
      <c r="G29" s="2490"/>
      <c r="H29" s="2490"/>
      <c r="I29" s="2490"/>
      <c r="J29" s="2490"/>
    </row>
    <row r="30" spans="1:18" ht="14.25" customHeight="1">
      <c r="A30" s="2490"/>
      <c r="B30" s="2490"/>
      <c r="C30" s="2490"/>
      <c r="D30" s="2490"/>
      <c r="E30" s="2490"/>
      <c r="F30" s="2490"/>
      <c r="G30" s="2490"/>
      <c r="H30" s="2490"/>
      <c r="I30" s="2490"/>
      <c r="J30" s="2490"/>
    </row>
    <row r="31" spans="1:18" ht="14.25" customHeight="1">
      <c r="A31" s="2490"/>
      <c r="B31" s="2490"/>
      <c r="C31" s="2490"/>
      <c r="D31" s="2490"/>
      <c r="E31" s="2490"/>
      <c r="F31" s="2490"/>
      <c r="G31" s="2490"/>
      <c r="H31" s="2490"/>
      <c r="I31" s="2490"/>
      <c r="J31" s="2490"/>
    </row>
    <row r="32" spans="1:18" ht="54.75" customHeight="1">
      <c r="A32" s="2490"/>
      <c r="B32" s="2490"/>
      <c r="C32" s="2490"/>
      <c r="D32" s="2490"/>
      <c r="E32" s="2490"/>
      <c r="F32" s="2490"/>
      <c r="G32" s="2490"/>
      <c r="H32" s="2490"/>
      <c r="I32" s="2490"/>
      <c r="J32" s="2490"/>
    </row>
    <row r="33" spans="1:10" ht="0.75" hidden="1" customHeight="1">
      <c r="A33" s="2490"/>
      <c r="B33" s="2490"/>
      <c r="C33" s="2490"/>
      <c r="D33" s="2490"/>
      <c r="E33" s="2490"/>
      <c r="F33" s="2490"/>
      <c r="G33" s="2490"/>
      <c r="H33" s="2490"/>
      <c r="I33" s="2490"/>
      <c r="J33" s="2490"/>
    </row>
    <row r="34" spans="1:10" ht="3.75" hidden="1" customHeight="1">
      <c r="A34" s="2490"/>
      <c r="B34" s="2490"/>
      <c r="C34" s="2490"/>
      <c r="D34" s="2490"/>
      <c r="E34" s="2490"/>
      <c r="F34" s="2490"/>
      <c r="G34" s="2490"/>
      <c r="H34" s="2490"/>
      <c r="I34" s="2490"/>
      <c r="J34" s="2490"/>
    </row>
    <row r="35" spans="1:10" ht="5.25" customHeight="1">
      <c r="A35" s="587"/>
      <c r="B35" s="587"/>
      <c r="C35" s="587"/>
      <c r="D35" s="587"/>
      <c r="E35" s="587"/>
      <c r="F35" s="587"/>
      <c r="G35" s="587"/>
      <c r="H35" s="587"/>
      <c r="I35" s="587"/>
      <c r="J35" s="587"/>
    </row>
    <row r="36" spans="1:10" ht="19.5" customHeight="1">
      <c r="A36" s="2488" t="s">
        <v>2498</v>
      </c>
      <c r="B36" s="2488"/>
      <c r="C36" s="2488"/>
      <c r="D36" s="586"/>
      <c r="E36" s="586"/>
      <c r="F36" s="586"/>
      <c r="G36" s="586"/>
      <c r="H36" s="586"/>
      <c r="I36" s="586"/>
      <c r="J36" s="586"/>
    </row>
    <row r="37" spans="1:10" ht="15" customHeight="1">
      <c r="A37" s="2476"/>
      <c r="B37" s="2476"/>
      <c r="C37" s="2476"/>
      <c r="D37" s="2476"/>
      <c r="E37" s="2476"/>
      <c r="F37" s="2476"/>
      <c r="G37" s="2476"/>
      <c r="H37" s="2476"/>
      <c r="I37" s="2476"/>
      <c r="J37" s="2476"/>
    </row>
    <row r="38" spans="1:10" ht="33.75" customHeight="1">
      <c r="A38" s="2476"/>
      <c r="B38" s="2476"/>
      <c r="C38" s="2476"/>
      <c r="D38" s="2476"/>
      <c r="E38" s="2476"/>
      <c r="F38" s="2476"/>
      <c r="G38" s="2476"/>
      <c r="H38" s="2476"/>
      <c r="I38" s="2476"/>
      <c r="J38" s="2476"/>
    </row>
    <row r="39" spans="1:10" ht="2.25" customHeight="1">
      <c r="A39" s="586"/>
      <c r="B39" s="586"/>
      <c r="C39" s="586"/>
      <c r="D39" s="586"/>
      <c r="E39" s="586"/>
      <c r="F39" s="586"/>
      <c r="G39" s="586"/>
      <c r="H39" s="586"/>
      <c r="I39" s="586"/>
      <c r="J39" s="586"/>
    </row>
    <row r="40" spans="1:10" ht="15">
      <c r="A40" s="585" t="s">
        <v>2499</v>
      </c>
    </row>
    <row r="41" spans="1:10" ht="135" customHeight="1">
      <c r="A41" s="2489" t="s">
        <v>2965</v>
      </c>
      <c r="B41" s="2489"/>
      <c r="C41" s="2489"/>
      <c r="D41" s="2489"/>
      <c r="E41" s="2489"/>
      <c r="F41" s="2489"/>
      <c r="G41" s="2489"/>
      <c r="H41" s="2489"/>
      <c r="I41" s="2489"/>
      <c r="J41" s="2489"/>
    </row>
    <row r="42" spans="1:10" ht="6" customHeight="1">
      <c r="A42" s="588"/>
      <c r="B42" s="588"/>
      <c r="C42" s="588"/>
      <c r="D42" s="588"/>
      <c r="E42" s="588"/>
      <c r="F42" s="588"/>
      <c r="G42" s="588"/>
      <c r="H42" s="588"/>
      <c r="I42" s="588"/>
      <c r="J42" s="588"/>
    </row>
    <row r="43" spans="1:10" ht="15">
      <c r="A43" s="585" t="s">
        <v>2500</v>
      </c>
    </row>
    <row r="44" spans="1:10" ht="33" customHeight="1">
      <c r="A44" s="2476" t="s">
        <v>2501</v>
      </c>
      <c r="B44" s="2481"/>
      <c r="C44" s="2481"/>
      <c r="D44" s="2481"/>
      <c r="E44" s="2481"/>
      <c r="F44" s="2481"/>
      <c r="G44" s="2481"/>
      <c r="H44" s="2481"/>
      <c r="I44" s="2481"/>
      <c r="J44" s="2476"/>
    </row>
    <row r="45" spans="1:10" ht="3" customHeight="1"/>
    <row r="46" spans="1:10" ht="72.75" customHeight="1">
      <c r="A46" s="2476" t="s">
        <v>2502</v>
      </c>
      <c r="B46" s="2476"/>
      <c r="C46" s="2476"/>
      <c r="D46" s="2476"/>
      <c r="E46" s="2476"/>
      <c r="F46" s="2476"/>
      <c r="G46" s="2476"/>
      <c r="H46" s="2476"/>
      <c r="I46" s="2476"/>
      <c r="J46" s="2476"/>
    </row>
    <row r="47" spans="1:10" ht="3" customHeight="1">
      <c r="A47" s="586"/>
      <c r="B47" s="586"/>
      <c r="C47" s="586"/>
      <c r="D47" s="586"/>
      <c r="E47" s="586"/>
      <c r="F47" s="586"/>
      <c r="G47" s="586"/>
      <c r="H47" s="586"/>
      <c r="I47" s="586"/>
      <c r="J47" s="586"/>
    </row>
    <row r="48" spans="1:10" ht="56.25" customHeight="1">
      <c r="A48" s="2476" t="s">
        <v>2503</v>
      </c>
      <c r="B48" s="2476"/>
      <c r="C48" s="2476"/>
      <c r="D48" s="2476"/>
      <c r="E48" s="2476"/>
      <c r="F48" s="2476"/>
      <c r="G48" s="2476"/>
      <c r="H48" s="2476"/>
      <c r="I48" s="2476"/>
      <c r="J48" s="2476"/>
    </row>
    <row r="49" spans="1:17" ht="3" customHeight="1">
      <c r="A49" s="586"/>
      <c r="B49" s="586"/>
      <c r="C49" s="586"/>
      <c r="D49" s="586"/>
      <c r="E49" s="586"/>
      <c r="F49" s="586"/>
      <c r="G49" s="586"/>
      <c r="H49" s="586"/>
      <c r="I49" s="586"/>
      <c r="J49" s="586"/>
    </row>
    <row r="50" spans="1:17" ht="49.5" customHeight="1">
      <c r="A50" s="2476" t="s">
        <v>2504</v>
      </c>
      <c r="B50" s="2476"/>
      <c r="C50" s="2476"/>
      <c r="D50" s="2476"/>
      <c r="E50" s="2476"/>
      <c r="F50" s="2476"/>
      <c r="G50" s="2476"/>
      <c r="H50" s="2476"/>
      <c r="I50" s="2476"/>
      <c r="J50" s="586"/>
    </row>
    <row r="51" spans="1:17" ht="3" customHeight="1">
      <c r="A51" s="586"/>
      <c r="B51" s="586"/>
      <c r="C51" s="586"/>
      <c r="D51" s="586"/>
      <c r="E51" s="586"/>
      <c r="F51" s="586"/>
      <c r="G51" s="586"/>
      <c r="H51" s="586"/>
      <c r="I51" s="586"/>
      <c r="J51" s="586"/>
    </row>
    <row r="52" spans="1:17" ht="54.75" customHeight="1">
      <c r="A52" s="2486" t="s">
        <v>2893</v>
      </c>
      <c r="B52" s="2475"/>
      <c r="C52" s="2475"/>
      <c r="D52" s="2475"/>
      <c r="E52" s="2475"/>
      <c r="F52" s="2475"/>
      <c r="G52" s="2475"/>
      <c r="H52" s="2475"/>
      <c r="I52" s="2475"/>
      <c r="J52" s="586"/>
    </row>
    <row r="53" spans="1:17" ht="3" customHeight="1">
      <c r="A53" s="586"/>
      <c r="B53" s="586"/>
      <c r="C53" s="586"/>
      <c r="D53" s="586"/>
      <c r="E53" s="586"/>
      <c r="F53" s="586"/>
      <c r="G53" s="586"/>
      <c r="H53" s="586"/>
      <c r="I53" s="586"/>
      <c r="J53" s="586"/>
    </row>
    <row r="54" spans="1:17" ht="62.25" customHeight="1">
      <c r="A54" s="2475" t="s">
        <v>2505</v>
      </c>
      <c r="B54" s="2475"/>
      <c r="C54" s="2475"/>
      <c r="D54" s="2475"/>
      <c r="E54" s="2475"/>
      <c r="F54" s="2475"/>
      <c r="G54" s="2475"/>
      <c r="H54" s="2475"/>
      <c r="I54" s="2475"/>
      <c r="J54" s="2475"/>
    </row>
    <row r="55" spans="1:17" ht="3" customHeight="1"/>
    <row r="56" spans="1:17" ht="73.5" customHeight="1">
      <c r="A56" s="2476" t="s">
        <v>2506</v>
      </c>
      <c r="B56" s="2476"/>
      <c r="C56" s="2476"/>
      <c r="D56" s="2476"/>
      <c r="E56" s="2476"/>
      <c r="F56" s="2476"/>
      <c r="G56" s="2476"/>
      <c r="H56" s="2476"/>
      <c r="I56" s="2476"/>
      <c r="J56" s="2476"/>
    </row>
    <row r="57" spans="1:17" ht="6" customHeight="1">
      <c r="A57" s="586" t="s">
        <v>224</v>
      </c>
      <c r="B57" s="586"/>
      <c r="C57" s="586"/>
      <c r="D57" s="586"/>
      <c r="E57" s="586"/>
      <c r="F57" s="586"/>
      <c r="G57" s="586"/>
      <c r="H57" s="586"/>
      <c r="I57" s="586"/>
      <c r="J57" s="586"/>
    </row>
    <row r="58" spans="1:17" ht="15">
      <c r="A58" s="585" t="s">
        <v>2507</v>
      </c>
      <c r="L58" s="589" t="s">
        <v>3023</v>
      </c>
    </row>
    <row r="59" spans="1:17" ht="73.5" customHeight="1">
      <c r="A59" s="2482" t="s">
        <v>2508</v>
      </c>
      <c r="B59" s="2482"/>
      <c r="C59" s="2482"/>
      <c r="D59" s="2482"/>
      <c r="E59" s="2482"/>
      <c r="F59" s="2482"/>
      <c r="G59" s="2482"/>
      <c r="H59" s="2482"/>
      <c r="I59" s="2482"/>
      <c r="J59" s="2482"/>
      <c r="L59" s="590">
        <f>'Closing term sheet'!C135</f>
        <v>0</v>
      </c>
      <c r="M59" s="591"/>
      <c r="N59" s="591"/>
      <c r="O59" s="591"/>
    </row>
    <row r="60" spans="1:17" ht="7.5" customHeight="1">
      <c r="A60" s="586"/>
      <c r="B60" s="586"/>
      <c r="C60" s="586"/>
      <c r="D60" s="586"/>
      <c r="E60" s="586"/>
      <c r="F60" s="586"/>
      <c r="G60" s="586"/>
      <c r="H60" s="586"/>
      <c r="I60" s="586"/>
      <c r="J60" s="586"/>
      <c r="L60" s="592" t="s">
        <v>3024</v>
      </c>
      <c r="M60" s="593" t="s">
        <v>3029</v>
      </c>
      <c r="N60" s="594" t="s">
        <v>3026</v>
      </c>
      <c r="O60" s="592" t="s">
        <v>3025</v>
      </c>
      <c r="P60" s="593" t="s">
        <v>3028</v>
      </c>
      <c r="Q60" s="594" t="s">
        <v>3027</v>
      </c>
    </row>
    <row r="61" spans="1:17" ht="78.75" customHeight="1">
      <c r="A61" s="2475" t="s">
        <v>2966</v>
      </c>
      <c r="B61" s="2475"/>
      <c r="C61" s="2475"/>
      <c r="D61" s="2475"/>
      <c r="E61" s="2475"/>
      <c r="F61" s="2475"/>
      <c r="G61" s="2475"/>
      <c r="H61" s="2475"/>
      <c r="I61" s="2475"/>
      <c r="J61" s="595"/>
      <c r="L61" s="596">
        <f>'Part III-Sources of Funds'!I29</f>
        <v>0</v>
      </c>
      <c r="M61" s="597">
        <f>'Part IV-Uses of Funds'!$J$169</f>
        <v>0</v>
      </c>
      <c r="N61" s="598">
        <f>'Part IV-Uses of Funds'!N162</f>
        <v>0</v>
      </c>
      <c r="O61" s="596">
        <f>'Part III-Sources of Funds'!I30</f>
        <v>0</v>
      </c>
      <c r="P61" s="597">
        <f>M61</f>
        <v>0</v>
      </c>
      <c r="Q61" s="598">
        <f>'Part IV-Uses of Funds'!Q162</f>
        <v>0</v>
      </c>
    </row>
    <row r="62" spans="1:17" ht="18.75" customHeight="1">
      <c r="A62" s="599" t="s">
        <v>2509</v>
      </c>
    </row>
    <row r="63" spans="1:17" ht="159.75" customHeight="1">
      <c r="A63" s="2475" t="s">
        <v>2967</v>
      </c>
      <c r="B63" s="2475"/>
      <c r="C63" s="2475"/>
      <c r="D63" s="2475"/>
      <c r="E63" s="2475"/>
      <c r="F63" s="2475"/>
      <c r="G63" s="2475"/>
      <c r="H63" s="2475"/>
      <c r="I63" s="2475"/>
      <c r="J63" s="2475"/>
      <c r="L63" s="600" t="e">
        <f>#REF!</f>
        <v>#REF!</v>
      </c>
      <c r="M63" s="2473" t="s">
        <v>3030</v>
      </c>
      <c r="N63" s="2474"/>
    </row>
    <row r="64" spans="1:17" ht="6" customHeight="1">
      <c r="A64" s="585"/>
    </row>
    <row r="65" spans="1:10" ht="15">
      <c r="A65" s="585" t="s">
        <v>2510</v>
      </c>
    </row>
    <row r="66" spans="1:10" ht="66.75" customHeight="1">
      <c r="A66" s="2475" t="s">
        <v>2511</v>
      </c>
      <c r="B66" s="2475"/>
      <c r="C66" s="2475"/>
      <c r="D66" s="2475"/>
      <c r="E66" s="2475"/>
      <c r="F66" s="2475"/>
      <c r="G66" s="2475"/>
      <c r="H66" s="2475"/>
      <c r="I66" s="2475"/>
      <c r="J66" s="2475"/>
    </row>
    <row r="67" spans="1:10" ht="36" customHeight="1">
      <c r="A67" s="2475" t="s">
        <v>2512</v>
      </c>
      <c r="B67" s="2475"/>
      <c r="C67" s="2475"/>
      <c r="D67" s="2475"/>
      <c r="E67" s="2475"/>
      <c r="F67" s="2475"/>
      <c r="G67" s="2475"/>
      <c r="H67" s="2475"/>
      <c r="I67" s="2475"/>
      <c r="J67" s="2475"/>
    </row>
    <row r="68" spans="1:10" ht="6" customHeight="1">
      <c r="A68" s="585"/>
    </row>
    <row r="69" spans="1:10" ht="15">
      <c r="A69" s="585" t="s">
        <v>2513</v>
      </c>
    </row>
    <row r="70" spans="1:10" ht="105.75" customHeight="1">
      <c r="A70" s="2476" t="s">
        <v>2514</v>
      </c>
      <c r="B70" s="2476"/>
      <c r="C70" s="2476"/>
      <c r="D70" s="2476"/>
      <c r="E70" s="2476"/>
      <c r="F70" s="2476"/>
      <c r="G70" s="2476"/>
      <c r="H70" s="2476"/>
      <c r="I70" s="2476"/>
      <c r="J70" s="2476"/>
    </row>
    <row r="71" spans="1:10" ht="6" customHeight="1">
      <c r="A71" s="585"/>
    </row>
    <row r="72" spans="1:10" ht="15">
      <c r="A72" s="585" t="s">
        <v>2515</v>
      </c>
    </row>
    <row r="73" spans="1:10" ht="66" customHeight="1">
      <c r="A73" s="2476" t="s">
        <v>2516</v>
      </c>
      <c r="B73" s="2476"/>
      <c r="C73" s="2476"/>
      <c r="D73" s="2476"/>
      <c r="E73" s="2476"/>
      <c r="F73" s="2476"/>
      <c r="G73" s="2476"/>
      <c r="H73" s="2476"/>
      <c r="I73" s="2476"/>
      <c r="J73" s="2476"/>
    </row>
    <row r="74" spans="1:10" s="587" customFormat="1" ht="6" customHeight="1">
      <c r="A74" s="2476"/>
      <c r="B74" s="2476"/>
      <c r="C74" s="2476"/>
      <c r="D74" s="2476"/>
      <c r="E74" s="2476"/>
      <c r="F74" s="2476"/>
      <c r="G74" s="2476"/>
      <c r="H74" s="2476"/>
      <c r="I74" s="2476"/>
      <c r="J74" s="2476"/>
    </row>
    <row r="75" spans="1:10" ht="16.5" customHeight="1">
      <c r="A75" s="601" t="s">
        <v>2517</v>
      </c>
      <c r="B75" s="584"/>
      <c r="C75" s="584"/>
      <c r="D75" s="584"/>
      <c r="E75" s="584"/>
      <c r="F75" s="584"/>
      <c r="G75" s="584"/>
      <c r="H75" s="584"/>
      <c r="I75" s="584"/>
      <c r="J75" s="602"/>
    </row>
    <row r="76" spans="1:10" s="587" customFormat="1" ht="63" customHeight="1">
      <c r="A76" s="2476" t="s">
        <v>2518</v>
      </c>
      <c r="B76" s="2476"/>
      <c r="C76" s="2476"/>
      <c r="D76" s="2476"/>
      <c r="E76" s="2476"/>
      <c r="F76" s="2476"/>
      <c r="G76" s="2476"/>
      <c r="H76" s="2476"/>
      <c r="I76" s="2476"/>
      <c r="J76" s="2476"/>
    </row>
    <row r="77" spans="1:10" s="587" customFormat="1" ht="6" customHeight="1">
      <c r="A77" s="586"/>
      <c r="B77" s="586"/>
      <c r="C77" s="586"/>
      <c r="D77" s="586"/>
      <c r="E77" s="586"/>
      <c r="F77" s="586"/>
      <c r="G77" s="586"/>
      <c r="H77" s="586"/>
      <c r="I77" s="586"/>
      <c r="J77" s="586"/>
    </row>
    <row r="78" spans="1:10" ht="16.5" customHeight="1">
      <c r="A78" s="2483" t="s">
        <v>2519</v>
      </c>
      <c r="B78" s="2484"/>
      <c r="C78" s="2484"/>
      <c r="D78" s="584"/>
      <c r="E78" s="584"/>
      <c r="F78" s="584"/>
      <c r="G78" s="584"/>
      <c r="H78" s="584"/>
      <c r="I78" s="584"/>
      <c r="J78" s="602"/>
    </row>
    <row r="79" spans="1:10" ht="41.25" customHeight="1">
      <c r="A79" s="2475" t="s">
        <v>2968</v>
      </c>
      <c r="B79" s="2485"/>
      <c r="C79" s="2485"/>
      <c r="D79" s="2485"/>
      <c r="E79" s="2485"/>
      <c r="F79" s="2485"/>
      <c r="G79" s="2485"/>
      <c r="H79" s="2485"/>
      <c r="I79" s="2485"/>
      <c r="J79" s="2485"/>
    </row>
    <row r="80" spans="1:10" ht="6" customHeight="1">
      <c r="A80" s="603"/>
      <c r="B80" s="584"/>
      <c r="C80" s="584"/>
      <c r="D80" s="584"/>
      <c r="E80" s="584"/>
      <c r="F80" s="584"/>
      <c r="G80" s="584"/>
      <c r="H80" s="584"/>
      <c r="I80" s="584"/>
      <c r="J80" s="602"/>
    </row>
    <row r="81" spans="1:15" ht="15">
      <c r="A81" s="585" t="s">
        <v>2520</v>
      </c>
    </row>
    <row r="82" spans="1:15" ht="139.5" customHeight="1">
      <c r="A82" s="2475" t="s">
        <v>2521</v>
      </c>
      <c r="B82" s="2475"/>
      <c r="C82" s="2475"/>
      <c r="D82" s="2475"/>
      <c r="E82" s="2475"/>
      <c r="F82" s="2475"/>
      <c r="G82" s="2475"/>
      <c r="H82" s="2475"/>
      <c r="I82" s="2475"/>
      <c r="J82" s="2475"/>
      <c r="L82" s="2479" t="s">
        <v>2522</v>
      </c>
      <c r="M82" s="2479"/>
      <c r="N82" s="2479"/>
    </row>
    <row r="83" spans="1:15" ht="6" customHeight="1">
      <c r="A83" s="604"/>
      <c r="B83" s="604"/>
      <c r="C83" s="604"/>
      <c r="D83" s="604"/>
      <c r="E83" s="604"/>
      <c r="F83" s="604"/>
      <c r="G83" s="604"/>
      <c r="H83" s="604"/>
      <c r="I83" s="604"/>
      <c r="J83" s="604"/>
      <c r="L83" s="605"/>
      <c r="M83" s="605"/>
      <c r="N83" s="605"/>
    </row>
    <row r="84" spans="1:15" ht="17.25" customHeight="1">
      <c r="A84" s="585" t="s">
        <v>2523</v>
      </c>
    </row>
    <row r="85" spans="1:15" ht="111" customHeight="1">
      <c r="A85" s="2475" t="s">
        <v>2524</v>
      </c>
      <c r="B85" s="2475"/>
      <c r="C85" s="2475"/>
      <c r="D85" s="2475"/>
      <c r="E85" s="2475"/>
      <c r="F85" s="2475"/>
      <c r="G85" s="2475"/>
      <c r="H85" s="2475"/>
      <c r="I85" s="2475"/>
      <c r="J85" s="2475"/>
      <c r="L85" s="2479" t="s">
        <v>2525</v>
      </c>
      <c r="M85" s="2479"/>
      <c r="N85" s="606" t="e">
        <f>'After-Tax Analysis'!G66</f>
        <v>#VALUE!</v>
      </c>
      <c r="O85" s="607" t="s">
        <v>2526</v>
      </c>
    </row>
    <row r="86" spans="1:15" ht="6" customHeight="1">
      <c r="A86" s="585"/>
    </row>
    <row r="87" spans="1:15" ht="15">
      <c r="A87" s="585" t="s">
        <v>2527</v>
      </c>
    </row>
    <row r="88" spans="1:15" ht="118.5" customHeight="1">
      <c r="A88" s="2476" t="s">
        <v>2528</v>
      </c>
      <c r="B88" s="2476"/>
      <c r="C88" s="2476"/>
      <c r="D88" s="2476"/>
      <c r="E88" s="2476"/>
      <c r="F88" s="2476"/>
      <c r="G88" s="2476"/>
      <c r="H88" s="2476"/>
      <c r="I88" s="2476"/>
      <c r="J88" s="2476"/>
    </row>
    <row r="89" spans="1:15" ht="20.25" customHeight="1">
      <c r="A89" s="2481" t="s">
        <v>2529</v>
      </c>
      <c r="B89" s="2481"/>
      <c r="C89" s="2481"/>
      <c r="D89" s="2476"/>
      <c r="E89" s="586"/>
      <c r="F89" s="586"/>
      <c r="G89" s="586"/>
      <c r="H89" s="586"/>
      <c r="I89" s="586"/>
      <c r="J89" s="586"/>
    </row>
    <row r="90" spans="1:15" ht="109.5" customHeight="1">
      <c r="A90" s="2476" t="s">
        <v>2530</v>
      </c>
      <c r="B90" s="2481"/>
      <c r="C90" s="2481"/>
      <c r="D90" s="2481"/>
      <c r="E90" s="2481"/>
      <c r="F90" s="2481"/>
      <c r="G90" s="2481"/>
      <c r="H90" s="2481"/>
      <c r="I90" s="2481"/>
      <c r="J90" s="2481"/>
    </row>
    <row r="91" spans="1:15" ht="11.25" customHeight="1">
      <c r="A91" s="585"/>
    </row>
    <row r="92" spans="1:15" ht="15">
      <c r="A92" s="585" t="s">
        <v>2531</v>
      </c>
    </row>
    <row r="93" spans="1:15" ht="122.25" customHeight="1">
      <c r="A93" s="2482" t="s">
        <v>2532</v>
      </c>
      <c r="B93" s="2482"/>
      <c r="C93" s="2482"/>
      <c r="D93" s="2482"/>
      <c r="E93" s="2482"/>
      <c r="F93" s="2482"/>
      <c r="G93" s="2482"/>
      <c r="H93" s="2482"/>
      <c r="I93" s="2482"/>
      <c r="J93" s="2482"/>
      <c r="L93" s="606" t="e">
        <f>#REF!</f>
        <v>#REF!</v>
      </c>
      <c r="M93" s="2480" t="s">
        <v>2533</v>
      </c>
      <c r="N93" s="2480"/>
    </row>
    <row r="94" spans="1:15" ht="11.25" hidden="1" customHeight="1">
      <c r="A94" s="586"/>
      <c r="B94" s="586"/>
      <c r="C94" s="586"/>
      <c r="D94" s="586"/>
      <c r="E94" s="586"/>
      <c r="F94" s="586"/>
      <c r="G94" s="586"/>
      <c r="H94" s="586"/>
      <c r="I94" s="586"/>
      <c r="J94" s="586"/>
    </row>
    <row r="95" spans="1:15" ht="12" hidden="1" customHeight="1">
      <c r="A95" s="586"/>
      <c r="B95" s="586"/>
      <c r="C95" s="586"/>
      <c r="D95" s="586"/>
      <c r="E95" s="586"/>
      <c r="F95" s="586"/>
      <c r="G95" s="586"/>
      <c r="H95" s="586"/>
      <c r="I95" s="586"/>
      <c r="J95" s="602"/>
    </row>
    <row r="96" spans="1:15" ht="6" customHeight="1">
      <c r="A96" s="586"/>
      <c r="B96" s="586"/>
      <c r="C96" s="586"/>
      <c r="D96" s="586"/>
      <c r="E96" s="586"/>
      <c r="F96" s="586"/>
      <c r="G96" s="586"/>
      <c r="H96" s="586"/>
      <c r="I96" s="586"/>
      <c r="J96" s="602"/>
    </row>
    <row r="97" spans="1:10" ht="17.25" customHeight="1">
      <c r="A97" s="2481" t="s">
        <v>2534</v>
      </c>
      <c r="B97" s="2481"/>
      <c r="C97" s="2481"/>
      <c r="D97" s="586"/>
      <c r="E97" s="586"/>
      <c r="F97" s="586"/>
      <c r="G97" s="586"/>
      <c r="H97" s="586"/>
      <c r="I97" s="586"/>
      <c r="J97" s="602"/>
    </row>
    <row r="98" spans="1:10" ht="37.5" customHeight="1">
      <c r="A98" s="2475" t="s">
        <v>2535</v>
      </c>
      <c r="B98" s="2475"/>
      <c r="C98" s="2475"/>
      <c r="D98" s="2475"/>
      <c r="E98" s="2475"/>
      <c r="F98" s="2475"/>
      <c r="G98" s="2475"/>
      <c r="H98" s="2475"/>
      <c r="I98" s="2475"/>
      <c r="J98" s="2475"/>
    </row>
    <row r="99" spans="1:10" ht="6" customHeight="1">
      <c r="A99" s="585"/>
    </row>
    <row r="100" spans="1:10" ht="15">
      <c r="A100" s="585" t="s">
        <v>2536</v>
      </c>
    </row>
    <row r="101" spans="1:10" ht="43.5" customHeight="1">
      <c r="A101" s="2476" t="s">
        <v>2537</v>
      </c>
      <c r="B101" s="2476"/>
      <c r="C101" s="2476"/>
      <c r="D101" s="2476"/>
      <c r="E101" s="2476"/>
      <c r="F101" s="2476"/>
      <c r="G101" s="2476"/>
      <c r="H101" s="2476"/>
      <c r="I101" s="2476"/>
      <c r="J101" s="2476"/>
    </row>
    <row r="102" spans="1:10" ht="6" customHeight="1">
      <c r="A102" s="586"/>
      <c r="B102" s="586"/>
      <c r="C102" s="586"/>
      <c r="D102" s="586"/>
      <c r="E102" s="586"/>
      <c r="F102" s="586"/>
      <c r="G102" s="586"/>
      <c r="H102" s="586"/>
      <c r="I102" s="586"/>
      <c r="J102" s="586"/>
    </row>
    <row r="103" spans="1:10" ht="15">
      <c r="A103" s="585" t="s">
        <v>2538</v>
      </c>
    </row>
    <row r="105" spans="1:10">
      <c r="A105" s="2477" t="s">
        <v>2539</v>
      </c>
      <c r="B105" s="2477"/>
      <c r="C105" s="2477"/>
      <c r="D105" s="2477"/>
      <c r="E105" s="2477"/>
      <c r="F105" s="2477"/>
      <c r="G105" s="2477"/>
      <c r="H105" s="2477"/>
      <c r="I105" s="2477"/>
      <c r="J105" s="2477"/>
    </row>
    <row r="107" spans="1:10" ht="15" thickBot="1">
      <c r="A107" s="608"/>
      <c r="B107" s="577" t="s">
        <v>2540</v>
      </c>
    </row>
    <row r="110" spans="1:10" ht="15" thickBot="1">
      <c r="A110" s="608"/>
      <c r="B110" s="577" t="s">
        <v>2541</v>
      </c>
    </row>
    <row r="112" spans="1:10">
      <c r="A112" s="577" t="s">
        <v>2542</v>
      </c>
    </row>
    <row r="115" spans="1:10" ht="15" thickBot="1">
      <c r="A115" s="608"/>
      <c r="B115" s="608"/>
      <c r="C115" s="608"/>
      <c r="D115" s="608"/>
      <c r="E115" s="608"/>
      <c r="H115" s="608"/>
      <c r="I115" s="608"/>
      <c r="J115" s="608"/>
    </row>
    <row r="116" spans="1:10">
      <c r="A116" s="2478" t="s">
        <v>2543</v>
      </c>
      <c r="B116" s="2478"/>
      <c r="C116" s="2478"/>
      <c r="D116" s="2478"/>
      <c r="E116" s="2478"/>
      <c r="H116" s="2478" t="s">
        <v>2544</v>
      </c>
      <c r="I116" s="2478"/>
      <c r="J116" s="2478"/>
    </row>
    <row r="118" spans="1:10" ht="15" thickBot="1">
      <c r="A118" s="577" t="s">
        <v>2545</v>
      </c>
      <c r="B118" s="608"/>
      <c r="C118" s="608"/>
      <c r="H118" s="577" t="s">
        <v>2545</v>
      </c>
      <c r="I118" s="608"/>
    </row>
    <row r="206" spans="1:1">
      <c r="A206" s="577"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8"/>
  <dimension ref="A1:N83"/>
  <sheetViews>
    <sheetView showGridLines="0" zoomScale="75" zoomScaleNormal="75" workbookViewId="0">
      <selection activeCell="C25" sqref="C25"/>
    </sheetView>
  </sheetViews>
  <sheetFormatPr defaultColWidth="9.140625" defaultRowHeight="12.75"/>
  <cols>
    <col min="1" max="1" width="16.85546875" style="7" customWidth="1"/>
    <col min="2" max="3" width="26.140625" style="7" customWidth="1"/>
    <col min="4" max="4" width="9.42578125" style="7" customWidth="1"/>
    <col min="5" max="5" width="25.5703125" style="7" customWidth="1"/>
    <col min="6" max="6" width="8.5703125" style="7" customWidth="1"/>
    <col min="7" max="7" width="21.7109375" style="7" customWidth="1"/>
    <col min="8" max="8" width="6.5703125" style="7" customWidth="1"/>
    <col min="9" max="9" width="19.28515625" style="7" customWidth="1"/>
    <col min="10" max="10" width="6.5703125" style="7" customWidth="1"/>
    <col min="11" max="11" width="18.85546875" style="7" customWidth="1"/>
    <col min="12" max="12" width="7.5703125" style="7" customWidth="1"/>
    <col min="13" max="17" width="10.7109375" style="7" customWidth="1"/>
    <col min="18" max="16384" width="9.140625" style="7"/>
  </cols>
  <sheetData>
    <row r="1" spans="1:13" ht="18">
      <c r="A1" s="609" t="s">
        <v>2546</v>
      </c>
      <c r="B1" s="610"/>
      <c r="C1" s="610"/>
      <c r="D1" s="610"/>
      <c r="E1" s="610"/>
      <c r="F1" s="610"/>
      <c r="G1" s="610"/>
      <c r="H1" s="610"/>
      <c r="I1" s="610"/>
      <c r="J1" s="610"/>
      <c r="K1" s="610"/>
      <c r="L1" s="563"/>
      <c r="M1" s="563"/>
    </row>
    <row r="2" spans="1:13" ht="18">
      <c r="A2" s="609" t="str">
        <f>+"Financial Analysis for:  "&amp;C8</f>
        <v>Financial Analysis for:  SB OHF Test Villas</v>
      </c>
      <c r="B2" s="610"/>
      <c r="C2" s="610"/>
      <c r="D2" s="610"/>
      <c r="E2" s="610"/>
      <c r="F2" s="610"/>
      <c r="G2" s="610"/>
      <c r="H2" s="610"/>
      <c r="I2" s="610"/>
      <c r="J2" s="610"/>
      <c r="K2" s="610"/>
      <c r="L2" s="563"/>
      <c r="M2" s="563"/>
    </row>
    <row r="5" spans="1:13" ht="15.75">
      <c r="A5" s="611"/>
      <c r="B5" s="612"/>
      <c r="C5" s="613"/>
      <c r="D5" s="612"/>
      <c r="E5" s="612"/>
      <c r="F5" s="611"/>
      <c r="G5" s="612"/>
      <c r="H5" s="613"/>
      <c r="I5" s="612"/>
      <c r="J5" s="612"/>
      <c r="K5" s="612"/>
      <c r="L5" s="612"/>
      <c r="M5" s="563"/>
    </row>
    <row r="7" spans="1:13" ht="15.75">
      <c r="A7" s="566" t="s">
        <v>2547</v>
      </c>
      <c r="B7" s="563"/>
      <c r="C7" s="614"/>
      <c r="D7" s="615"/>
      <c r="E7" s="615"/>
      <c r="F7" s="566" t="s">
        <v>2897</v>
      </c>
      <c r="G7" s="563"/>
      <c r="H7" s="2491" t="str">
        <f>IF(SUM('Part I-Project Information'!H43:H45)=0,"",IF(MAX('Part I-Project Information'!H43:H45)='Part I-Project Information'!H43,"New Construction", IF(MAX('Part I-Project Information'!H43:H45)='Part I-Project Information'!H44,"Substantial Rehabilitation", IF(MAX('Part I-Project Information'!H43:H45)='Part I-Project Information'!H45,"Acquisition/Rehabilitation","Check core app"))))</f>
        <v/>
      </c>
      <c r="I7" s="2491"/>
      <c r="J7" s="2491"/>
      <c r="K7" s="2491"/>
      <c r="L7" s="563"/>
      <c r="M7" s="563"/>
    </row>
    <row r="8" spans="1:13" ht="15.75">
      <c r="A8" s="566" t="s">
        <v>2548</v>
      </c>
      <c r="B8" s="566"/>
      <c r="C8" s="2491" t="str">
        <f>'Part I-Project Information'!F24</f>
        <v>SB OHF Test Villas</v>
      </c>
      <c r="D8" s="2491"/>
      <c r="E8" s="616" t="str">
        <f>'Part I-Project Information'!O4</f>
        <v>20##-###</v>
      </c>
      <c r="F8" s="617" t="s">
        <v>2549</v>
      </c>
      <c r="G8" s="615"/>
      <c r="H8" s="2491" t="str">
        <f>CONCATENATE('Part I-Project Information'!F27,", ",'Part I-Project Information'!J28)</f>
        <v>Peachtree Corners, Gwinnett</v>
      </c>
      <c r="I8" s="2491"/>
      <c r="J8" s="2491"/>
      <c r="K8" s="2491"/>
      <c r="L8" s="563"/>
      <c r="M8" s="618"/>
    </row>
    <row r="9" spans="1:13" ht="15.75">
      <c r="A9" s="566" t="s">
        <v>2551</v>
      </c>
      <c r="B9" s="566"/>
      <c r="C9" s="2491" t="s">
        <v>1595</v>
      </c>
      <c r="D9" s="2491"/>
      <c r="E9" s="615"/>
      <c r="F9" s="617" t="s">
        <v>2552</v>
      </c>
      <c r="G9" s="615"/>
      <c r="H9" s="2491" t="str">
        <f>'Part II-Development Team'!H5</f>
        <v>(Enter name as it will appear on all legal documents)</v>
      </c>
      <c r="I9" s="2491"/>
      <c r="J9" s="2491"/>
      <c r="K9" s="2491"/>
      <c r="L9" s="2491"/>
      <c r="M9" s="618"/>
    </row>
    <row r="10" spans="1:13" ht="15.75">
      <c r="A10" s="566" t="s">
        <v>2554</v>
      </c>
      <c r="B10" s="563"/>
      <c r="C10" s="558">
        <f>'Part II-Development Team'!H14</f>
        <v>0</v>
      </c>
      <c r="D10" s="615"/>
      <c r="E10" s="615"/>
      <c r="F10" s="617" t="s">
        <v>3099</v>
      </c>
      <c r="G10" s="615"/>
      <c r="H10" s="2491">
        <f>'Part II-Development Team'!H33</f>
        <v>0</v>
      </c>
      <c r="I10" s="2491"/>
      <c r="J10" s="2491"/>
      <c r="K10" s="2491">
        <f>'Part II-Development Team'!H39</f>
        <v>0</v>
      </c>
      <c r="L10" s="2491"/>
    </row>
    <row r="11" spans="1:13" ht="15.75">
      <c r="A11" s="566" t="s">
        <v>2555</v>
      </c>
      <c r="B11" s="563"/>
      <c r="C11" s="615" t="str">
        <f>IF('Part II-Development Team'!H20="","",'Part II-Development Team'!H20)</f>
        <v/>
      </c>
      <c r="D11" s="615"/>
      <c r="E11" s="615"/>
      <c r="F11" s="617" t="s">
        <v>606</v>
      </c>
      <c r="G11" s="615"/>
      <c r="H11" s="2491">
        <f>'Part II-Development Team'!H54</f>
        <v>0</v>
      </c>
      <c r="I11" s="2491"/>
      <c r="J11" s="2491"/>
      <c r="K11" s="2491">
        <f>'Part II-Development Team'!H60</f>
        <v>0</v>
      </c>
      <c r="L11" s="2491"/>
    </row>
    <row r="12" spans="1:13" ht="15.75">
      <c r="A12" s="566" t="s">
        <v>2556</v>
      </c>
      <c r="B12" s="563"/>
      <c r="C12" s="558">
        <f>'Part II-Development Team'!H86</f>
        <v>0</v>
      </c>
      <c r="D12" s="615"/>
      <c r="E12" s="615"/>
      <c r="F12" s="617" t="s">
        <v>2557</v>
      </c>
      <c r="G12" s="615"/>
      <c r="H12" s="2491">
        <f>'Part II-Development Team'!H92</f>
        <v>0</v>
      </c>
      <c r="I12" s="2491"/>
      <c r="J12" s="2491"/>
      <c r="K12" s="2491"/>
      <c r="L12" s="563"/>
      <c r="M12" s="563"/>
    </row>
    <row r="13" spans="1:13" ht="15.75">
      <c r="A13" s="566" t="s">
        <v>2558</v>
      </c>
      <c r="B13" s="617"/>
      <c r="C13" s="555" t="e">
        <f>#REF!</f>
        <v>#REF!</v>
      </c>
      <c r="D13" s="556" t="e">
        <f>#REF!</f>
        <v>#REF!</v>
      </c>
      <c r="E13" s="616"/>
      <c r="F13" s="617" t="s">
        <v>2885</v>
      </c>
      <c r="G13" s="615"/>
      <c r="H13" s="2497">
        <f>'Part I-Project Information'!H65</f>
        <v>0</v>
      </c>
      <c r="I13" s="2497"/>
      <c r="J13" s="2497"/>
      <c r="K13" s="2497"/>
      <c r="L13" s="563"/>
      <c r="M13" s="563"/>
    </row>
    <row r="14" spans="1:13" ht="15.75">
      <c r="A14" s="566" t="s">
        <v>2884</v>
      </c>
      <c r="B14" s="563"/>
      <c r="C14" s="558" t="str">
        <f>'Part I-Project Information'!H71</f>
        <v>&lt;&lt;Select&gt;&gt;</v>
      </c>
      <c r="D14" s="2491" t="str">
        <f>IF('Part I-Project Information'!N71=0,"",'Part I-Project Information'!N71)</f>
        <v/>
      </c>
      <c r="E14" s="2491"/>
      <c r="F14" s="617" t="s">
        <v>2559</v>
      </c>
      <c r="G14" s="615"/>
      <c r="H14" s="2492" t="s">
        <v>3032</v>
      </c>
      <c r="I14" s="2492"/>
      <c r="J14" s="2492"/>
      <c r="K14" s="2492" t="s">
        <v>3032</v>
      </c>
      <c r="L14" s="2492"/>
      <c r="M14" s="563"/>
    </row>
    <row r="15" spans="1:13" ht="15.75">
      <c r="A15" s="566" t="s">
        <v>2560</v>
      </c>
      <c r="B15" s="563"/>
      <c r="C15" s="619"/>
      <c r="D15" s="615"/>
      <c r="E15" s="615"/>
      <c r="F15" s="617" t="s">
        <v>2886</v>
      </c>
      <c r="G15" s="615"/>
      <c r="H15" s="615" t="str">
        <f>'Part I-Project Information'!K29</f>
        <v>Urban</v>
      </c>
      <c r="I15" s="615"/>
      <c r="J15" s="615"/>
      <c r="K15" s="615"/>
      <c r="L15" s="563"/>
      <c r="M15" s="563"/>
    </row>
    <row r="16" spans="1:13" ht="15.75">
      <c r="A16" s="566" t="s">
        <v>3069</v>
      </c>
      <c r="B16" s="563"/>
      <c r="C16" s="558">
        <f>'Part I-Project Information'!H89</f>
        <v>0</v>
      </c>
      <c r="D16" s="620" t="s">
        <v>2334</v>
      </c>
      <c r="E16" s="558">
        <f>'Part I-Project Information'!H92</f>
        <v>0</v>
      </c>
      <c r="F16" s="617"/>
      <c r="G16" s="615"/>
      <c r="H16" s="615"/>
      <c r="I16" s="615"/>
      <c r="J16" s="615"/>
      <c r="K16" s="615"/>
      <c r="L16" s="563"/>
      <c r="M16" s="563"/>
    </row>
    <row r="17" spans="1:13" ht="15">
      <c r="A17" s="563"/>
      <c r="B17" s="563"/>
      <c r="C17" s="563"/>
      <c r="D17" s="615"/>
      <c r="E17" s="615"/>
      <c r="F17" s="615"/>
      <c r="G17" s="615"/>
      <c r="H17" s="615"/>
      <c r="I17" s="615"/>
      <c r="J17" s="563"/>
      <c r="K17" s="563"/>
      <c r="L17" s="563"/>
      <c r="M17" s="563"/>
    </row>
    <row r="18" spans="1:13" ht="15.75">
      <c r="A18" s="566" t="s">
        <v>2888</v>
      </c>
      <c r="B18" s="563"/>
      <c r="C18" s="621">
        <f>'Part IV-Uses of Funds'!G127</f>
        <v>0</v>
      </c>
      <c r="D18" s="622" t="str">
        <f>IF(C18=0,"",$C$29/C18)</f>
        <v/>
      </c>
      <c r="E18" s="615" t="s">
        <v>2889</v>
      </c>
      <c r="F18" s="617" t="s">
        <v>2890</v>
      </c>
      <c r="G18" s="615"/>
      <c r="H18" s="2496">
        <f>'Part IV-Uses of Funds'!B44</f>
        <v>0</v>
      </c>
      <c r="I18" s="2496"/>
      <c r="J18" s="623" t="str">
        <f>IF(H18=0,"",$C$29/H18)</f>
        <v/>
      </c>
      <c r="K18" s="2491" t="s">
        <v>2891</v>
      </c>
      <c r="L18" s="2491"/>
      <c r="M18" s="563"/>
    </row>
    <row r="19" spans="1:13" ht="15.75">
      <c r="A19" s="566" t="s">
        <v>2561</v>
      </c>
      <c r="B19" s="563"/>
      <c r="C19" s="559" t="e">
        <f>C18/C13</f>
        <v>#REF!</v>
      </c>
      <c r="D19" s="615"/>
      <c r="E19" s="563"/>
      <c r="F19" s="566" t="s">
        <v>2561</v>
      </c>
      <c r="G19" s="563"/>
      <c r="H19" s="2495" t="e">
        <f>H18/C13</f>
        <v>#REF!</v>
      </c>
      <c r="I19" s="2495"/>
      <c r="J19" s="563"/>
      <c r="K19" s="563"/>
      <c r="L19" s="563"/>
      <c r="M19" s="563"/>
    </row>
    <row r="20" spans="1:13" ht="15.75">
      <c r="A20" s="566" t="s">
        <v>2562</v>
      </c>
      <c r="B20" s="563"/>
      <c r="C20" s="559" t="e">
        <f>C18/#REF!</f>
        <v>#REF!</v>
      </c>
      <c r="D20" s="624"/>
      <c r="E20" s="625"/>
      <c r="F20" s="566" t="s">
        <v>2562</v>
      </c>
      <c r="G20" s="563"/>
      <c r="H20" s="2495" t="e">
        <f>H18/#REF!</f>
        <v>#REF!</v>
      </c>
      <c r="I20" s="2495"/>
      <c r="J20" s="563"/>
      <c r="K20" s="563"/>
      <c r="L20" s="563"/>
      <c r="M20" s="563"/>
    </row>
    <row r="21" spans="1:13" ht="15.75">
      <c r="A21" s="566"/>
      <c r="B21" s="563"/>
      <c r="C21" s="626"/>
      <c r="D21" s="563"/>
      <c r="E21" s="563"/>
      <c r="F21" s="566"/>
      <c r="G21" s="563"/>
      <c r="H21" s="626"/>
      <c r="I21" s="563"/>
      <c r="J21" s="563"/>
      <c r="K21" s="563"/>
      <c r="L21" s="563"/>
      <c r="M21" s="563"/>
    </row>
    <row r="22" spans="1:13" ht="15">
      <c r="A22" s="612"/>
      <c r="B22" s="612"/>
      <c r="C22" s="612"/>
      <c r="D22" s="612"/>
      <c r="E22" s="612"/>
      <c r="F22" s="612"/>
      <c r="G22" s="612"/>
      <c r="H22" s="612"/>
      <c r="I22" s="612"/>
      <c r="J22" s="612"/>
      <c r="K22" s="612"/>
      <c r="L22" s="612"/>
      <c r="M22" s="618"/>
    </row>
    <row r="23" spans="1:13" ht="15.75">
      <c r="A23" s="627" t="s">
        <v>2563</v>
      </c>
      <c r="B23" s="628"/>
      <c r="C23" s="628"/>
      <c r="D23" s="628"/>
      <c r="E23" s="615"/>
      <c r="F23" s="615"/>
      <c r="G23" s="615"/>
      <c r="H23" s="615"/>
      <c r="I23" s="615"/>
      <c r="J23" s="615"/>
      <c r="K23" s="615"/>
      <c r="L23" s="563"/>
      <c r="M23" s="618"/>
    </row>
    <row r="24" spans="1:13" ht="27" customHeight="1">
      <c r="A24" s="563"/>
      <c r="B24" s="563"/>
      <c r="C24" s="563"/>
      <c r="D24" s="629" t="s">
        <v>2564</v>
      </c>
      <c r="E24" s="563"/>
      <c r="F24" s="563"/>
      <c r="G24" s="563"/>
      <c r="H24" s="563"/>
      <c r="I24" s="563"/>
      <c r="J24" s="563"/>
      <c r="K24" s="563"/>
      <c r="L24" s="563"/>
      <c r="M24" s="618"/>
    </row>
    <row r="25" spans="1:13" ht="15.75">
      <c r="A25" s="566" t="s">
        <v>2565</v>
      </c>
      <c r="B25" s="630">
        <f>'Part III-Sources of Funds'!E18</f>
        <v>0</v>
      </c>
      <c r="C25" s="631">
        <f>'Part III-Sources of Funds'!I18</f>
        <v>0</v>
      </c>
      <c r="D25" s="632" t="s">
        <v>2566</v>
      </c>
      <c r="E25" s="563"/>
      <c r="F25" s="615"/>
      <c r="G25" s="563" t="s">
        <v>2567</v>
      </c>
      <c r="H25" s="563"/>
      <c r="I25" s="563"/>
      <c r="K25" s="631"/>
      <c r="L25" s="615"/>
      <c r="M25" s="618"/>
    </row>
    <row r="26" spans="1:13" ht="15">
      <c r="A26" s="563"/>
      <c r="B26" s="630"/>
      <c r="C26" s="631"/>
      <c r="D26" s="632"/>
      <c r="E26" s="563"/>
      <c r="F26" s="615"/>
      <c r="G26" s="563" t="s">
        <v>2568</v>
      </c>
      <c r="H26" s="563"/>
      <c r="I26" s="563"/>
      <c r="K26" s="633" t="e">
        <f>C29/K25</f>
        <v>#DIV/0!</v>
      </c>
      <c r="L26" s="615"/>
      <c r="M26" s="563"/>
    </row>
    <row r="27" spans="1:13" ht="15">
      <c r="A27" s="563"/>
      <c r="B27" s="630"/>
      <c r="C27" s="631"/>
      <c r="D27" s="632"/>
      <c r="E27" s="563"/>
      <c r="F27" s="615"/>
      <c r="G27" s="563"/>
      <c r="H27" s="563"/>
      <c r="I27" s="563"/>
      <c r="K27" s="615"/>
      <c r="L27" s="615"/>
      <c r="M27" s="563"/>
    </row>
    <row r="28" spans="1:13" ht="15">
      <c r="A28" s="563"/>
      <c r="B28" s="563"/>
      <c r="C28" s="563"/>
      <c r="D28" s="563"/>
      <c r="E28" s="563"/>
      <c r="F28" s="615"/>
      <c r="G28" s="563" t="s">
        <v>2569</v>
      </c>
      <c r="H28" s="563"/>
      <c r="I28" s="563"/>
      <c r="K28" s="631"/>
      <c r="L28" s="615"/>
      <c r="M28" s="563"/>
    </row>
    <row r="29" spans="1:13" ht="16.5" thickBot="1">
      <c r="A29" s="563"/>
      <c r="B29" s="634" t="s">
        <v>2570</v>
      </c>
      <c r="C29" s="635">
        <f>SUM(C25:C27)</f>
        <v>0</v>
      </c>
      <c r="D29" s="563"/>
      <c r="E29" s="563"/>
      <c r="F29" s="615"/>
      <c r="G29" s="563" t="s">
        <v>2571</v>
      </c>
      <c r="H29" s="563"/>
      <c r="I29" s="563"/>
      <c r="K29" s="633" t="e">
        <f>C29/K28</f>
        <v>#DIV/0!</v>
      </c>
      <c r="L29" s="615"/>
      <c r="M29" s="563"/>
    </row>
    <row r="30" spans="1:13" ht="16.5" thickTop="1">
      <c r="A30" s="566" t="s">
        <v>2572</v>
      </c>
      <c r="B30" s="634"/>
      <c r="C30" s="636">
        <f>'Part III-Sources of Funds'!I29+'Part III-Sources of Funds'!I30</f>
        <v>0</v>
      </c>
      <c r="D30" s="563"/>
      <c r="E30" s="563"/>
      <c r="F30" s="615"/>
      <c r="G30" s="563"/>
      <c r="H30" s="563"/>
      <c r="I30" s="563"/>
      <c r="K30" s="637"/>
      <c r="L30" s="615"/>
      <c r="M30" s="563"/>
    </row>
    <row r="31" spans="1:13" ht="15">
      <c r="A31" s="638" t="s">
        <v>2573</v>
      </c>
      <c r="B31" s="630">
        <f>'Part III-Sources of Funds'!E19</f>
        <v>0</v>
      </c>
      <c r="C31" s="631">
        <f>'Part III-Sources of Funds'!I19</f>
        <v>0</v>
      </c>
      <c r="D31" s="632"/>
      <c r="E31" s="563"/>
      <c r="F31" s="615"/>
      <c r="G31" s="563"/>
      <c r="H31" s="563"/>
      <c r="I31" s="563"/>
      <c r="K31" s="563"/>
      <c r="L31" s="615"/>
      <c r="M31" s="563"/>
    </row>
    <row r="32" spans="1:13" ht="15">
      <c r="A32" s="638" t="s">
        <v>2573</v>
      </c>
      <c r="B32" s="630">
        <f>'Part III-Sources of Funds'!E20</f>
        <v>0</v>
      </c>
      <c r="C32" s="631">
        <f>'Part III-Sources of Funds'!I20</f>
        <v>0</v>
      </c>
      <c r="D32" s="632"/>
      <c r="E32" s="563" t="s">
        <v>224</v>
      </c>
      <c r="F32" s="615"/>
      <c r="G32" s="563" t="s">
        <v>2574</v>
      </c>
      <c r="H32" s="563"/>
      <c r="I32" s="563"/>
      <c r="K32" s="631"/>
      <c r="L32" s="615"/>
      <c r="M32" s="615"/>
    </row>
    <row r="33" spans="1:13" ht="15">
      <c r="A33" s="563"/>
      <c r="B33" s="615"/>
      <c r="C33" s="639"/>
      <c r="D33" s="563"/>
      <c r="E33" s="563"/>
      <c r="F33" s="615"/>
      <c r="G33" s="563" t="s">
        <v>2575</v>
      </c>
      <c r="H33" s="563"/>
      <c r="I33" s="563"/>
      <c r="K33" s="640"/>
      <c r="L33" s="615"/>
      <c r="M33" s="641"/>
    </row>
    <row r="34" spans="1:13" ht="15.75">
      <c r="A34" s="563"/>
      <c r="B34" s="634" t="s">
        <v>2576</v>
      </c>
      <c r="C34" s="639">
        <f>SUM(C31:C32)</f>
        <v>0</v>
      </c>
      <c r="D34" s="563"/>
      <c r="E34" s="563"/>
      <c r="F34" s="563"/>
      <c r="G34" s="563"/>
      <c r="H34" s="563"/>
      <c r="I34" s="563"/>
      <c r="K34" s="615"/>
      <c r="L34" s="563"/>
      <c r="M34" s="641"/>
    </row>
    <row r="35" spans="1:13" ht="15.75">
      <c r="A35" s="563"/>
      <c r="B35" s="634"/>
      <c r="C35" s="563"/>
      <c r="D35" s="563"/>
      <c r="E35" s="563"/>
      <c r="F35" s="563"/>
      <c r="G35" s="563" t="s">
        <v>2577</v>
      </c>
      <c r="H35" s="563"/>
      <c r="I35" s="563"/>
      <c r="K35" s="642" t="e">
        <f>(C36)/K25</f>
        <v>#DIV/0!</v>
      </c>
      <c r="L35" s="563"/>
      <c r="M35" s="615"/>
    </row>
    <row r="36" spans="1:13" ht="15.75">
      <c r="A36" s="563"/>
      <c r="B36" s="634" t="s">
        <v>2578</v>
      </c>
      <c r="C36" s="639">
        <f>C29+C34</f>
        <v>0</v>
      </c>
      <c r="D36" s="563"/>
      <c r="E36" s="563"/>
      <c r="F36" s="563"/>
      <c r="G36" s="563"/>
      <c r="H36" s="563"/>
      <c r="I36" s="563"/>
      <c r="K36" s="615"/>
      <c r="L36" s="563"/>
      <c r="M36" s="615"/>
    </row>
    <row r="37" spans="1:13" ht="15.75">
      <c r="A37" s="563"/>
      <c r="B37" s="634"/>
      <c r="C37" s="643"/>
      <c r="D37" s="563"/>
      <c r="E37" s="563"/>
      <c r="F37" s="563"/>
      <c r="G37" s="563" t="s">
        <v>2579</v>
      </c>
      <c r="H37" s="563"/>
      <c r="I37" s="563"/>
      <c r="K37" s="642" t="e">
        <f>+(C36)/K32</f>
        <v>#DIV/0!</v>
      </c>
      <c r="L37" s="563"/>
      <c r="M37" s="641"/>
    </row>
    <row r="38" spans="1:13" ht="15.75">
      <c r="A38" s="563"/>
      <c r="B38" s="634" t="s">
        <v>2580</v>
      </c>
      <c r="C38" s="644" t="e">
        <f>C36/C18</f>
        <v>#DIV/0!</v>
      </c>
      <c r="D38" s="563"/>
      <c r="E38" s="563"/>
      <c r="F38" s="563"/>
      <c r="G38" s="563"/>
      <c r="H38" s="563"/>
      <c r="I38" s="563"/>
      <c r="K38" s="615"/>
      <c r="L38" s="563"/>
      <c r="M38" s="641"/>
    </row>
    <row r="39" spans="1:13" ht="15.75">
      <c r="A39" s="563"/>
      <c r="B39" s="634"/>
      <c r="C39" s="643"/>
      <c r="D39" s="563"/>
      <c r="E39" s="563"/>
      <c r="F39" s="563"/>
      <c r="G39" s="563"/>
      <c r="H39" s="563"/>
      <c r="I39" s="563"/>
      <c r="K39" s="615"/>
      <c r="L39" s="563"/>
      <c r="M39" s="563"/>
    </row>
    <row r="40" spans="1:13" ht="15.75">
      <c r="A40" s="563"/>
      <c r="B40" s="634" t="s">
        <v>2581</v>
      </c>
      <c r="C40" s="644" t="e">
        <f>C36/H18</f>
        <v>#DIV/0!</v>
      </c>
      <c r="D40" s="563"/>
      <c r="E40" s="563"/>
      <c r="F40" s="566"/>
      <c r="G40" s="566" t="s">
        <v>2582</v>
      </c>
      <c r="H40" s="563"/>
      <c r="I40" s="563"/>
      <c r="K40" s="642" t="e">
        <f>C30/C18</f>
        <v>#DIV/0!</v>
      </c>
      <c r="L40" s="563"/>
      <c r="M40" s="563"/>
    </row>
    <row r="46" spans="1:13" ht="15.75">
      <c r="A46" s="645" t="s">
        <v>2583</v>
      </c>
      <c r="B46" s="610"/>
      <c r="C46" s="610"/>
      <c r="D46" s="610"/>
      <c r="E46" s="610"/>
      <c r="F46" s="610"/>
      <c r="G46" s="610"/>
      <c r="H46" s="610"/>
      <c r="I46" s="610"/>
      <c r="J46" s="610"/>
      <c r="K46" s="610"/>
      <c r="L46" s="610"/>
      <c r="M46" s="563"/>
    </row>
    <row r="47" spans="1:13" ht="15.75">
      <c r="A47" s="645" t="str">
        <f>C8</f>
        <v>SB OHF Test Villas</v>
      </c>
      <c r="B47" s="610"/>
      <c r="C47" s="610"/>
      <c r="D47" s="610"/>
      <c r="E47" s="610"/>
      <c r="F47" s="610"/>
      <c r="G47" s="610"/>
      <c r="H47" s="610"/>
      <c r="I47" s="610"/>
      <c r="J47" s="610"/>
      <c r="K47" s="610"/>
      <c r="L47" s="610"/>
      <c r="M47" s="563"/>
    </row>
    <row r="50" spans="1:14" s="563" customFormat="1" ht="15.75">
      <c r="A50" s="566" t="s">
        <v>2584</v>
      </c>
      <c r="C50" s="646" t="s">
        <v>2585</v>
      </c>
      <c r="E50" s="647" t="s">
        <v>3033</v>
      </c>
      <c r="F50" s="648">
        <v>0.1</v>
      </c>
      <c r="G50" s="647" t="s">
        <v>3034</v>
      </c>
      <c r="H50" s="648">
        <v>0.05</v>
      </c>
      <c r="I50" s="647" t="s">
        <v>3035</v>
      </c>
      <c r="J50" s="648">
        <v>0.03</v>
      </c>
      <c r="K50" s="2493" t="s">
        <v>2586</v>
      </c>
      <c r="L50" s="2494"/>
      <c r="M50" s="7"/>
      <c r="N50" s="7"/>
    </row>
    <row r="51" spans="1:14" s="563" customFormat="1" ht="15.75">
      <c r="A51" s="566"/>
      <c r="C51" s="646"/>
      <c r="E51" s="646"/>
      <c r="F51" s="649"/>
      <c r="G51" s="646"/>
      <c r="H51" s="649"/>
      <c r="I51" s="646"/>
      <c r="J51" s="649"/>
      <c r="K51" s="646"/>
      <c r="M51" s="7"/>
      <c r="N51" s="7"/>
    </row>
    <row r="52" spans="1:14" s="563" customFormat="1" ht="18.75" customHeight="1">
      <c r="B52" s="650" t="s">
        <v>2587</v>
      </c>
      <c r="C52" s="651" t="e">
        <f>#REF!</f>
        <v>#REF!</v>
      </c>
      <c r="D52" s="651"/>
      <c r="E52" s="651" t="e">
        <f>$C$52</f>
        <v>#REF!</v>
      </c>
      <c r="F52" s="651"/>
      <c r="G52" s="651" t="e">
        <f>$C$52</f>
        <v>#REF!</v>
      </c>
      <c r="H52" s="651"/>
      <c r="I52" s="651" t="e">
        <f>$C$52</f>
        <v>#REF!</v>
      </c>
      <c r="J52" s="651"/>
      <c r="K52" s="651" t="e">
        <f>$C$52</f>
        <v>#REF!</v>
      </c>
      <c r="L52" s="652"/>
      <c r="M52" s="7"/>
      <c r="N52" s="7"/>
    </row>
    <row r="53" spans="1:14" s="563" customFormat="1" ht="18.75" customHeight="1">
      <c r="B53" s="650" t="s">
        <v>2590</v>
      </c>
      <c r="C53" s="651" t="e">
        <f>#REF!</f>
        <v>#REF!</v>
      </c>
      <c r="D53" s="651"/>
      <c r="E53" s="651" t="e">
        <f>$C$53</f>
        <v>#REF!</v>
      </c>
      <c r="F53" s="651"/>
      <c r="G53" s="651" t="e">
        <f>$C$53</f>
        <v>#REF!</v>
      </c>
      <c r="H53" s="651"/>
      <c r="I53" s="651" t="e">
        <f>$C$53</f>
        <v>#REF!</v>
      </c>
      <c r="J53" s="651"/>
      <c r="K53" s="651" t="e">
        <f>$C$53</f>
        <v>#REF!</v>
      </c>
      <c r="L53" s="652"/>
      <c r="M53" s="7"/>
      <c r="N53" s="7"/>
    </row>
    <row r="54" spans="1:14" s="563" customFormat="1" ht="18.75" customHeight="1">
      <c r="B54" s="650" t="s">
        <v>2588</v>
      </c>
      <c r="C54" s="651" t="e">
        <f>-($C$52+C53)*0.07</f>
        <v>#REF!</v>
      </c>
      <c r="D54" s="651"/>
      <c r="E54" s="651" t="e">
        <f>-($C$52+E53)*F50</f>
        <v>#REF!</v>
      </c>
      <c r="F54" s="653"/>
      <c r="G54" s="651" t="e">
        <f>-($C$52+G53)*0.07</f>
        <v>#REF!</v>
      </c>
      <c r="H54" s="651"/>
      <c r="I54" s="651" t="e">
        <f>-($C$52+I53)*0.07</f>
        <v>#REF!</v>
      </c>
      <c r="J54" s="651"/>
      <c r="K54" s="651" t="e">
        <f>-($C$52+K53)*L54</f>
        <v>#REF!</v>
      </c>
      <c r="L54" s="654">
        <v>0.1</v>
      </c>
      <c r="M54" s="7"/>
      <c r="N54" s="7"/>
    </row>
    <row r="55" spans="1:14" s="563" customFormat="1" ht="18.75" customHeight="1">
      <c r="B55" s="650" t="s">
        <v>2589</v>
      </c>
      <c r="C55" s="651" t="e">
        <f>#REF!+#REF!</f>
        <v>#REF!</v>
      </c>
      <c r="D55" s="651"/>
      <c r="E55" s="651" t="e">
        <f>$C$55</f>
        <v>#REF!</v>
      </c>
      <c r="F55" s="653"/>
      <c r="G55" s="651" t="e">
        <f>$C$55</f>
        <v>#REF!</v>
      </c>
      <c r="H55" s="651"/>
      <c r="I55" s="651" t="e">
        <f>$C$55</f>
        <v>#REF!</v>
      </c>
      <c r="J55" s="651"/>
      <c r="K55" s="651" t="e">
        <f>$C$55</f>
        <v>#REF!</v>
      </c>
      <c r="L55" s="655"/>
      <c r="M55" s="7"/>
      <c r="N55" s="7"/>
    </row>
    <row r="56" spans="1:14" s="563" customFormat="1" ht="18.75" customHeight="1">
      <c r="B56" s="656" t="s">
        <v>2591</v>
      </c>
      <c r="C56" s="657" t="e">
        <f>SUM(C52:C55)</f>
        <v>#REF!</v>
      </c>
      <c r="D56" s="651"/>
      <c r="E56" s="657" t="e">
        <f>SUM(E52:E55)</f>
        <v>#REF!</v>
      </c>
      <c r="F56" s="651"/>
      <c r="G56" s="657" t="e">
        <f>SUM(G52:G55)</f>
        <v>#REF!</v>
      </c>
      <c r="H56" s="651"/>
      <c r="I56" s="657" t="e">
        <f>SUM(I52:I55)</f>
        <v>#REF!</v>
      </c>
      <c r="J56" s="651"/>
      <c r="K56" s="657" t="e">
        <f>SUM(K52:K55)</f>
        <v>#REF!</v>
      </c>
      <c r="L56" s="652"/>
      <c r="M56" s="7"/>
      <c r="N56" s="7"/>
    </row>
    <row r="57" spans="1:14" s="563" customFormat="1" ht="24" customHeight="1">
      <c r="B57" s="650"/>
      <c r="C57" s="658"/>
      <c r="D57" s="651"/>
      <c r="E57" s="658"/>
      <c r="F57" s="651"/>
      <c r="G57" s="658"/>
      <c r="H57" s="651"/>
      <c r="I57" s="658"/>
      <c r="J57" s="651"/>
      <c r="K57" s="658"/>
      <c r="L57" s="652"/>
      <c r="M57" s="7"/>
      <c r="N57" s="7"/>
    </row>
    <row r="58" spans="1:14" s="563" customFormat="1" ht="18.75" customHeight="1">
      <c r="B58" s="650" t="s">
        <v>2592</v>
      </c>
      <c r="C58" s="651" t="e">
        <f>#REF!+#REF!+#REF!+#REF!</f>
        <v>#REF!</v>
      </c>
      <c r="D58" s="651"/>
      <c r="E58" s="651" t="e">
        <f>$C$58</f>
        <v>#REF!</v>
      </c>
      <c r="F58" s="651"/>
      <c r="G58" s="651" t="e">
        <f>$C$58</f>
        <v>#REF!</v>
      </c>
      <c r="H58" s="651"/>
      <c r="I58" s="651" t="e">
        <f>$C$58</f>
        <v>#REF!</v>
      </c>
      <c r="J58" s="651"/>
      <c r="K58" s="651" t="e">
        <f>$C$58</f>
        <v>#REF!</v>
      </c>
      <c r="L58" s="652"/>
      <c r="M58" s="7"/>
      <c r="N58" s="7"/>
    </row>
    <row r="59" spans="1:14" s="563" customFormat="1" ht="18.75" customHeight="1">
      <c r="B59" s="650" t="s">
        <v>2593</v>
      </c>
      <c r="C59" s="651" t="e">
        <f>#REF!</f>
        <v>#REF!</v>
      </c>
      <c r="D59" s="651"/>
      <c r="E59" s="651" t="e">
        <f>$C$59</f>
        <v>#REF!</v>
      </c>
      <c r="F59" s="651"/>
      <c r="G59" s="651" t="e">
        <f>$C$59</f>
        <v>#REF!</v>
      </c>
      <c r="H59" s="651"/>
      <c r="I59" s="651" t="e">
        <f>$C$59</f>
        <v>#REF!</v>
      </c>
      <c r="J59" s="651"/>
      <c r="K59" s="651" t="e">
        <f>$C$59*(1+$L$59)</f>
        <v>#REF!</v>
      </c>
      <c r="L59" s="659">
        <v>0.04</v>
      </c>
      <c r="M59" s="7"/>
      <c r="N59" s="7"/>
    </row>
    <row r="60" spans="1:14" s="563" customFormat="1" ht="18.75" customHeight="1">
      <c r="B60" s="650" t="s">
        <v>1274</v>
      </c>
      <c r="C60" s="651" t="e">
        <f>#REF!</f>
        <v>#REF!</v>
      </c>
      <c r="D60" s="651"/>
      <c r="E60" s="651" t="e">
        <f>$C$60</f>
        <v>#REF!</v>
      </c>
      <c r="F60" s="651"/>
      <c r="G60" s="651" t="e">
        <f>$C$60</f>
        <v>#REF!</v>
      </c>
      <c r="H60" s="651"/>
      <c r="I60" s="651" t="e">
        <f>$C$60*(1+$J$50)</f>
        <v>#REF!</v>
      </c>
      <c r="J60" s="653"/>
      <c r="K60" s="651" t="e">
        <f>$C$60*(1+$J$50)</f>
        <v>#REF!</v>
      </c>
      <c r="L60" s="654">
        <v>0.03</v>
      </c>
      <c r="M60" s="7"/>
      <c r="N60" s="7"/>
    </row>
    <row r="61" spans="1:14" s="563" customFormat="1" ht="18.75" customHeight="1">
      <c r="B61" s="650" t="s">
        <v>1275</v>
      </c>
      <c r="C61" s="651" t="e">
        <f>#REF!</f>
        <v>#REF!</v>
      </c>
      <c r="D61" s="651"/>
      <c r="E61" s="651" t="e">
        <f>$C$61</f>
        <v>#REF!</v>
      </c>
      <c r="F61" s="651"/>
      <c r="G61" s="651" t="e">
        <f>$C$61*(1+H50)</f>
        <v>#REF!</v>
      </c>
      <c r="H61" s="653"/>
      <c r="I61" s="651" t="e">
        <f>$C$61</f>
        <v>#REF!</v>
      </c>
      <c r="J61" s="651"/>
      <c r="K61" s="651" t="e">
        <f>$C$61*(1+$L$61)</f>
        <v>#REF!</v>
      </c>
      <c r="L61" s="654">
        <v>0.05</v>
      </c>
      <c r="M61" s="7"/>
      <c r="N61" s="7"/>
    </row>
    <row r="62" spans="1:14" s="563" customFormat="1" ht="18.75" customHeight="1">
      <c r="B62" s="656" t="s">
        <v>2594</v>
      </c>
      <c r="C62" s="657" t="e">
        <f>SUM(C58:C61)</f>
        <v>#REF!</v>
      </c>
      <c r="D62" s="651"/>
      <c r="E62" s="657" t="e">
        <f>SUM(E58:E61)</f>
        <v>#REF!</v>
      </c>
      <c r="F62" s="651"/>
      <c r="G62" s="657" t="e">
        <f>SUM(G58:G61)</f>
        <v>#REF!</v>
      </c>
      <c r="H62" s="651"/>
      <c r="I62" s="657" t="e">
        <f>SUM(I58:I61)</f>
        <v>#REF!</v>
      </c>
      <c r="J62" s="651"/>
      <c r="K62" s="657" t="e">
        <f>SUM(K58:K61)</f>
        <v>#REF!</v>
      </c>
      <c r="L62" s="660"/>
      <c r="M62" s="7"/>
      <c r="N62" s="7"/>
    </row>
    <row r="63" spans="1:14" s="563" customFormat="1" ht="24" customHeight="1">
      <c r="B63" s="661"/>
      <c r="C63" s="658"/>
      <c r="D63" s="658"/>
      <c r="E63" s="658"/>
      <c r="F63" s="658"/>
      <c r="G63" s="658"/>
      <c r="H63" s="658"/>
      <c r="I63" s="658"/>
      <c r="J63" s="658"/>
      <c r="K63" s="658"/>
      <c r="L63" s="660"/>
      <c r="M63" s="7"/>
      <c r="N63" s="7"/>
    </row>
    <row r="64" spans="1:14" s="563" customFormat="1" ht="15.75">
      <c r="A64" s="7"/>
      <c r="B64" s="662" t="s">
        <v>2595</v>
      </c>
      <c r="C64" s="663" t="e">
        <f>C56-C62</f>
        <v>#REF!</v>
      </c>
      <c r="D64" s="663"/>
      <c r="E64" s="663" t="e">
        <f>E56-E62</f>
        <v>#REF!</v>
      </c>
      <c r="F64" s="663"/>
      <c r="G64" s="663" t="e">
        <f>G56-G62</f>
        <v>#REF!</v>
      </c>
      <c r="H64" s="663"/>
      <c r="I64" s="663" t="e">
        <f>I56-I62</f>
        <v>#REF!</v>
      </c>
      <c r="J64" s="663"/>
      <c r="K64" s="663" t="e">
        <f>K56-K62</f>
        <v>#REF!</v>
      </c>
      <c r="L64" s="10"/>
      <c r="M64" s="7"/>
      <c r="N64" s="7"/>
    </row>
    <row r="65" spans="1:14" s="563" customFormat="1" ht="24" customHeight="1">
      <c r="A65" s="7"/>
      <c r="B65" s="661"/>
      <c r="C65" s="658"/>
      <c r="D65" s="658"/>
      <c r="E65" s="658"/>
      <c r="F65" s="658"/>
      <c r="G65" s="658"/>
      <c r="H65" s="658"/>
      <c r="I65" s="658"/>
      <c r="J65" s="658"/>
      <c r="K65" s="658"/>
      <c r="L65" s="10"/>
      <c r="M65" s="7"/>
      <c r="N65" s="7"/>
    </row>
    <row r="66" spans="1:14" s="563" customFormat="1" ht="15">
      <c r="A66" s="7"/>
      <c r="B66" s="661" t="s">
        <v>2596</v>
      </c>
      <c r="C66" s="658" t="e">
        <f>#REF!</f>
        <v>#REF!</v>
      </c>
      <c r="D66" s="658"/>
      <c r="E66" s="658" t="e">
        <f>$C$66</f>
        <v>#REF!</v>
      </c>
      <c r="F66" s="658"/>
      <c r="G66" s="658" t="e">
        <f>$C$66</f>
        <v>#REF!</v>
      </c>
      <c r="H66" s="658"/>
      <c r="I66" s="658" t="e">
        <f>$C$66</f>
        <v>#REF!</v>
      </c>
      <c r="J66" s="658"/>
      <c r="K66" s="658" t="e">
        <f>$C$66</f>
        <v>#REF!</v>
      </c>
      <c r="L66" s="10"/>
      <c r="M66" s="7"/>
      <c r="N66" s="7"/>
    </row>
    <row r="67" spans="1:14" s="563" customFormat="1" ht="6" customHeight="1">
      <c r="A67" s="7"/>
      <c r="B67" s="661"/>
      <c r="C67" s="658"/>
      <c r="D67" s="658"/>
      <c r="E67" s="658"/>
      <c r="F67" s="658"/>
      <c r="G67" s="658"/>
      <c r="H67" s="658"/>
      <c r="I67" s="658"/>
      <c r="J67" s="658"/>
      <c r="K67" s="658"/>
      <c r="L67" s="10"/>
      <c r="M67" s="7"/>
      <c r="N67" s="7"/>
    </row>
    <row r="68" spans="1:14" s="563" customFormat="1" ht="15">
      <c r="A68" s="7"/>
      <c r="B68" s="661" t="s">
        <v>2597</v>
      </c>
      <c r="C68" s="658" t="e">
        <f>#REF!</f>
        <v>#REF!</v>
      </c>
      <c r="D68" s="658"/>
      <c r="E68" s="658" t="e">
        <f>$C$68</f>
        <v>#REF!</v>
      </c>
      <c r="F68" s="658"/>
      <c r="G68" s="658" t="e">
        <f>$C$68</f>
        <v>#REF!</v>
      </c>
      <c r="H68" s="658"/>
      <c r="I68" s="658" t="e">
        <f>$C$68</f>
        <v>#REF!</v>
      </c>
      <c r="J68" s="658"/>
      <c r="K68" s="658" t="e">
        <f>$C$68</f>
        <v>#REF!</v>
      </c>
      <c r="L68" s="10"/>
      <c r="M68" s="7"/>
      <c r="N68" s="7"/>
    </row>
    <row r="69" spans="1:14" s="563" customFormat="1" ht="24" customHeight="1">
      <c r="A69" s="7"/>
      <c r="B69" s="664"/>
      <c r="C69" s="658"/>
      <c r="D69" s="651"/>
      <c r="E69" s="658"/>
      <c r="F69" s="651"/>
      <c r="G69" s="658"/>
      <c r="H69" s="651"/>
      <c r="I69" s="658"/>
      <c r="J69" s="651"/>
      <c r="K69" s="658"/>
      <c r="L69" s="10"/>
      <c r="M69" s="7"/>
      <c r="N69" s="7"/>
    </row>
    <row r="70" spans="1:14" s="563" customFormat="1" ht="15.75">
      <c r="A70" s="7"/>
      <c r="B70" s="665" t="s">
        <v>2598</v>
      </c>
      <c r="C70" s="666" t="e">
        <f>C64-C66-C68</f>
        <v>#REF!</v>
      </c>
      <c r="D70" s="667"/>
      <c r="E70" s="666" t="e">
        <f>E64-E66-E68</f>
        <v>#REF!</v>
      </c>
      <c r="F70" s="667"/>
      <c r="G70" s="666" t="e">
        <f>G64-G66-G68</f>
        <v>#REF!</v>
      </c>
      <c r="H70" s="667"/>
      <c r="I70" s="666" t="e">
        <f>I64-I66-I68</f>
        <v>#REF!</v>
      </c>
      <c r="J70" s="667"/>
      <c r="K70" s="666" t="e">
        <f>K64-K66-K68</f>
        <v>#REF!</v>
      </c>
      <c r="L70" s="10"/>
      <c r="M70" s="7"/>
      <c r="N70" s="7"/>
    </row>
    <row r="71" spans="1:14" s="563" customFormat="1" ht="30" customHeight="1">
      <c r="A71" s="7"/>
      <c r="B71" s="650"/>
      <c r="C71" s="651"/>
      <c r="D71" s="651"/>
      <c r="E71" s="651"/>
      <c r="F71" s="651"/>
      <c r="G71" s="651"/>
      <c r="H71" s="651"/>
      <c r="I71" s="651"/>
      <c r="J71" s="651"/>
      <c r="K71" s="651"/>
      <c r="L71" s="10"/>
      <c r="M71" s="7"/>
      <c r="N71" s="7"/>
    </row>
    <row r="72" spans="1:14" s="566" customFormat="1" ht="18.75" customHeight="1">
      <c r="A72" s="120"/>
      <c r="B72" s="668" t="s">
        <v>2599</v>
      </c>
      <c r="C72" s="669" t="e">
        <f>-C70/C75</f>
        <v>#REF!</v>
      </c>
      <c r="D72" s="669"/>
      <c r="E72" s="669" t="e">
        <f>-E70/E75</f>
        <v>#REF!</v>
      </c>
      <c r="F72" s="669"/>
      <c r="G72" s="669" t="e">
        <f>-G70/G75</f>
        <v>#REF!</v>
      </c>
      <c r="H72" s="669"/>
      <c r="I72" s="669" t="e">
        <f>-I70/I75</f>
        <v>#REF!</v>
      </c>
      <c r="J72" s="669"/>
      <c r="K72" s="669" t="e">
        <f>-K70/K75</f>
        <v>#REF!</v>
      </c>
      <c r="L72" s="670"/>
      <c r="M72" s="120"/>
      <c r="N72" s="120"/>
    </row>
    <row r="73" spans="1:14" s="563" customFormat="1" ht="18.75" customHeight="1">
      <c r="A73" s="7"/>
      <c r="B73" s="650" t="s">
        <v>2600</v>
      </c>
      <c r="C73" s="671" t="e">
        <f>C76/C62</f>
        <v>#REF!</v>
      </c>
      <c r="D73" s="671"/>
      <c r="E73" s="671" t="e">
        <f>E76/E62</f>
        <v>#REF!</v>
      </c>
      <c r="F73" s="671"/>
      <c r="G73" s="671" t="e">
        <f>G76/G62</f>
        <v>#REF!</v>
      </c>
      <c r="H73" s="671"/>
      <c r="I73" s="671" t="e">
        <f>I76/I62</f>
        <v>#REF!</v>
      </c>
      <c r="J73" s="671"/>
      <c r="K73" s="671" t="e">
        <f>K76/K62</f>
        <v>#REF!</v>
      </c>
      <c r="L73" s="10"/>
      <c r="M73" s="7"/>
      <c r="N73" s="7"/>
    </row>
    <row r="74" spans="1:14" s="563" customFormat="1" ht="24" customHeight="1">
      <c r="A74" s="7"/>
      <c r="B74" s="650"/>
      <c r="C74" s="651"/>
      <c r="D74" s="651"/>
      <c r="E74" s="651"/>
      <c r="F74" s="651"/>
      <c r="G74" s="651"/>
      <c r="H74" s="651"/>
      <c r="I74" s="651"/>
      <c r="J74" s="651"/>
      <c r="K74" s="651"/>
      <c r="L74" s="10"/>
      <c r="M74" s="7"/>
      <c r="N74" s="7"/>
    </row>
    <row r="75" spans="1:14" s="563" customFormat="1" ht="18.75" customHeight="1">
      <c r="A75" s="7"/>
      <c r="B75" s="650" t="s">
        <v>2601</v>
      </c>
      <c r="C75" s="651" t="e">
        <f>#REF!+#REF!+#REF!+#REF!</f>
        <v>#REF!</v>
      </c>
      <c r="D75" s="651"/>
      <c r="E75" s="651" t="e">
        <f>$C$75</f>
        <v>#REF!</v>
      </c>
      <c r="F75" s="651"/>
      <c r="G75" s="651" t="e">
        <f>$C$75</f>
        <v>#REF!</v>
      </c>
      <c r="H75" s="651"/>
      <c r="I75" s="651" t="e">
        <f>$C$75</f>
        <v>#REF!</v>
      </c>
      <c r="J75" s="651"/>
      <c r="K75" s="651" t="e">
        <f>$C$75</f>
        <v>#REF!</v>
      </c>
      <c r="L75" s="10"/>
      <c r="M75" s="7"/>
      <c r="N75" s="7"/>
    </row>
    <row r="76" spans="1:14" s="563" customFormat="1" ht="18.75" customHeight="1">
      <c r="A76" s="7"/>
      <c r="B76" s="650" t="s">
        <v>1080</v>
      </c>
      <c r="C76" s="651" t="e">
        <f>C70+C75</f>
        <v>#REF!</v>
      </c>
      <c r="D76" s="651"/>
      <c r="E76" s="651" t="e">
        <f>E70+E75</f>
        <v>#REF!</v>
      </c>
      <c r="F76" s="651"/>
      <c r="G76" s="651" t="e">
        <f>G70+G75</f>
        <v>#REF!</v>
      </c>
      <c r="H76" s="651"/>
      <c r="I76" s="651" t="e">
        <f>I70+I75</f>
        <v>#REF!</v>
      </c>
      <c r="J76" s="651"/>
      <c r="K76" s="651" t="e">
        <f>K70+K75</f>
        <v>#REF!</v>
      </c>
      <c r="L76" s="10"/>
      <c r="M76" s="7"/>
      <c r="N76" s="7"/>
    </row>
    <row r="77" spans="1:14" s="563" customFormat="1" ht="15" hidden="1">
      <c r="A77" s="7"/>
      <c r="B77" s="650" t="s">
        <v>2602</v>
      </c>
      <c r="C77" s="672" t="e">
        <f>PV(intrate/12,30*12,C75/12,0)</f>
        <v>#NAME?</v>
      </c>
      <c r="D77" s="650"/>
      <c r="E77" s="672" t="e">
        <f>PV(intrate/12,30*12,E75/12,0)</f>
        <v>#NAME?</v>
      </c>
      <c r="F77" s="650"/>
      <c r="G77" s="672" t="e">
        <f>PV(intrate/12,30*12,G75/12,0)</f>
        <v>#NAME?</v>
      </c>
      <c r="H77" s="650"/>
      <c r="I77" s="672" t="e">
        <f>PV(intrate/12,30*12,I75/12,0)</f>
        <v>#NAME?</v>
      </c>
      <c r="J77" s="650"/>
      <c r="K77" s="672" t="e">
        <f>PV(intrate/12,30*12,K75/12,0)</f>
        <v>#NAME?</v>
      </c>
      <c r="L77" s="10"/>
      <c r="M77" s="7"/>
      <c r="N77" s="7"/>
    </row>
    <row r="78" spans="1:14" s="563" customFormat="1" ht="15" hidden="1">
      <c r="A78" s="7"/>
      <c r="B78" s="673" t="s">
        <v>2603</v>
      </c>
      <c r="C78" s="660"/>
      <c r="D78" s="660"/>
      <c r="E78" s="660"/>
      <c r="F78" s="660"/>
      <c r="G78" s="660"/>
      <c r="H78" s="660"/>
      <c r="I78" s="660"/>
      <c r="J78" s="660"/>
      <c r="K78" s="660"/>
      <c r="L78" s="10"/>
      <c r="M78" s="7"/>
      <c r="N78" s="7"/>
    </row>
    <row r="79" spans="1:14" s="563" customFormat="1" ht="15" hidden="1">
      <c r="A79" s="7"/>
      <c r="B79" s="660"/>
      <c r="C79" s="660"/>
      <c r="D79" s="660"/>
      <c r="E79" s="660"/>
      <c r="F79" s="660"/>
      <c r="G79" s="660"/>
      <c r="H79" s="660"/>
      <c r="I79" s="660"/>
      <c r="J79" s="660"/>
      <c r="K79" s="660"/>
      <c r="L79" s="10"/>
      <c r="M79" s="7"/>
      <c r="N79" s="7"/>
    </row>
    <row r="80" spans="1:14" s="563" customFormat="1" ht="15.75" hidden="1" thickBot="1">
      <c r="A80" s="7"/>
      <c r="B80" s="660" t="s">
        <v>2604</v>
      </c>
      <c r="C80" s="674" t="e">
        <f>MIN(C77,E77,G77,I77,K77)</f>
        <v>#NAME?</v>
      </c>
      <c r="D80" s="660"/>
      <c r="E80" s="660" t="s">
        <v>2605</v>
      </c>
      <c r="F80" s="675">
        <v>0.06</v>
      </c>
      <c r="G80" s="10"/>
      <c r="H80" s="10"/>
      <c r="I80" s="10"/>
      <c r="J80" s="10"/>
      <c r="K80" s="10"/>
      <c r="L80" s="10"/>
      <c r="M80" s="7"/>
      <c r="N80" s="7"/>
    </row>
    <row r="81" spans="1:14" s="563" customFormat="1" ht="15" hidden="1">
      <c r="A81" s="7"/>
      <c r="B81" s="660" t="s">
        <v>1558</v>
      </c>
      <c r="C81" s="674" t="e">
        <f>MAX(C77,E77,G77,I77,K77)</f>
        <v>#NAME?</v>
      </c>
      <c r="D81" s="660"/>
      <c r="E81" s="660"/>
      <c r="F81" s="660"/>
      <c r="G81" s="10"/>
      <c r="H81" s="10"/>
      <c r="I81" s="10"/>
      <c r="J81" s="10"/>
      <c r="K81" s="10"/>
      <c r="L81" s="10"/>
      <c r="M81" s="7"/>
      <c r="N81" s="7"/>
    </row>
    <row r="82" spans="1:14" s="563" customFormat="1" ht="15">
      <c r="A82" s="7"/>
      <c r="B82" s="660"/>
      <c r="C82" s="660"/>
      <c r="D82" s="660"/>
      <c r="E82" s="660" t="s">
        <v>224</v>
      </c>
      <c r="F82" s="660"/>
      <c r="G82" s="10"/>
      <c r="H82" s="10"/>
      <c r="I82" s="10"/>
      <c r="J82" s="10"/>
      <c r="K82" s="10"/>
      <c r="L82" s="10"/>
      <c r="M82" s="7"/>
      <c r="N82" s="7"/>
    </row>
    <row r="83" spans="1:14" s="563" customFormat="1" ht="15">
      <c r="A83" s="7"/>
      <c r="G83" s="7"/>
      <c r="H83" s="7"/>
      <c r="I83" s="7"/>
      <c r="J83" s="7"/>
      <c r="K83" s="7"/>
      <c r="L83" s="7"/>
      <c r="M83" s="7"/>
      <c r="N83" s="7"/>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xr:uid="{00000000-0002-0000-0E00-000000000000}"/>
    <dataValidation type="list" allowBlank="1" showInputMessage="1" showErrorMessage="1" sqref="C15" xr:uid="{00000000-0002-0000-0E00-000001000000}">
      <formula1>"Gas, Electric"</formula1>
    </dataValidation>
    <dataValidation type="list" showInputMessage="1" showErrorMessage="1" sqref="D25:D27 D31:D32" xr:uid="{00000000-0002-0000-0E00-000002000000}">
      <formula1>"First, Second, Third"</formula1>
    </dataValidation>
    <dataValidation type="list" allowBlank="1" showInputMessage="1" showErrorMessage="1" sqref="C9:D9" xr:uid="{00000000-0002-0000-0E00-000003000000}">
      <formula1>"&lt;&lt;Select&gt;&gt;, HOME, HOME and 9% LIHTC, HOME and 4% LIHTC"</formula1>
    </dataValidation>
    <dataValidation type="list" allowBlank="1" showInputMessage="1" showErrorMessage="1" sqref="D33" xr:uid="{00000000-0002-0000-0E00-000004000000}">
      <formula1>$M$29:$M$31</formula1>
    </dataValidation>
    <dataValidation type="list" allowBlank="1" showInputMessage="1" showErrorMessage="1" sqref="B13" xr:uid="{00000000-0002-0000-0E00-000005000000}">
      <formula1>$M$10:$M$14</formula1>
    </dataValidation>
    <dataValidation type="list" allowBlank="1" showInputMessage="1" showErrorMessage="1" sqref="H14:J14" xr:uid="{00000000-0002-0000-0E00-000006000000}">
      <formula1>"Check rent chart &amp; select below, SF Detached, Mfd Home, Duplex, Townhome, 1-Story, 2-Story, 2-Story Walkup, 3+ Story"</formula1>
    </dataValidation>
    <dataValidation type="list" allowBlank="1" showInputMessage="1" showErrorMessage="1" sqref="K14:L14" xr:uid="{00000000-0002-0000-0E00-000007000000}">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577" customWidth="1"/>
    <col min="2" max="2" width="1.7109375" style="577" customWidth="1"/>
    <col min="3" max="3" width="13" style="577" customWidth="1"/>
    <col min="4" max="4" width="11.28515625" style="577" customWidth="1"/>
    <col min="5" max="5" width="14.7109375" style="577" customWidth="1"/>
    <col min="6" max="6" width="15.140625" style="577" customWidth="1"/>
    <col min="7" max="7" width="11.7109375" style="577" customWidth="1"/>
    <col min="8" max="8" width="11.42578125" style="577" customWidth="1"/>
    <col min="9" max="9" width="10.5703125" style="577" customWidth="1"/>
    <col min="10" max="10" width="6" style="577" customWidth="1"/>
    <col min="11" max="11" width="12.7109375" style="577" customWidth="1"/>
    <col min="12" max="12" width="10.85546875" style="577" customWidth="1"/>
    <col min="13" max="13" width="26.28515625" style="577" customWidth="1"/>
    <col min="14" max="14" width="9.140625" style="577"/>
    <col min="15" max="15" width="12.42578125" style="577" customWidth="1"/>
    <col min="16" max="16" width="9.140625" style="577"/>
    <col min="17" max="17" width="11.7109375" style="577" bestFit="1" customWidth="1"/>
    <col min="18" max="16384" width="9.140625" style="577"/>
  </cols>
  <sheetData>
    <row r="1" spans="1:15" ht="13.5" customHeight="1">
      <c r="A1" s="578" t="s">
        <v>2606</v>
      </c>
      <c r="B1" s="676"/>
      <c r="C1" s="577" t="str">
        <f>'Part I-Project Information'!F24</f>
        <v>SB OHF Test Villas</v>
      </c>
    </row>
    <row r="2" spans="1:15" ht="13.5" customHeight="1"/>
    <row r="3" spans="1:15" ht="13.5" customHeight="1">
      <c r="A3" s="578" t="s">
        <v>2607</v>
      </c>
      <c r="C3" s="577" t="s">
        <v>2608</v>
      </c>
      <c r="E3" s="677">
        <f>SUM('Part IV-Uses of Funds'!J144,'Part IV-Uses of Funds'!M144,'Part IV-Uses of Funds'!P144)</f>
        <v>0</v>
      </c>
      <c r="G3" s="678" t="s">
        <v>2609</v>
      </c>
      <c r="H3" s="578">
        <v>27.5</v>
      </c>
      <c r="I3" s="577" t="s">
        <v>2188</v>
      </c>
      <c r="K3" s="584" t="s">
        <v>2631</v>
      </c>
      <c r="M3" s="580"/>
      <c r="O3" s="679"/>
    </row>
    <row r="4" spans="1:15" ht="13.5" customHeight="1">
      <c r="C4" s="577" t="s">
        <v>3094</v>
      </c>
      <c r="E4" s="677">
        <f>SUM('Part IV-Uses of Funds'!G81:H85)</f>
        <v>0</v>
      </c>
      <c r="G4" s="678" t="s">
        <v>2610</v>
      </c>
      <c r="H4" s="578">
        <f>'Part III-Sources of Funds'!M18</f>
        <v>0</v>
      </c>
      <c r="I4" s="577" t="s">
        <v>2188</v>
      </c>
      <c r="K4" s="680" t="s">
        <v>2894</v>
      </c>
      <c r="M4" s="580"/>
    </row>
    <row r="5" spans="1:15" ht="13.5" customHeight="1">
      <c r="C5" s="577" t="s">
        <v>3095</v>
      </c>
      <c r="E5" s="677">
        <f>SUM('Part IV-Uses of Funds'!G92:H98)</f>
        <v>0</v>
      </c>
      <c r="G5" s="678" t="s">
        <v>2610</v>
      </c>
      <c r="H5" s="578">
        <v>15</v>
      </c>
      <c r="I5" s="577" t="s">
        <v>2188</v>
      </c>
      <c r="K5" s="679">
        <f>-E6</f>
        <v>0</v>
      </c>
    </row>
    <row r="6" spans="1:15" ht="13.5" customHeight="1">
      <c r="C6" s="577" t="s">
        <v>2611</v>
      </c>
      <c r="E6" s="681">
        <f>'Part III-Sources of Funds'!$I$29+'Part III-Sources of Funds'!$I$30</f>
        <v>0</v>
      </c>
      <c r="G6" s="678" t="s">
        <v>2612</v>
      </c>
      <c r="H6" s="682">
        <v>0.35</v>
      </c>
      <c r="K6" s="679" t="e">
        <f>C24</f>
        <v>#REF!</v>
      </c>
      <c r="M6" s="577" t="s">
        <v>2613</v>
      </c>
      <c r="O6" s="683">
        <f>Overview!K32</f>
        <v>0</v>
      </c>
    </row>
    <row r="7" spans="1:15" ht="13.5" customHeight="1">
      <c r="K7" s="679" t="e">
        <f>D24</f>
        <v>#REF!</v>
      </c>
      <c r="O7" s="684"/>
    </row>
    <row r="8" spans="1:15" ht="13.5" customHeight="1">
      <c r="A8" s="578" t="s">
        <v>2199</v>
      </c>
      <c r="C8" s="685">
        <v>1</v>
      </c>
      <c r="D8" s="685">
        <v>2</v>
      </c>
      <c r="E8" s="685">
        <v>3</v>
      </c>
      <c r="F8" s="685">
        <v>4</v>
      </c>
      <c r="G8" s="685">
        <v>5</v>
      </c>
      <c r="H8" s="685">
        <v>6</v>
      </c>
      <c r="I8" s="685">
        <v>7</v>
      </c>
      <c r="K8" s="679" t="e">
        <f>E24</f>
        <v>#REF!</v>
      </c>
      <c r="M8" s="577" t="s">
        <v>2614</v>
      </c>
      <c r="O8" s="684" t="e">
        <f>#REF!+#REF!</f>
        <v>#REF!</v>
      </c>
    </row>
    <row r="9" spans="1:15" ht="13.5" customHeight="1">
      <c r="A9" s="577" t="s">
        <v>2615</v>
      </c>
      <c r="C9" s="686" t="e">
        <f>#REF!</f>
        <v>#REF!</v>
      </c>
      <c r="D9" s="686" t="e">
        <f>#REF!</f>
        <v>#REF!</v>
      </c>
      <c r="E9" s="686" t="e">
        <f>#REF!</f>
        <v>#REF!</v>
      </c>
      <c r="F9" s="686" t="e">
        <f>#REF!</f>
        <v>#REF!</v>
      </c>
      <c r="G9" s="686" t="e">
        <f>#REF!</f>
        <v>#REF!</v>
      </c>
      <c r="H9" s="686" t="e">
        <f>#REF!</f>
        <v>#REF!</v>
      </c>
      <c r="I9" s="686" t="e">
        <f>#REF!</f>
        <v>#REF!</v>
      </c>
      <c r="K9" s="679" t="e">
        <f>F24</f>
        <v>#REF!</v>
      </c>
      <c r="N9" s="687" t="s">
        <v>2617</v>
      </c>
    </row>
    <row r="10" spans="1:15" ht="13.5" customHeight="1">
      <c r="A10" s="577" t="s">
        <v>2616</v>
      </c>
      <c r="C10" s="688" t="e">
        <f>'Part III-Sources of Funds'!I18-#REF!</f>
        <v>#REF!</v>
      </c>
      <c r="D10" s="688" t="e">
        <f>#REF!-#REF!</f>
        <v>#REF!</v>
      </c>
      <c r="E10" s="688" t="e">
        <f>#REF!-#REF!</f>
        <v>#REF!</v>
      </c>
      <c r="F10" s="688" t="e">
        <f>#REF!-#REF!</f>
        <v>#REF!</v>
      </c>
      <c r="G10" s="688" t="e">
        <f>#REF!-#REF!</f>
        <v>#REF!</v>
      </c>
      <c r="H10" s="688" t="e">
        <f>#REF!-#REF!</f>
        <v>#REF!</v>
      </c>
      <c r="I10" s="688" t="e">
        <f>#REF!-#REF!</f>
        <v>#REF!</v>
      </c>
      <c r="K10" s="679" t="e">
        <f>G24</f>
        <v>#REF!</v>
      </c>
      <c r="N10" s="687" t="s">
        <v>2618</v>
      </c>
      <c r="O10" s="684"/>
    </row>
    <row r="11" spans="1:15" ht="13.5" customHeight="1">
      <c r="A11" s="577" t="s">
        <v>2616</v>
      </c>
      <c r="C11" s="688" t="e">
        <f>'Part III-Sources of Funds'!I19-#REF!</f>
        <v>#REF!</v>
      </c>
      <c r="D11" s="688" t="e">
        <f>#REF!-#REF!</f>
        <v>#REF!</v>
      </c>
      <c r="E11" s="688" t="e">
        <f>#REF!-#REF!</f>
        <v>#REF!</v>
      </c>
      <c r="F11" s="688" t="e">
        <f>#REF!-#REF!</f>
        <v>#REF!</v>
      </c>
      <c r="G11" s="688" t="e">
        <f>#REF!-#REF!</f>
        <v>#REF!</v>
      </c>
      <c r="H11" s="688" t="e">
        <f>#REF!-#REF!</f>
        <v>#REF!</v>
      </c>
      <c r="I11" s="688" t="e">
        <f>#REF!-#REF!</f>
        <v>#REF!</v>
      </c>
      <c r="K11" s="679" t="e">
        <f>H24</f>
        <v>#REF!</v>
      </c>
      <c r="O11" s="684"/>
    </row>
    <row r="12" spans="1:15" ht="13.5" customHeight="1">
      <c r="A12" s="577" t="s">
        <v>2616</v>
      </c>
      <c r="C12" s="688"/>
      <c r="D12" s="688"/>
      <c r="E12" s="688"/>
      <c r="F12" s="688"/>
      <c r="G12" s="688"/>
      <c r="H12" s="688"/>
      <c r="I12" s="688"/>
      <c r="K12" s="679" t="e">
        <f>I24</f>
        <v>#REF!</v>
      </c>
      <c r="M12" s="577" t="s">
        <v>2620</v>
      </c>
      <c r="N12" s="689">
        <v>0.06</v>
      </c>
      <c r="O12" s="684">
        <f>N12*O6</f>
        <v>0</v>
      </c>
    </row>
    <row r="13" spans="1:15" ht="13.5" customHeight="1">
      <c r="A13" s="690" t="s">
        <v>3097</v>
      </c>
      <c r="B13" s="691"/>
      <c r="C13" s="692" t="e">
        <f>-SUMIF(#REF!,C$8,#REF!)-SUMIF(#REF!,C$8,#REF!)-SUMIF(#REF!,C$8,#REF!)</f>
        <v>#REF!</v>
      </c>
      <c r="D13" s="692" t="e">
        <f>-SUMIF(#REF!,D$8,#REF!)-SUMIF(#REF!,D$8,#REF!)-SUMIF(#REF!,D$8,#REF!)</f>
        <v>#REF!</v>
      </c>
      <c r="E13" s="692" t="e">
        <f>-SUMIF(#REF!,E$8,#REF!)-SUMIF(#REF!,E$8,#REF!)-SUMIF(#REF!,E$8,#REF!)</f>
        <v>#REF!</v>
      </c>
      <c r="F13" s="692" t="e">
        <f>-SUMIF(#REF!,F$8,#REF!)-SUMIF(#REF!,F$8,#REF!)-SUMIF(#REF!,F$8,#REF!)</f>
        <v>#REF!</v>
      </c>
      <c r="G13" s="692" t="e">
        <f>-SUMIF(#REF!,G$8,#REF!)-SUMIF(#REF!,G$8,#REF!)-SUMIF(#REF!,G$8,#REF!)</f>
        <v>#REF!</v>
      </c>
      <c r="H13" s="692" t="e">
        <f>-SUMIF(#REF!,H$8,#REF!)-SUMIF(#REF!,H$8,#REF!)-SUMIF(#REF!,H$8,#REF!)</f>
        <v>#REF!</v>
      </c>
      <c r="I13" s="692" t="e">
        <f>-SUMIF(#REF!,I$8,#REF!)-SUMIF(#REF!,I$8,#REF!)-SUMIF(#REF!,I$8,#REF!)</f>
        <v>#REF!</v>
      </c>
      <c r="K13" s="679" t="e">
        <f>C44</f>
        <v>#REF!</v>
      </c>
      <c r="O13" s="684"/>
    </row>
    <row r="14" spans="1:15" ht="13.5" customHeight="1">
      <c r="A14" s="690" t="s">
        <v>3098</v>
      </c>
      <c r="B14" s="691"/>
      <c r="C14" s="692" t="e">
        <f>-SUMIF(#REF!,C$8,#REF!)-SUMIF(#REF!,C$8,#REF!)-SUMIF(#REF!,C$8,#REF!)</f>
        <v>#REF!</v>
      </c>
      <c r="D14" s="692" t="e">
        <f>-SUMIF(#REF!,D$8,#REF!)-SUMIF(#REF!,D$8,#REF!)-SUMIF(#REF!,D$8,#REF!)</f>
        <v>#REF!</v>
      </c>
      <c r="E14" s="692" t="e">
        <f>-SUMIF(#REF!,E$8,#REF!)-SUMIF(#REF!,E$8,#REF!)-SUMIF(#REF!,E$8,#REF!)</f>
        <v>#REF!</v>
      </c>
      <c r="F14" s="692" t="e">
        <f>-SUMIF(#REF!,F$8,#REF!)-SUMIF(#REF!,F$8,#REF!)-SUMIF(#REF!,F$8,#REF!)</f>
        <v>#REF!</v>
      </c>
      <c r="G14" s="692" t="e">
        <f>-SUMIF(#REF!,G$8,#REF!)-SUMIF(#REF!,G$8,#REF!)-SUMIF(#REF!,G$8,#REF!)</f>
        <v>#REF!</v>
      </c>
      <c r="H14" s="692" t="e">
        <f>-SUMIF(#REF!,H$8,#REF!)-SUMIF(#REF!,H$8,#REF!)-SUMIF(#REF!,H$8,#REF!)</f>
        <v>#REF!</v>
      </c>
      <c r="I14" s="692" t="e">
        <f>-SUMIF(#REF!,I$8,#REF!)-SUMIF(#REF!,I$8,#REF!)-SUMIF(#REF!,I$8,#REF!)</f>
        <v>#REF!</v>
      </c>
      <c r="K14" s="679" t="e">
        <f>D44</f>
        <v>#REF!</v>
      </c>
      <c r="M14" s="577" t="s">
        <v>2623</v>
      </c>
      <c r="O14" s="684" t="e">
        <f>O6-O8-O12</f>
        <v>#REF!</v>
      </c>
    </row>
    <row r="15" spans="1:15" ht="13.5" customHeight="1">
      <c r="A15" s="693" t="s">
        <v>2619</v>
      </c>
      <c r="C15" s="694">
        <f t="shared" ref="C15:I15" si="0">$E$3/$H$3</f>
        <v>0</v>
      </c>
      <c r="D15" s="694">
        <f t="shared" si="0"/>
        <v>0</v>
      </c>
      <c r="E15" s="694">
        <f t="shared" si="0"/>
        <v>0</v>
      </c>
      <c r="F15" s="694">
        <f t="shared" si="0"/>
        <v>0</v>
      </c>
      <c r="G15" s="694">
        <f t="shared" si="0"/>
        <v>0</v>
      </c>
      <c r="H15" s="694">
        <f t="shared" si="0"/>
        <v>0</v>
      </c>
      <c r="I15" s="694">
        <f t="shared" si="0"/>
        <v>0</v>
      </c>
      <c r="K15" s="679" t="e">
        <f>E44</f>
        <v>#REF!</v>
      </c>
      <c r="O15" s="684"/>
    </row>
    <row r="16" spans="1:15" ht="13.5" customHeight="1">
      <c r="A16" s="693" t="s">
        <v>2621</v>
      </c>
      <c r="C16" s="694">
        <f>IF(C$8&lt;=$H$4,($E$4/$H$4),0)+IF(C$8&lt;=$H$5,($E$5/$H$5),0)</f>
        <v>0</v>
      </c>
      <c r="D16" s="694">
        <f t="shared" ref="D16:I16" si="1">IF(D$8&lt;=$H$4,($E$4/$H$4),0)+IF(D$8&lt;=$H$5,($E$5/$H$5),0)</f>
        <v>0</v>
      </c>
      <c r="E16" s="694">
        <f t="shared" si="1"/>
        <v>0</v>
      </c>
      <c r="F16" s="694">
        <f t="shared" si="1"/>
        <v>0</v>
      </c>
      <c r="G16" s="694">
        <f t="shared" si="1"/>
        <v>0</v>
      </c>
      <c r="H16" s="694">
        <f t="shared" si="1"/>
        <v>0</v>
      </c>
      <c r="I16" s="694">
        <f t="shared" si="1"/>
        <v>0</v>
      </c>
      <c r="K16" s="679" t="e">
        <f>F44</f>
        <v>#REF!</v>
      </c>
      <c r="M16" s="577" t="s">
        <v>2625</v>
      </c>
      <c r="O16" s="684">
        <f>E3</f>
        <v>0</v>
      </c>
    </row>
    <row r="17" spans="1:17" ht="13.5" customHeight="1">
      <c r="A17" s="693" t="s">
        <v>2622</v>
      </c>
      <c r="C17" s="688" t="e">
        <f t="shared" ref="C17:I17" si="2">C9+C10+C11+C12+C13+C14-C15-C16</f>
        <v>#REF!</v>
      </c>
      <c r="D17" s="688" t="e">
        <f t="shared" si="2"/>
        <v>#REF!</v>
      </c>
      <c r="E17" s="688" t="e">
        <f t="shared" si="2"/>
        <v>#REF!</v>
      </c>
      <c r="F17" s="688" t="e">
        <f t="shared" si="2"/>
        <v>#REF!</v>
      </c>
      <c r="G17" s="688" t="e">
        <f t="shared" si="2"/>
        <v>#REF!</v>
      </c>
      <c r="H17" s="688" t="e">
        <f t="shared" si="2"/>
        <v>#REF!</v>
      </c>
      <c r="I17" s="688" t="e">
        <f t="shared" si="2"/>
        <v>#REF!</v>
      </c>
      <c r="K17" s="679" t="e">
        <f>G44</f>
        <v>#REF!</v>
      </c>
      <c r="M17" s="577" t="s">
        <v>2619</v>
      </c>
      <c r="O17" s="684">
        <f>20*(E3/H3)</f>
        <v>0</v>
      </c>
    </row>
    <row r="18" spans="1:17" ht="13.5" customHeight="1">
      <c r="A18" s="693" t="s">
        <v>2624</v>
      </c>
      <c r="C18" s="695" t="e">
        <f t="shared" ref="C18:I18" si="3">C17*$H$6</f>
        <v>#REF!</v>
      </c>
      <c r="D18" s="695" t="e">
        <f t="shared" si="3"/>
        <v>#REF!</v>
      </c>
      <c r="E18" s="695" t="e">
        <f t="shared" si="3"/>
        <v>#REF!</v>
      </c>
      <c r="F18" s="695" t="e">
        <f t="shared" si="3"/>
        <v>#REF!</v>
      </c>
      <c r="G18" s="695" t="e">
        <f t="shared" si="3"/>
        <v>#REF!</v>
      </c>
      <c r="H18" s="695" t="e">
        <f t="shared" si="3"/>
        <v>#REF!</v>
      </c>
      <c r="I18" s="695" t="e">
        <f t="shared" si="3"/>
        <v>#REF!</v>
      </c>
      <c r="K18" s="679" t="e">
        <f>H44</f>
        <v>#REF!</v>
      </c>
      <c r="O18" s="684"/>
    </row>
    <row r="19" spans="1:17" ht="13.5" customHeight="1">
      <c r="A19" s="693"/>
      <c r="C19" s="686"/>
      <c r="D19" s="686"/>
      <c r="E19" s="686"/>
      <c r="F19" s="686"/>
      <c r="G19" s="686"/>
      <c r="H19" s="686"/>
      <c r="I19" s="686"/>
      <c r="K19" s="679" t="e">
        <f>I44</f>
        <v>#REF!</v>
      </c>
      <c r="M19" s="577" t="s">
        <v>2629</v>
      </c>
      <c r="O19" s="684">
        <f>O16-O17</f>
        <v>0</v>
      </c>
    </row>
    <row r="20" spans="1:17" ht="13.5" customHeight="1">
      <c r="A20" s="577" t="s">
        <v>2626</v>
      </c>
      <c r="C20" s="688" t="e">
        <f t="shared" ref="C20:I20" si="4">C9-C18</f>
        <v>#REF!</v>
      </c>
      <c r="D20" s="688" t="e">
        <f t="shared" si="4"/>
        <v>#REF!</v>
      </c>
      <c r="E20" s="688" t="e">
        <f t="shared" si="4"/>
        <v>#REF!</v>
      </c>
      <c r="F20" s="688" t="e">
        <f t="shared" si="4"/>
        <v>#REF!</v>
      </c>
      <c r="G20" s="688" t="e">
        <f t="shared" si="4"/>
        <v>#REF!</v>
      </c>
      <c r="H20" s="688" t="e">
        <f t="shared" si="4"/>
        <v>#REF!</v>
      </c>
      <c r="I20" s="688" t="e">
        <f t="shared" si="4"/>
        <v>#REF!</v>
      </c>
      <c r="K20" s="679" t="e">
        <f>C64</f>
        <v>#REF!</v>
      </c>
      <c r="O20" s="684"/>
    </row>
    <row r="21" spans="1:17" ht="13.5" customHeight="1">
      <c r="A21" s="577" t="s">
        <v>2627</v>
      </c>
      <c r="C21" s="695">
        <f>'Part IV-Uses of Funds'!$J$169</f>
        <v>0</v>
      </c>
      <c r="D21" s="695">
        <f t="shared" ref="D21:I21" si="5">C21</f>
        <v>0</v>
      </c>
      <c r="E21" s="695">
        <f t="shared" si="5"/>
        <v>0</v>
      </c>
      <c r="F21" s="695">
        <f t="shared" si="5"/>
        <v>0</v>
      </c>
      <c r="G21" s="695">
        <f t="shared" si="5"/>
        <v>0</v>
      </c>
      <c r="H21" s="695">
        <f t="shared" si="5"/>
        <v>0</v>
      </c>
      <c r="I21" s="695">
        <f t="shared" si="5"/>
        <v>0</v>
      </c>
      <c r="J21" s="577" t="s">
        <v>224</v>
      </c>
      <c r="K21" s="679" t="e">
        <f>D64</f>
        <v>#REF!</v>
      </c>
      <c r="O21" s="684"/>
    </row>
    <row r="22" spans="1:17" ht="13.5" customHeight="1">
      <c r="A22" s="577" t="s">
        <v>2628</v>
      </c>
      <c r="C22" s="695">
        <f>C21</f>
        <v>0</v>
      </c>
      <c r="D22" s="695">
        <f t="shared" ref="D22:I22" si="6">D21</f>
        <v>0</v>
      </c>
      <c r="E22" s="695">
        <f t="shared" si="6"/>
        <v>0</v>
      </c>
      <c r="F22" s="695">
        <f t="shared" si="6"/>
        <v>0</v>
      </c>
      <c r="G22" s="695">
        <f t="shared" si="6"/>
        <v>0</v>
      </c>
      <c r="H22" s="695">
        <f t="shared" si="6"/>
        <v>0</v>
      </c>
      <c r="I22" s="695">
        <f t="shared" si="6"/>
        <v>0</v>
      </c>
      <c r="K22" s="679" t="e">
        <f>E64</f>
        <v>#REF!</v>
      </c>
      <c r="M22" s="577" t="s">
        <v>2613</v>
      </c>
      <c r="O22" s="684">
        <f>O6</f>
        <v>0</v>
      </c>
    </row>
    <row r="23" spans="1:17" ht="13.5" customHeight="1">
      <c r="A23" s="577" t="s">
        <v>2630</v>
      </c>
      <c r="C23" s="686">
        <v>0</v>
      </c>
      <c r="D23" s="686">
        <v>0</v>
      </c>
      <c r="E23" s="686">
        <v>0</v>
      </c>
      <c r="F23" s="686">
        <v>0</v>
      </c>
      <c r="G23" s="686">
        <v>0</v>
      </c>
      <c r="H23" s="686">
        <v>0</v>
      </c>
      <c r="I23" s="686">
        <v>0</v>
      </c>
      <c r="K23" s="679" t="e">
        <f>F64</f>
        <v>#REF!</v>
      </c>
      <c r="M23" s="577" t="s">
        <v>2632</v>
      </c>
      <c r="O23" s="684">
        <f>O19</f>
        <v>0</v>
      </c>
    </row>
    <row r="24" spans="1:17" ht="13.5" customHeight="1">
      <c r="A24" s="577" t="s">
        <v>2631</v>
      </c>
      <c r="C24" s="688" t="e">
        <f t="shared" ref="C24:I24" si="7">SUM(C20:C23)</f>
        <v>#REF!</v>
      </c>
      <c r="D24" s="688" t="e">
        <f t="shared" si="7"/>
        <v>#REF!</v>
      </c>
      <c r="E24" s="688" t="e">
        <f t="shared" si="7"/>
        <v>#REF!</v>
      </c>
      <c r="F24" s="688" t="e">
        <f t="shared" si="7"/>
        <v>#REF!</v>
      </c>
      <c r="G24" s="688" t="e">
        <f t="shared" si="7"/>
        <v>#REF!</v>
      </c>
      <c r="H24" s="688" t="e">
        <f t="shared" si="7"/>
        <v>#REF!</v>
      </c>
      <c r="I24" s="688" t="e">
        <f t="shared" si="7"/>
        <v>#REF!</v>
      </c>
      <c r="K24" s="679" t="e">
        <f>G64</f>
        <v>#REF!</v>
      </c>
      <c r="O24" s="684"/>
    </row>
    <row r="25" spans="1:17" ht="13.5" customHeight="1">
      <c r="K25" s="679" t="e">
        <f>H64</f>
        <v>#REF!</v>
      </c>
      <c r="M25" s="577" t="s">
        <v>2633</v>
      </c>
      <c r="O25" s="684">
        <f>O22-O23</f>
        <v>0</v>
      </c>
      <c r="Q25" s="696"/>
    </row>
    <row r="26" spans="1:17" ht="13.5" customHeight="1">
      <c r="A26" s="697"/>
      <c r="B26" s="697"/>
      <c r="C26" s="697"/>
      <c r="D26" s="697"/>
      <c r="E26" s="697"/>
      <c r="F26" s="697"/>
      <c r="G26" s="697"/>
      <c r="H26" s="697"/>
      <c r="I26" s="697"/>
      <c r="K26" s="679"/>
      <c r="O26" s="684"/>
    </row>
    <row r="27" spans="1:17" ht="13.5" customHeight="1">
      <c r="K27" s="679"/>
      <c r="M27" s="577" t="s">
        <v>2634</v>
      </c>
      <c r="N27" s="698"/>
      <c r="O27" s="689">
        <v>0.2</v>
      </c>
    </row>
    <row r="28" spans="1:17" ht="13.5" customHeight="1">
      <c r="A28" s="578" t="s">
        <v>2199</v>
      </c>
      <c r="B28" s="578"/>
      <c r="C28" s="685">
        <v>8</v>
      </c>
      <c r="D28" s="685">
        <v>9</v>
      </c>
      <c r="E28" s="685">
        <v>10</v>
      </c>
      <c r="F28" s="685">
        <v>11</v>
      </c>
      <c r="G28" s="685">
        <v>12</v>
      </c>
      <c r="H28" s="685">
        <v>13</v>
      </c>
      <c r="I28" s="685">
        <v>14</v>
      </c>
      <c r="N28" s="698"/>
      <c r="O28" s="698"/>
    </row>
    <row r="29" spans="1:17" ht="13.5" customHeight="1">
      <c r="A29" s="577" t="s">
        <v>2615</v>
      </c>
      <c r="C29" s="686" t="e">
        <f>#REF!</f>
        <v>#REF!</v>
      </c>
      <c r="D29" s="686" t="e">
        <f>#REF!</f>
        <v>#REF!</v>
      </c>
      <c r="E29" s="686" t="e">
        <f>#REF!</f>
        <v>#REF!</v>
      </c>
      <c r="F29" s="686" t="e">
        <f>#REF!</f>
        <v>#REF!</v>
      </c>
      <c r="G29" s="686" t="e">
        <f>#REF!</f>
        <v>#REF!</v>
      </c>
      <c r="H29" s="686" t="e">
        <f>#REF!</f>
        <v>#REF!</v>
      </c>
      <c r="I29" s="686" t="e">
        <f>#REF!</f>
        <v>#REF!</v>
      </c>
      <c r="N29" s="698"/>
      <c r="O29" s="698"/>
    </row>
    <row r="30" spans="1:17" ht="13.5" customHeight="1">
      <c r="A30" s="577" t="s">
        <v>2616</v>
      </c>
      <c r="C30" s="688" t="e">
        <f>#REF!-#REF!</f>
        <v>#REF!</v>
      </c>
      <c r="D30" s="688" t="e">
        <f>#REF!-#REF!</f>
        <v>#REF!</v>
      </c>
      <c r="E30" s="688" t="e">
        <f>#REF!-#REF!</f>
        <v>#REF!</v>
      </c>
      <c r="F30" s="688" t="e">
        <f>#REF!-#REF!</f>
        <v>#REF!</v>
      </c>
      <c r="G30" s="688" t="e">
        <f>#REF!-#REF!</f>
        <v>#REF!</v>
      </c>
      <c r="H30" s="688" t="e">
        <f>#REF!-#REF!</f>
        <v>#REF!</v>
      </c>
      <c r="I30" s="688" t="e">
        <f>#REF!-#REF!</f>
        <v>#REF!</v>
      </c>
    </row>
    <row r="31" spans="1:17" ht="13.5" customHeight="1">
      <c r="A31" s="577" t="s">
        <v>2616</v>
      </c>
      <c r="C31" s="688" t="e">
        <f>#REF!-#REF!</f>
        <v>#REF!</v>
      </c>
      <c r="D31" s="688" t="e">
        <f>#REF!-#REF!</f>
        <v>#REF!</v>
      </c>
      <c r="E31" s="688" t="e">
        <f>#REF!-#REF!</f>
        <v>#REF!</v>
      </c>
      <c r="F31" s="688" t="e">
        <f>#REF!-#REF!</f>
        <v>#REF!</v>
      </c>
      <c r="G31" s="688" t="e">
        <f>#REF!-#REF!</f>
        <v>#REF!</v>
      </c>
      <c r="H31" s="688" t="e">
        <f>#REF!-#REF!</f>
        <v>#REF!</v>
      </c>
      <c r="I31" s="688" t="e">
        <f>#REF!-#REF!</f>
        <v>#REF!</v>
      </c>
      <c r="K31" s="577" t="s">
        <v>224</v>
      </c>
      <c r="M31" s="577" t="s">
        <v>2635</v>
      </c>
      <c r="O31" s="686">
        <f>O25*O27</f>
        <v>0</v>
      </c>
    </row>
    <row r="32" spans="1:17" ht="13.5" customHeight="1">
      <c r="A32" s="577" t="s">
        <v>2616</v>
      </c>
      <c r="C32" s="686"/>
      <c r="D32" s="686"/>
      <c r="E32" s="686"/>
      <c r="F32" s="686"/>
      <c r="G32" s="686"/>
      <c r="H32" s="686"/>
      <c r="I32" s="686"/>
    </row>
    <row r="33" spans="1:15" ht="13.5" customHeight="1">
      <c r="A33" s="690" t="s">
        <v>3097</v>
      </c>
      <c r="B33" s="691"/>
      <c r="C33" s="692" t="e">
        <f>-SUMIF(#REF!,C$28,#REF!)-SUMIF(#REF!,C$28,#REF!)-SUMIF(#REF!,C$28,#REF!)</f>
        <v>#REF!</v>
      </c>
      <c r="D33" s="692" t="e">
        <f>-SUMIF(#REF!,D$28,#REF!)-SUMIF(#REF!,D$28,#REF!)-SUMIF(#REF!,D$28,#REF!)</f>
        <v>#REF!</v>
      </c>
      <c r="E33" s="692" t="e">
        <f>-SUMIF(#REF!,E$28,#REF!)-SUMIF(#REF!,E$28,#REF!)-SUMIF(#REF!,E$28,#REF!)</f>
        <v>#REF!</v>
      </c>
      <c r="F33" s="692" t="e">
        <f>-SUMIF(#REF!,F$28,#REF!)-SUMIF(#REF!,F$28,#REF!)-SUMIF(#REF!,F$28,#REF!)</f>
        <v>#REF!</v>
      </c>
      <c r="G33" s="692" t="e">
        <f>-SUMIF(#REF!,G$28,#REF!)-SUMIF(#REF!,G$28,#REF!)-SUMIF(#REF!,G$28,#REF!)</f>
        <v>#REF!</v>
      </c>
      <c r="H33" s="692" t="e">
        <f>-SUMIF(#REF!,H$28,#REF!)-SUMIF(#REF!,H$28,#REF!)-SUMIF(#REF!,H$28,#REF!)</f>
        <v>#REF!</v>
      </c>
      <c r="I33" s="692" t="e">
        <f>-SUMIF(#REF!,I$28,#REF!)-SUMIF(#REF!,I$28,#REF!)-SUMIF(#REF!,I$28,#REF!)</f>
        <v>#REF!</v>
      </c>
      <c r="K33" s="577" t="s">
        <v>224</v>
      </c>
      <c r="M33" s="577" t="s">
        <v>2636</v>
      </c>
      <c r="O33" s="686" t="e">
        <f>O14-O31</f>
        <v>#REF!</v>
      </c>
    </row>
    <row r="34" spans="1:15" ht="13.5" customHeight="1">
      <c r="A34" s="690" t="s">
        <v>3098</v>
      </c>
      <c r="B34" s="691"/>
      <c r="C34" s="692" t="e">
        <f>-SUMIF(#REF!,C$28,#REF!)-SUMIF(#REF!,C$28,#REF!)-SUMIF(#REF!,C$28,#REF!)</f>
        <v>#REF!</v>
      </c>
      <c r="D34" s="692" t="e">
        <f>-SUMIF(#REF!,D$28,#REF!)-SUMIF(#REF!,D$28,#REF!)-SUMIF(#REF!,D$28,#REF!)</f>
        <v>#REF!</v>
      </c>
      <c r="E34" s="692" t="e">
        <f>-SUMIF(#REF!,E$28,#REF!)-SUMIF(#REF!,E$28,#REF!)-SUMIF(#REF!,E$28,#REF!)</f>
        <v>#REF!</v>
      </c>
      <c r="F34" s="692" t="e">
        <f>-SUMIF(#REF!,F$28,#REF!)-SUMIF(#REF!,F$28,#REF!)-SUMIF(#REF!,F$28,#REF!)</f>
        <v>#REF!</v>
      </c>
      <c r="G34" s="692" t="e">
        <f>-SUMIF(#REF!,G$28,#REF!)-SUMIF(#REF!,G$28,#REF!)-SUMIF(#REF!,G$28,#REF!)</f>
        <v>#REF!</v>
      </c>
      <c r="H34" s="692" t="e">
        <f>-SUMIF(#REF!,H$28,#REF!)-SUMIF(#REF!,H$28,#REF!)-SUMIF(#REF!,H$28,#REF!)</f>
        <v>#REF!</v>
      </c>
      <c r="I34" s="692" t="e">
        <f>-SUMIF(#REF!,I$28,#REF!)-SUMIF(#REF!,I$28,#REF!)-SUMIF(#REF!,I$28,#REF!)</f>
        <v>#REF!</v>
      </c>
    </row>
    <row r="35" spans="1:15" ht="13.5" customHeight="1">
      <c r="A35" s="693" t="s">
        <v>2619</v>
      </c>
      <c r="C35" s="694">
        <f t="shared" ref="C35:I35" si="8">$E$3/$H$3</f>
        <v>0</v>
      </c>
      <c r="D35" s="694">
        <f t="shared" si="8"/>
        <v>0</v>
      </c>
      <c r="E35" s="694">
        <f t="shared" si="8"/>
        <v>0</v>
      </c>
      <c r="F35" s="694">
        <f t="shared" si="8"/>
        <v>0</v>
      </c>
      <c r="G35" s="694">
        <f t="shared" si="8"/>
        <v>0</v>
      </c>
      <c r="H35" s="694">
        <f t="shared" si="8"/>
        <v>0</v>
      </c>
      <c r="I35" s="694">
        <f t="shared" si="8"/>
        <v>0</v>
      </c>
    </row>
    <row r="36" spans="1:15" ht="13.5" customHeight="1">
      <c r="A36" s="693" t="s">
        <v>2621</v>
      </c>
      <c r="C36" s="686">
        <f>IF(C$28&lt;=$H$4,($E$4/$H$4),0)+IF(C$28&lt;=$H$5,($E$5/$H$5),0)</f>
        <v>0</v>
      </c>
      <c r="D36" s="686">
        <f t="shared" ref="D36:I36" si="9">IF(D$28&lt;=$H$4,($E$4/$H$4),0)+IF(D$28&lt;=$H$5,($E$5/$H$5),0)</f>
        <v>0</v>
      </c>
      <c r="E36" s="686">
        <f t="shared" si="9"/>
        <v>0</v>
      </c>
      <c r="F36" s="686">
        <f t="shared" si="9"/>
        <v>0</v>
      </c>
      <c r="G36" s="686">
        <f t="shared" si="9"/>
        <v>0</v>
      </c>
      <c r="H36" s="686">
        <f t="shared" si="9"/>
        <v>0</v>
      </c>
      <c r="I36" s="686">
        <f t="shared" si="9"/>
        <v>0</v>
      </c>
    </row>
    <row r="37" spans="1:15" ht="13.5" customHeight="1">
      <c r="A37" s="693" t="s">
        <v>2622</v>
      </c>
      <c r="C37" s="688" t="e">
        <f t="shared" ref="C37:I37" si="10">C29+C30+C31+C32+C33+C34-C35-C36</f>
        <v>#REF!</v>
      </c>
      <c r="D37" s="688" t="e">
        <f t="shared" si="10"/>
        <v>#REF!</v>
      </c>
      <c r="E37" s="688" t="e">
        <f t="shared" si="10"/>
        <v>#REF!</v>
      </c>
      <c r="F37" s="688" t="e">
        <f t="shared" si="10"/>
        <v>#REF!</v>
      </c>
      <c r="G37" s="688" t="e">
        <f t="shared" si="10"/>
        <v>#REF!</v>
      </c>
      <c r="H37" s="688" t="e">
        <f t="shared" si="10"/>
        <v>#REF!</v>
      </c>
      <c r="I37" s="688" t="e">
        <f t="shared" si="10"/>
        <v>#REF!</v>
      </c>
    </row>
    <row r="38" spans="1:15" ht="13.5" customHeight="1">
      <c r="A38" s="577" t="s">
        <v>2624</v>
      </c>
      <c r="C38" s="695" t="e">
        <f t="shared" ref="C38:I38" si="11">C37*$H$6</f>
        <v>#REF!</v>
      </c>
      <c r="D38" s="695" t="e">
        <f t="shared" si="11"/>
        <v>#REF!</v>
      </c>
      <c r="E38" s="695" t="e">
        <f t="shared" si="11"/>
        <v>#REF!</v>
      </c>
      <c r="F38" s="695" t="e">
        <f t="shared" si="11"/>
        <v>#REF!</v>
      </c>
      <c r="G38" s="695" t="e">
        <f t="shared" si="11"/>
        <v>#REF!</v>
      </c>
      <c r="H38" s="695" t="e">
        <f t="shared" si="11"/>
        <v>#REF!</v>
      </c>
      <c r="I38" s="695" t="e">
        <f t="shared" si="11"/>
        <v>#REF!</v>
      </c>
    </row>
    <row r="39" spans="1:15" ht="13.5" customHeight="1">
      <c r="C39" s="688"/>
      <c r="D39" s="688"/>
      <c r="E39" s="688"/>
      <c r="F39" s="688"/>
      <c r="G39" s="688"/>
      <c r="H39" s="688"/>
      <c r="I39" s="688"/>
    </row>
    <row r="40" spans="1:15" ht="13.5" customHeight="1">
      <c r="A40" s="577" t="s">
        <v>2626</v>
      </c>
      <c r="C40" s="688" t="e">
        <f t="shared" ref="C40:I40" si="12">C29-C38</f>
        <v>#REF!</v>
      </c>
      <c r="D40" s="688" t="e">
        <f t="shared" si="12"/>
        <v>#REF!</v>
      </c>
      <c r="E40" s="688" t="e">
        <f t="shared" si="12"/>
        <v>#REF!</v>
      </c>
      <c r="F40" s="688" t="e">
        <f t="shared" si="12"/>
        <v>#REF!</v>
      </c>
      <c r="G40" s="688" t="e">
        <f t="shared" si="12"/>
        <v>#REF!</v>
      </c>
      <c r="H40" s="688" t="e">
        <f t="shared" si="12"/>
        <v>#REF!</v>
      </c>
      <c r="I40" s="688" t="e">
        <f t="shared" si="12"/>
        <v>#REF!</v>
      </c>
    </row>
    <row r="41" spans="1:15" ht="13.5" customHeight="1">
      <c r="A41" s="577" t="s">
        <v>2627</v>
      </c>
      <c r="C41" s="695">
        <f>C21</f>
        <v>0</v>
      </c>
      <c r="D41" s="695">
        <f>C41</f>
        <v>0</v>
      </c>
      <c r="E41" s="695">
        <f>D41</f>
        <v>0</v>
      </c>
      <c r="F41" s="695">
        <v>0</v>
      </c>
      <c r="G41" s="695">
        <v>0</v>
      </c>
      <c r="H41" s="695">
        <v>0</v>
      </c>
      <c r="I41" s="695">
        <v>0</v>
      </c>
    </row>
    <row r="42" spans="1:15" ht="13.5" customHeight="1">
      <c r="A42" s="577" t="s">
        <v>2628</v>
      </c>
      <c r="C42" s="695">
        <f>C22</f>
        <v>0</v>
      </c>
      <c r="D42" s="695">
        <f>C42</f>
        <v>0</v>
      </c>
      <c r="E42" s="695">
        <f>D42</f>
        <v>0</v>
      </c>
      <c r="F42" s="695">
        <v>0</v>
      </c>
      <c r="G42" s="695">
        <v>0</v>
      </c>
      <c r="H42" s="695">
        <v>0</v>
      </c>
      <c r="I42" s="695">
        <v>0</v>
      </c>
    </row>
    <row r="43" spans="1:15" ht="13.5" customHeight="1">
      <c r="A43" s="577" t="s">
        <v>2630</v>
      </c>
      <c r="C43" s="688">
        <v>0</v>
      </c>
      <c r="D43" s="688">
        <v>0</v>
      </c>
      <c r="E43" s="688">
        <v>0</v>
      </c>
      <c r="F43" s="688">
        <v>0</v>
      </c>
      <c r="G43" s="688">
        <v>0</v>
      </c>
      <c r="H43" s="688">
        <v>0</v>
      </c>
      <c r="I43" s="688">
        <v>0</v>
      </c>
    </row>
    <row r="44" spans="1:15" ht="13.5" customHeight="1">
      <c r="A44" s="577" t="s">
        <v>2631</v>
      </c>
      <c r="C44" s="688" t="e">
        <f t="shared" ref="C44:I44" si="13">SUM(C40:C43)</f>
        <v>#REF!</v>
      </c>
      <c r="D44" s="688" t="e">
        <f t="shared" si="13"/>
        <v>#REF!</v>
      </c>
      <c r="E44" s="688" t="e">
        <f t="shared" si="13"/>
        <v>#REF!</v>
      </c>
      <c r="F44" s="688" t="e">
        <f t="shared" si="13"/>
        <v>#REF!</v>
      </c>
      <c r="G44" s="688" t="e">
        <f t="shared" si="13"/>
        <v>#REF!</v>
      </c>
      <c r="H44" s="688" t="e">
        <f t="shared" si="13"/>
        <v>#REF!</v>
      </c>
      <c r="I44" s="688" t="e">
        <f t="shared" si="13"/>
        <v>#REF!</v>
      </c>
    </row>
    <row r="45" spans="1:15" ht="13.5" customHeight="1"/>
    <row r="46" spans="1:15" ht="13.5" customHeight="1">
      <c r="A46" s="697"/>
      <c r="B46" s="697"/>
      <c r="C46" s="697"/>
      <c r="D46" s="697"/>
      <c r="E46" s="697"/>
      <c r="F46" s="697"/>
      <c r="G46" s="697"/>
      <c r="H46" s="697"/>
      <c r="I46" s="697"/>
    </row>
    <row r="47" spans="1:15" ht="13.5" customHeight="1">
      <c r="I47" s="584"/>
    </row>
    <row r="48" spans="1:15" ht="13.5" customHeight="1">
      <c r="A48" s="578" t="s">
        <v>2199</v>
      </c>
      <c r="B48" s="578"/>
      <c r="C48" s="685">
        <v>15</v>
      </c>
      <c r="D48" s="578">
        <v>16</v>
      </c>
      <c r="E48" s="578">
        <v>17</v>
      </c>
      <c r="F48" s="578">
        <v>18</v>
      </c>
      <c r="G48" s="578">
        <v>19</v>
      </c>
      <c r="H48" s="578">
        <v>20</v>
      </c>
    </row>
    <row r="49" spans="1:10" ht="13.5" customHeight="1">
      <c r="A49" s="577" t="s">
        <v>2615</v>
      </c>
      <c r="C49" s="686" t="e">
        <f>#REF!</f>
        <v>#REF!</v>
      </c>
      <c r="D49" s="686" t="e">
        <f>#REF!</f>
        <v>#REF!</v>
      </c>
      <c r="E49" s="686" t="e">
        <f>#REF!</f>
        <v>#REF!</v>
      </c>
      <c r="F49" s="686" t="e">
        <f>#REF!</f>
        <v>#REF!</v>
      </c>
      <c r="G49" s="686" t="e">
        <f>#REF!</f>
        <v>#REF!</v>
      </c>
      <c r="H49" s="686" t="e">
        <f>#REF!</f>
        <v>#REF!</v>
      </c>
    </row>
    <row r="50" spans="1:10" ht="13.5" customHeight="1">
      <c r="A50" s="577" t="s">
        <v>2616</v>
      </c>
      <c r="C50" s="686" t="e">
        <f>#REF!-#REF!</f>
        <v>#REF!</v>
      </c>
      <c r="D50" s="686" t="e">
        <f>#REF!-#REF!</f>
        <v>#REF!</v>
      </c>
      <c r="E50" s="686" t="e">
        <f>#REF!-#REF!</f>
        <v>#REF!</v>
      </c>
      <c r="F50" s="686" t="e">
        <f>#REF!-#REF!</f>
        <v>#REF!</v>
      </c>
      <c r="G50" s="686" t="e">
        <f>#REF!-#REF!</f>
        <v>#REF!</v>
      </c>
      <c r="H50" s="686" t="e">
        <f>#REF!-#REF!</f>
        <v>#REF!</v>
      </c>
    </row>
    <row r="51" spans="1:10" ht="13.5" customHeight="1">
      <c r="A51" s="577" t="s">
        <v>2616</v>
      </c>
      <c r="C51" s="686" t="e">
        <f>#REF!-#REF!</f>
        <v>#REF!</v>
      </c>
      <c r="D51" s="686" t="e">
        <f>#REF!-#REF!</f>
        <v>#REF!</v>
      </c>
      <c r="E51" s="686" t="e">
        <f>#REF!-#REF!</f>
        <v>#REF!</v>
      </c>
      <c r="F51" s="686" t="e">
        <f>#REF!-#REF!</f>
        <v>#REF!</v>
      </c>
      <c r="G51" s="686" t="e">
        <f>#REF!-#REF!</f>
        <v>#REF!</v>
      </c>
      <c r="H51" s="686" t="e">
        <f>#REF!-#REF!</f>
        <v>#REF!</v>
      </c>
    </row>
    <row r="52" spans="1:10" ht="13.5" customHeight="1">
      <c r="A52" s="577" t="s">
        <v>2616</v>
      </c>
      <c r="C52" s="699"/>
      <c r="D52" s="699"/>
      <c r="E52" s="699"/>
      <c r="F52" s="699"/>
      <c r="G52" s="699"/>
      <c r="H52" s="699"/>
    </row>
    <row r="53" spans="1:10" ht="13.5" customHeight="1">
      <c r="A53" s="690" t="s">
        <v>3097</v>
      </c>
      <c r="B53" s="691"/>
      <c r="C53" s="692" t="e">
        <f>-SUMIF(#REF!,C$48,#REF!)-SUMIF(#REF!,C$48,#REF!)-SUMIF(#REF!,C$48,#REF!)</f>
        <v>#REF!</v>
      </c>
      <c r="D53" s="692" t="e">
        <f>-SUMIF(#REF!,D$48,#REF!)-SUMIF(#REF!,D$48,#REF!)-SUMIF(#REF!,D$48,#REF!)</f>
        <v>#REF!</v>
      </c>
      <c r="E53" s="692" t="e">
        <f>-SUMIF(#REF!,E$48,#REF!)-SUMIF(#REF!,E$48,#REF!)-SUMIF(#REF!,E$48,#REF!)</f>
        <v>#REF!</v>
      </c>
      <c r="F53" s="692" t="e">
        <f>-SUMIF(#REF!,F$48,#REF!)-SUMIF(#REF!,F$48,#REF!)-SUMIF(#REF!,F$48,#REF!)</f>
        <v>#REF!</v>
      </c>
      <c r="G53" s="692" t="e">
        <f>-SUMIF(#REF!,G$48,#REF!)-SUMIF(#REF!,G$48,#REF!)-SUMIF(#REF!,G$48,#REF!)</f>
        <v>#REF!</v>
      </c>
      <c r="H53" s="692" t="e">
        <f>-SUMIF(#REF!,H$48,#REF!)-SUMIF(#REF!,H$48,#REF!)-SUMIF(#REF!,H$48,#REF!)</f>
        <v>#REF!</v>
      </c>
    </row>
    <row r="54" spans="1:10" ht="13.5" customHeight="1">
      <c r="A54" s="690" t="s">
        <v>3098</v>
      </c>
      <c r="C54" s="700" t="e">
        <f>-SUMIF(#REF!,C$48,#REF!)-SUMIF(#REF!,C$48,#REF!)-SUMIF(#REF!,C$48,#REF!)</f>
        <v>#REF!</v>
      </c>
      <c r="D54" s="700" t="e">
        <f>-SUMIF(#REF!,D$48,#REF!)-SUMIF(#REF!,D$48,#REF!)-SUMIF(#REF!,D$48,#REF!)</f>
        <v>#REF!</v>
      </c>
      <c r="E54" s="700" t="e">
        <f>-SUMIF(#REF!,E$48,#REF!)-SUMIF(#REF!,E$48,#REF!)-SUMIF(#REF!,E$48,#REF!)</f>
        <v>#REF!</v>
      </c>
      <c r="F54" s="700" t="e">
        <f>-SUMIF(#REF!,F$48,#REF!)-SUMIF(#REF!,F$48,#REF!)-SUMIF(#REF!,F$48,#REF!)</f>
        <v>#REF!</v>
      </c>
      <c r="G54" s="700" t="e">
        <f>-SUMIF(#REF!,G$48,#REF!)-SUMIF(#REF!,G$48,#REF!)-SUMIF(#REF!,G$48,#REF!)</f>
        <v>#REF!</v>
      </c>
      <c r="H54" s="700" t="e">
        <f>-SUMIF(#REF!,H$48,#REF!)-SUMIF(#REF!,H$48,#REF!)-SUMIF(#REF!,H$48,#REF!)</f>
        <v>#REF!</v>
      </c>
    </row>
    <row r="55" spans="1:10" ht="13.5" customHeight="1">
      <c r="A55" s="693" t="s">
        <v>2619</v>
      </c>
      <c r="C55" s="694">
        <f t="shared" ref="C55:H55" si="14">$E$3/$H$3</f>
        <v>0</v>
      </c>
      <c r="D55" s="694">
        <f t="shared" si="14"/>
        <v>0</v>
      </c>
      <c r="E55" s="694">
        <f t="shared" si="14"/>
        <v>0</v>
      </c>
      <c r="F55" s="694">
        <f t="shared" si="14"/>
        <v>0</v>
      </c>
      <c r="G55" s="694">
        <f t="shared" si="14"/>
        <v>0</v>
      </c>
      <c r="H55" s="694">
        <f t="shared" si="14"/>
        <v>0</v>
      </c>
    </row>
    <row r="56" spans="1:10" ht="13.5" customHeight="1">
      <c r="A56" s="693" t="s">
        <v>2621</v>
      </c>
      <c r="C56" s="686">
        <f t="shared" ref="C56:H56" si="15">IF(C$48&lt;=$H$4,($E$4/$H$4),0)+IF(C$48&lt;=$H$5,($E$5/$H$5),0)</f>
        <v>0</v>
      </c>
      <c r="D56" s="686">
        <f t="shared" si="15"/>
        <v>0</v>
      </c>
      <c r="E56" s="686">
        <f t="shared" si="15"/>
        <v>0</v>
      </c>
      <c r="F56" s="686">
        <f t="shared" si="15"/>
        <v>0</v>
      </c>
      <c r="G56" s="686">
        <f t="shared" si="15"/>
        <v>0</v>
      </c>
      <c r="H56" s="686">
        <f t="shared" si="15"/>
        <v>0</v>
      </c>
    </row>
    <row r="57" spans="1:10" ht="13.5" customHeight="1">
      <c r="A57" s="693" t="s">
        <v>2622</v>
      </c>
      <c r="C57" s="686" t="e">
        <f t="shared" ref="C57:H57" si="16">C49+C50+C51+C52+C53+C54-C55-C56</f>
        <v>#REF!</v>
      </c>
      <c r="D57" s="686" t="e">
        <f t="shared" si="16"/>
        <v>#REF!</v>
      </c>
      <c r="E57" s="686" t="e">
        <f t="shared" si="16"/>
        <v>#REF!</v>
      </c>
      <c r="F57" s="686" t="e">
        <f t="shared" si="16"/>
        <v>#REF!</v>
      </c>
      <c r="G57" s="686" t="e">
        <f t="shared" si="16"/>
        <v>#REF!</v>
      </c>
      <c r="H57" s="686" t="e">
        <f t="shared" si="16"/>
        <v>#REF!</v>
      </c>
    </row>
    <row r="58" spans="1:10" ht="13.5" customHeight="1">
      <c r="A58" s="577" t="s">
        <v>2624</v>
      </c>
      <c r="C58" s="694" t="e">
        <f t="shared" ref="C58:H58" si="17">C57*$H$6</f>
        <v>#REF!</v>
      </c>
      <c r="D58" s="694" t="e">
        <f t="shared" si="17"/>
        <v>#REF!</v>
      </c>
      <c r="E58" s="694" t="e">
        <f t="shared" si="17"/>
        <v>#REF!</v>
      </c>
      <c r="F58" s="694" t="e">
        <f t="shared" si="17"/>
        <v>#REF!</v>
      </c>
      <c r="G58" s="694" t="e">
        <f t="shared" si="17"/>
        <v>#REF!</v>
      </c>
      <c r="H58" s="694" t="e">
        <f t="shared" si="17"/>
        <v>#REF!</v>
      </c>
      <c r="J58" s="577" t="s">
        <v>224</v>
      </c>
    </row>
    <row r="59" spans="1:10" s="701" customFormat="1" ht="16.5" customHeight="1">
      <c r="A59" s="577"/>
      <c r="B59" s="577"/>
      <c r="C59" s="686"/>
      <c r="D59" s="686"/>
      <c r="E59" s="686"/>
      <c r="F59" s="686"/>
      <c r="G59" s="686"/>
      <c r="H59" s="686"/>
      <c r="I59" s="577"/>
      <c r="J59" s="577"/>
    </row>
    <row r="60" spans="1:10">
      <c r="A60" s="577" t="s">
        <v>2626</v>
      </c>
      <c r="C60" s="686" t="e">
        <f t="shared" ref="C60:H60" si="18">C49-C58</f>
        <v>#REF!</v>
      </c>
      <c r="D60" s="686" t="e">
        <f t="shared" si="18"/>
        <v>#REF!</v>
      </c>
      <c r="E60" s="686" t="e">
        <f t="shared" si="18"/>
        <v>#REF!</v>
      </c>
      <c r="F60" s="686" t="e">
        <f t="shared" si="18"/>
        <v>#REF!</v>
      </c>
      <c r="G60" s="686" t="e">
        <f t="shared" si="18"/>
        <v>#REF!</v>
      </c>
      <c r="H60" s="686" t="e">
        <f t="shared" si="18"/>
        <v>#REF!</v>
      </c>
    </row>
    <row r="61" spans="1:10">
      <c r="A61" s="577" t="s">
        <v>2627</v>
      </c>
      <c r="C61" s="694">
        <v>0</v>
      </c>
      <c r="D61" s="694">
        <v>0</v>
      </c>
      <c r="E61" s="694">
        <v>0</v>
      </c>
      <c r="F61" s="694">
        <v>0</v>
      </c>
      <c r="G61" s="694">
        <v>0</v>
      </c>
      <c r="H61" s="686">
        <v>0</v>
      </c>
    </row>
    <row r="62" spans="1:10">
      <c r="A62" s="577" t="s">
        <v>2628</v>
      </c>
      <c r="C62" s="694">
        <v>0</v>
      </c>
      <c r="D62" s="686">
        <v>0</v>
      </c>
      <c r="E62" s="686">
        <v>0</v>
      </c>
      <c r="F62" s="686">
        <v>0</v>
      </c>
      <c r="G62" s="686">
        <v>0</v>
      </c>
      <c r="H62" s="686">
        <v>0</v>
      </c>
    </row>
    <row r="63" spans="1:10">
      <c r="A63" s="577" t="s">
        <v>2630</v>
      </c>
      <c r="C63" s="686">
        <v>0</v>
      </c>
      <c r="D63" s="686">
        <v>0</v>
      </c>
      <c r="E63" s="686">
        <v>0</v>
      </c>
      <c r="F63" s="686">
        <v>0</v>
      </c>
      <c r="G63" s="686">
        <v>0</v>
      </c>
      <c r="H63" s="686" t="e">
        <f>O33</f>
        <v>#REF!</v>
      </c>
    </row>
    <row r="64" spans="1:10">
      <c r="A64" s="577" t="s">
        <v>2631</v>
      </c>
      <c r="C64" s="686" t="e">
        <f t="shared" ref="C64:H64" si="19">SUM(C60:C63)</f>
        <v>#REF!</v>
      </c>
      <c r="D64" s="686" t="e">
        <f t="shared" si="19"/>
        <v>#REF!</v>
      </c>
      <c r="E64" s="686" t="e">
        <f t="shared" si="19"/>
        <v>#REF!</v>
      </c>
      <c r="F64" s="686" t="e">
        <f t="shared" si="19"/>
        <v>#REF!</v>
      </c>
      <c r="G64" s="686" t="e">
        <f t="shared" si="19"/>
        <v>#REF!</v>
      </c>
      <c r="H64" s="686" t="e">
        <f t="shared" si="19"/>
        <v>#REF!</v>
      </c>
    </row>
    <row r="66" spans="1:10" ht="15">
      <c r="A66" s="702"/>
      <c r="B66" s="703"/>
      <c r="C66" s="703"/>
      <c r="D66" s="703"/>
      <c r="E66" s="703"/>
      <c r="F66" s="704" t="s">
        <v>2637</v>
      </c>
      <c r="G66" s="2498" t="e">
        <f>IRR(K5:K25)</f>
        <v>#VALUE!</v>
      </c>
      <c r="H66" s="2499"/>
      <c r="I66" s="701"/>
      <c r="J66" s="701"/>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0"/>
  <dimension ref="A1:H32"/>
  <sheetViews>
    <sheetView showGridLines="0" workbookViewId="0">
      <selection activeCell="C3" sqref="C3:F3"/>
    </sheetView>
  </sheetViews>
  <sheetFormatPr defaultColWidth="9.140625" defaultRowHeight="12.75"/>
  <cols>
    <col min="1" max="8" width="10.7109375" style="413" customWidth="1"/>
    <col min="9" max="16384" width="9.140625" style="413"/>
  </cols>
  <sheetData>
    <row r="1" spans="1:8" ht="21.95" customHeight="1">
      <c r="A1" s="2501" t="str">
        <f>IF(Overview!C8="","",Overview!C8)</f>
        <v>SB OHF Test Villas</v>
      </c>
      <c r="B1" s="2501"/>
      <c r="C1" s="2501"/>
      <c r="D1" s="2501"/>
      <c r="E1" s="2501"/>
      <c r="F1" s="2501"/>
      <c r="G1" s="2501"/>
      <c r="H1" s="2501"/>
    </row>
    <row r="2" spans="1:8" ht="21.95" customHeight="1">
      <c r="A2" s="562"/>
      <c r="B2" s="562"/>
      <c r="C2" s="562"/>
      <c r="D2" s="562"/>
      <c r="E2" s="562"/>
      <c r="F2" s="562"/>
      <c r="G2" s="562"/>
      <c r="H2" s="562"/>
    </row>
    <row r="3" spans="1:8" ht="20.25" customHeight="1">
      <c r="C3" s="2500" t="s">
        <v>2638</v>
      </c>
      <c r="D3" s="2500"/>
      <c r="E3" s="2500"/>
      <c r="F3" s="2500"/>
    </row>
    <row r="5" spans="1:8" ht="15.75">
      <c r="D5" s="414"/>
      <c r="E5" s="414" t="s">
        <v>2639</v>
      </c>
    </row>
    <row r="6" spans="1:8" ht="15.75">
      <c r="D6" s="414" t="s">
        <v>2199</v>
      </c>
      <c r="E6" s="414" t="s">
        <v>2640</v>
      </c>
    </row>
    <row r="7" spans="1:8" ht="15">
      <c r="D7" s="415"/>
      <c r="E7" s="415"/>
    </row>
    <row r="8" spans="1:8" ht="15">
      <c r="D8" s="416">
        <v>1</v>
      </c>
      <c r="E8" s="417" t="e">
        <f>-#REF!/12</f>
        <v>#REF!</v>
      </c>
    </row>
    <row r="9" spans="1:8" ht="15">
      <c r="D9" s="416">
        <v>2</v>
      </c>
      <c r="E9" s="417" t="e">
        <f>-#REF!/12</f>
        <v>#REF!</v>
      </c>
    </row>
    <row r="10" spans="1:8" ht="15">
      <c r="D10" s="416">
        <v>3</v>
      </c>
      <c r="E10" s="417" t="e">
        <f>-#REF!/12</f>
        <v>#REF!</v>
      </c>
    </row>
    <row r="11" spans="1:8" ht="15">
      <c r="D11" s="418">
        <v>4</v>
      </c>
      <c r="E11" s="417" t="e">
        <f>-#REF!/12</f>
        <v>#REF!</v>
      </c>
    </row>
    <row r="12" spans="1:8" ht="15">
      <c r="D12" s="418">
        <v>5</v>
      </c>
      <c r="E12" s="417" t="e">
        <f>-#REF!/12</f>
        <v>#REF!</v>
      </c>
    </row>
    <row r="13" spans="1:8" ht="15">
      <c r="D13" s="416">
        <v>6</v>
      </c>
      <c r="E13" s="417" t="e">
        <f>-#REF!/12</f>
        <v>#REF!</v>
      </c>
    </row>
    <row r="14" spans="1:8" ht="15">
      <c r="D14" s="416">
        <v>7</v>
      </c>
      <c r="E14" s="417" t="e">
        <f>-#REF!/12</f>
        <v>#REF!</v>
      </c>
    </row>
    <row r="15" spans="1:8" ht="15">
      <c r="D15" s="418">
        <v>8</v>
      </c>
      <c r="E15" s="417" t="e">
        <f>-#REF!/12</f>
        <v>#REF!</v>
      </c>
    </row>
    <row r="16" spans="1:8" ht="15">
      <c r="D16" s="416">
        <v>9</v>
      </c>
      <c r="E16" s="417" t="e">
        <f>-#REF!/12</f>
        <v>#REF!</v>
      </c>
    </row>
    <row r="17" spans="4:8" ht="15">
      <c r="D17" s="416">
        <v>10</v>
      </c>
      <c r="E17" s="417" t="e">
        <f>-#REF!/12</f>
        <v>#REF!</v>
      </c>
    </row>
    <row r="18" spans="4:8" ht="15">
      <c r="D18" s="418">
        <v>11</v>
      </c>
      <c r="E18" s="417" t="e">
        <f>-#REF!/12</f>
        <v>#REF!</v>
      </c>
    </row>
    <row r="19" spans="4:8" ht="15">
      <c r="D19" s="416">
        <v>12</v>
      </c>
      <c r="E19" s="417" t="e">
        <f>-#REF!/12</f>
        <v>#REF!</v>
      </c>
    </row>
    <row r="20" spans="4:8" ht="15">
      <c r="D20" s="416">
        <v>13</v>
      </c>
      <c r="E20" s="417" t="e">
        <f>-#REF!/12</f>
        <v>#REF!</v>
      </c>
    </row>
    <row r="21" spans="4:8" ht="15">
      <c r="D21" s="416">
        <v>14</v>
      </c>
      <c r="E21" s="417" t="e">
        <f>-#REF!/12</f>
        <v>#REF!</v>
      </c>
    </row>
    <row r="22" spans="4:8" ht="15">
      <c r="D22" s="416">
        <v>15</v>
      </c>
      <c r="E22" s="417" t="e">
        <f>-#REF!/12</f>
        <v>#REF!</v>
      </c>
    </row>
    <row r="23" spans="4:8" ht="15">
      <c r="D23" s="416">
        <v>16</v>
      </c>
      <c r="E23" s="417" t="e">
        <f>-#REF!/12</f>
        <v>#REF!</v>
      </c>
    </row>
    <row r="24" spans="4:8" ht="15">
      <c r="D24" s="416">
        <v>17</v>
      </c>
      <c r="E24" s="417" t="e">
        <f>-#REF!/12</f>
        <v>#REF!</v>
      </c>
      <c r="H24" s="413" t="s">
        <v>224</v>
      </c>
    </row>
    <row r="25" spans="4:8" ht="15">
      <c r="D25" s="416">
        <v>18</v>
      </c>
      <c r="E25" s="417" t="e">
        <f>-#REF!/12</f>
        <v>#REF!</v>
      </c>
    </row>
    <row r="26" spans="4:8" ht="15">
      <c r="D26" s="416">
        <v>19</v>
      </c>
      <c r="E26" s="417" t="e">
        <f>-#REF!/12</f>
        <v>#REF!</v>
      </c>
    </row>
    <row r="27" spans="4:8" ht="15">
      <c r="D27" s="416">
        <v>20</v>
      </c>
      <c r="E27" s="417" t="e">
        <f>-#REF!/12</f>
        <v>#REF!</v>
      </c>
    </row>
    <row r="28" spans="4:8" ht="15">
      <c r="D28" s="416">
        <v>21</v>
      </c>
      <c r="E28" s="417" t="e">
        <f>-#REF!/12</f>
        <v>#REF!</v>
      </c>
    </row>
    <row r="29" spans="4:8" ht="15">
      <c r="D29" s="416">
        <v>22</v>
      </c>
      <c r="E29" s="417" t="e">
        <f>-#REF!/12</f>
        <v>#REF!</v>
      </c>
    </row>
    <row r="30" spans="4:8" ht="15">
      <c r="D30" s="416">
        <v>23</v>
      </c>
      <c r="E30" s="417" t="e">
        <f>-#REF!/12</f>
        <v>#REF!</v>
      </c>
    </row>
    <row r="31" spans="4:8" ht="15">
      <c r="D31" s="416">
        <v>24</v>
      </c>
      <c r="E31" s="417" t="e">
        <f>-#REF!/12</f>
        <v>#REF!</v>
      </c>
    </row>
    <row r="32" spans="4:8" ht="15">
      <c r="D32" s="416">
        <v>25</v>
      </c>
      <c r="E32" s="417" t="e">
        <f>-#REF!/12</f>
        <v>#REF!</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1"/>
  <dimension ref="A1:K40"/>
  <sheetViews>
    <sheetView showGridLines="0" showZeros="0" workbookViewId="0">
      <selection activeCell="E16" sqref="E16"/>
    </sheetView>
  </sheetViews>
  <sheetFormatPr defaultColWidth="8.85546875" defaultRowHeight="12.75"/>
  <cols>
    <col min="1" max="1" width="12.42578125" style="705" customWidth="1"/>
    <col min="2" max="2" width="10.140625" style="705" customWidth="1"/>
    <col min="3" max="3" width="11.7109375" style="705" customWidth="1"/>
    <col min="4" max="4" width="8.5703125" style="705" customWidth="1"/>
    <col min="5" max="5" width="13.7109375" style="705" customWidth="1"/>
    <col min="6" max="6" width="2.7109375" style="705" customWidth="1"/>
    <col min="7" max="7" width="11.7109375" style="705" customWidth="1"/>
    <col min="8" max="8" width="8.5703125" style="705" customWidth="1"/>
    <col min="9" max="9" width="13.7109375" style="705" customWidth="1"/>
    <col min="10" max="10" width="4.7109375" style="705" customWidth="1"/>
    <col min="11" max="11" width="25.7109375" style="705" customWidth="1"/>
    <col min="12" max="256" width="8.85546875" style="705"/>
    <col min="257" max="257" width="11.5703125" style="705" bestFit="1" customWidth="1"/>
    <col min="258" max="258" width="12.5703125" style="705" customWidth="1"/>
    <col min="259" max="259" width="10.28515625" style="705" customWidth="1"/>
    <col min="260" max="260" width="14.7109375" style="705" customWidth="1"/>
    <col min="261" max="261" width="13.28515625" style="705" bestFit="1" customWidth="1"/>
    <col min="262" max="262" width="4.85546875" style="705" customWidth="1"/>
    <col min="263" max="263" width="11.7109375" style="705" customWidth="1"/>
    <col min="264" max="264" width="12" style="705" customWidth="1"/>
    <col min="265" max="265" width="9.7109375" style="705" customWidth="1"/>
    <col min="266" max="266" width="13.7109375" style="705" bestFit="1" customWidth="1"/>
    <col min="267" max="512" width="8.85546875" style="705"/>
    <col min="513" max="513" width="11.5703125" style="705" bestFit="1" customWidth="1"/>
    <col min="514" max="514" width="12.5703125" style="705" customWidth="1"/>
    <col min="515" max="515" width="10.28515625" style="705" customWidth="1"/>
    <col min="516" max="516" width="14.7109375" style="705" customWidth="1"/>
    <col min="517" max="517" width="13.28515625" style="705" bestFit="1" customWidth="1"/>
    <col min="518" max="518" width="4.85546875" style="705" customWidth="1"/>
    <col min="519" max="519" width="11.7109375" style="705" customWidth="1"/>
    <col min="520" max="520" width="12" style="705" customWidth="1"/>
    <col min="521" max="521" width="9.7109375" style="705" customWidth="1"/>
    <col min="522" max="522" width="13.7109375" style="705" bestFit="1" customWidth="1"/>
    <col min="523" max="768" width="8.85546875" style="705"/>
    <col min="769" max="769" width="11.5703125" style="705" bestFit="1" customWidth="1"/>
    <col min="770" max="770" width="12.5703125" style="705" customWidth="1"/>
    <col min="771" max="771" width="10.28515625" style="705" customWidth="1"/>
    <col min="772" max="772" width="14.7109375" style="705" customWidth="1"/>
    <col min="773" max="773" width="13.28515625" style="705" bestFit="1" customWidth="1"/>
    <col min="774" max="774" width="4.85546875" style="705" customWidth="1"/>
    <col min="775" max="775" width="11.7109375" style="705" customWidth="1"/>
    <col min="776" max="776" width="12" style="705" customWidth="1"/>
    <col min="777" max="777" width="9.7109375" style="705" customWidth="1"/>
    <col min="778" max="778" width="13.7109375" style="705" bestFit="1" customWidth="1"/>
    <col min="779" max="1024" width="8.85546875" style="705"/>
    <col min="1025" max="1025" width="11.5703125" style="705" bestFit="1" customWidth="1"/>
    <col min="1026" max="1026" width="12.5703125" style="705" customWidth="1"/>
    <col min="1027" max="1027" width="10.28515625" style="705" customWidth="1"/>
    <col min="1028" max="1028" width="14.7109375" style="705" customWidth="1"/>
    <col min="1029" max="1029" width="13.28515625" style="705" bestFit="1" customWidth="1"/>
    <col min="1030" max="1030" width="4.85546875" style="705" customWidth="1"/>
    <col min="1031" max="1031" width="11.7109375" style="705" customWidth="1"/>
    <col min="1032" max="1032" width="12" style="705" customWidth="1"/>
    <col min="1033" max="1033" width="9.7109375" style="705" customWidth="1"/>
    <col min="1034" max="1034" width="13.7109375" style="705" bestFit="1" customWidth="1"/>
    <col min="1035" max="1280" width="8.85546875" style="705"/>
    <col min="1281" max="1281" width="11.5703125" style="705" bestFit="1" customWidth="1"/>
    <col min="1282" max="1282" width="12.5703125" style="705" customWidth="1"/>
    <col min="1283" max="1283" width="10.28515625" style="705" customWidth="1"/>
    <col min="1284" max="1284" width="14.7109375" style="705" customWidth="1"/>
    <col min="1285" max="1285" width="13.28515625" style="705" bestFit="1" customWidth="1"/>
    <col min="1286" max="1286" width="4.85546875" style="705" customWidth="1"/>
    <col min="1287" max="1287" width="11.7109375" style="705" customWidth="1"/>
    <col min="1288" max="1288" width="12" style="705" customWidth="1"/>
    <col min="1289" max="1289" width="9.7109375" style="705" customWidth="1"/>
    <col min="1290" max="1290" width="13.7109375" style="705" bestFit="1" customWidth="1"/>
    <col min="1291" max="1536" width="8.85546875" style="705"/>
    <col min="1537" max="1537" width="11.5703125" style="705" bestFit="1" customWidth="1"/>
    <col min="1538" max="1538" width="12.5703125" style="705" customWidth="1"/>
    <col min="1539" max="1539" width="10.28515625" style="705" customWidth="1"/>
    <col min="1540" max="1540" width="14.7109375" style="705" customWidth="1"/>
    <col min="1541" max="1541" width="13.28515625" style="705" bestFit="1" customWidth="1"/>
    <col min="1542" max="1542" width="4.85546875" style="705" customWidth="1"/>
    <col min="1543" max="1543" width="11.7109375" style="705" customWidth="1"/>
    <col min="1544" max="1544" width="12" style="705" customWidth="1"/>
    <col min="1545" max="1545" width="9.7109375" style="705" customWidth="1"/>
    <col min="1546" max="1546" width="13.7109375" style="705" bestFit="1" customWidth="1"/>
    <col min="1547" max="1792" width="8.85546875" style="705"/>
    <col min="1793" max="1793" width="11.5703125" style="705" bestFit="1" customWidth="1"/>
    <col min="1794" max="1794" width="12.5703125" style="705" customWidth="1"/>
    <col min="1795" max="1795" width="10.28515625" style="705" customWidth="1"/>
    <col min="1796" max="1796" width="14.7109375" style="705" customWidth="1"/>
    <col min="1797" max="1797" width="13.28515625" style="705" bestFit="1" customWidth="1"/>
    <col min="1798" max="1798" width="4.85546875" style="705" customWidth="1"/>
    <col min="1799" max="1799" width="11.7109375" style="705" customWidth="1"/>
    <col min="1800" max="1800" width="12" style="705" customWidth="1"/>
    <col min="1801" max="1801" width="9.7109375" style="705" customWidth="1"/>
    <col min="1802" max="1802" width="13.7109375" style="705" bestFit="1" customWidth="1"/>
    <col min="1803" max="2048" width="8.85546875" style="705"/>
    <col min="2049" max="2049" width="11.5703125" style="705" bestFit="1" customWidth="1"/>
    <col min="2050" max="2050" width="12.5703125" style="705" customWidth="1"/>
    <col min="2051" max="2051" width="10.28515625" style="705" customWidth="1"/>
    <col min="2052" max="2052" width="14.7109375" style="705" customWidth="1"/>
    <col min="2053" max="2053" width="13.28515625" style="705" bestFit="1" customWidth="1"/>
    <col min="2054" max="2054" width="4.85546875" style="705" customWidth="1"/>
    <col min="2055" max="2055" width="11.7109375" style="705" customWidth="1"/>
    <col min="2056" max="2056" width="12" style="705" customWidth="1"/>
    <col min="2057" max="2057" width="9.7109375" style="705" customWidth="1"/>
    <col min="2058" max="2058" width="13.7109375" style="705" bestFit="1" customWidth="1"/>
    <col min="2059" max="2304" width="8.85546875" style="705"/>
    <col min="2305" max="2305" width="11.5703125" style="705" bestFit="1" customWidth="1"/>
    <col min="2306" max="2306" width="12.5703125" style="705" customWidth="1"/>
    <col min="2307" max="2307" width="10.28515625" style="705" customWidth="1"/>
    <col min="2308" max="2308" width="14.7109375" style="705" customWidth="1"/>
    <col min="2309" max="2309" width="13.28515625" style="705" bestFit="1" customWidth="1"/>
    <col min="2310" max="2310" width="4.85546875" style="705" customWidth="1"/>
    <col min="2311" max="2311" width="11.7109375" style="705" customWidth="1"/>
    <col min="2312" max="2312" width="12" style="705" customWidth="1"/>
    <col min="2313" max="2313" width="9.7109375" style="705" customWidth="1"/>
    <col min="2314" max="2314" width="13.7109375" style="705" bestFit="1" customWidth="1"/>
    <col min="2315" max="2560" width="8.85546875" style="705"/>
    <col min="2561" max="2561" width="11.5703125" style="705" bestFit="1" customWidth="1"/>
    <col min="2562" max="2562" width="12.5703125" style="705" customWidth="1"/>
    <col min="2563" max="2563" width="10.28515625" style="705" customWidth="1"/>
    <col min="2564" max="2564" width="14.7109375" style="705" customWidth="1"/>
    <col min="2565" max="2565" width="13.28515625" style="705" bestFit="1" customWidth="1"/>
    <col min="2566" max="2566" width="4.85546875" style="705" customWidth="1"/>
    <col min="2567" max="2567" width="11.7109375" style="705" customWidth="1"/>
    <col min="2568" max="2568" width="12" style="705" customWidth="1"/>
    <col min="2569" max="2569" width="9.7109375" style="705" customWidth="1"/>
    <col min="2570" max="2570" width="13.7109375" style="705" bestFit="1" customWidth="1"/>
    <col min="2571" max="2816" width="8.85546875" style="705"/>
    <col min="2817" max="2817" width="11.5703125" style="705" bestFit="1" customWidth="1"/>
    <col min="2818" max="2818" width="12.5703125" style="705" customWidth="1"/>
    <col min="2819" max="2819" width="10.28515625" style="705" customWidth="1"/>
    <col min="2820" max="2820" width="14.7109375" style="705" customWidth="1"/>
    <col min="2821" max="2821" width="13.28515625" style="705" bestFit="1" customWidth="1"/>
    <col min="2822" max="2822" width="4.85546875" style="705" customWidth="1"/>
    <col min="2823" max="2823" width="11.7109375" style="705" customWidth="1"/>
    <col min="2824" max="2824" width="12" style="705" customWidth="1"/>
    <col min="2825" max="2825" width="9.7109375" style="705" customWidth="1"/>
    <col min="2826" max="2826" width="13.7109375" style="705" bestFit="1" customWidth="1"/>
    <col min="2827" max="3072" width="8.85546875" style="705"/>
    <col min="3073" max="3073" width="11.5703125" style="705" bestFit="1" customWidth="1"/>
    <col min="3074" max="3074" width="12.5703125" style="705" customWidth="1"/>
    <col min="3075" max="3075" width="10.28515625" style="705" customWidth="1"/>
    <col min="3076" max="3076" width="14.7109375" style="705" customWidth="1"/>
    <col min="3077" max="3077" width="13.28515625" style="705" bestFit="1" customWidth="1"/>
    <col min="3078" max="3078" width="4.85546875" style="705" customWidth="1"/>
    <col min="3079" max="3079" width="11.7109375" style="705" customWidth="1"/>
    <col min="3080" max="3080" width="12" style="705" customWidth="1"/>
    <col min="3081" max="3081" width="9.7109375" style="705" customWidth="1"/>
    <col min="3082" max="3082" width="13.7109375" style="705" bestFit="1" customWidth="1"/>
    <col min="3083" max="3328" width="8.85546875" style="705"/>
    <col min="3329" max="3329" width="11.5703125" style="705" bestFit="1" customWidth="1"/>
    <col min="3330" max="3330" width="12.5703125" style="705" customWidth="1"/>
    <col min="3331" max="3331" width="10.28515625" style="705" customWidth="1"/>
    <col min="3332" max="3332" width="14.7109375" style="705" customWidth="1"/>
    <col min="3333" max="3333" width="13.28515625" style="705" bestFit="1" customWidth="1"/>
    <col min="3334" max="3334" width="4.85546875" style="705" customWidth="1"/>
    <col min="3335" max="3335" width="11.7109375" style="705" customWidth="1"/>
    <col min="3336" max="3336" width="12" style="705" customWidth="1"/>
    <col min="3337" max="3337" width="9.7109375" style="705" customWidth="1"/>
    <col min="3338" max="3338" width="13.7109375" style="705" bestFit="1" customWidth="1"/>
    <col min="3339" max="3584" width="8.85546875" style="705"/>
    <col min="3585" max="3585" width="11.5703125" style="705" bestFit="1" customWidth="1"/>
    <col min="3586" max="3586" width="12.5703125" style="705" customWidth="1"/>
    <col min="3587" max="3587" width="10.28515625" style="705" customWidth="1"/>
    <col min="3588" max="3588" width="14.7109375" style="705" customWidth="1"/>
    <col min="3589" max="3589" width="13.28515625" style="705" bestFit="1" customWidth="1"/>
    <col min="3590" max="3590" width="4.85546875" style="705" customWidth="1"/>
    <col min="3591" max="3591" width="11.7109375" style="705" customWidth="1"/>
    <col min="3592" max="3592" width="12" style="705" customWidth="1"/>
    <col min="3593" max="3593" width="9.7109375" style="705" customWidth="1"/>
    <col min="3594" max="3594" width="13.7109375" style="705" bestFit="1" customWidth="1"/>
    <col min="3595" max="3840" width="8.85546875" style="705"/>
    <col min="3841" max="3841" width="11.5703125" style="705" bestFit="1" customWidth="1"/>
    <col min="3842" max="3842" width="12.5703125" style="705" customWidth="1"/>
    <col min="3843" max="3843" width="10.28515625" style="705" customWidth="1"/>
    <col min="3844" max="3844" width="14.7109375" style="705" customWidth="1"/>
    <col min="3845" max="3845" width="13.28515625" style="705" bestFit="1" customWidth="1"/>
    <col min="3846" max="3846" width="4.85546875" style="705" customWidth="1"/>
    <col min="3847" max="3847" width="11.7109375" style="705" customWidth="1"/>
    <col min="3848" max="3848" width="12" style="705" customWidth="1"/>
    <col min="3849" max="3849" width="9.7109375" style="705" customWidth="1"/>
    <col min="3850" max="3850" width="13.7109375" style="705" bestFit="1" customWidth="1"/>
    <col min="3851" max="4096" width="8.85546875" style="705"/>
    <col min="4097" max="4097" width="11.5703125" style="705" bestFit="1" customWidth="1"/>
    <col min="4098" max="4098" width="12.5703125" style="705" customWidth="1"/>
    <col min="4099" max="4099" width="10.28515625" style="705" customWidth="1"/>
    <col min="4100" max="4100" width="14.7109375" style="705" customWidth="1"/>
    <col min="4101" max="4101" width="13.28515625" style="705" bestFit="1" customWidth="1"/>
    <col min="4102" max="4102" width="4.85546875" style="705" customWidth="1"/>
    <col min="4103" max="4103" width="11.7109375" style="705" customWidth="1"/>
    <col min="4104" max="4104" width="12" style="705" customWidth="1"/>
    <col min="4105" max="4105" width="9.7109375" style="705" customWidth="1"/>
    <col min="4106" max="4106" width="13.7109375" style="705" bestFit="1" customWidth="1"/>
    <col min="4107" max="4352" width="8.85546875" style="705"/>
    <col min="4353" max="4353" width="11.5703125" style="705" bestFit="1" customWidth="1"/>
    <col min="4354" max="4354" width="12.5703125" style="705" customWidth="1"/>
    <col min="4355" max="4355" width="10.28515625" style="705" customWidth="1"/>
    <col min="4356" max="4356" width="14.7109375" style="705" customWidth="1"/>
    <col min="4357" max="4357" width="13.28515625" style="705" bestFit="1" customWidth="1"/>
    <col min="4358" max="4358" width="4.85546875" style="705" customWidth="1"/>
    <col min="4359" max="4359" width="11.7109375" style="705" customWidth="1"/>
    <col min="4360" max="4360" width="12" style="705" customWidth="1"/>
    <col min="4361" max="4361" width="9.7109375" style="705" customWidth="1"/>
    <col min="4362" max="4362" width="13.7109375" style="705" bestFit="1" customWidth="1"/>
    <col min="4363" max="4608" width="8.85546875" style="705"/>
    <col min="4609" max="4609" width="11.5703125" style="705" bestFit="1" customWidth="1"/>
    <col min="4610" max="4610" width="12.5703125" style="705" customWidth="1"/>
    <col min="4611" max="4611" width="10.28515625" style="705" customWidth="1"/>
    <col min="4612" max="4612" width="14.7109375" style="705" customWidth="1"/>
    <col min="4613" max="4613" width="13.28515625" style="705" bestFit="1" customWidth="1"/>
    <col min="4614" max="4614" width="4.85546875" style="705" customWidth="1"/>
    <col min="4615" max="4615" width="11.7109375" style="705" customWidth="1"/>
    <col min="4616" max="4616" width="12" style="705" customWidth="1"/>
    <col min="4617" max="4617" width="9.7109375" style="705" customWidth="1"/>
    <col min="4618" max="4618" width="13.7109375" style="705" bestFit="1" customWidth="1"/>
    <col min="4619" max="4864" width="8.85546875" style="705"/>
    <col min="4865" max="4865" width="11.5703125" style="705" bestFit="1" customWidth="1"/>
    <col min="4866" max="4866" width="12.5703125" style="705" customWidth="1"/>
    <col min="4867" max="4867" width="10.28515625" style="705" customWidth="1"/>
    <col min="4868" max="4868" width="14.7109375" style="705" customWidth="1"/>
    <col min="4869" max="4869" width="13.28515625" style="705" bestFit="1" customWidth="1"/>
    <col min="4870" max="4870" width="4.85546875" style="705" customWidth="1"/>
    <col min="4871" max="4871" width="11.7109375" style="705" customWidth="1"/>
    <col min="4872" max="4872" width="12" style="705" customWidth="1"/>
    <col min="4873" max="4873" width="9.7109375" style="705" customWidth="1"/>
    <col min="4874" max="4874" width="13.7109375" style="705" bestFit="1" customWidth="1"/>
    <col min="4875" max="5120" width="8.85546875" style="705"/>
    <col min="5121" max="5121" width="11.5703125" style="705" bestFit="1" customWidth="1"/>
    <col min="5122" max="5122" width="12.5703125" style="705" customWidth="1"/>
    <col min="5123" max="5123" width="10.28515625" style="705" customWidth="1"/>
    <col min="5124" max="5124" width="14.7109375" style="705" customWidth="1"/>
    <col min="5125" max="5125" width="13.28515625" style="705" bestFit="1" customWidth="1"/>
    <col min="5126" max="5126" width="4.85546875" style="705" customWidth="1"/>
    <col min="5127" max="5127" width="11.7109375" style="705" customWidth="1"/>
    <col min="5128" max="5128" width="12" style="705" customWidth="1"/>
    <col min="5129" max="5129" width="9.7109375" style="705" customWidth="1"/>
    <col min="5130" max="5130" width="13.7109375" style="705" bestFit="1" customWidth="1"/>
    <col min="5131" max="5376" width="8.85546875" style="705"/>
    <col min="5377" max="5377" width="11.5703125" style="705" bestFit="1" customWidth="1"/>
    <col min="5378" max="5378" width="12.5703125" style="705" customWidth="1"/>
    <col min="5379" max="5379" width="10.28515625" style="705" customWidth="1"/>
    <col min="5380" max="5380" width="14.7109375" style="705" customWidth="1"/>
    <col min="5381" max="5381" width="13.28515625" style="705" bestFit="1" customWidth="1"/>
    <col min="5382" max="5382" width="4.85546875" style="705" customWidth="1"/>
    <col min="5383" max="5383" width="11.7109375" style="705" customWidth="1"/>
    <col min="5384" max="5384" width="12" style="705" customWidth="1"/>
    <col min="5385" max="5385" width="9.7109375" style="705" customWidth="1"/>
    <col min="5386" max="5386" width="13.7109375" style="705" bestFit="1" customWidth="1"/>
    <col min="5387" max="5632" width="8.85546875" style="705"/>
    <col min="5633" max="5633" width="11.5703125" style="705" bestFit="1" customWidth="1"/>
    <col min="5634" max="5634" width="12.5703125" style="705" customWidth="1"/>
    <col min="5635" max="5635" width="10.28515625" style="705" customWidth="1"/>
    <col min="5636" max="5636" width="14.7109375" style="705" customWidth="1"/>
    <col min="5637" max="5637" width="13.28515625" style="705" bestFit="1" customWidth="1"/>
    <col min="5638" max="5638" width="4.85546875" style="705" customWidth="1"/>
    <col min="5639" max="5639" width="11.7109375" style="705" customWidth="1"/>
    <col min="5640" max="5640" width="12" style="705" customWidth="1"/>
    <col min="5641" max="5641" width="9.7109375" style="705" customWidth="1"/>
    <col min="5642" max="5642" width="13.7109375" style="705" bestFit="1" customWidth="1"/>
    <col min="5643" max="5888" width="8.85546875" style="705"/>
    <col min="5889" max="5889" width="11.5703125" style="705" bestFit="1" customWidth="1"/>
    <col min="5890" max="5890" width="12.5703125" style="705" customWidth="1"/>
    <col min="5891" max="5891" width="10.28515625" style="705" customWidth="1"/>
    <col min="5892" max="5892" width="14.7109375" style="705" customWidth="1"/>
    <col min="5893" max="5893" width="13.28515625" style="705" bestFit="1" customWidth="1"/>
    <col min="5894" max="5894" width="4.85546875" style="705" customWidth="1"/>
    <col min="5895" max="5895" width="11.7109375" style="705" customWidth="1"/>
    <col min="5896" max="5896" width="12" style="705" customWidth="1"/>
    <col min="5897" max="5897" width="9.7109375" style="705" customWidth="1"/>
    <col min="5898" max="5898" width="13.7109375" style="705" bestFit="1" customWidth="1"/>
    <col min="5899" max="6144" width="8.85546875" style="705"/>
    <col min="6145" max="6145" width="11.5703125" style="705" bestFit="1" customWidth="1"/>
    <col min="6146" max="6146" width="12.5703125" style="705" customWidth="1"/>
    <col min="6147" max="6147" width="10.28515625" style="705" customWidth="1"/>
    <col min="6148" max="6148" width="14.7109375" style="705" customWidth="1"/>
    <col min="6149" max="6149" width="13.28515625" style="705" bestFit="1" customWidth="1"/>
    <col min="6150" max="6150" width="4.85546875" style="705" customWidth="1"/>
    <col min="6151" max="6151" width="11.7109375" style="705" customWidth="1"/>
    <col min="6152" max="6152" width="12" style="705" customWidth="1"/>
    <col min="6153" max="6153" width="9.7109375" style="705" customWidth="1"/>
    <col min="6154" max="6154" width="13.7109375" style="705" bestFit="1" customWidth="1"/>
    <col min="6155" max="6400" width="8.85546875" style="705"/>
    <col min="6401" max="6401" width="11.5703125" style="705" bestFit="1" customWidth="1"/>
    <col min="6402" max="6402" width="12.5703125" style="705" customWidth="1"/>
    <col min="6403" max="6403" width="10.28515625" style="705" customWidth="1"/>
    <col min="6404" max="6404" width="14.7109375" style="705" customWidth="1"/>
    <col min="6405" max="6405" width="13.28515625" style="705" bestFit="1" customWidth="1"/>
    <col min="6406" max="6406" width="4.85546875" style="705" customWidth="1"/>
    <col min="6407" max="6407" width="11.7109375" style="705" customWidth="1"/>
    <col min="6408" max="6408" width="12" style="705" customWidth="1"/>
    <col min="6409" max="6409" width="9.7109375" style="705" customWidth="1"/>
    <col min="6410" max="6410" width="13.7109375" style="705" bestFit="1" customWidth="1"/>
    <col min="6411" max="6656" width="8.85546875" style="705"/>
    <col min="6657" max="6657" width="11.5703125" style="705" bestFit="1" customWidth="1"/>
    <col min="6658" max="6658" width="12.5703125" style="705" customWidth="1"/>
    <col min="6659" max="6659" width="10.28515625" style="705" customWidth="1"/>
    <col min="6660" max="6660" width="14.7109375" style="705" customWidth="1"/>
    <col min="6661" max="6661" width="13.28515625" style="705" bestFit="1" customWidth="1"/>
    <col min="6662" max="6662" width="4.85546875" style="705" customWidth="1"/>
    <col min="6663" max="6663" width="11.7109375" style="705" customWidth="1"/>
    <col min="6664" max="6664" width="12" style="705" customWidth="1"/>
    <col min="6665" max="6665" width="9.7109375" style="705" customWidth="1"/>
    <col min="6666" max="6666" width="13.7109375" style="705" bestFit="1" customWidth="1"/>
    <col min="6667" max="6912" width="8.85546875" style="705"/>
    <col min="6913" max="6913" width="11.5703125" style="705" bestFit="1" customWidth="1"/>
    <col min="6914" max="6914" width="12.5703125" style="705" customWidth="1"/>
    <col min="6915" max="6915" width="10.28515625" style="705" customWidth="1"/>
    <col min="6916" max="6916" width="14.7109375" style="705" customWidth="1"/>
    <col min="6917" max="6917" width="13.28515625" style="705" bestFit="1" customWidth="1"/>
    <col min="6918" max="6918" width="4.85546875" style="705" customWidth="1"/>
    <col min="6919" max="6919" width="11.7109375" style="705" customWidth="1"/>
    <col min="6920" max="6920" width="12" style="705" customWidth="1"/>
    <col min="6921" max="6921" width="9.7109375" style="705" customWidth="1"/>
    <col min="6922" max="6922" width="13.7109375" style="705" bestFit="1" customWidth="1"/>
    <col min="6923" max="7168" width="8.85546875" style="705"/>
    <col min="7169" max="7169" width="11.5703125" style="705" bestFit="1" customWidth="1"/>
    <col min="7170" max="7170" width="12.5703125" style="705" customWidth="1"/>
    <col min="7171" max="7171" width="10.28515625" style="705" customWidth="1"/>
    <col min="7172" max="7172" width="14.7109375" style="705" customWidth="1"/>
    <col min="7173" max="7173" width="13.28515625" style="705" bestFit="1" customWidth="1"/>
    <col min="7174" max="7174" width="4.85546875" style="705" customWidth="1"/>
    <col min="7175" max="7175" width="11.7109375" style="705" customWidth="1"/>
    <col min="7176" max="7176" width="12" style="705" customWidth="1"/>
    <col min="7177" max="7177" width="9.7109375" style="705" customWidth="1"/>
    <col min="7178" max="7178" width="13.7109375" style="705" bestFit="1" customWidth="1"/>
    <col min="7179" max="7424" width="8.85546875" style="705"/>
    <col min="7425" max="7425" width="11.5703125" style="705" bestFit="1" customWidth="1"/>
    <col min="7426" max="7426" width="12.5703125" style="705" customWidth="1"/>
    <col min="7427" max="7427" width="10.28515625" style="705" customWidth="1"/>
    <col min="7428" max="7428" width="14.7109375" style="705" customWidth="1"/>
    <col min="7429" max="7429" width="13.28515625" style="705" bestFit="1" customWidth="1"/>
    <col min="7430" max="7430" width="4.85546875" style="705" customWidth="1"/>
    <col min="7431" max="7431" width="11.7109375" style="705" customWidth="1"/>
    <col min="7432" max="7432" width="12" style="705" customWidth="1"/>
    <col min="7433" max="7433" width="9.7109375" style="705" customWidth="1"/>
    <col min="7434" max="7434" width="13.7109375" style="705" bestFit="1" customWidth="1"/>
    <col min="7435" max="7680" width="8.85546875" style="705"/>
    <col min="7681" max="7681" width="11.5703125" style="705" bestFit="1" customWidth="1"/>
    <col min="7682" max="7682" width="12.5703125" style="705" customWidth="1"/>
    <col min="7683" max="7683" width="10.28515625" style="705" customWidth="1"/>
    <col min="7684" max="7684" width="14.7109375" style="705" customWidth="1"/>
    <col min="7685" max="7685" width="13.28515625" style="705" bestFit="1" customWidth="1"/>
    <col min="7686" max="7686" width="4.85546875" style="705" customWidth="1"/>
    <col min="7687" max="7687" width="11.7109375" style="705" customWidth="1"/>
    <col min="7688" max="7688" width="12" style="705" customWidth="1"/>
    <col min="7689" max="7689" width="9.7109375" style="705" customWidth="1"/>
    <col min="7690" max="7690" width="13.7109375" style="705" bestFit="1" customWidth="1"/>
    <col min="7691" max="7936" width="8.85546875" style="705"/>
    <col min="7937" max="7937" width="11.5703125" style="705" bestFit="1" customWidth="1"/>
    <col min="7938" max="7938" width="12.5703125" style="705" customWidth="1"/>
    <col min="7939" max="7939" width="10.28515625" style="705" customWidth="1"/>
    <col min="7940" max="7940" width="14.7109375" style="705" customWidth="1"/>
    <col min="7941" max="7941" width="13.28515625" style="705" bestFit="1" customWidth="1"/>
    <col min="7942" max="7942" width="4.85546875" style="705" customWidth="1"/>
    <col min="7943" max="7943" width="11.7109375" style="705" customWidth="1"/>
    <col min="7944" max="7944" width="12" style="705" customWidth="1"/>
    <col min="7945" max="7945" width="9.7109375" style="705" customWidth="1"/>
    <col min="7946" max="7946" width="13.7109375" style="705" bestFit="1" customWidth="1"/>
    <col min="7947" max="8192" width="8.85546875" style="705"/>
    <col min="8193" max="8193" width="11.5703125" style="705" bestFit="1" customWidth="1"/>
    <col min="8194" max="8194" width="12.5703125" style="705" customWidth="1"/>
    <col min="8195" max="8195" width="10.28515625" style="705" customWidth="1"/>
    <col min="8196" max="8196" width="14.7109375" style="705" customWidth="1"/>
    <col min="8197" max="8197" width="13.28515625" style="705" bestFit="1" customWidth="1"/>
    <col min="8198" max="8198" width="4.85546875" style="705" customWidth="1"/>
    <col min="8199" max="8199" width="11.7109375" style="705" customWidth="1"/>
    <col min="8200" max="8200" width="12" style="705" customWidth="1"/>
    <col min="8201" max="8201" width="9.7109375" style="705" customWidth="1"/>
    <col min="8202" max="8202" width="13.7109375" style="705" bestFit="1" customWidth="1"/>
    <col min="8203" max="8448" width="8.85546875" style="705"/>
    <col min="8449" max="8449" width="11.5703125" style="705" bestFit="1" customWidth="1"/>
    <col min="8450" max="8450" width="12.5703125" style="705" customWidth="1"/>
    <col min="8451" max="8451" width="10.28515625" style="705" customWidth="1"/>
    <col min="8452" max="8452" width="14.7109375" style="705" customWidth="1"/>
    <col min="8453" max="8453" width="13.28515625" style="705" bestFit="1" customWidth="1"/>
    <col min="8454" max="8454" width="4.85546875" style="705" customWidth="1"/>
    <col min="8455" max="8455" width="11.7109375" style="705" customWidth="1"/>
    <col min="8456" max="8456" width="12" style="705" customWidth="1"/>
    <col min="8457" max="8457" width="9.7109375" style="705" customWidth="1"/>
    <col min="8458" max="8458" width="13.7109375" style="705" bestFit="1" customWidth="1"/>
    <col min="8459" max="8704" width="8.85546875" style="705"/>
    <col min="8705" max="8705" width="11.5703125" style="705" bestFit="1" customWidth="1"/>
    <col min="8706" max="8706" width="12.5703125" style="705" customWidth="1"/>
    <col min="8707" max="8707" width="10.28515625" style="705" customWidth="1"/>
    <col min="8708" max="8708" width="14.7109375" style="705" customWidth="1"/>
    <col min="8709" max="8709" width="13.28515625" style="705" bestFit="1" customWidth="1"/>
    <col min="8710" max="8710" width="4.85546875" style="705" customWidth="1"/>
    <col min="8711" max="8711" width="11.7109375" style="705" customWidth="1"/>
    <col min="8712" max="8712" width="12" style="705" customWidth="1"/>
    <col min="8713" max="8713" width="9.7109375" style="705" customWidth="1"/>
    <col min="8714" max="8714" width="13.7109375" style="705" bestFit="1" customWidth="1"/>
    <col min="8715" max="8960" width="8.85546875" style="705"/>
    <col min="8961" max="8961" width="11.5703125" style="705" bestFit="1" customWidth="1"/>
    <col min="8962" max="8962" width="12.5703125" style="705" customWidth="1"/>
    <col min="8963" max="8963" width="10.28515625" style="705" customWidth="1"/>
    <col min="8964" max="8964" width="14.7109375" style="705" customWidth="1"/>
    <col min="8965" max="8965" width="13.28515625" style="705" bestFit="1" customWidth="1"/>
    <col min="8966" max="8966" width="4.85546875" style="705" customWidth="1"/>
    <col min="8967" max="8967" width="11.7109375" style="705" customWidth="1"/>
    <col min="8968" max="8968" width="12" style="705" customWidth="1"/>
    <col min="8969" max="8969" width="9.7109375" style="705" customWidth="1"/>
    <col min="8970" max="8970" width="13.7109375" style="705" bestFit="1" customWidth="1"/>
    <col min="8971" max="9216" width="8.85546875" style="705"/>
    <col min="9217" max="9217" width="11.5703125" style="705" bestFit="1" customWidth="1"/>
    <col min="9218" max="9218" width="12.5703125" style="705" customWidth="1"/>
    <col min="9219" max="9219" width="10.28515625" style="705" customWidth="1"/>
    <col min="9220" max="9220" width="14.7109375" style="705" customWidth="1"/>
    <col min="9221" max="9221" width="13.28515625" style="705" bestFit="1" customWidth="1"/>
    <col min="9222" max="9222" width="4.85546875" style="705" customWidth="1"/>
    <col min="9223" max="9223" width="11.7109375" style="705" customWidth="1"/>
    <col min="9224" max="9224" width="12" style="705" customWidth="1"/>
    <col min="9225" max="9225" width="9.7109375" style="705" customWidth="1"/>
    <col min="9226" max="9226" width="13.7109375" style="705" bestFit="1" customWidth="1"/>
    <col min="9227" max="9472" width="8.85546875" style="705"/>
    <col min="9473" max="9473" width="11.5703125" style="705" bestFit="1" customWidth="1"/>
    <col min="9474" max="9474" width="12.5703125" style="705" customWidth="1"/>
    <col min="9475" max="9475" width="10.28515625" style="705" customWidth="1"/>
    <col min="9476" max="9476" width="14.7109375" style="705" customWidth="1"/>
    <col min="9477" max="9477" width="13.28515625" style="705" bestFit="1" customWidth="1"/>
    <col min="9478" max="9478" width="4.85546875" style="705" customWidth="1"/>
    <col min="9479" max="9479" width="11.7109375" style="705" customWidth="1"/>
    <col min="9480" max="9480" width="12" style="705" customWidth="1"/>
    <col min="9481" max="9481" width="9.7109375" style="705" customWidth="1"/>
    <col min="9482" max="9482" width="13.7109375" style="705" bestFit="1" customWidth="1"/>
    <col min="9483" max="9728" width="8.85546875" style="705"/>
    <col min="9729" max="9729" width="11.5703125" style="705" bestFit="1" customWidth="1"/>
    <col min="9730" max="9730" width="12.5703125" style="705" customWidth="1"/>
    <col min="9731" max="9731" width="10.28515625" style="705" customWidth="1"/>
    <col min="9732" max="9732" width="14.7109375" style="705" customWidth="1"/>
    <col min="9733" max="9733" width="13.28515625" style="705" bestFit="1" customWidth="1"/>
    <col min="9734" max="9734" width="4.85546875" style="705" customWidth="1"/>
    <col min="9735" max="9735" width="11.7109375" style="705" customWidth="1"/>
    <col min="9736" max="9736" width="12" style="705" customWidth="1"/>
    <col min="9737" max="9737" width="9.7109375" style="705" customWidth="1"/>
    <col min="9738" max="9738" width="13.7109375" style="705" bestFit="1" customWidth="1"/>
    <col min="9739" max="9984" width="8.85546875" style="705"/>
    <col min="9985" max="9985" width="11.5703125" style="705" bestFit="1" customWidth="1"/>
    <col min="9986" max="9986" width="12.5703125" style="705" customWidth="1"/>
    <col min="9987" max="9987" width="10.28515625" style="705" customWidth="1"/>
    <col min="9988" max="9988" width="14.7109375" style="705" customWidth="1"/>
    <col min="9989" max="9989" width="13.28515625" style="705" bestFit="1" customWidth="1"/>
    <col min="9990" max="9990" width="4.85546875" style="705" customWidth="1"/>
    <col min="9991" max="9991" width="11.7109375" style="705" customWidth="1"/>
    <col min="9992" max="9992" width="12" style="705" customWidth="1"/>
    <col min="9993" max="9993" width="9.7109375" style="705" customWidth="1"/>
    <col min="9994" max="9994" width="13.7109375" style="705" bestFit="1" customWidth="1"/>
    <col min="9995" max="10240" width="8.85546875" style="705"/>
    <col min="10241" max="10241" width="11.5703125" style="705" bestFit="1" customWidth="1"/>
    <col min="10242" max="10242" width="12.5703125" style="705" customWidth="1"/>
    <col min="10243" max="10243" width="10.28515625" style="705" customWidth="1"/>
    <col min="10244" max="10244" width="14.7109375" style="705" customWidth="1"/>
    <col min="10245" max="10245" width="13.28515625" style="705" bestFit="1" customWidth="1"/>
    <col min="10246" max="10246" width="4.85546875" style="705" customWidth="1"/>
    <col min="10247" max="10247" width="11.7109375" style="705" customWidth="1"/>
    <col min="10248" max="10248" width="12" style="705" customWidth="1"/>
    <col min="10249" max="10249" width="9.7109375" style="705" customWidth="1"/>
    <col min="10250" max="10250" width="13.7109375" style="705" bestFit="1" customWidth="1"/>
    <col min="10251" max="10496" width="8.85546875" style="705"/>
    <col min="10497" max="10497" width="11.5703125" style="705" bestFit="1" customWidth="1"/>
    <col min="10498" max="10498" width="12.5703125" style="705" customWidth="1"/>
    <col min="10499" max="10499" width="10.28515625" style="705" customWidth="1"/>
    <col min="10500" max="10500" width="14.7109375" style="705" customWidth="1"/>
    <col min="10501" max="10501" width="13.28515625" style="705" bestFit="1" customWidth="1"/>
    <col min="10502" max="10502" width="4.85546875" style="705" customWidth="1"/>
    <col min="10503" max="10503" width="11.7109375" style="705" customWidth="1"/>
    <col min="10504" max="10504" width="12" style="705" customWidth="1"/>
    <col min="10505" max="10505" width="9.7109375" style="705" customWidth="1"/>
    <col min="10506" max="10506" width="13.7109375" style="705" bestFit="1" customWidth="1"/>
    <col min="10507" max="10752" width="8.85546875" style="705"/>
    <col min="10753" max="10753" width="11.5703125" style="705" bestFit="1" customWidth="1"/>
    <col min="10754" max="10754" width="12.5703125" style="705" customWidth="1"/>
    <col min="10755" max="10755" width="10.28515625" style="705" customWidth="1"/>
    <col min="10756" max="10756" width="14.7109375" style="705" customWidth="1"/>
    <col min="10757" max="10757" width="13.28515625" style="705" bestFit="1" customWidth="1"/>
    <col min="10758" max="10758" width="4.85546875" style="705" customWidth="1"/>
    <col min="10759" max="10759" width="11.7109375" style="705" customWidth="1"/>
    <col min="10760" max="10760" width="12" style="705" customWidth="1"/>
    <col min="10761" max="10761" width="9.7109375" style="705" customWidth="1"/>
    <col min="10762" max="10762" width="13.7109375" style="705" bestFit="1" customWidth="1"/>
    <col min="10763" max="11008" width="8.85546875" style="705"/>
    <col min="11009" max="11009" width="11.5703125" style="705" bestFit="1" customWidth="1"/>
    <col min="11010" max="11010" width="12.5703125" style="705" customWidth="1"/>
    <col min="11011" max="11011" width="10.28515625" style="705" customWidth="1"/>
    <col min="11012" max="11012" width="14.7109375" style="705" customWidth="1"/>
    <col min="11013" max="11013" width="13.28515625" style="705" bestFit="1" customWidth="1"/>
    <col min="11014" max="11014" width="4.85546875" style="705" customWidth="1"/>
    <col min="11015" max="11015" width="11.7109375" style="705" customWidth="1"/>
    <col min="11016" max="11016" width="12" style="705" customWidth="1"/>
    <col min="11017" max="11017" width="9.7109375" style="705" customWidth="1"/>
    <col min="11018" max="11018" width="13.7109375" style="705" bestFit="1" customWidth="1"/>
    <col min="11019" max="11264" width="8.85546875" style="705"/>
    <col min="11265" max="11265" width="11.5703125" style="705" bestFit="1" customWidth="1"/>
    <col min="11266" max="11266" width="12.5703125" style="705" customWidth="1"/>
    <col min="11267" max="11267" width="10.28515625" style="705" customWidth="1"/>
    <col min="11268" max="11268" width="14.7109375" style="705" customWidth="1"/>
    <col min="11269" max="11269" width="13.28515625" style="705" bestFit="1" customWidth="1"/>
    <col min="11270" max="11270" width="4.85546875" style="705" customWidth="1"/>
    <col min="11271" max="11271" width="11.7109375" style="705" customWidth="1"/>
    <col min="11272" max="11272" width="12" style="705" customWidth="1"/>
    <col min="11273" max="11273" width="9.7109375" style="705" customWidth="1"/>
    <col min="11274" max="11274" width="13.7109375" style="705" bestFit="1" customWidth="1"/>
    <col min="11275" max="11520" width="8.85546875" style="705"/>
    <col min="11521" max="11521" width="11.5703125" style="705" bestFit="1" customWidth="1"/>
    <col min="11522" max="11522" width="12.5703125" style="705" customWidth="1"/>
    <col min="11523" max="11523" width="10.28515625" style="705" customWidth="1"/>
    <col min="11524" max="11524" width="14.7109375" style="705" customWidth="1"/>
    <col min="11525" max="11525" width="13.28515625" style="705" bestFit="1" customWidth="1"/>
    <col min="11526" max="11526" width="4.85546875" style="705" customWidth="1"/>
    <col min="11527" max="11527" width="11.7109375" style="705" customWidth="1"/>
    <col min="11528" max="11528" width="12" style="705" customWidth="1"/>
    <col min="11529" max="11529" width="9.7109375" style="705" customWidth="1"/>
    <col min="11530" max="11530" width="13.7109375" style="705" bestFit="1" customWidth="1"/>
    <col min="11531" max="11776" width="8.85546875" style="705"/>
    <col min="11777" max="11777" width="11.5703125" style="705" bestFit="1" customWidth="1"/>
    <col min="11778" max="11778" width="12.5703125" style="705" customWidth="1"/>
    <col min="11779" max="11779" width="10.28515625" style="705" customWidth="1"/>
    <col min="11780" max="11780" width="14.7109375" style="705" customWidth="1"/>
    <col min="11781" max="11781" width="13.28515625" style="705" bestFit="1" customWidth="1"/>
    <col min="11782" max="11782" width="4.85546875" style="705" customWidth="1"/>
    <col min="11783" max="11783" width="11.7109375" style="705" customWidth="1"/>
    <col min="11784" max="11784" width="12" style="705" customWidth="1"/>
    <col min="11785" max="11785" width="9.7109375" style="705" customWidth="1"/>
    <col min="11786" max="11786" width="13.7109375" style="705" bestFit="1" customWidth="1"/>
    <col min="11787" max="12032" width="8.85546875" style="705"/>
    <col min="12033" max="12033" width="11.5703125" style="705" bestFit="1" customWidth="1"/>
    <col min="12034" max="12034" width="12.5703125" style="705" customWidth="1"/>
    <col min="12035" max="12035" width="10.28515625" style="705" customWidth="1"/>
    <col min="12036" max="12036" width="14.7109375" style="705" customWidth="1"/>
    <col min="12037" max="12037" width="13.28515625" style="705" bestFit="1" customWidth="1"/>
    <col min="12038" max="12038" width="4.85546875" style="705" customWidth="1"/>
    <col min="12039" max="12039" width="11.7109375" style="705" customWidth="1"/>
    <col min="12040" max="12040" width="12" style="705" customWidth="1"/>
    <col min="12041" max="12041" width="9.7109375" style="705" customWidth="1"/>
    <col min="12042" max="12042" width="13.7109375" style="705" bestFit="1" customWidth="1"/>
    <col min="12043" max="12288" width="8.85546875" style="705"/>
    <col min="12289" max="12289" width="11.5703125" style="705" bestFit="1" customWidth="1"/>
    <col min="12290" max="12290" width="12.5703125" style="705" customWidth="1"/>
    <col min="12291" max="12291" width="10.28515625" style="705" customWidth="1"/>
    <col min="12292" max="12292" width="14.7109375" style="705" customWidth="1"/>
    <col min="12293" max="12293" width="13.28515625" style="705" bestFit="1" customWidth="1"/>
    <col min="12294" max="12294" width="4.85546875" style="705" customWidth="1"/>
    <col min="12295" max="12295" width="11.7109375" style="705" customWidth="1"/>
    <col min="12296" max="12296" width="12" style="705" customWidth="1"/>
    <col min="12297" max="12297" width="9.7109375" style="705" customWidth="1"/>
    <col min="12298" max="12298" width="13.7109375" style="705" bestFit="1" customWidth="1"/>
    <col min="12299" max="12544" width="8.85546875" style="705"/>
    <col min="12545" max="12545" width="11.5703125" style="705" bestFit="1" customWidth="1"/>
    <col min="12546" max="12546" width="12.5703125" style="705" customWidth="1"/>
    <col min="12547" max="12547" width="10.28515625" style="705" customWidth="1"/>
    <col min="12548" max="12548" width="14.7109375" style="705" customWidth="1"/>
    <col min="12549" max="12549" width="13.28515625" style="705" bestFit="1" customWidth="1"/>
    <col min="12550" max="12550" width="4.85546875" style="705" customWidth="1"/>
    <col min="12551" max="12551" width="11.7109375" style="705" customWidth="1"/>
    <col min="12552" max="12552" width="12" style="705" customWidth="1"/>
    <col min="12553" max="12553" width="9.7109375" style="705" customWidth="1"/>
    <col min="12554" max="12554" width="13.7109375" style="705" bestFit="1" customWidth="1"/>
    <col min="12555" max="12800" width="8.85546875" style="705"/>
    <col min="12801" max="12801" width="11.5703125" style="705" bestFit="1" customWidth="1"/>
    <col min="12802" max="12802" width="12.5703125" style="705" customWidth="1"/>
    <col min="12803" max="12803" width="10.28515625" style="705" customWidth="1"/>
    <col min="12804" max="12804" width="14.7109375" style="705" customWidth="1"/>
    <col min="12805" max="12805" width="13.28515625" style="705" bestFit="1" customWidth="1"/>
    <col min="12806" max="12806" width="4.85546875" style="705" customWidth="1"/>
    <col min="12807" max="12807" width="11.7109375" style="705" customWidth="1"/>
    <col min="12808" max="12808" width="12" style="705" customWidth="1"/>
    <col min="12809" max="12809" width="9.7109375" style="705" customWidth="1"/>
    <col min="12810" max="12810" width="13.7109375" style="705" bestFit="1" customWidth="1"/>
    <col min="12811" max="13056" width="8.85546875" style="705"/>
    <col min="13057" max="13057" width="11.5703125" style="705" bestFit="1" customWidth="1"/>
    <col min="13058" max="13058" width="12.5703125" style="705" customWidth="1"/>
    <col min="13059" max="13059" width="10.28515625" style="705" customWidth="1"/>
    <col min="13060" max="13060" width="14.7109375" style="705" customWidth="1"/>
    <col min="13061" max="13061" width="13.28515625" style="705" bestFit="1" customWidth="1"/>
    <col min="13062" max="13062" width="4.85546875" style="705" customWidth="1"/>
    <col min="13063" max="13063" width="11.7109375" style="705" customWidth="1"/>
    <col min="13064" max="13064" width="12" style="705" customWidth="1"/>
    <col min="13065" max="13065" width="9.7109375" style="705" customWidth="1"/>
    <col min="13066" max="13066" width="13.7109375" style="705" bestFit="1" customWidth="1"/>
    <col min="13067" max="13312" width="8.85546875" style="705"/>
    <col min="13313" max="13313" width="11.5703125" style="705" bestFit="1" customWidth="1"/>
    <col min="13314" max="13314" width="12.5703125" style="705" customWidth="1"/>
    <col min="13315" max="13315" width="10.28515625" style="705" customWidth="1"/>
    <col min="13316" max="13316" width="14.7109375" style="705" customWidth="1"/>
    <col min="13317" max="13317" width="13.28515625" style="705" bestFit="1" customWidth="1"/>
    <col min="13318" max="13318" width="4.85546875" style="705" customWidth="1"/>
    <col min="13319" max="13319" width="11.7109375" style="705" customWidth="1"/>
    <col min="13320" max="13320" width="12" style="705" customWidth="1"/>
    <col min="13321" max="13321" width="9.7109375" style="705" customWidth="1"/>
    <col min="13322" max="13322" width="13.7109375" style="705" bestFit="1" customWidth="1"/>
    <col min="13323" max="13568" width="8.85546875" style="705"/>
    <col min="13569" max="13569" width="11.5703125" style="705" bestFit="1" customWidth="1"/>
    <col min="13570" max="13570" width="12.5703125" style="705" customWidth="1"/>
    <col min="13571" max="13571" width="10.28515625" style="705" customWidth="1"/>
    <col min="13572" max="13572" width="14.7109375" style="705" customWidth="1"/>
    <col min="13573" max="13573" width="13.28515625" style="705" bestFit="1" customWidth="1"/>
    <col min="13574" max="13574" width="4.85546875" style="705" customWidth="1"/>
    <col min="13575" max="13575" width="11.7109375" style="705" customWidth="1"/>
    <col min="13576" max="13576" width="12" style="705" customWidth="1"/>
    <col min="13577" max="13577" width="9.7109375" style="705" customWidth="1"/>
    <col min="13578" max="13578" width="13.7109375" style="705" bestFit="1" customWidth="1"/>
    <col min="13579" max="13824" width="8.85546875" style="705"/>
    <col min="13825" max="13825" width="11.5703125" style="705" bestFit="1" customWidth="1"/>
    <col min="13826" max="13826" width="12.5703125" style="705" customWidth="1"/>
    <col min="13827" max="13827" width="10.28515625" style="705" customWidth="1"/>
    <col min="13828" max="13828" width="14.7109375" style="705" customWidth="1"/>
    <col min="13829" max="13829" width="13.28515625" style="705" bestFit="1" customWidth="1"/>
    <col min="13830" max="13830" width="4.85546875" style="705" customWidth="1"/>
    <col min="13831" max="13831" width="11.7109375" style="705" customWidth="1"/>
    <col min="13832" max="13832" width="12" style="705" customWidth="1"/>
    <col min="13833" max="13833" width="9.7109375" style="705" customWidth="1"/>
    <col min="13834" max="13834" width="13.7109375" style="705" bestFit="1" customWidth="1"/>
    <col min="13835" max="14080" width="8.85546875" style="705"/>
    <col min="14081" max="14081" width="11.5703125" style="705" bestFit="1" customWidth="1"/>
    <col min="14082" max="14082" width="12.5703125" style="705" customWidth="1"/>
    <col min="14083" max="14083" width="10.28515625" style="705" customWidth="1"/>
    <col min="14084" max="14084" width="14.7109375" style="705" customWidth="1"/>
    <col min="14085" max="14085" width="13.28515625" style="705" bestFit="1" customWidth="1"/>
    <col min="14086" max="14086" width="4.85546875" style="705" customWidth="1"/>
    <col min="14087" max="14087" width="11.7109375" style="705" customWidth="1"/>
    <col min="14088" max="14088" width="12" style="705" customWidth="1"/>
    <col min="14089" max="14089" width="9.7109375" style="705" customWidth="1"/>
    <col min="14090" max="14090" width="13.7109375" style="705" bestFit="1" customWidth="1"/>
    <col min="14091" max="14336" width="8.85546875" style="705"/>
    <col min="14337" max="14337" width="11.5703125" style="705" bestFit="1" customWidth="1"/>
    <col min="14338" max="14338" width="12.5703125" style="705" customWidth="1"/>
    <col min="14339" max="14339" width="10.28515625" style="705" customWidth="1"/>
    <col min="14340" max="14340" width="14.7109375" style="705" customWidth="1"/>
    <col min="14341" max="14341" width="13.28515625" style="705" bestFit="1" customWidth="1"/>
    <col min="14342" max="14342" width="4.85546875" style="705" customWidth="1"/>
    <col min="14343" max="14343" width="11.7109375" style="705" customWidth="1"/>
    <col min="14344" max="14344" width="12" style="705" customWidth="1"/>
    <col min="14345" max="14345" width="9.7109375" style="705" customWidth="1"/>
    <col min="14346" max="14346" width="13.7109375" style="705" bestFit="1" customWidth="1"/>
    <col min="14347" max="14592" width="8.85546875" style="705"/>
    <col min="14593" max="14593" width="11.5703125" style="705" bestFit="1" customWidth="1"/>
    <col min="14594" max="14594" width="12.5703125" style="705" customWidth="1"/>
    <col min="14595" max="14595" width="10.28515625" style="705" customWidth="1"/>
    <col min="14596" max="14596" width="14.7109375" style="705" customWidth="1"/>
    <col min="14597" max="14597" width="13.28515625" style="705" bestFit="1" customWidth="1"/>
    <col min="14598" max="14598" width="4.85546875" style="705" customWidth="1"/>
    <col min="14599" max="14599" width="11.7109375" style="705" customWidth="1"/>
    <col min="14600" max="14600" width="12" style="705" customWidth="1"/>
    <col min="14601" max="14601" width="9.7109375" style="705" customWidth="1"/>
    <col min="14602" max="14602" width="13.7109375" style="705" bestFit="1" customWidth="1"/>
    <col min="14603" max="14848" width="8.85546875" style="705"/>
    <col min="14849" max="14849" width="11.5703125" style="705" bestFit="1" customWidth="1"/>
    <col min="14850" max="14850" width="12.5703125" style="705" customWidth="1"/>
    <col min="14851" max="14851" width="10.28515625" style="705" customWidth="1"/>
    <col min="14852" max="14852" width="14.7109375" style="705" customWidth="1"/>
    <col min="14853" max="14853" width="13.28515625" style="705" bestFit="1" customWidth="1"/>
    <col min="14854" max="14854" width="4.85546875" style="705" customWidth="1"/>
    <col min="14855" max="14855" width="11.7109375" style="705" customWidth="1"/>
    <col min="14856" max="14856" width="12" style="705" customWidth="1"/>
    <col min="14857" max="14857" width="9.7109375" style="705" customWidth="1"/>
    <col min="14858" max="14858" width="13.7109375" style="705" bestFit="1" customWidth="1"/>
    <col min="14859" max="15104" width="8.85546875" style="705"/>
    <col min="15105" max="15105" width="11.5703125" style="705" bestFit="1" customWidth="1"/>
    <col min="15106" max="15106" width="12.5703125" style="705" customWidth="1"/>
    <col min="15107" max="15107" width="10.28515625" style="705" customWidth="1"/>
    <col min="15108" max="15108" width="14.7109375" style="705" customWidth="1"/>
    <col min="15109" max="15109" width="13.28515625" style="705" bestFit="1" customWidth="1"/>
    <col min="15110" max="15110" width="4.85546875" style="705" customWidth="1"/>
    <col min="15111" max="15111" width="11.7109375" style="705" customWidth="1"/>
    <col min="15112" max="15112" width="12" style="705" customWidth="1"/>
    <col min="15113" max="15113" width="9.7109375" style="705" customWidth="1"/>
    <col min="15114" max="15114" width="13.7109375" style="705" bestFit="1" customWidth="1"/>
    <col min="15115" max="15360" width="8.85546875" style="705"/>
    <col min="15361" max="15361" width="11.5703125" style="705" bestFit="1" customWidth="1"/>
    <col min="15362" max="15362" width="12.5703125" style="705" customWidth="1"/>
    <col min="15363" max="15363" width="10.28515625" style="705" customWidth="1"/>
    <col min="15364" max="15364" width="14.7109375" style="705" customWidth="1"/>
    <col min="15365" max="15365" width="13.28515625" style="705" bestFit="1" customWidth="1"/>
    <col min="15366" max="15366" width="4.85546875" style="705" customWidth="1"/>
    <col min="15367" max="15367" width="11.7109375" style="705" customWidth="1"/>
    <col min="15368" max="15368" width="12" style="705" customWidth="1"/>
    <col min="15369" max="15369" width="9.7109375" style="705" customWidth="1"/>
    <col min="15370" max="15370" width="13.7109375" style="705" bestFit="1" customWidth="1"/>
    <col min="15371" max="15616" width="8.85546875" style="705"/>
    <col min="15617" max="15617" width="11.5703125" style="705" bestFit="1" customWidth="1"/>
    <col min="15618" max="15618" width="12.5703125" style="705" customWidth="1"/>
    <col min="15619" max="15619" width="10.28515625" style="705" customWidth="1"/>
    <col min="15620" max="15620" width="14.7109375" style="705" customWidth="1"/>
    <col min="15621" max="15621" width="13.28515625" style="705" bestFit="1" customWidth="1"/>
    <col min="15622" max="15622" width="4.85546875" style="705" customWidth="1"/>
    <col min="15623" max="15623" width="11.7109375" style="705" customWidth="1"/>
    <col min="15624" max="15624" width="12" style="705" customWidth="1"/>
    <col min="15625" max="15625" width="9.7109375" style="705" customWidth="1"/>
    <col min="15626" max="15626" width="13.7109375" style="705" bestFit="1" customWidth="1"/>
    <col min="15627" max="15872" width="8.85546875" style="705"/>
    <col min="15873" max="15873" width="11.5703125" style="705" bestFit="1" customWidth="1"/>
    <col min="15874" max="15874" width="12.5703125" style="705" customWidth="1"/>
    <col min="15875" max="15875" width="10.28515625" style="705" customWidth="1"/>
    <col min="15876" max="15876" width="14.7109375" style="705" customWidth="1"/>
    <col min="15877" max="15877" width="13.28515625" style="705" bestFit="1" customWidth="1"/>
    <col min="15878" max="15878" width="4.85546875" style="705" customWidth="1"/>
    <col min="15879" max="15879" width="11.7109375" style="705" customWidth="1"/>
    <col min="15880" max="15880" width="12" style="705" customWidth="1"/>
    <col min="15881" max="15881" width="9.7109375" style="705" customWidth="1"/>
    <col min="15882" max="15882" width="13.7109375" style="705" bestFit="1" customWidth="1"/>
    <col min="15883" max="16128" width="8.85546875" style="705"/>
    <col min="16129" max="16129" width="11.5703125" style="705" bestFit="1" customWidth="1"/>
    <col min="16130" max="16130" width="12.5703125" style="705" customWidth="1"/>
    <col min="16131" max="16131" width="10.28515625" style="705" customWidth="1"/>
    <col min="16132" max="16132" width="14.7109375" style="705" customWidth="1"/>
    <col min="16133" max="16133" width="13.28515625" style="705" bestFit="1" customWidth="1"/>
    <col min="16134" max="16134" width="4.85546875" style="705" customWidth="1"/>
    <col min="16135" max="16135" width="11.7109375" style="705" customWidth="1"/>
    <col min="16136" max="16136" width="12" style="705" customWidth="1"/>
    <col min="16137" max="16137" width="9.7109375" style="705" customWidth="1"/>
    <col min="16138" max="16138" width="13.7109375" style="705" bestFit="1" customWidth="1"/>
    <col min="16139" max="16384" width="8.85546875" style="705"/>
  </cols>
  <sheetData>
    <row r="1" spans="1:11" ht="23.25">
      <c r="A1" s="2502" t="s">
        <v>2641</v>
      </c>
      <c r="B1" s="2502"/>
      <c r="C1" s="2502"/>
      <c r="D1" s="2502"/>
      <c r="E1" s="2502"/>
      <c r="F1" s="2502"/>
      <c r="G1" s="2502"/>
      <c r="H1" s="2502"/>
      <c r="I1" s="2502"/>
      <c r="J1" s="2502"/>
      <c r="K1" s="2502"/>
    </row>
    <row r="2" spans="1:11" ht="15">
      <c r="A2" s="706" t="str">
        <f>Overview!E8</f>
        <v>20##-###</v>
      </c>
      <c r="B2" s="706" t="str">
        <f>Overview!C8</f>
        <v>SB OHF Test Villas</v>
      </c>
      <c r="C2" s="707"/>
    </row>
    <row r="3" spans="1:11" ht="12.6" customHeight="1">
      <c r="A3" s="707"/>
      <c r="B3" s="707"/>
      <c r="C3" s="707"/>
    </row>
    <row r="4" spans="1:11" ht="18">
      <c r="A4" s="708" t="s">
        <v>3091</v>
      </c>
      <c r="B4" s="707"/>
      <c r="C4" s="707"/>
    </row>
    <row r="5" spans="1:11" s="660" customFormat="1" ht="17.25" customHeight="1">
      <c r="C5" s="2505" t="s">
        <v>3075</v>
      </c>
      <c r="D5" s="2506"/>
      <c r="E5" s="2507"/>
      <c r="F5" s="458"/>
      <c r="G5" s="2505" t="s">
        <v>3076</v>
      </c>
      <c r="H5" s="2506"/>
      <c r="I5" s="2507"/>
      <c r="J5" s="705"/>
      <c r="K5" s="709" t="s">
        <v>3080</v>
      </c>
    </row>
    <row r="6" spans="1:11" s="711" customFormat="1" ht="15" customHeight="1">
      <c r="A6" s="710" t="s">
        <v>2357</v>
      </c>
      <c r="C6" s="712" t="s">
        <v>3071</v>
      </c>
      <c r="D6" s="712" t="s">
        <v>2642</v>
      </c>
      <c r="E6" s="712" t="s">
        <v>1793</v>
      </c>
      <c r="G6" s="712" t="s">
        <v>3072</v>
      </c>
      <c r="H6" s="712" t="s">
        <v>2642</v>
      </c>
      <c r="I6" s="712" t="s">
        <v>1793</v>
      </c>
      <c r="K6" s="713" t="s">
        <v>2645</v>
      </c>
    </row>
    <row r="7" spans="1:11" s="458" customFormat="1" ht="13.5" customHeight="1">
      <c r="A7" s="458" t="s">
        <v>2643</v>
      </c>
      <c r="C7" s="714" t="e">
        <f>#REF!</f>
        <v>#REF!</v>
      </c>
      <c r="D7" s="715" t="e">
        <f>#REF!</f>
        <v>#REF!</v>
      </c>
      <c r="E7" s="716" t="e">
        <f>C7*D7</f>
        <v>#REF!</v>
      </c>
      <c r="G7" s="714" t="e">
        <f>#REF!</f>
        <v>#REF!</v>
      </c>
      <c r="H7" s="715" t="e">
        <f>#REF!</f>
        <v>#REF!</v>
      </c>
      <c r="I7" s="716" t="e">
        <f>G7*H7</f>
        <v>#REF!</v>
      </c>
      <c r="K7" s="717" t="e">
        <f>'Part I-Project Information'!#REF!</f>
        <v>#REF!</v>
      </c>
    </row>
    <row r="8" spans="1:11" s="458" customFormat="1" ht="13.5" customHeight="1">
      <c r="A8" s="458" t="s">
        <v>2355</v>
      </c>
      <c r="C8" s="714" t="e">
        <f>#REF!</f>
        <v>#REF!</v>
      </c>
      <c r="D8" s="715" t="e">
        <f>#REF!</f>
        <v>#REF!</v>
      </c>
      <c r="E8" s="716" t="e">
        <f>C8*D8</f>
        <v>#REF!</v>
      </c>
      <c r="G8" s="714" t="e">
        <f>#REF!</f>
        <v>#REF!</v>
      </c>
      <c r="H8" s="715" t="e">
        <f>#REF!</f>
        <v>#REF!</v>
      </c>
      <c r="I8" s="716" t="e">
        <f>G8*H8</f>
        <v>#REF!</v>
      </c>
      <c r="K8" s="713" t="s">
        <v>3073</v>
      </c>
    </row>
    <row r="9" spans="1:11" s="458" customFormat="1" ht="13.5" customHeight="1">
      <c r="A9" s="458" t="s">
        <v>2356</v>
      </c>
      <c r="C9" s="714" t="e">
        <f>#REF!</f>
        <v>#REF!</v>
      </c>
      <c r="D9" s="715" t="e">
        <f>#REF!</f>
        <v>#REF!</v>
      </c>
      <c r="E9" s="716" t="e">
        <f>C9*D9</f>
        <v>#REF!</v>
      </c>
      <c r="G9" s="714" t="e">
        <f>#REF!</f>
        <v>#REF!</v>
      </c>
      <c r="H9" s="715" t="e">
        <f>#REF!</f>
        <v>#REF!</v>
      </c>
      <c r="I9" s="716" t="e">
        <f>G9*H9</f>
        <v>#REF!</v>
      </c>
      <c r="K9" s="717">
        <f>'Part IV-Uses of Funds'!$G$127</f>
        <v>0</v>
      </c>
    </row>
    <row r="10" spans="1:11" s="458" customFormat="1" ht="13.5" customHeight="1">
      <c r="A10" s="458" t="s">
        <v>2359</v>
      </c>
      <c r="C10" s="714" t="e">
        <f>#REF!</f>
        <v>#REF!</v>
      </c>
      <c r="D10" s="715" t="e">
        <f>#REF!</f>
        <v>#REF!</v>
      </c>
      <c r="E10" s="716" t="e">
        <f>C10*D10</f>
        <v>#REF!</v>
      </c>
      <c r="G10" s="714" t="e">
        <f>#REF!</f>
        <v>#REF!</v>
      </c>
      <c r="H10" s="715" t="e">
        <f>#REF!</f>
        <v>#REF!</v>
      </c>
      <c r="I10" s="716" t="e">
        <f>G10*H10</f>
        <v>#REF!</v>
      </c>
      <c r="K10" s="713" t="s">
        <v>3074</v>
      </c>
    </row>
    <row r="11" spans="1:11" s="458" customFormat="1" ht="13.5" customHeight="1">
      <c r="A11" s="718" t="s">
        <v>3070</v>
      </c>
      <c r="C11" s="719" t="e">
        <f>#REF!</f>
        <v>#REF!</v>
      </c>
      <c r="D11" s="720" t="e">
        <f>#REF!</f>
        <v>#REF!</v>
      </c>
      <c r="E11" s="721" t="e">
        <f>C11*D11</f>
        <v>#REF!</v>
      </c>
      <c r="G11" s="719" t="e">
        <f>#REF!</f>
        <v>#REF!</v>
      </c>
      <c r="H11" s="720" t="e">
        <f>#REF!</f>
        <v>#REF!</v>
      </c>
      <c r="I11" s="721" t="e">
        <f>G11*H11</f>
        <v>#REF!</v>
      </c>
      <c r="K11" s="2508" t="s">
        <v>3081</v>
      </c>
    </row>
    <row r="12" spans="1:11" ht="13.5" customHeight="1" thickBot="1">
      <c r="A12" s="722" t="s">
        <v>3037</v>
      </c>
      <c r="D12" s="723" t="e">
        <f>SUM(D7:D11)</f>
        <v>#REF!</v>
      </c>
      <c r="E12" s="724"/>
      <c r="G12" s="722" t="s">
        <v>1615</v>
      </c>
      <c r="H12" s="723" t="e">
        <f>SUM(H7:H11)</f>
        <v>#REF!</v>
      </c>
      <c r="I12" s="724"/>
      <c r="K12" s="2509"/>
    </row>
    <row r="13" spans="1:11" s="458" customFormat="1" ht="13.5" customHeight="1" thickBot="1">
      <c r="A13" s="722" t="s">
        <v>2644</v>
      </c>
      <c r="B13" s="725"/>
      <c r="E13" s="726" t="e">
        <f>SUM(E7:E11)</f>
        <v>#REF!</v>
      </c>
      <c r="G13" s="722" t="s">
        <v>2898</v>
      </c>
      <c r="H13" s="725"/>
      <c r="I13" s="727" t="e">
        <f>SUM(I7:I11)</f>
        <v>#REF!</v>
      </c>
      <c r="K13" s="717">
        <f>'Part VI-B Project Cost Limit'!$R$28</f>
        <v>0</v>
      </c>
    </row>
    <row r="14" spans="1:11" ht="11.25" customHeight="1">
      <c r="G14" s="728" t="s">
        <v>3077</v>
      </c>
    </row>
    <row r="15" spans="1:11" s="458" customFormat="1" ht="13.5" customHeight="1"/>
    <row r="16" spans="1:11" ht="16.5" customHeight="1">
      <c r="A16" s="708" t="s">
        <v>3092</v>
      </c>
    </row>
    <row r="17" spans="1:11" ht="6" customHeight="1"/>
    <row r="18" spans="1:11" s="458" customFormat="1" ht="13.5" customHeight="1">
      <c r="A18" s="458" t="s">
        <v>3079</v>
      </c>
      <c r="E18" s="729" t="s">
        <v>2896</v>
      </c>
      <c r="K18" s="730" t="e">
        <f>Overview!D13</f>
        <v>#REF!</v>
      </c>
    </row>
    <row r="19" spans="1:11" s="458" customFormat="1" ht="13.5" customHeight="1">
      <c r="A19" s="458" t="s">
        <v>2646</v>
      </c>
      <c r="K19" s="551" t="e">
        <f>Overview!C13</f>
        <v>#REF!</v>
      </c>
    </row>
    <row r="20" spans="1:11" ht="3" customHeight="1">
      <c r="A20" s="731"/>
    </row>
    <row r="21" spans="1:11" s="458" customFormat="1" ht="13.5" customHeight="1">
      <c r="A21" s="458" t="s">
        <v>2647</v>
      </c>
      <c r="E21" s="729" t="s">
        <v>3078</v>
      </c>
      <c r="K21" s="732" t="e">
        <f>K18/K19</f>
        <v>#REF!</v>
      </c>
    </row>
    <row r="22" spans="1:11" ht="9" customHeight="1"/>
    <row r="23" spans="1:11" s="458" customFormat="1" ht="13.5" customHeight="1">
      <c r="A23" s="458" t="s">
        <v>3036</v>
      </c>
      <c r="C23" s="733"/>
      <c r="E23" s="729" t="s">
        <v>2650</v>
      </c>
      <c r="K23" s="551">
        <f>K9</f>
        <v>0</v>
      </c>
    </row>
    <row r="24" spans="1:11" s="458" customFormat="1" ht="13.5" customHeight="1">
      <c r="A24" s="734" t="s">
        <v>1584</v>
      </c>
      <c r="K24" s="717">
        <f>'Part IV-Uses of Funds'!$G$117</f>
        <v>0</v>
      </c>
    </row>
    <row r="25" spans="1:11" s="458" customFormat="1" ht="13.5" customHeight="1">
      <c r="A25" s="734" t="s">
        <v>2651</v>
      </c>
      <c r="K25" s="735">
        <v>0</v>
      </c>
    </row>
    <row r="26" spans="1:11" s="458" customFormat="1" ht="13.5" customHeight="1">
      <c r="A26" s="734" t="s">
        <v>2651</v>
      </c>
      <c r="K26" s="735">
        <v>0</v>
      </c>
    </row>
    <row r="27" spans="1:11" ht="3" customHeight="1">
      <c r="A27" s="736"/>
      <c r="K27" s="737">
        <v>0</v>
      </c>
    </row>
    <row r="28" spans="1:11" s="725" customFormat="1" ht="13.5" customHeight="1">
      <c r="A28" s="725" t="s">
        <v>2652</v>
      </c>
      <c r="K28" s="738">
        <f>K23-SUM(K24:K27)</f>
        <v>0</v>
      </c>
    </row>
    <row r="29" spans="1:11" ht="9" customHeight="1">
      <c r="A29" s="731"/>
      <c r="K29" s="739"/>
    </row>
    <row r="30" spans="1:11" s="458" customFormat="1" ht="15" customHeight="1">
      <c r="A30" s="725" t="s">
        <v>2653</v>
      </c>
      <c r="E30" s="729" t="s">
        <v>3086</v>
      </c>
      <c r="F30" s="740"/>
      <c r="G30" s="740"/>
      <c r="H30" s="740"/>
      <c r="I30" s="740"/>
      <c r="K30" s="741" t="e">
        <f>K21*K28</f>
        <v>#REF!</v>
      </c>
    </row>
    <row r="31" spans="1:11" ht="27.75" customHeight="1">
      <c r="K31" s="739"/>
    </row>
    <row r="32" spans="1:11" s="458" customFormat="1" ht="16.5" customHeight="1">
      <c r="A32" s="742" t="s">
        <v>3093</v>
      </c>
      <c r="B32" s="725"/>
      <c r="C32" s="725"/>
      <c r="D32" s="725"/>
      <c r="E32" s="729"/>
    </row>
    <row r="33" spans="1:11" ht="6" customHeight="1" thickBot="1"/>
    <row r="34" spans="1:11" s="458" customFormat="1" ht="24" customHeight="1" thickBot="1">
      <c r="A34" s="743" t="s">
        <v>3089</v>
      </c>
      <c r="B34" s="725"/>
      <c r="C34" s="725"/>
      <c r="D34" s="725"/>
      <c r="E34" s="729" t="s">
        <v>3087</v>
      </c>
      <c r="K34" s="744" t="e">
        <f>MIN(E13,K30)</f>
        <v>#REF!</v>
      </c>
    </row>
    <row r="35" spans="1:11" ht="6" customHeight="1"/>
    <row r="36" spans="1:11" s="458" customFormat="1" ht="15" customHeight="1">
      <c r="A36" s="725" t="s">
        <v>3090</v>
      </c>
      <c r="E36" s="729" t="s">
        <v>3088</v>
      </c>
      <c r="K36" s="745">
        <f>Overview!C25</f>
        <v>0</v>
      </c>
    </row>
    <row r="37" spans="1:11" s="458" customFormat="1" ht="9" customHeight="1" thickBot="1">
      <c r="E37" s="746"/>
      <c r="F37" s="746"/>
      <c r="G37" s="746"/>
      <c r="H37" s="746"/>
      <c r="K37" s="747"/>
    </row>
    <row r="38" spans="1:11" s="458" customFormat="1" ht="15.75" customHeight="1">
      <c r="A38" s="2510" t="s">
        <v>3084</v>
      </c>
      <c r="B38" s="2510"/>
      <c r="C38" s="2510"/>
      <c r="D38" s="2513" t="s">
        <v>2648</v>
      </c>
      <c r="E38" s="2513"/>
      <c r="F38" s="2513" t="s">
        <v>2649</v>
      </c>
      <c r="G38" s="2513"/>
      <c r="H38" s="2513"/>
      <c r="I38" s="748" t="s">
        <v>2408</v>
      </c>
      <c r="K38" s="2503" t="e">
        <f>ROUND((D39/F39)*I39,0)</f>
        <v>#DIV/0!</v>
      </c>
    </row>
    <row r="39" spans="1:11" s="458" customFormat="1" ht="15.75" customHeight="1" thickBot="1">
      <c r="A39" s="2510"/>
      <c r="B39" s="2510"/>
      <c r="C39" s="2510"/>
      <c r="D39" s="2512">
        <f>K36</f>
        <v>0</v>
      </c>
      <c r="E39" s="2512"/>
      <c r="F39" s="2511">
        <f>K28</f>
        <v>0</v>
      </c>
      <c r="G39" s="2511"/>
      <c r="H39" s="2511"/>
      <c r="I39" s="749" t="e">
        <f>K19</f>
        <v>#REF!</v>
      </c>
      <c r="K39" s="2504"/>
    </row>
    <row r="40" spans="1:11" ht="12.75" customHeight="1">
      <c r="D40" s="750" t="s">
        <v>3085</v>
      </c>
      <c r="H40" s="750"/>
      <c r="I40" s="750"/>
      <c r="K40" s="750"/>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dimension ref="A1:M77"/>
  <sheetViews>
    <sheetView showGridLines="0" zoomScaleNormal="100" workbookViewId="0">
      <selection sqref="A1:XFD1048576"/>
    </sheetView>
  </sheetViews>
  <sheetFormatPr defaultColWidth="9.140625" defaultRowHeight="12" customHeight="1"/>
  <cols>
    <col min="1" max="1" width="2.7109375" style="419" customWidth="1"/>
    <col min="2" max="2" width="0.85546875" style="419" customWidth="1"/>
    <col min="3" max="3" width="16.42578125" style="419" customWidth="1"/>
    <col min="4" max="4" width="18.140625" style="419" customWidth="1"/>
    <col min="5" max="5" width="16.42578125" style="419" customWidth="1"/>
    <col min="6" max="6" width="13.140625" style="419" customWidth="1"/>
    <col min="7" max="7" width="14.42578125" style="419" customWidth="1"/>
    <col min="8" max="8" width="5.85546875" style="419" customWidth="1"/>
    <col min="9" max="16384" width="9.140625" style="419"/>
  </cols>
  <sheetData>
    <row r="1" spans="1:13" ht="12" customHeight="1">
      <c r="A1" s="2514" t="str">
        <f>CONCATENATE(Overview!E8,"  ",Overview!C8)</f>
        <v>20##-###  SB OHF Test Villas</v>
      </c>
      <c r="B1" s="2514"/>
      <c r="C1" s="2514"/>
      <c r="D1" s="2514"/>
      <c r="E1" s="2514"/>
      <c r="F1" s="2514"/>
      <c r="G1" s="2514"/>
      <c r="H1" s="2514"/>
    </row>
    <row r="3" spans="1:13" ht="12" customHeight="1">
      <c r="A3" s="2515" t="s">
        <v>3039</v>
      </c>
      <c r="B3" s="2515"/>
      <c r="C3" s="2515"/>
      <c r="D3" s="2515"/>
      <c r="E3" s="2515"/>
      <c r="F3" s="2515"/>
      <c r="G3" s="2515"/>
      <c r="H3" s="2515"/>
      <c r="I3" s="442"/>
      <c r="J3" s="421" t="s">
        <v>2654</v>
      </c>
      <c r="K3" s="421"/>
      <c r="L3" s="421"/>
      <c r="M3" s="421"/>
    </row>
    <row r="5" spans="1:13" ht="12" customHeight="1">
      <c r="A5" s="419">
        <v>1</v>
      </c>
      <c r="C5" s="419" t="s">
        <v>2655</v>
      </c>
      <c r="E5" s="443" t="str">
        <f>Overview!H9</f>
        <v>(Enter name as it will appear on all legal documents)</v>
      </c>
    </row>
    <row r="6" spans="1:13" ht="3" customHeight="1">
      <c r="H6" s="560"/>
    </row>
    <row r="7" spans="1:13" ht="12" customHeight="1">
      <c r="A7" s="419">
        <v>2</v>
      </c>
      <c r="C7" s="419" t="s">
        <v>2656</v>
      </c>
      <c r="E7" s="443">
        <f>'Part II-Development Team'!H6</f>
        <v>0</v>
      </c>
    </row>
    <row r="8" spans="1:13" ht="12" customHeight="1">
      <c r="E8" s="443" t="str">
        <f>+'Part II-Development Team'!H7&amp;","&amp;" "&amp;'Part II-Development Team'!H8&amp;" "&amp;LEFT('Part II-Development Team'!J8,5)</f>
        <v xml:space="preserve">,  </v>
      </c>
    </row>
    <row r="9" spans="1:13" ht="12" customHeight="1">
      <c r="C9" s="419" t="s">
        <v>2657</v>
      </c>
      <c r="E9" s="2516"/>
      <c r="F9" s="2516"/>
    </row>
    <row r="10" spans="1:13" ht="12" customHeight="1">
      <c r="C10" s="419" t="s">
        <v>2658</v>
      </c>
      <c r="E10" s="443">
        <f>'Part II-Development Team'!Q5</f>
        <v>0</v>
      </c>
    </row>
    <row r="11" spans="1:13" ht="12" customHeight="1">
      <c r="C11" s="419" t="s">
        <v>2659</v>
      </c>
      <c r="E11" s="443">
        <f>'Part II-Development Team'!O9</f>
        <v>0</v>
      </c>
    </row>
    <row r="12" spans="1:13" ht="12" customHeight="1">
      <c r="C12" s="419" t="s">
        <v>2660</v>
      </c>
      <c r="E12" s="452">
        <f>'Part II-Development Team'!H9</f>
        <v>0</v>
      </c>
    </row>
    <row r="13" spans="1:13" ht="12" customHeight="1">
      <c r="C13" s="419" t="s">
        <v>2661</v>
      </c>
      <c r="E13" s="452">
        <f>'Part II-Development Team'!L9</f>
        <v>0</v>
      </c>
    </row>
    <row r="14" spans="1:13" ht="3" customHeight="1"/>
    <row r="15" spans="1:13" ht="12" customHeight="1">
      <c r="A15" s="419">
        <v>3</v>
      </c>
      <c r="C15" s="419" t="s">
        <v>2662</v>
      </c>
      <c r="E15" s="443" t="str">
        <f>Overview!C8</f>
        <v>SB OHF Test Villas</v>
      </c>
    </row>
    <row r="16" spans="1:13" ht="12" customHeight="1">
      <c r="C16" s="419" t="s">
        <v>2663</v>
      </c>
      <c r="E16" s="443">
        <f>'Part I-Project Information'!$F$25</f>
        <v>0</v>
      </c>
    </row>
    <row r="17" spans="1:8" ht="12" customHeight="1">
      <c r="E17" s="443" t="str">
        <f>+'Part I-Project Information'!$F$27&amp;","&amp;" "&amp;'Part I-Project Information'!$J$28&amp;" "&amp;LEFT('Part I-Project Information'!$J$27,5)</f>
        <v xml:space="preserve">Peachtree Corners, Gwinnett </v>
      </c>
    </row>
    <row r="18" spans="1:8" ht="3" customHeight="1"/>
    <row r="19" spans="1:8" ht="12" customHeight="1">
      <c r="A19" s="419">
        <v>4</v>
      </c>
      <c r="C19" s="419" t="s">
        <v>2664</v>
      </c>
      <c r="E19" s="443">
        <f>'Part II-Development Team'!H92</f>
        <v>0</v>
      </c>
    </row>
    <row r="20" spans="1:8" ht="12" customHeight="1">
      <c r="C20" s="419" t="s">
        <v>2665</v>
      </c>
      <c r="E20" s="443">
        <f>'Part II-Development Team'!H93</f>
        <v>0</v>
      </c>
    </row>
    <row r="21" spans="1:8" ht="12" customHeight="1">
      <c r="E21" s="443" t="str">
        <f>+'Part II-Development Team'!H94&amp;","&amp;" "&amp;'Part II-Development Team'!H95&amp;" "&amp;LEFT('Part II-Development Team'!J95,5)</f>
        <v xml:space="preserve">,  </v>
      </c>
    </row>
    <row r="22" spans="1:8" ht="12" customHeight="1">
      <c r="C22" s="419" t="s">
        <v>2660</v>
      </c>
      <c r="E22" s="452">
        <f>'Part II-Development Team'!H96</f>
        <v>0</v>
      </c>
    </row>
    <row r="23" spans="1:8" ht="12" customHeight="1">
      <c r="C23" s="419" t="s">
        <v>2661</v>
      </c>
      <c r="E23" s="452">
        <f>'Part II-Development Team'!L96</f>
        <v>0</v>
      </c>
    </row>
    <row r="24" spans="1:8" ht="12" customHeight="1">
      <c r="C24" s="419" t="s">
        <v>1620</v>
      </c>
      <c r="E24" s="452">
        <f>'Part II-Development Team'!O96</f>
        <v>0</v>
      </c>
    </row>
    <row r="25" spans="1:8" ht="3" customHeight="1">
      <c r="E25" s="443"/>
    </row>
    <row r="26" spans="1:8" ht="12" customHeight="1">
      <c r="A26" s="419">
        <v>5</v>
      </c>
      <c r="C26" s="419" t="s">
        <v>2666</v>
      </c>
      <c r="E26" s="443" t="str">
        <f>Overview!$H$7</f>
        <v/>
      </c>
    </row>
    <row r="27" spans="1:8" ht="12" customHeight="1">
      <c r="E27" s="443" t="s">
        <v>1595</v>
      </c>
    </row>
    <row r="28" spans="1:8" ht="12" customHeight="1">
      <c r="C28" s="419" t="s">
        <v>3038</v>
      </c>
      <c r="E28" s="419" t="str">
        <f>Overview!$C$9</f>
        <v>&lt;&lt;Select&gt;&gt;</v>
      </c>
    </row>
    <row r="29" spans="1:8" ht="3" customHeight="1">
      <c r="H29" s="420"/>
    </row>
    <row r="30" spans="1:8" ht="12" customHeight="1">
      <c r="A30" s="419">
        <v>6</v>
      </c>
      <c r="C30" s="419" t="s">
        <v>2667</v>
      </c>
      <c r="E30" s="419" t="s">
        <v>2138</v>
      </c>
      <c r="F30" s="444" t="e">
        <f>'Part III-Sources of Funds'!#REF!</f>
        <v>#REF!</v>
      </c>
      <c r="G30" s="419" t="s">
        <v>2668</v>
      </c>
    </row>
    <row r="31" spans="1:8" ht="12" customHeight="1">
      <c r="F31" s="444" t="s">
        <v>2669</v>
      </c>
      <c r="G31" s="419" t="s">
        <v>2670</v>
      </c>
    </row>
    <row r="32" spans="1:8" ht="3" customHeight="1">
      <c r="F32" s="426"/>
    </row>
    <row r="33" spans="1:7" ht="12" customHeight="1">
      <c r="A33" s="419">
        <v>7</v>
      </c>
      <c r="C33" s="419" t="s">
        <v>2671</v>
      </c>
      <c r="F33" s="446">
        <v>0</v>
      </c>
    </row>
    <row r="34" spans="1:7" ht="3" customHeight="1">
      <c r="F34" s="426"/>
    </row>
    <row r="35" spans="1:7" ht="12" customHeight="1">
      <c r="A35" s="419">
        <v>8</v>
      </c>
      <c r="C35" s="419" t="s">
        <v>2672</v>
      </c>
      <c r="E35" s="419" t="s">
        <v>2138</v>
      </c>
      <c r="F35" s="445">
        <v>0.01</v>
      </c>
    </row>
    <row r="36" spans="1:7" ht="3" customHeight="1">
      <c r="F36" s="446"/>
    </row>
    <row r="37" spans="1:7" ht="12" customHeight="1">
      <c r="A37" s="419">
        <v>9</v>
      </c>
      <c r="C37" s="419" t="s">
        <v>2673</v>
      </c>
      <c r="F37" s="447">
        <v>24</v>
      </c>
      <c r="G37" s="419" t="s">
        <v>2674</v>
      </c>
    </row>
    <row r="38" spans="1:7" ht="3" customHeight="1">
      <c r="F38" s="446"/>
    </row>
    <row r="39" spans="1:7" ht="12" customHeight="1">
      <c r="A39" s="419">
        <v>10</v>
      </c>
      <c r="C39" s="419" t="s">
        <v>2675</v>
      </c>
      <c r="E39" s="419" t="s">
        <v>2138</v>
      </c>
      <c r="F39" s="426">
        <f>'Part III-Sources of Funds'!L18*12</f>
        <v>0</v>
      </c>
      <c r="G39" s="419" t="s">
        <v>2674</v>
      </c>
    </row>
    <row r="40" spans="1:7" ht="3" customHeight="1">
      <c r="F40" s="426"/>
    </row>
    <row r="41" spans="1:7" ht="12" customHeight="1">
      <c r="A41" s="419">
        <v>11</v>
      </c>
      <c r="C41" s="419" t="s">
        <v>2676</v>
      </c>
      <c r="F41" s="453">
        <v>24</v>
      </c>
      <c r="G41" s="419" t="s">
        <v>2674</v>
      </c>
    </row>
    <row r="42" spans="1:7" ht="3" customHeight="1"/>
    <row r="43" spans="1:7" ht="12" customHeight="1">
      <c r="A43" s="419">
        <v>12</v>
      </c>
      <c r="C43" s="419" t="s">
        <v>2677</v>
      </c>
      <c r="F43" s="455" t="s">
        <v>2678</v>
      </c>
    </row>
    <row r="44" spans="1:7" ht="3" customHeight="1"/>
    <row r="45" spans="1:7" ht="12" customHeight="1">
      <c r="A45" s="419">
        <v>13</v>
      </c>
      <c r="C45" s="419" t="s">
        <v>2679</v>
      </c>
      <c r="E45" s="419" t="s">
        <v>2138</v>
      </c>
      <c r="F45" s="443" t="s">
        <v>2680</v>
      </c>
    </row>
    <row r="46" spans="1:7" ht="3" customHeight="1">
      <c r="F46" s="560"/>
    </row>
    <row r="47" spans="1:7" ht="12" customHeight="1">
      <c r="A47" s="419">
        <v>14</v>
      </c>
      <c r="C47" s="419" t="s">
        <v>2681</v>
      </c>
      <c r="E47" s="443">
        <f>'Part II-Development Team'!H14</f>
        <v>0</v>
      </c>
    </row>
    <row r="48" spans="1:7" ht="3" customHeight="1">
      <c r="E48" s="443"/>
    </row>
    <row r="49" spans="1:7" ht="12" customHeight="1">
      <c r="A49" s="419">
        <v>15</v>
      </c>
      <c r="C49" s="419" t="s">
        <v>2682</v>
      </c>
      <c r="E49" s="443">
        <f>'Part II-Development Team'!Q98</f>
        <v>0</v>
      </c>
    </row>
    <row r="50" spans="1:7" ht="12" customHeight="1">
      <c r="C50" s="419" t="s">
        <v>2683</v>
      </c>
      <c r="E50" s="443">
        <f>'Part II-Development Team'!O102</f>
        <v>0</v>
      </c>
      <c r="F50" s="426"/>
    </row>
    <row r="51" spans="1:7" ht="3" customHeight="1">
      <c r="F51" s="426"/>
    </row>
    <row r="52" spans="1:7" ht="12" customHeight="1">
      <c r="A52" s="419">
        <v>16</v>
      </c>
      <c r="C52" s="419" t="s">
        <v>2684</v>
      </c>
      <c r="F52" s="426" t="e">
        <f>#REF!</f>
        <v>#REF!</v>
      </c>
    </row>
    <row r="53" spans="1:7" ht="3" customHeight="1">
      <c r="F53" s="426"/>
    </row>
    <row r="54" spans="1:7" ht="12" customHeight="1">
      <c r="A54" s="448">
        <v>17</v>
      </c>
      <c r="B54" s="448"/>
      <c r="C54" s="448" t="s">
        <v>2685</v>
      </c>
      <c r="D54" s="448"/>
      <c r="E54" s="448"/>
      <c r="F54" s="545" t="e">
        <f>'Subsidy Layering WS'!D12</f>
        <v>#REF!</v>
      </c>
      <c r="G54" s="448"/>
    </row>
    <row r="55" spans="1:7" ht="3" customHeight="1">
      <c r="F55" s="426"/>
    </row>
    <row r="56" spans="1:7" ht="12" customHeight="1">
      <c r="A56" s="419">
        <v>18</v>
      </c>
      <c r="C56" s="419" t="s">
        <v>2686</v>
      </c>
      <c r="E56" s="419" t="s">
        <v>2224</v>
      </c>
      <c r="F56" s="426" t="e">
        <f>#REF!</f>
        <v>#REF!</v>
      </c>
    </row>
    <row r="57" spans="1:7" ht="3" customHeight="1">
      <c r="F57" s="426"/>
    </row>
    <row r="58" spans="1:7" ht="12" customHeight="1">
      <c r="A58" s="419">
        <v>19</v>
      </c>
      <c r="C58" s="419" t="s">
        <v>2687</v>
      </c>
      <c r="F58" s="454"/>
      <c r="G58" s="419" t="s">
        <v>3040</v>
      </c>
    </row>
    <row r="59" spans="1:7" ht="3" customHeight="1">
      <c r="F59" s="426"/>
    </row>
    <row r="60" spans="1:7" ht="12" customHeight="1">
      <c r="A60" s="419">
        <v>20</v>
      </c>
      <c r="C60" s="419" t="s">
        <v>2688</v>
      </c>
      <c r="F60" s="449" t="e">
        <f>#REF!</f>
        <v>#REF!</v>
      </c>
      <c r="G60" s="448">
        <v>300</v>
      </c>
    </row>
    <row r="61" spans="1:7" ht="3" customHeight="1"/>
    <row r="62" spans="1:7" ht="12" customHeight="1">
      <c r="A62" s="419">
        <v>21</v>
      </c>
      <c r="C62" s="419" t="s">
        <v>3058</v>
      </c>
      <c r="E62" s="421" t="s">
        <v>3041</v>
      </c>
      <c r="F62" s="546" t="s">
        <v>3042</v>
      </c>
      <c r="G62" s="421" t="s">
        <v>2689</v>
      </c>
    </row>
    <row r="63" spans="1:7" ht="12" customHeight="1">
      <c r="E63" s="421" t="s">
        <v>3041</v>
      </c>
      <c r="F63" s="546" t="s">
        <v>3042</v>
      </c>
      <c r="G63" s="421"/>
    </row>
    <row r="64" spans="1:7" ht="3" customHeight="1"/>
    <row r="65" spans="1:6" ht="12" customHeight="1">
      <c r="A65" s="419">
        <v>22</v>
      </c>
      <c r="C65" s="419" t="s">
        <v>2690</v>
      </c>
      <c r="E65" s="443" t="str">
        <f>Overview!H9</f>
        <v>(Enter name as it will appear on all legal documents)</v>
      </c>
    </row>
    <row r="66" spans="1:6" ht="3" customHeight="1"/>
    <row r="67" spans="1:6" ht="12" customHeight="1">
      <c r="A67" s="419">
        <v>23</v>
      </c>
      <c r="C67" s="419" t="s">
        <v>2691</v>
      </c>
      <c r="F67" s="426" t="s">
        <v>2692</v>
      </c>
    </row>
    <row r="68" spans="1:6" ht="3" customHeight="1"/>
    <row r="69" spans="1:6" ht="12" customHeight="1">
      <c r="A69" s="419">
        <v>24</v>
      </c>
      <c r="C69" s="419" t="s">
        <v>2693</v>
      </c>
      <c r="E69" s="419" t="s">
        <v>2138</v>
      </c>
      <c r="F69" s="426">
        <v>20</v>
      </c>
    </row>
    <row r="70" spans="1:6" ht="3" customHeight="1"/>
    <row r="71" spans="1:6" ht="12" customHeight="1">
      <c r="A71" s="419">
        <v>25</v>
      </c>
      <c r="C71" s="419" t="s">
        <v>2694</v>
      </c>
      <c r="F71" s="450">
        <f>'Part IV-Uses of Funds'!$G$117</f>
        <v>0</v>
      </c>
    </row>
    <row r="72" spans="1:6" ht="3" customHeight="1">
      <c r="F72" s="450"/>
    </row>
    <row r="73" spans="1:6" ht="12" customHeight="1">
      <c r="A73" s="419">
        <v>26</v>
      </c>
      <c r="C73" s="419" t="s">
        <v>2695</v>
      </c>
      <c r="F73" s="450">
        <f>'Part IV-Uses of Funds'!$G$118</f>
        <v>0</v>
      </c>
    </row>
    <row r="74" spans="1:6" ht="3" customHeight="1">
      <c r="F74" s="450"/>
    </row>
    <row r="75" spans="1:6" ht="12" customHeight="1">
      <c r="A75" s="419">
        <v>27</v>
      </c>
      <c r="C75" s="419" t="s">
        <v>2696</v>
      </c>
      <c r="F75" s="451">
        <f>'Part IV-Uses of Funds'!$G$116</f>
        <v>0</v>
      </c>
    </row>
    <row r="76" spans="1:6" ht="3" customHeight="1">
      <c r="F76" s="450"/>
    </row>
    <row r="77" spans="1:6" ht="12" customHeight="1">
      <c r="A77" s="419">
        <v>28</v>
      </c>
      <c r="C77" s="419" t="s">
        <v>2697</v>
      </c>
      <c r="F77" s="459"/>
    </row>
  </sheetData>
  <sheetProtection password="F722" sheet="1" objects="1" scenarios="1"/>
  <mergeCells count="3">
    <mergeCell ref="A1:H1"/>
    <mergeCell ref="A3:H3"/>
    <mergeCell ref="E9:F9"/>
  </mergeCells>
  <dataValidations count="2">
    <dataValidation type="list" allowBlank="1" showInputMessage="1" showErrorMessage="1" sqref="F67" xr:uid="{00000000-0002-0000-1200-000000000000}">
      <formula1>$J$49:$J$49</formula1>
    </dataValidation>
    <dataValidation type="list" allowBlank="1" showInputMessage="1" showErrorMessage="1" sqref="E27" xr:uid="{00000000-0002-0000-1200-000001000000}">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29"/>
  <sheetViews>
    <sheetView showGridLines="0" zoomScaleNormal="100" workbookViewId="0">
      <selection activeCell="L11" sqref="L11"/>
    </sheetView>
  </sheetViews>
  <sheetFormatPr defaultColWidth="9.140625" defaultRowHeight="12.75"/>
  <cols>
    <col min="1" max="1" width="9.7109375" style="845" customWidth="1"/>
    <col min="2" max="2" width="26.7109375" style="845" customWidth="1"/>
    <col min="3" max="3" width="62.85546875" style="845" customWidth="1"/>
    <col min="4" max="4" width="1.7109375" style="845" customWidth="1"/>
    <col min="5" max="5" width="10.85546875" style="845" customWidth="1"/>
    <col min="6" max="6" width="1.7109375" style="845" customWidth="1"/>
    <col min="7" max="7" width="10.85546875" style="845" customWidth="1"/>
    <col min="8" max="8" width="2.42578125" style="845" customWidth="1"/>
    <col min="9" max="32" width="4.7109375" style="845" customWidth="1"/>
    <col min="33" max="16384" width="9.140625" style="845"/>
  </cols>
  <sheetData>
    <row r="1" spans="1:26" ht="15.75">
      <c r="A1" s="1834" t="s">
        <v>3233</v>
      </c>
      <c r="B1" s="1834"/>
      <c r="C1" s="1834"/>
      <c r="D1" s="1834"/>
      <c r="E1" s="1834"/>
      <c r="F1" s="1834"/>
      <c r="G1" s="1834"/>
      <c r="H1" s="977"/>
      <c r="I1" s="977"/>
      <c r="J1" s="977"/>
      <c r="K1" s="977"/>
      <c r="L1" s="977"/>
      <c r="M1" s="977"/>
      <c r="N1" s="977"/>
      <c r="O1" s="977"/>
      <c r="P1" s="977"/>
      <c r="Q1" s="977"/>
      <c r="R1" s="977"/>
      <c r="S1" s="977"/>
      <c r="T1" s="977"/>
      <c r="U1" s="977"/>
      <c r="V1" s="977"/>
      <c r="W1" s="977"/>
      <c r="X1" s="977"/>
      <c r="Y1" s="977"/>
      <c r="Z1" s="977"/>
    </row>
    <row r="2" spans="1:26" ht="6" customHeight="1"/>
    <row r="3" spans="1:26" ht="52.5" customHeight="1">
      <c r="A3" s="1835" t="s">
        <v>3786</v>
      </c>
      <c r="B3" s="1835"/>
      <c r="C3" s="1835"/>
      <c r="D3" s="1835"/>
      <c r="E3" s="1835"/>
      <c r="F3" s="1835"/>
      <c r="G3" s="1835"/>
      <c r="H3" s="978"/>
      <c r="I3" s="978"/>
      <c r="J3" s="978"/>
      <c r="K3" s="978"/>
      <c r="L3" s="978"/>
      <c r="M3" s="978"/>
      <c r="N3" s="978"/>
      <c r="O3" s="978"/>
      <c r="P3" s="978"/>
      <c r="Q3" s="978"/>
      <c r="R3" s="978"/>
      <c r="S3" s="978"/>
      <c r="T3" s="978"/>
      <c r="U3" s="978"/>
      <c r="V3" s="978"/>
      <c r="W3" s="978"/>
      <c r="X3" s="978"/>
      <c r="Y3" s="978"/>
      <c r="Z3" s="978"/>
    </row>
    <row r="4" spans="1:26" ht="36.75" customHeight="1">
      <c r="A4" s="984" t="s">
        <v>3234</v>
      </c>
      <c r="B4" s="927" t="s">
        <v>3235</v>
      </c>
      <c r="E4" s="985" t="s">
        <v>3236</v>
      </c>
      <c r="F4" s="985"/>
      <c r="G4" s="985" t="s">
        <v>3237</v>
      </c>
    </row>
    <row r="5" spans="1:26" s="989" customFormat="1" ht="16.5" customHeight="1">
      <c r="A5" s="986" t="s">
        <v>1789</v>
      </c>
      <c r="B5" s="987" t="s">
        <v>3238</v>
      </c>
      <c r="C5" s="988"/>
      <c r="E5" s="1470"/>
      <c r="F5" s="988"/>
      <c r="G5" s="1473"/>
    </row>
    <row r="6" spans="1:26" s="989" customFormat="1" ht="16.5" customHeight="1">
      <c r="A6" s="986">
        <v>2</v>
      </c>
      <c r="B6" s="987" t="s">
        <v>3117</v>
      </c>
      <c r="C6" s="988"/>
      <c r="E6" s="1471"/>
      <c r="F6" s="988"/>
      <c r="G6" s="1474"/>
    </row>
    <row r="7" spans="1:26" s="989" customFormat="1" ht="16.5" customHeight="1">
      <c r="A7" s="986">
        <v>3</v>
      </c>
      <c r="B7" s="987" t="s">
        <v>3239</v>
      </c>
      <c r="C7" s="988"/>
      <c r="E7" s="1471"/>
      <c r="F7" s="988"/>
      <c r="G7" s="1474"/>
    </row>
    <row r="8" spans="1:26" s="989" customFormat="1" ht="16.5" customHeight="1">
      <c r="A8" s="986">
        <v>4</v>
      </c>
      <c r="B8" s="987" t="s">
        <v>3111</v>
      </c>
      <c r="C8" s="988"/>
      <c r="E8" s="1471"/>
      <c r="F8" s="988"/>
      <c r="G8" s="1474"/>
    </row>
    <row r="9" spans="1:26" s="989" customFormat="1" ht="16.5" customHeight="1">
      <c r="A9" s="986">
        <v>5</v>
      </c>
      <c r="B9" s="987" t="s">
        <v>3240</v>
      </c>
      <c r="C9" s="988"/>
      <c r="E9" s="1471"/>
      <c r="F9" s="988"/>
      <c r="G9" s="1474"/>
    </row>
    <row r="10" spans="1:26" s="989" customFormat="1" ht="16.5" customHeight="1">
      <c r="A10" s="986">
        <v>6</v>
      </c>
      <c r="B10" s="987" t="s">
        <v>3118</v>
      </c>
      <c r="C10" s="988"/>
      <c r="E10" s="1471"/>
      <c r="F10" s="988"/>
      <c r="G10" s="1474"/>
    </row>
    <row r="11" spans="1:26" s="989" customFormat="1" ht="16.5" customHeight="1">
      <c r="A11" s="986">
        <v>7</v>
      </c>
      <c r="B11" s="987" t="s">
        <v>3124</v>
      </c>
      <c r="C11" s="988"/>
      <c r="E11" s="1471"/>
      <c r="F11" s="988"/>
      <c r="G11" s="1474"/>
    </row>
    <row r="12" spans="1:26" s="989" customFormat="1" ht="16.5" customHeight="1">
      <c r="A12" s="986">
        <v>8</v>
      </c>
      <c r="B12" s="987" t="s">
        <v>3120</v>
      </c>
      <c r="C12" s="988"/>
      <c r="E12" s="1471"/>
      <c r="F12" s="988"/>
      <c r="G12" s="1474"/>
    </row>
    <row r="13" spans="1:26" s="989" customFormat="1" ht="16.5" customHeight="1">
      <c r="A13" s="986">
        <v>9</v>
      </c>
      <c r="B13" s="987" t="s">
        <v>3241</v>
      </c>
      <c r="C13" s="988"/>
      <c r="E13" s="1471"/>
      <c r="F13" s="988"/>
      <c r="G13" s="1474"/>
    </row>
    <row r="14" spans="1:26" s="989" customFormat="1" ht="16.5" customHeight="1">
      <c r="A14" s="986" t="s">
        <v>199</v>
      </c>
      <c r="B14" s="987" t="s">
        <v>3113</v>
      </c>
      <c r="C14" s="988"/>
      <c r="E14" s="1471"/>
      <c r="F14" s="988"/>
      <c r="G14" s="1474"/>
    </row>
    <row r="15" spans="1:26" s="989" customFormat="1" ht="16.5" customHeight="1">
      <c r="A15" s="986" t="s">
        <v>200</v>
      </c>
      <c r="B15" s="987" t="s">
        <v>3121</v>
      </c>
      <c r="C15" s="988"/>
      <c r="E15" s="1471"/>
      <c r="F15" s="988"/>
      <c r="G15" s="1474"/>
    </row>
    <row r="16" spans="1:26" s="989" customFormat="1" ht="16.5" customHeight="1">
      <c r="A16" s="986" t="s">
        <v>216</v>
      </c>
      <c r="B16" s="987" t="s">
        <v>3122</v>
      </c>
      <c r="C16" s="988"/>
      <c r="E16" s="1471"/>
      <c r="F16" s="988"/>
      <c r="G16" s="1474"/>
    </row>
    <row r="17" spans="1:7" s="989" customFormat="1" ht="16.5" customHeight="1">
      <c r="A17" s="986" t="s">
        <v>217</v>
      </c>
      <c r="B17" s="987" t="s">
        <v>3242</v>
      </c>
      <c r="C17" s="988"/>
      <c r="E17" s="1472"/>
      <c r="F17" s="988"/>
      <c r="G17" s="1475"/>
    </row>
    <row r="18" spans="1:7" ht="16.5" customHeight="1">
      <c r="A18" s="980"/>
      <c r="B18" s="990" t="s">
        <v>3243</v>
      </c>
    </row>
    <row r="19" spans="1:7" s="989" customFormat="1" ht="16.5" customHeight="1">
      <c r="A19" s="986" t="s">
        <v>1296</v>
      </c>
      <c r="B19" s="987" t="s">
        <v>3123</v>
      </c>
      <c r="C19" s="988"/>
      <c r="E19" s="1470"/>
      <c r="F19" s="988"/>
      <c r="G19" s="1473"/>
    </row>
    <row r="20" spans="1:7" s="989" customFormat="1" ht="16.5" customHeight="1">
      <c r="A20" s="986" t="s">
        <v>1499</v>
      </c>
      <c r="B20" s="987" t="s">
        <v>3244</v>
      </c>
      <c r="C20" s="988"/>
      <c r="E20" s="1471"/>
      <c r="F20" s="988"/>
      <c r="G20" s="1474"/>
    </row>
    <row r="21" spans="1:7" s="989" customFormat="1" ht="16.5" customHeight="1">
      <c r="A21" s="986" t="s">
        <v>1500</v>
      </c>
      <c r="B21" s="987" t="s">
        <v>3112</v>
      </c>
      <c r="C21" s="988"/>
      <c r="E21" s="1471"/>
      <c r="F21" s="988"/>
      <c r="G21" s="1474"/>
    </row>
    <row r="22" spans="1:7" s="989" customFormat="1" ht="16.5" customHeight="1">
      <c r="A22" s="986" t="s">
        <v>1501</v>
      </c>
      <c r="B22" s="987" t="s">
        <v>3245</v>
      </c>
      <c r="C22" s="988"/>
      <c r="E22" s="1471"/>
      <c r="F22" s="988"/>
      <c r="G22" s="1474"/>
    </row>
    <row r="23" spans="1:7" s="989" customFormat="1" ht="16.5" customHeight="1">
      <c r="A23" s="986" t="s">
        <v>1502</v>
      </c>
      <c r="B23" s="987" t="s">
        <v>3119</v>
      </c>
      <c r="C23" s="988"/>
      <c r="E23" s="1471"/>
      <c r="F23" s="988"/>
      <c r="G23" s="1474"/>
    </row>
    <row r="24" spans="1:7" s="989" customFormat="1" ht="16.5" customHeight="1">
      <c r="A24" s="991" t="s">
        <v>1503</v>
      </c>
      <c r="B24" s="992" t="s">
        <v>3246</v>
      </c>
      <c r="C24" s="992"/>
      <c r="D24" s="988"/>
      <c r="E24" s="1472"/>
      <c r="F24" s="988"/>
      <c r="G24" s="1475"/>
    </row>
    <row r="25" spans="1:7" s="989" customFormat="1" ht="24.75" customHeight="1">
      <c r="A25" s="991"/>
      <c r="B25" s="1836" t="s">
        <v>3247</v>
      </c>
      <c r="C25" s="1836"/>
    </row>
    <row r="26" spans="1:7" s="989" customFormat="1" ht="16.5" customHeight="1">
      <c r="A26" s="991" t="s">
        <v>2409</v>
      </c>
      <c r="B26" s="987" t="s">
        <v>3248</v>
      </c>
      <c r="C26" s="993"/>
      <c r="E26" s="1470"/>
      <c r="G26" s="1473"/>
    </row>
    <row r="27" spans="1:7" s="989" customFormat="1" ht="16.5" customHeight="1">
      <c r="A27" s="991" t="s">
        <v>2410</v>
      </c>
      <c r="B27" s="990" t="s">
        <v>3249</v>
      </c>
      <c r="C27" s="994"/>
      <c r="E27" s="1472"/>
      <c r="F27" s="988"/>
      <c r="G27" s="1475"/>
    </row>
    <row r="28" spans="1:7" ht="6" customHeight="1">
      <c r="B28" s="977"/>
    </row>
    <row r="29" spans="1:7" ht="30.6" customHeight="1">
      <c r="A29" s="995" t="s">
        <v>3780</v>
      </c>
      <c r="B29" s="995"/>
      <c r="C29" s="978"/>
      <c r="E29" s="978"/>
      <c r="F29" s="978"/>
      <c r="G29" s="978"/>
    </row>
  </sheetData>
  <sheetProtection algorithmName="SHA-512" hashValue="7Sj3k07jdH8mbqIm+k2VivPUT73uLZWIj5P7v6YNvMIsV9og2RTdCjZNu/K9qGEMVnOa5cyiN+UTZr4hEUcztQ==" saltValue="M0zEZT5Wil3KW1r1uOG1Sw==" spinCount="100000" sheet="1" objects="1" scenarios="1" formatRows="0"/>
  <mergeCells count="3">
    <mergeCell ref="A1:G1"/>
    <mergeCell ref="A3:G3"/>
    <mergeCell ref="B25:C25"/>
  </mergeCells>
  <printOptions horizontalCentered="1"/>
  <pageMargins left="0.5" right="0.5" top="0.75" bottom="0.5" header="0.5" footer="0.25"/>
  <pageSetup orientation="landscape" r:id="rId1"/>
  <headerFooter alignWithMargins="0">
    <oddHeader>&amp;LGeorgia Department of Community Affairs&amp;ROffice of Housing Finance</oddHeader>
    <oddFooter>&amp;C&amp;8Final Allocation Application Documents Checklist</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dimension ref="A1:M215"/>
  <sheetViews>
    <sheetView showGridLines="0" workbookViewId="0">
      <selection sqref="A1:XFD1048576"/>
    </sheetView>
  </sheetViews>
  <sheetFormatPr defaultColWidth="9.140625" defaultRowHeight="12.75"/>
  <cols>
    <col min="1" max="1" width="23.5703125" style="705" customWidth="1"/>
    <col min="2" max="2" width="11" style="705" customWidth="1"/>
    <col min="3" max="3" width="31.140625" style="705" customWidth="1"/>
    <col min="4" max="4" width="14" style="705" customWidth="1"/>
    <col min="5" max="5" width="13" style="705" customWidth="1"/>
    <col min="6" max="6" width="10.85546875" style="705" customWidth="1"/>
    <col min="7" max="8" width="9.7109375" style="705" customWidth="1"/>
    <col min="9" max="10" width="2.28515625" style="705" customWidth="1"/>
    <col min="11" max="16384" width="9.140625" style="705"/>
  </cols>
  <sheetData>
    <row r="1" spans="1:10" ht="15">
      <c r="A1" s="2517" t="s">
        <v>2900</v>
      </c>
      <c r="B1" s="2517"/>
      <c r="C1" s="2517"/>
      <c r="D1" s="2517"/>
      <c r="E1" s="2517"/>
      <c r="F1" s="2517"/>
      <c r="G1" s="2517"/>
      <c r="H1" s="2517"/>
      <c r="I1" s="2517"/>
      <c r="J1" s="2517"/>
    </row>
    <row r="2" spans="1:10" ht="15">
      <c r="A2" s="2517" t="str">
        <f>Overview!E8&amp;"  "&amp;Overview!C8</f>
        <v>20##-###  SB OHF Test Villas</v>
      </c>
      <c r="B2" s="2517"/>
      <c r="C2" s="2517"/>
      <c r="D2" s="2517"/>
      <c r="E2" s="2517"/>
      <c r="F2" s="2517"/>
      <c r="G2" s="2517"/>
      <c r="H2" s="2517"/>
      <c r="I2" s="2517"/>
      <c r="J2" s="2517"/>
    </row>
    <row r="3" spans="1:10" ht="6" customHeight="1"/>
    <row r="4" spans="1:10" ht="12" customHeight="1">
      <c r="A4" s="751" t="s">
        <v>2698</v>
      </c>
    </row>
    <row r="5" spans="1:10" ht="12" customHeight="1">
      <c r="A5" s="705" t="s">
        <v>2699</v>
      </c>
      <c r="C5" s="752" t="str">
        <f>'Subsidy Layering Memo'!D6</f>
        <v>(Underwriter)</v>
      </c>
      <c r="F5" s="2520" t="s">
        <v>2654</v>
      </c>
      <c r="G5" s="2520"/>
      <c r="H5" s="2520"/>
      <c r="I5" s="752"/>
    </row>
    <row r="6" spans="1:10" ht="6" customHeight="1">
      <c r="C6" s="638"/>
      <c r="D6" s="752"/>
      <c r="I6" s="752"/>
    </row>
    <row r="7" spans="1:10" ht="12" customHeight="1">
      <c r="A7" s="751" t="s">
        <v>2700</v>
      </c>
      <c r="C7" s="638"/>
      <c r="D7" s="752"/>
      <c r="I7" s="752"/>
    </row>
    <row r="8" spans="1:10" ht="12" customHeight="1">
      <c r="A8" s="705" t="s">
        <v>2701</v>
      </c>
      <c r="C8" s="752" t="str">
        <f>Overview!$H$9</f>
        <v>(Enter name as it will appear on all legal documents)</v>
      </c>
      <c r="I8" s="752"/>
    </row>
    <row r="9" spans="1:10" ht="3" customHeight="1">
      <c r="C9" s="638"/>
      <c r="D9" s="752"/>
      <c r="I9" s="752"/>
    </row>
    <row r="10" spans="1:10" ht="12" customHeight="1">
      <c r="A10" s="705" t="s">
        <v>2702</v>
      </c>
      <c r="C10" s="638" t="s">
        <v>1595</v>
      </c>
      <c r="I10" s="752"/>
    </row>
    <row r="11" spans="1:10" ht="12" customHeight="1">
      <c r="C11" s="638" t="s">
        <v>1595</v>
      </c>
      <c r="I11" s="752"/>
    </row>
    <row r="12" spans="1:10" ht="12" customHeight="1">
      <c r="C12" s="752" t="s">
        <v>2334</v>
      </c>
      <c r="D12" s="753" t="s">
        <v>1595</v>
      </c>
      <c r="I12" s="752"/>
    </row>
    <row r="13" spans="1:10" ht="12" customHeight="1">
      <c r="C13" s="752" t="s">
        <v>2703</v>
      </c>
      <c r="D13" s="754"/>
      <c r="I13" s="752"/>
    </row>
    <row r="14" spans="1:10" ht="3" customHeight="1">
      <c r="G14" s="638"/>
      <c r="H14" s="752"/>
      <c r="I14" s="752"/>
    </row>
    <row r="15" spans="1:10" ht="12" customHeight="1">
      <c r="A15" s="705" t="s">
        <v>2704</v>
      </c>
      <c r="C15" s="755">
        <f>'Part II-Development Team'!$Q$5</f>
        <v>0</v>
      </c>
      <c r="G15" s="638"/>
      <c r="I15" s="752"/>
    </row>
    <row r="16" spans="1:10" ht="12" customHeight="1">
      <c r="A16" s="756" t="s">
        <v>1782</v>
      </c>
      <c r="C16" s="755">
        <f>'Part II-Development Team'!$Q$6</f>
        <v>0</v>
      </c>
      <c r="G16" s="638"/>
      <c r="I16" s="752"/>
    </row>
    <row r="17" spans="1:9" ht="3" customHeight="1">
      <c r="G17" s="638"/>
      <c r="H17" s="752"/>
      <c r="I17" s="752"/>
    </row>
    <row r="18" spans="1:9" ht="12" customHeight="1">
      <c r="A18" s="705" t="s">
        <v>2705</v>
      </c>
      <c r="C18" s="755">
        <f>'Preview term'!$E$7</f>
        <v>0</v>
      </c>
      <c r="G18" s="638"/>
      <c r="I18" s="752"/>
    </row>
    <row r="19" spans="1:9" ht="12" customHeight="1">
      <c r="C19" s="755" t="str">
        <f>'Preview term'!$E$8</f>
        <v xml:space="preserve">,  </v>
      </c>
      <c r="G19" s="638"/>
      <c r="I19" s="752"/>
    </row>
    <row r="20" spans="1:9" ht="3" customHeight="1">
      <c r="G20" s="638"/>
      <c r="H20" s="752"/>
      <c r="I20" s="752"/>
    </row>
    <row r="21" spans="1:9" ht="12" customHeight="1">
      <c r="A21" s="705" t="s">
        <v>2706</v>
      </c>
      <c r="C21" s="755">
        <f>'Preview term'!$E$49</f>
        <v>0</v>
      </c>
      <c r="G21" s="638"/>
      <c r="I21" s="752"/>
    </row>
    <row r="22" spans="1:9" ht="3" customHeight="1">
      <c r="C22" s="755"/>
      <c r="G22" s="638"/>
      <c r="I22" s="752"/>
    </row>
    <row r="23" spans="1:9" ht="12" customHeight="1">
      <c r="A23" s="705" t="s">
        <v>2707</v>
      </c>
      <c r="C23" s="755">
        <f>'Part II-Development Team'!$H$102</f>
        <v>0</v>
      </c>
      <c r="G23" s="638"/>
      <c r="I23" s="752"/>
    </row>
    <row r="24" spans="1:9" ht="3" customHeight="1">
      <c r="C24" s="755"/>
      <c r="G24" s="638"/>
      <c r="I24" s="752"/>
    </row>
    <row r="25" spans="1:9" ht="12" customHeight="1">
      <c r="A25" s="705" t="s">
        <v>2708</v>
      </c>
      <c r="C25" s="547">
        <f>'Preview term'!$E$50</f>
        <v>0</v>
      </c>
      <c r="G25" s="638"/>
    </row>
    <row r="26" spans="1:9" ht="6" customHeight="1">
      <c r="G26" s="638"/>
      <c r="H26" s="752"/>
      <c r="I26" s="752"/>
    </row>
    <row r="27" spans="1:9" ht="12" customHeight="1">
      <c r="A27" s="751" t="s">
        <v>2709</v>
      </c>
      <c r="G27" s="638"/>
      <c r="H27" s="752"/>
      <c r="I27" s="752"/>
    </row>
    <row r="28" spans="1:9" ht="12" customHeight="1">
      <c r="A28" s="705" t="s">
        <v>2710</v>
      </c>
      <c r="C28" s="755" t="str">
        <f>Overview!$C$8</f>
        <v>SB OHF Test Villas</v>
      </c>
      <c r="I28" s="752"/>
    </row>
    <row r="29" spans="1:9" ht="3" customHeight="1">
      <c r="C29" s="755"/>
      <c r="I29" s="752"/>
    </row>
    <row r="30" spans="1:9" ht="12" customHeight="1">
      <c r="A30" s="705" t="s">
        <v>2711</v>
      </c>
      <c r="C30" s="755">
        <f>'Preview term'!E16</f>
        <v>0</v>
      </c>
      <c r="I30" s="752"/>
    </row>
    <row r="31" spans="1:9">
      <c r="C31" s="752" t="str">
        <f>'Preview term'!E17</f>
        <v xml:space="preserve">Peachtree Corners, Gwinnett </v>
      </c>
      <c r="I31" s="752"/>
    </row>
    <row r="32" spans="1:9" ht="3" customHeight="1">
      <c r="C32" s="638"/>
      <c r="D32" s="638"/>
      <c r="I32" s="638"/>
    </row>
    <row r="33" spans="1:10" ht="12" customHeight="1">
      <c r="A33" s="705" t="s">
        <v>2712</v>
      </c>
      <c r="C33" s="638" t="s">
        <v>2713</v>
      </c>
      <c r="D33" s="757" t="e">
        <f>'Preview term'!F54</f>
        <v>#REF!</v>
      </c>
      <c r="I33" s="638"/>
    </row>
    <row r="34" spans="1:10" ht="12" customHeight="1">
      <c r="C34" s="638" t="s">
        <v>2714</v>
      </c>
      <c r="D34" s="758" t="e">
        <f>#REF!+#REF!</f>
        <v>#REF!</v>
      </c>
      <c r="I34" s="638"/>
    </row>
    <row r="35" spans="1:10" ht="12" customHeight="1">
      <c r="C35" s="638" t="s">
        <v>2715</v>
      </c>
      <c r="D35" s="759" t="e">
        <f>SUM(D33:D34)</f>
        <v>#REF!</v>
      </c>
      <c r="I35" s="638"/>
    </row>
    <row r="36" spans="1:10" ht="3" customHeight="1">
      <c r="C36" s="638"/>
      <c r="D36" s="638"/>
      <c r="I36" s="638"/>
    </row>
    <row r="37" spans="1:10" ht="12" customHeight="1">
      <c r="A37" s="705" t="s">
        <v>2716</v>
      </c>
      <c r="C37" s="638" t="s">
        <v>2550</v>
      </c>
      <c r="D37" s="760"/>
      <c r="I37" s="638"/>
    </row>
    <row r="38" spans="1:10" ht="12" customHeight="1">
      <c r="C38" s="638" t="s">
        <v>2553</v>
      </c>
      <c r="D38" s="761"/>
      <c r="I38" s="638"/>
    </row>
    <row r="39" spans="1:10" ht="12" customHeight="1">
      <c r="C39" s="638" t="s">
        <v>2717</v>
      </c>
      <c r="D39" s="762" t="e">
        <f>#REF!</f>
        <v>#REF!</v>
      </c>
      <c r="I39" s="638"/>
    </row>
    <row r="40" spans="1:10" ht="3" customHeight="1">
      <c r="G40" s="763"/>
      <c r="H40" s="638"/>
      <c r="I40" s="638"/>
    </row>
    <row r="41" spans="1:10" ht="25.5" customHeight="1">
      <c r="A41" s="764" t="s">
        <v>2718</v>
      </c>
      <c r="C41" s="2523" t="e">
        <f>IF('Part VI-B Project Cost Limit'!#REF!="Other - explain:","Community "&amp;'Part VI-B Project Cost Limit'!#REF!&amp;", "&amp;'Part VI-B Project Cost Limit'!#REF!&amp;", "&amp;'Part VI-B Project Cost Limit'!#REF!&amp;", "&amp;'Part VI-B Project Cost Limit'!#REF!&amp;", "&amp;'Part VI-B Project Cost Limit'!#REF!&amp;", "&amp;'Part VI-B Project Cost Limit'!#REF!&amp;", "&amp;'Part VI-B Project Cost Limit'!#REF!,"Community "&amp;'Part VI-B Project Cost Limit'!#REF!&amp;", "&amp;'Part VI-B Project Cost Limit'!#REF!&amp;", "&amp;'Part VI-B Project Cost Limit'!#REF!&amp;", "&amp;'Part VI-B Project Cost Limit'!#REF!&amp;", "&amp;'Part VI-B Project Cost Limit'!#REF!&amp;", "&amp;'Part VI-B Project Cost Limit'!#REF!&amp;", "&amp;'Part VI-B Project Cost Limit'!#REF!)</f>
        <v>#REF!</v>
      </c>
      <c r="D41" s="2523"/>
      <c r="E41" s="2523"/>
      <c r="F41" s="2523"/>
      <c r="G41" s="2523"/>
      <c r="H41" s="2523"/>
      <c r="I41" s="2523"/>
      <c r="J41" s="2523"/>
    </row>
    <row r="42" spans="1:10" ht="3" customHeight="1">
      <c r="G42" s="638"/>
      <c r="H42" s="638"/>
      <c r="I42" s="638"/>
    </row>
    <row r="43" spans="1:10" ht="25.5" customHeight="1">
      <c r="A43" s="764" t="s">
        <v>2719</v>
      </c>
      <c r="C43" s="2524" t="s">
        <v>3043</v>
      </c>
      <c r="D43" s="2524"/>
      <c r="E43" s="2524"/>
      <c r="F43" s="2524"/>
      <c r="G43" s="2524"/>
      <c r="H43" s="2524"/>
      <c r="I43" s="2524"/>
      <c r="J43" s="2524"/>
    </row>
    <row r="44" spans="1:10" ht="3" customHeight="1">
      <c r="C44" s="456"/>
      <c r="D44" s="456"/>
      <c r="E44" s="456"/>
      <c r="F44" s="456"/>
      <c r="G44" s="456"/>
      <c r="H44" s="457"/>
      <c r="I44" s="458"/>
      <c r="J44" s="457"/>
    </row>
    <row r="45" spans="1:10" ht="12" customHeight="1">
      <c r="A45" s="705" t="s">
        <v>2720</v>
      </c>
      <c r="C45" s="548" t="str">
        <f>'Part I-Project Information'!$J$28</f>
        <v>Gwinnett</v>
      </c>
      <c r="D45" s="456"/>
      <c r="F45" s="457"/>
      <c r="I45" s="458"/>
      <c r="J45" s="457"/>
    </row>
    <row r="46" spans="1:10" ht="3" customHeight="1">
      <c r="C46" s="456"/>
      <c r="D46" s="456"/>
      <c r="E46" s="456"/>
      <c r="F46" s="457"/>
      <c r="I46" s="458"/>
      <c r="J46" s="457"/>
    </row>
    <row r="47" spans="1:10" ht="12" customHeight="1">
      <c r="A47" s="705" t="s">
        <v>2721</v>
      </c>
      <c r="C47" s="638" t="str">
        <f>IF(Overview!C14="Family", "No",IF(Overview!C14="Elderly", "Yes - Age 62 election (Elderly)",IF(Overview!C14="HFOP", "Yes - Age 55 election (HFOP)",IF(Overview!C14="Other", "Other:  "&amp;'Part I-Project Information'!$N$71,'Part I-Project Information'!$H$71))))</f>
        <v>&lt;&lt;Select&gt;&gt;</v>
      </c>
      <c r="I47" s="458"/>
      <c r="J47" s="457"/>
    </row>
    <row r="48" spans="1:10" ht="3" customHeight="1">
      <c r="C48" s="638"/>
      <c r="D48" s="765"/>
      <c r="I48" s="638"/>
    </row>
    <row r="49" spans="1:10" ht="12" customHeight="1">
      <c r="A49" s="705" t="s">
        <v>2722</v>
      </c>
      <c r="C49" s="638" t="s">
        <v>2723</v>
      </c>
      <c r="D49" s="766">
        <v>2</v>
      </c>
      <c r="I49" s="767"/>
      <c r="J49" s="767"/>
    </row>
    <row r="50" spans="1:10" ht="3" customHeight="1">
      <c r="D50" s="767"/>
      <c r="E50" s="767"/>
      <c r="F50" s="767"/>
      <c r="G50" s="768"/>
      <c r="H50" s="638"/>
      <c r="I50" s="767"/>
      <c r="J50" s="767"/>
    </row>
    <row r="51" spans="1:10" ht="12" customHeight="1">
      <c r="B51" s="705" t="s">
        <v>2724</v>
      </c>
      <c r="C51" s="2524" t="s">
        <v>534</v>
      </c>
      <c r="D51" s="2524"/>
      <c r="E51" s="2524"/>
      <c r="F51" s="2524"/>
      <c r="G51" s="2524"/>
      <c r="H51" s="2524"/>
      <c r="I51" s="2524"/>
      <c r="J51" s="2524"/>
    </row>
    <row r="52" spans="1:10" ht="12" customHeight="1">
      <c r="C52" s="2525" t="s">
        <v>1627</v>
      </c>
      <c r="D52" s="2525"/>
      <c r="E52" s="2525"/>
      <c r="F52" s="2525"/>
      <c r="G52" s="2525"/>
      <c r="H52" s="2525"/>
      <c r="I52" s="2525"/>
      <c r="J52" s="2525"/>
    </row>
    <row r="53" spans="1:10" ht="3" customHeight="1">
      <c r="D53" s="767"/>
      <c r="E53" s="767"/>
      <c r="F53" s="767"/>
      <c r="G53" s="768"/>
      <c r="H53" s="638"/>
      <c r="I53" s="767"/>
      <c r="J53" s="767"/>
    </row>
    <row r="54" spans="1:10" ht="25.5" customHeight="1">
      <c r="A54" s="764" t="s">
        <v>2725</v>
      </c>
      <c r="B54" s="764"/>
      <c r="C54" s="769" t="s">
        <v>2726</v>
      </c>
      <c r="D54" s="769" t="s">
        <v>3044</v>
      </c>
      <c r="E54" s="2526"/>
      <c r="F54" s="2526"/>
      <c r="G54" s="2526"/>
      <c r="H54" s="2526"/>
      <c r="I54" s="2526"/>
      <c r="J54" s="2526"/>
    </row>
    <row r="55" spans="1:10" ht="12" customHeight="1">
      <c r="A55" s="764"/>
      <c r="B55" s="764"/>
      <c r="C55" s="764"/>
      <c r="D55" s="769" t="s">
        <v>3045</v>
      </c>
      <c r="E55" s="2527"/>
      <c r="F55" s="2527"/>
      <c r="G55" s="2527"/>
      <c r="H55" s="2527"/>
      <c r="I55" s="2527"/>
      <c r="J55" s="2527"/>
    </row>
    <row r="56" spans="1:10" ht="12" customHeight="1">
      <c r="A56" s="751" t="s">
        <v>2727</v>
      </c>
      <c r="G56" s="638"/>
      <c r="H56" s="638"/>
      <c r="I56" s="638"/>
    </row>
    <row r="57" spans="1:10" ht="18" customHeight="1">
      <c r="A57" s="705" t="s">
        <v>2728</v>
      </c>
      <c r="C57" s="753">
        <f>Overview!C10</f>
        <v>0</v>
      </c>
      <c r="G57" s="638"/>
      <c r="I57" s="638"/>
    </row>
    <row r="58" spans="1:10" ht="3" customHeight="1">
      <c r="C58" s="753"/>
      <c r="G58" s="638"/>
      <c r="I58" s="638"/>
    </row>
    <row r="59" spans="1:10" ht="12" customHeight="1">
      <c r="A59" s="705" t="s">
        <v>2729</v>
      </c>
      <c r="C59" s="753" t="str">
        <f>Overview!C11</f>
        <v/>
      </c>
      <c r="G59" s="638"/>
      <c r="I59" s="638"/>
    </row>
    <row r="60" spans="1:10" ht="3" customHeight="1">
      <c r="C60" s="753"/>
      <c r="G60" s="638"/>
      <c r="I60" s="638"/>
    </row>
    <row r="61" spans="1:10" ht="12" customHeight="1">
      <c r="A61" s="705" t="s">
        <v>2730</v>
      </c>
      <c r="C61" s="753" t="s">
        <v>2407</v>
      </c>
      <c r="G61" s="638"/>
      <c r="I61" s="638"/>
    </row>
    <row r="62" spans="1:10" ht="6" customHeight="1">
      <c r="G62" s="638"/>
      <c r="H62" s="638"/>
      <c r="I62" s="638"/>
    </row>
    <row r="63" spans="1:10" ht="12" customHeight="1">
      <c r="A63" s="751" t="s">
        <v>2731</v>
      </c>
      <c r="G63" s="638"/>
      <c r="H63" s="638"/>
      <c r="I63" s="638"/>
    </row>
    <row r="64" spans="1:10" ht="12" customHeight="1">
      <c r="A64" s="705" t="s">
        <v>2732</v>
      </c>
      <c r="C64" s="705" t="s">
        <v>2733</v>
      </c>
      <c r="D64" s="770" t="e">
        <f>'Preview term'!F30</f>
        <v>#REF!</v>
      </c>
      <c r="G64" s="638"/>
      <c r="I64" s="638"/>
    </row>
    <row r="65" spans="1:10" ht="3" customHeight="1">
      <c r="D65" s="771"/>
      <c r="G65" s="638"/>
      <c r="H65" s="772"/>
      <c r="I65" s="638"/>
    </row>
    <row r="66" spans="1:10" ht="12" customHeight="1">
      <c r="A66" s="705" t="s">
        <v>2734</v>
      </c>
      <c r="C66" s="705" t="s">
        <v>2736</v>
      </c>
      <c r="D66" s="753" t="s">
        <v>2735</v>
      </c>
      <c r="G66" s="638"/>
      <c r="I66" s="638"/>
    </row>
    <row r="67" spans="1:10" ht="3" customHeight="1">
      <c r="D67" s="771"/>
      <c r="G67" s="638"/>
      <c r="H67" s="638"/>
      <c r="I67" s="638"/>
    </row>
    <row r="68" spans="1:10" ht="12" customHeight="1">
      <c r="A68" s="705" t="s">
        <v>2737</v>
      </c>
      <c r="C68" s="638" t="s">
        <v>1595</v>
      </c>
      <c r="D68" s="771"/>
      <c r="I68" s="638"/>
    </row>
    <row r="69" spans="1:10" ht="12" customHeight="1">
      <c r="C69" s="705" t="s">
        <v>2738</v>
      </c>
      <c r="D69" s="754"/>
      <c r="I69" s="638"/>
    </row>
    <row r="70" spans="1:10" ht="12" customHeight="1">
      <c r="C70" s="705" t="s">
        <v>2703</v>
      </c>
      <c r="D70" s="754"/>
      <c r="I70" s="638"/>
    </row>
    <row r="71" spans="1:10" ht="3" customHeight="1">
      <c r="D71" s="771"/>
      <c r="E71" s="638"/>
      <c r="F71" s="638"/>
      <c r="I71" s="638"/>
    </row>
    <row r="72" spans="1:10" ht="12" customHeight="1">
      <c r="A72" s="705" t="s">
        <v>2739</v>
      </c>
      <c r="C72" s="705" t="s">
        <v>2138</v>
      </c>
      <c r="D72" s="753" t="s">
        <v>1595</v>
      </c>
      <c r="I72" s="638"/>
    </row>
    <row r="73" spans="1:10" ht="3" customHeight="1">
      <c r="D73" s="638"/>
      <c r="E73" s="638"/>
      <c r="I73" s="638"/>
    </row>
    <row r="74" spans="1:10" ht="12" customHeight="1">
      <c r="A74" s="705" t="s">
        <v>2740</v>
      </c>
      <c r="C74" s="638" t="s">
        <v>1595</v>
      </c>
      <c r="I74" s="638"/>
    </row>
    <row r="75" spans="1:10" ht="3" customHeight="1">
      <c r="C75" s="771"/>
      <c r="G75" s="773"/>
      <c r="H75" s="638"/>
      <c r="I75" s="638"/>
    </row>
    <row r="76" spans="1:10" ht="12" customHeight="1">
      <c r="A76" s="705" t="s">
        <v>2741</v>
      </c>
      <c r="C76" s="771" t="s">
        <v>2742</v>
      </c>
      <c r="D76" s="774">
        <v>0</v>
      </c>
      <c r="J76" s="638"/>
    </row>
    <row r="77" spans="1:10" ht="12" customHeight="1">
      <c r="C77" s="775" t="s">
        <v>2912</v>
      </c>
      <c r="D77" s="776">
        <v>0.01</v>
      </c>
      <c r="J77" s="638"/>
    </row>
    <row r="78" spans="1:10" ht="3" customHeight="1">
      <c r="C78" s="771"/>
      <c r="D78" s="771"/>
      <c r="G78" s="638"/>
      <c r="H78" s="638"/>
      <c r="I78" s="638"/>
    </row>
    <row r="79" spans="1:10" ht="12" customHeight="1">
      <c r="A79" s="705" t="s">
        <v>2743</v>
      </c>
      <c r="C79" s="771" t="s">
        <v>3100</v>
      </c>
      <c r="D79" s="777">
        <v>24</v>
      </c>
      <c r="I79" s="638"/>
    </row>
    <row r="80" spans="1:10" ht="3" customHeight="1">
      <c r="D80" s="771"/>
      <c r="E80" s="638"/>
      <c r="F80" s="638"/>
      <c r="I80" s="638"/>
    </row>
    <row r="81" spans="1:9" ht="12" customHeight="1">
      <c r="A81" s="705" t="s">
        <v>2744</v>
      </c>
      <c r="C81" s="705" t="s">
        <v>2138</v>
      </c>
      <c r="D81" s="778">
        <f>'Preview term'!F39</f>
        <v>0</v>
      </c>
      <c r="E81" s="638" t="s">
        <v>3050</v>
      </c>
      <c r="I81" s="638"/>
    </row>
    <row r="82" spans="1:9" ht="3" customHeight="1">
      <c r="D82" s="771"/>
      <c r="G82" s="638"/>
      <c r="H82" s="638"/>
      <c r="I82" s="638"/>
    </row>
    <row r="83" spans="1:9" ht="12" customHeight="1">
      <c r="A83" s="705" t="s">
        <v>2745</v>
      </c>
      <c r="D83" s="779">
        <v>0</v>
      </c>
      <c r="E83" s="780">
        <f>D83*12</f>
        <v>0</v>
      </c>
      <c r="F83" s="638" t="s">
        <v>3101</v>
      </c>
    </row>
    <row r="84" spans="1:9" ht="3" customHeight="1">
      <c r="D84" s="753"/>
      <c r="E84" s="638"/>
      <c r="G84" s="638"/>
    </row>
    <row r="85" spans="1:9" ht="12" customHeight="1">
      <c r="A85" s="705" t="s">
        <v>2746</v>
      </c>
      <c r="D85" s="781" t="s">
        <v>2735</v>
      </c>
      <c r="E85" s="638" t="s">
        <v>2747</v>
      </c>
      <c r="G85" s="638"/>
    </row>
    <row r="86" spans="1:9" ht="3" customHeight="1">
      <c r="G86" s="638"/>
      <c r="H86" s="638"/>
      <c r="I86" s="638"/>
    </row>
    <row r="87" spans="1:9" ht="12" customHeight="1">
      <c r="A87" s="705" t="s">
        <v>2748</v>
      </c>
      <c r="C87" s="770" t="e">
        <f>#REF!</f>
        <v>#REF!</v>
      </c>
      <c r="D87" s="782" t="s">
        <v>3046</v>
      </c>
      <c r="I87" s="638"/>
    </row>
    <row r="88" spans="1:9" ht="3" customHeight="1">
      <c r="C88" s="638" t="s">
        <v>1595</v>
      </c>
      <c r="D88" s="638"/>
      <c r="E88" s="638"/>
      <c r="I88" s="638"/>
    </row>
    <row r="89" spans="1:9" ht="12" customHeight="1">
      <c r="A89" s="705" t="s">
        <v>2749</v>
      </c>
      <c r="B89" s="783"/>
      <c r="C89" s="638" t="s">
        <v>2750</v>
      </c>
      <c r="I89" s="638"/>
    </row>
    <row r="90" spans="1:9" ht="3" customHeight="1">
      <c r="G90" s="638"/>
      <c r="H90" s="638"/>
      <c r="I90" s="638"/>
    </row>
    <row r="91" spans="1:9" ht="12" customHeight="1">
      <c r="A91" s="705" t="s">
        <v>2751</v>
      </c>
      <c r="C91" s="771" t="s">
        <v>2752</v>
      </c>
      <c r="D91" s="753" t="s">
        <v>2678</v>
      </c>
      <c r="I91" s="638"/>
    </row>
    <row r="92" spans="1:9" ht="12" customHeight="1">
      <c r="C92" s="771" t="s">
        <v>2753</v>
      </c>
      <c r="D92" s="753" t="s">
        <v>2735</v>
      </c>
      <c r="I92" s="638"/>
    </row>
    <row r="93" spans="1:9" ht="3" customHeight="1">
      <c r="G93" s="638"/>
      <c r="H93" s="638"/>
      <c r="I93" s="638"/>
    </row>
    <row r="94" spans="1:9" ht="12" customHeight="1">
      <c r="A94" s="705" t="s">
        <v>2754</v>
      </c>
      <c r="C94" s="771" t="s">
        <v>2742</v>
      </c>
      <c r="D94" s="638" t="s">
        <v>2755</v>
      </c>
      <c r="E94" s="771" t="e">
        <f>'Part III-Sources of Funds'!#REF!</f>
        <v>#REF!</v>
      </c>
      <c r="I94" s="638"/>
    </row>
    <row r="95" spans="1:9" ht="12" customHeight="1">
      <c r="C95" s="771"/>
      <c r="D95" s="638"/>
      <c r="E95" s="771" t="s">
        <v>1618</v>
      </c>
      <c r="F95" s="2531"/>
      <c r="G95" s="2531"/>
      <c r="H95" s="2531"/>
      <c r="I95" s="638"/>
    </row>
    <row r="96" spans="1:9" ht="12" customHeight="1">
      <c r="C96" s="771"/>
      <c r="D96" s="638"/>
      <c r="E96" s="771" t="s">
        <v>1784</v>
      </c>
      <c r="F96" s="2530"/>
      <c r="G96" s="2530"/>
      <c r="H96" s="2530"/>
      <c r="I96" s="638"/>
    </row>
    <row r="97" spans="1:10" ht="12" customHeight="1">
      <c r="C97" s="771"/>
      <c r="D97" s="638"/>
      <c r="E97" s="771" t="s">
        <v>1620</v>
      </c>
      <c r="F97" s="2529"/>
      <c r="G97" s="2529"/>
      <c r="H97" s="2529"/>
      <c r="I97" s="638"/>
    </row>
    <row r="98" spans="1:10" ht="12" customHeight="1">
      <c r="B98" s="756" t="s">
        <v>2756</v>
      </c>
      <c r="C98" s="775" t="s">
        <v>2912</v>
      </c>
      <c r="D98" s="638" t="s">
        <v>2755</v>
      </c>
      <c r="E98" s="771">
        <f>'Part III-Sources of Funds'!E18</f>
        <v>0</v>
      </c>
      <c r="I98" s="638"/>
    </row>
    <row r="99" spans="1:10" ht="12" customHeight="1">
      <c r="C99" s="771"/>
      <c r="D99" s="638"/>
      <c r="E99" s="771" t="s">
        <v>1618</v>
      </c>
      <c r="F99" s="2531"/>
      <c r="G99" s="2531"/>
      <c r="H99" s="2531"/>
      <c r="I99" s="638"/>
    </row>
    <row r="100" spans="1:10" ht="12" customHeight="1">
      <c r="C100" s="771"/>
      <c r="D100" s="638"/>
      <c r="E100" s="771" t="s">
        <v>1784</v>
      </c>
      <c r="F100" s="2530"/>
      <c r="G100" s="2530"/>
      <c r="H100" s="2530"/>
      <c r="I100" s="638"/>
    </row>
    <row r="101" spans="1:10" ht="12" customHeight="1">
      <c r="C101" s="771"/>
      <c r="D101" s="638"/>
      <c r="E101" s="771" t="s">
        <v>1620</v>
      </c>
      <c r="F101" s="2529"/>
      <c r="G101" s="2529"/>
      <c r="H101" s="2529"/>
      <c r="I101" s="638"/>
    </row>
    <row r="102" spans="1:10" ht="3" customHeight="1">
      <c r="D102" s="784"/>
      <c r="G102" s="638"/>
      <c r="H102" s="638"/>
      <c r="I102" s="638"/>
    </row>
    <row r="103" spans="1:10" ht="12" customHeight="1">
      <c r="A103" s="705" t="s">
        <v>2757</v>
      </c>
      <c r="D103" s="785" t="e">
        <f>#REF!</f>
        <v>#REF!</v>
      </c>
      <c r="E103" s="638" t="s">
        <v>2735</v>
      </c>
      <c r="G103" s="705" t="e">
        <f>#REF!</f>
        <v>#REF!</v>
      </c>
      <c r="H103" s="705" t="s">
        <v>3047</v>
      </c>
      <c r="I103" s="638"/>
    </row>
    <row r="104" spans="1:10" ht="3" customHeight="1">
      <c r="E104" s="638"/>
      <c r="F104" s="638"/>
      <c r="I104" s="638"/>
    </row>
    <row r="105" spans="1:10" ht="12" customHeight="1">
      <c r="A105" s="638" t="s">
        <v>2913</v>
      </c>
      <c r="D105" s="705" t="s">
        <v>2735</v>
      </c>
      <c r="E105" s="638"/>
      <c r="I105" s="638"/>
    </row>
    <row r="106" spans="1:10" ht="6" customHeight="1">
      <c r="G106" s="638"/>
      <c r="H106" s="638"/>
      <c r="I106" s="638"/>
    </row>
    <row r="107" spans="1:10" ht="12" customHeight="1">
      <c r="A107" s="751" t="s">
        <v>2914</v>
      </c>
      <c r="I107" s="638"/>
    </row>
    <row r="108" spans="1:10" ht="12" customHeight="1">
      <c r="A108" s="705" t="s">
        <v>2758</v>
      </c>
      <c r="C108" s="753" t="s">
        <v>1595</v>
      </c>
      <c r="D108" s="2524"/>
      <c r="E108" s="2524"/>
      <c r="F108" s="2524"/>
      <c r="G108" s="2524"/>
      <c r="H108" s="2524"/>
      <c r="I108" s="2524"/>
      <c r="J108" s="2524"/>
    </row>
    <row r="109" spans="1:10" ht="3" customHeight="1">
      <c r="C109" s="771"/>
      <c r="D109" s="638"/>
      <c r="I109" s="638"/>
    </row>
    <row r="110" spans="1:10" ht="12" customHeight="1">
      <c r="A110" s="705" t="s">
        <v>2759</v>
      </c>
      <c r="C110" s="753" t="s">
        <v>1595</v>
      </c>
    </row>
    <row r="111" spans="1:10" ht="3" customHeight="1">
      <c r="C111" s="771"/>
      <c r="E111" s="638"/>
      <c r="F111" s="638"/>
      <c r="I111" s="638"/>
    </row>
    <row r="112" spans="1:10" ht="12" customHeight="1">
      <c r="A112" s="705" t="s">
        <v>2760</v>
      </c>
      <c r="C112" s="753" t="s">
        <v>1595</v>
      </c>
      <c r="I112" s="638"/>
    </row>
    <row r="113" spans="1:9" ht="3" customHeight="1">
      <c r="D113" s="763"/>
      <c r="I113" s="638"/>
    </row>
    <row r="114" spans="1:9" ht="12" customHeight="1">
      <c r="A114" s="705" t="s">
        <v>2761</v>
      </c>
      <c r="D114" s="778">
        <v>24</v>
      </c>
      <c r="E114" s="638" t="s">
        <v>2762</v>
      </c>
      <c r="I114" s="638"/>
    </row>
    <row r="115" spans="1:9" ht="12" customHeight="1">
      <c r="C115" s="753" t="s">
        <v>3049</v>
      </c>
      <c r="I115" s="638"/>
    </row>
    <row r="116" spans="1:9" ht="12" customHeight="1">
      <c r="C116" s="753" t="s">
        <v>3048</v>
      </c>
      <c r="G116" s="638"/>
      <c r="I116" s="638"/>
    </row>
    <row r="117" spans="1:9" ht="3" customHeight="1">
      <c r="G117" s="638"/>
      <c r="H117" s="638"/>
      <c r="I117" s="638"/>
    </row>
    <row r="118" spans="1:9" ht="12" customHeight="1">
      <c r="A118" s="705" t="s">
        <v>2763</v>
      </c>
      <c r="D118" s="786">
        <v>0</v>
      </c>
      <c r="E118" s="787" t="s">
        <v>2764</v>
      </c>
      <c r="I118" s="638"/>
    </row>
    <row r="119" spans="1:9" ht="3" customHeight="1">
      <c r="D119" s="771"/>
      <c r="E119" s="638"/>
      <c r="F119" s="638"/>
      <c r="I119" s="638"/>
    </row>
    <row r="120" spans="1:9" ht="12" customHeight="1">
      <c r="A120" s="705" t="s">
        <v>2765</v>
      </c>
      <c r="C120" s="638" t="s">
        <v>1595</v>
      </c>
      <c r="D120" s="788"/>
      <c r="I120" s="638"/>
    </row>
    <row r="121" spans="1:9" ht="12" customHeight="1">
      <c r="C121" s="638" t="s">
        <v>2766</v>
      </c>
      <c r="D121" s="785"/>
      <c r="I121" s="638"/>
    </row>
    <row r="122" spans="1:9" ht="12" customHeight="1">
      <c r="C122" s="638" t="s">
        <v>2767</v>
      </c>
      <c r="D122" s="754"/>
      <c r="I122" s="638"/>
    </row>
    <row r="123" spans="1:9" ht="12" customHeight="1">
      <c r="C123" s="638" t="s">
        <v>2768</v>
      </c>
      <c r="D123" s="754"/>
      <c r="I123" s="638"/>
    </row>
    <row r="124" spans="1:9" ht="3" customHeight="1">
      <c r="E124" s="638"/>
      <c r="F124" s="638"/>
      <c r="I124" s="638"/>
    </row>
    <row r="125" spans="1:9" ht="12" customHeight="1">
      <c r="A125" s="705" t="s">
        <v>2769</v>
      </c>
      <c r="D125" s="789" t="s">
        <v>2735</v>
      </c>
      <c r="I125" s="638"/>
    </row>
    <row r="126" spans="1:9" ht="3" customHeight="1">
      <c r="D126" s="638"/>
      <c r="I126" s="638"/>
    </row>
    <row r="127" spans="1:9" ht="12" customHeight="1">
      <c r="A127" s="705" t="s">
        <v>2770</v>
      </c>
      <c r="D127" s="638" t="s">
        <v>2735</v>
      </c>
      <c r="I127" s="638"/>
    </row>
    <row r="128" spans="1:9" ht="3" customHeight="1">
      <c r="G128" s="638"/>
      <c r="H128" s="638"/>
      <c r="I128" s="638"/>
    </row>
    <row r="129" spans="1:10" ht="12" customHeight="1">
      <c r="A129" s="705" t="s">
        <v>2771</v>
      </c>
      <c r="D129" s="638" t="s">
        <v>2772</v>
      </c>
      <c r="G129" s="638"/>
      <c r="I129" s="638"/>
    </row>
    <row r="130" spans="1:10" ht="7.5" customHeight="1">
      <c r="G130" s="638"/>
      <c r="H130" s="638"/>
      <c r="I130" s="638"/>
    </row>
    <row r="131" spans="1:10" ht="12" customHeight="1">
      <c r="A131" s="751" t="s">
        <v>2773</v>
      </c>
      <c r="G131" s="638"/>
      <c r="H131" s="638"/>
      <c r="I131" s="638"/>
    </row>
    <row r="132" spans="1:10" ht="12" customHeight="1">
      <c r="A132" s="705" t="s">
        <v>2774</v>
      </c>
      <c r="C132" s="753">
        <f>Overview!H11</f>
        <v>0</v>
      </c>
      <c r="G132" s="638"/>
      <c r="I132" s="638"/>
    </row>
    <row r="133" spans="1:10" ht="12" customHeight="1">
      <c r="C133" s="753">
        <f>Overview!K11</f>
        <v>0</v>
      </c>
      <c r="G133" s="638"/>
      <c r="I133" s="638"/>
    </row>
    <row r="134" spans="1:10" ht="3" customHeight="1">
      <c r="C134" s="638"/>
      <c r="G134" s="638"/>
      <c r="I134" s="638"/>
    </row>
    <row r="135" spans="1:10" ht="12" customHeight="1">
      <c r="A135" s="705" t="s">
        <v>2775</v>
      </c>
      <c r="C135" s="790">
        <f>('Part IV-Uses of Funds'!G113-'Part III-Sources of Funds'!I23)/2</f>
        <v>0</v>
      </c>
      <c r="G135" s="638"/>
      <c r="I135" s="638"/>
    </row>
    <row r="136" spans="1:10" ht="3" customHeight="1">
      <c r="C136" s="638"/>
      <c r="G136" s="638"/>
      <c r="I136" s="638"/>
    </row>
    <row r="137" spans="1:10" ht="12" customHeight="1">
      <c r="A137" s="705" t="s">
        <v>2776</v>
      </c>
      <c r="C137" s="781" t="s">
        <v>2777</v>
      </c>
      <c r="G137" s="638"/>
      <c r="I137" s="638"/>
    </row>
    <row r="138" spans="1:10" ht="3" customHeight="1">
      <c r="C138" s="753"/>
      <c r="G138" s="638"/>
      <c r="I138" s="638"/>
    </row>
    <row r="139" spans="1:10" ht="12" customHeight="1">
      <c r="A139" s="705" t="s">
        <v>2778</v>
      </c>
      <c r="C139" s="753">
        <f>'Preview term'!E19</f>
        <v>0</v>
      </c>
      <c r="G139" s="638"/>
      <c r="I139" s="638"/>
      <c r="J139" s="791"/>
    </row>
    <row r="140" spans="1:10" ht="3" customHeight="1">
      <c r="C140" s="753"/>
      <c r="G140" s="638"/>
      <c r="I140" s="638"/>
    </row>
    <row r="141" spans="1:10" ht="12" customHeight="1">
      <c r="A141" s="705" t="s">
        <v>2779</v>
      </c>
      <c r="C141" s="755" t="str">
        <f>C8</f>
        <v>(Enter name as it will appear on all legal documents)</v>
      </c>
      <c r="G141" s="638"/>
      <c r="I141" s="752"/>
      <c r="J141" s="792"/>
    </row>
    <row r="142" spans="1:10" ht="3" customHeight="1">
      <c r="C142" s="755"/>
      <c r="G142" s="638"/>
      <c r="I142" s="752"/>
      <c r="J142" s="792"/>
    </row>
    <row r="143" spans="1:10" ht="12" customHeight="1">
      <c r="A143" s="705" t="s">
        <v>2780</v>
      </c>
      <c r="C143" s="755">
        <f>C132</f>
        <v>0</v>
      </c>
      <c r="G143" s="638"/>
      <c r="I143" s="752"/>
      <c r="J143" s="792"/>
    </row>
    <row r="144" spans="1:10">
      <c r="C144" s="755" t="str">
        <f>'Part II-Development Team'!$H$55&amp;", "&amp;'Part II-Development Team'!$H$56&amp;", "&amp;'Part II-Development Team'!$H$57&amp;"  "&amp;'Part II-Development Team'!$J$57</f>
        <v xml:space="preserve">, ,   </v>
      </c>
      <c r="G144" s="638"/>
      <c r="I144" s="752"/>
      <c r="J144" s="792"/>
    </row>
    <row r="145" spans="1:10" ht="3" customHeight="1">
      <c r="C145" s="793"/>
      <c r="G145" s="638"/>
      <c r="I145" s="752"/>
      <c r="J145" s="792"/>
    </row>
    <row r="146" spans="1:10" ht="12" customHeight="1">
      <c r="A146" s="705" t="s">
        <v>2781</v>
      </c>
      <c r="C146" s="755">
        <f>Overview!H10</f>
        <v>0</v>
      </c>
      <c r="G146" s="638"/>
      <c r="I146" s="752"/>
      <c r="J146" s="791"/>
    </row>
    <row r="147" spans="1:10" ht="3" customHeight="1">
      <c r="C147" s="755"/>
      <c r="G147" s="638"/>
      <c r="I147" s="752"/>
      <c r="J147" s="792"/>
    </row>
    <row r="148" spans="1:10" ht="12" customHeight="1">
      <c r="A148" s="705" t="s">
        <v>2782</v>
      </c>
      <c r="C148" s="755">
        <f>Overview!K10</f>
        <v>0</v>
      </c>
      <c r="G148" s="638"/>
      <c r="I148" s="752"/>
      <c r="J148" s="791"/>
    </row>
    <row r="149" spans="1:10" ht="3" customHeight="1">
      <c r="C149" s="793"/>
      <c r="G149" s="638"/>
      <c r="I149" s="752"/>
      <c r="J149" s="792"/>
    </row>
    <row r="150" spans="1:10" ht="12" customHeight="1">
      <c r="A150" s="705" t="s">
        <v>2783</v>
      </c>
      <c r="C150" s="794" t="s">
        <v>2735</v>
      </c>
      <c r="G150" s="638"/>
      <c r="I150" s="638"/>
    </row>
    <row r="151" spans="1:10" ht="3" customHeight="1">
      <c r="C151" s="794"/>
      <c r="G151" s="638"/>
      <c r="I151" s="638"/>
    </row>
    <row r="152" spans="1:10" ht="12" customHeight="1">
      <c r="A152" s="705" t="s">
        <v>2784</v>
      </c>
      <c r="C152" s="794" t="s">
        <v>2735</v>
      </c>
      <c r="G152" s="638"/>
      <c r="I152" s="638"/>
    </row>
    <row r="153" spans="1:10" ht="7.5" customHeight="1">
      <c r="G153" s="638"/>
      <c r="H153" s="638"/>
      <c r="I153" s="638"/>
    </row>
    <row r="154" spans="1:10" ht="12" customHeight="1">
      <c r="A154" s="751" t="s">
        <v>2785</v>
      </c>
      <c r="G154" s="638"/>
      <c r="H154" s="638"/>
      <c r="I154" s="638"/>
    </row>
    <row r="155" spans="1:10" ht="3" customHeight="1">
      <c r="D155" s="638"/>
      <c r="E155" s="638"/>
      <c r="G155" s="638"/>
    </row>
    <row r="156" spans="1:10" ht="12" customHeight="1">
      <c r="A156" s="705" t="s">
        <v>2786</v>
      </c>
      <c r="C156" s="638" t="s">
        <v>3051</v>
      </c>
      <c r="D156" s="638"/>
      <c r="G156" s="638"/>
      <c r="H156" s="638"/>
      <c r="I156" s="638"/>
    </row>
    <row r="157" spans="1:10" ht="3" customHeight="1">
      <c r="D157" s="638"/>
      <c r="E157" s="638"/>
      <c r="G157" s="638"/>
    </row>
    <row r="158" spans="1:10" ht="12" customHeight="1">
      <c r="A158" s="705" t="s">
        <v>2787</v>
      </c>
      <c r="D158" s="781">
        <v>20</v>
      </c>
      <c r="E158" s="638" t="s">
        <v>2138</v>
      </c>
    </row>
    <row r="159" spans="1:10" ht="3" customHeight="1">
      <c r="D159" s="638"/>
      <c r="E159" s="638"/>
      <c r="G159" s="638"/>
    </row>
    <row r="160" spans="1:10" ht="12" customHeight="1">
      <c r="A160" s="705" t="s">
        <v>2788</v>
      </c>
      <c r="C160" s="638" t="s">
        <v>1595</v>
      </c>
      <c r="D160" s="638" t="s">
        <v>3102</v>
      </c>
      <c r="G160" s="638"/>
    </row>
    <row r="161" spans="1:13" ht="3" customHeight="1">
      <c r="G161" s="638"/>
      <c r="H161" s="638"/>
      <c r="I161" s="638"/>
    </row>
    <row r="162" spans="1:13" ht="12" customHeight="1">
      <c r="A162" s="705" t="s">
        <v>2789</v>
      </c>
      <c r="G162" s="638"/>
      <c r="H162" s="638"/>
      <c r="I162" s="638"/>
    </row>
    <row r="163" spans="1:13" ht="7.5" customHeight="1">
      <c r="G163" s="638"/>
      <c r="H163" s="638"/>
      <c r="I163" s="638"/>
    </row>
    <row r="164" spans="1:13" ht="12" customHeight="1">
      <c r="A164" s="751" t="s">
        <v>2790</v>
      </c>
      <c r="G164" s="638"/>
      <c r="H164" s="638"/>
      <c r="I164" s="638"/>
    </row>
    <row r="165" spans="1:13" ht="12" customHeight="1">
      <c r="A165" s="705" t="s">
        <v>2904</v>
      </c>
      <c r="C165" s="705" t="s">
        <v>2905</v>
      </c>
      <c r="E165" s="781">
        <f>'Preview term'!F77</f>
        <v>0</v>
      </c>
      <c r="G165" s="638"/>
      <c r="I165" s="638"/>
    </row>
    <row r="166" spans="1:13" ht="12" customHeight="1">
      <c r="C166" s="705" t="s">
        <v>3052</v>
      </c>
      <c r="I166" s="638"/>
    </row>
    <row r="167" spans="1:13" ht="3" customHeight="1">
      <c r="E167" s="638"/>
      <c r="G167" s="638"/>
      <c r="I167" s="638"/>
    </row>
    <row r="168" spans="1:13" ht="12" customHeight="1">
      <c r="A168" s="705" t="s">
        <v>2791</v>
      </c>
      <c r="C168" s="705" t="s">
        <v>2792</v>
      </c>
      <c r="E168" s="795">
        <f>'Preview term'!F71</f>
        <v>0</v>
      </c>
      <c r="G168" s="638"/>
      <c r="I168" s="638"/>
    </row>
    <row r="169" spans="1:13" ht="12" customHeight="1">
      <c r="C169" s="705" t="s">
        <v>3052</v>
      </c>
      <c r="I169" s="638"/>
    </row>
    <row r="170" spans="1:13" ht="12" customHeight="1">
      <c r="C170" s="705" t="s">
        <v>2793</v>
      </c>
      <c r="E170" s="753" t="s">
        <v>2407</v>
      </c>
      <c r="G170" s="638"/>
      <c r="I170" s="638"/>
    </row>
    <row r="171" spans="1:13" ht="3" customHeight="1">
      <c r="E171" s="753"/>
      <c r="G171" s="638"/>
      <c r="I171" s="638"/>
    </row>
    <row r="172" spans="1:13" ht="12" customHeight="1">
      <c r="A172" s="705" t="s">
        <v>2906</v>
      </c>
      <c r="C172" s="705" t="s">
        <v>2907</v>
      </c>
      <c r="E172" s="795">
        <f>'Preview term'!F73</f>
        <v>0</v>
      </c>
      <c r="G172" s="638"/>
      <c r="I172" s="638"/>
    </row>
    <row r="173" spans="1:13" ht="12" customHeight="1">
      <c r="C173" s="705" t="s">
        <v>2794</v>
      </c>
      <c r="E173" s="795">
        <f>'Preview term'!F74</f>
        <v>0</v>
      </c>
      <c r="G173" s="638"/>
      <c r="I173" s="752"/>
      <c r="J173" s="792"/>
      <c r="K173" s="792"/>
      <c r="L173" s="792"/>
      <c r="M173" s="792"/>
    </row>
    <row r="174" spans="1:13" ht="12" customHeight="1">
      <c r="C174" s="705" t="s">
        <v>2795</v>
      </c>
      <c r="E174" s="790" t="e">
        <f>#REF!</f>
        <v>#REF!</v>
      </c>
      <c r="F174" s="752" t="s">
        <v>2796</v>
      </c>
      <c r="J174" s="792"/>
      <c r="K174" s="792"/>
      <c r="L174" s="792"/>
      <c r="M174" s="792"/>
    </row>
    <row r="175" spans="1:13">
      <c r="E175" s="795" t="e">
        <f>E174/12</f>
        <v>#REF!</v>
      </c>
      <c r="F175" s="638" t="s">
        <v>2639</v>
      </c>
    </row>
    <row r="176" spans="1:13" ht="12" customHeight="1">
      <c r="C176" s="705" t="s">
        <v>3053</v>
      </c>
      <c r="I176" s="638"/>
    </row>
    <row r="177" spans="1:10" ht="12" customHeight="1">
      <c r="C177" s="705" t="s">
        <v>2797</v>
      </c>
      <c r="E177" s="638" t="s">
        <v>2550</v>
      </c>
      <c r="I177" s="638"/>
    </row>
    <row r="178" spans="1:10" ht="12" customHeight="1">
      <c r="C178" s="705" t="s">
        <v>2798</v>
      </c>
      <c r="E178" s="638" t="s">
        <v>2407</v>
      </c>
      <c r="I178" s="638"/>
    </row>
    <row r="179" spans="1:10" ht="3" customHeight="1">
      <c r="E179" s="638"/>
      <c r="F179" s="638"/>
      <c r="I179" s="638"/>
    </row>
    <row r="180" spans="1:10" ht="12" customHeight="1">
      <c r="A180" s="705" t="s">
        <v>2902</v>
      </c>
      <c r="C180" s="705" t="s">
        <v>2903</v>
      </c>
      <c r="E180" s="753" t="s">
        <v>1595</v>
      </c>
      <c r="F180" s="796"/>
      <c r="I180" s="638"/>
    </row>
    <row r="181" spans="1:10" ht="12" customHeight="1">
      <c r="C181" s="705" t="s">
        <v>2799</v>
      </c>
      <c r="E181" s="753" t="s">
        <v>1595</v>
      </c>
      <c r="F181" s="2518"/>
      <c r="G181" s="2518"/>
      <c r="H181" s="2518"/>
      <c r="I181" s="2518"/>
      <c r="J181" s="2518"/>
    </row>
    <row r="182" spans="1:10" ht="12" customHeight="1">
      <c r="C182" s="705" t="s">
        <v>3054</v>
      </c>
      <c r="E182" s="638" t="s">
        <v>2735</v>
      </c>
      <c r="I182" s="638"/>
    </row>
    <row r="183" spans="1:10" ht="12" customHeight="1">
      <c r="C183" s="705" t="s">
        <v>2800</v>
      </c>
      <c r="E183" s="638" t="s">
        <v>2407</v>
      </c>
      <c r="I183" s="638"/>
    </row>
    <row r="184" spans="1:10" ht="3" customHeight="1">
      <c r="G184" s="638"/>
      <c r="H184" s="638"/>
      <c r="I184" s="638"/>
    </row>
    <row r="185" spans="1:10" ht="12" customHeight="1">
      <c r="A185" s="705" t="s">
        <v>2908</v>
      </c>
      <c r="C185" s="705" t="s">
        <v>2909</v>
      </c>
      <c r="E185" s="795">
        <f>'Preview term'!F75</f>
        <v>0</v>
      </c>
      <c r="G185" s="638"/>
      <c r="I185" s="638"/>
    </row>
    <row r="186" spans="1:10" ht="12" customHeight="1">
      <c r="C186" s="705" t="s">
        <v>3052</v>
      </c>
      <c r="E186" s="753">
        <f>E169</f>
        <v>0</v>
      </c>
      <c r="G186" s="638"/>
      <c r="I186" s="638"/>
    </row>
    <row r="187" spans="1:10" ht="12" customHeight="1">
      <c r="C187" s="705" t="s">
        <v>2801</v>
      </c>
      <c r="E187" s="753" t="s">
        <v>2735</v>
      </c>
      <c r="G187" s="638"/>
      <c r="I187" s="638"/>
    </row>
    <row r="188" spans="1:10" ht="3" customHeight="1">
      <c r="E188" s="753"/>
      <c r="G188" s="638"/>
      <c r="I188" s="638"/>
    </row>
    <row r="189" spans="1:10" ht="12" customHeight="1">
      <c r="A189" s="705" t="s">
        <v>2910</v>
      </c>
      <c r="C189" s="705" t="s">
        <v>2911</v>
      </c>
      <c r="E189" s="753" t="s">
        <v>2735</v>
      </c>
      <c r="G189" s="638"/>
      <c r="I189" s="638"/>
    </row>
    <row r="190" spans="1:10" ht="12" customHeight="1">
      <c r="C190" s="705" t="s">
        <v>2792</v>
      </c>
      <c r="E190" s="771"/>
      <c r="G190" s="638"/>
      <c r="H190" s="780"/>
      <c r="I190" s="638"/>
    </row>
    <row r="191" spans="1:10" ht="12" customHeight="1">
      <c r="C191" s="705" t="s">
        <v>3052</v>
      </c>
      <c r="E191" s="771"/>
      <c r="I191" s="753"/>
    </row>
    <row r="192" spans="1:10" ht="12" customHeight="1">
      <c r="C192" s="705" t="s">
        <v>2793</v>
      </c>
      <c r="E192" s="771"/>
      <c r="G192" s="638"/>
      <c r="H192" s="638"/>
      <c r="I192" s="638"/>
    </row>
    <row r="193" spans="1:10" ht="9" customHeight="1">
      <c r="G193" s="638"/>
      <c r="H193" s="638"/>
      <c r="I193" s="638"/>
    </row>
    <row r="194" spans="1:10" ht="12" customHeight="1">
      <c r="A194" s="751" t="s">
        <v>2802</v>
      </c>
      <c r="C194" s="638" t="s">
        <v>2803</v>
      </c>
      <c r="E194" s="638"/>
      <c r="I194" s="638"/>
    </row>
    <row r="195" spans="1:10" ht="9" customHeight="1">
      <c r="E195" s="638"/>
      <c r="F195" s="638"/>
      <c r="I195" s="638"/>
    </row>
    <row r="196" spans="1:10" ht="12" customHeight="1">
      <c r="A196" s="751" t="s">
        <v>2804</v>
      </c>
      <c r="E196" s="638"/>
      <c r="F196" s="638"/>
      <c r="I196" s="638"/>
    </row>
    <row r="197" spans="1:10" ht="12" customHeight="1">
      <c r="A197" s="705" t="s">
        <v>2805</v>
      </c>
      <c r="C197" s="638" t="s">
        <v>1595</v>
      </c>
      <c r="E197" s="638"/>
      <c r="F197" s="638"/>
      <c r="I197" s="638"/>
    </row>
    <row r="198" spans="1:10" ht="3" customHeight="1">
      <c r="G198" s="638"/>
      <c r="H198" s="638"/>
      <c r="I198" s="638"/>
    </row>
    <row r="199" spans="1:10">
      <c r="A199" s="764" t="s">
        <v>3056</v>
      </c>
      <c r="B199" s="764"/>
      <c r="C199" s="764"/>
      <c r="D199" s="764"/>
      <c r="E199" s="769" t="s">
        <v>3055</v>
      </c>
      <c r="F199" s="2528"/>
      <c r="G199" s="2528"/>
      <c r="H199" s="2528"/>
      <c r="I199" s="2528"/>
      <c r="J199" s="2528"/>
    </row>
    <row r="200" spans="1:10" ht="9" customHeight="1">
      <c r="G200" s="638"/>
      <c r="H200" s="638"/>
      <c r="I200" s="638"/>
    </row>
    <row r="201" spans="1:10" ht="12" customHeight="1">
      <c r="A201" s="797" t="s">
        <v>2901</v>
      </c>
      <c r="G201" s="638"/>
      <c r="H201" s="638"/>
      <c r="I201" s="780"/>
    </row>
    <row r="202" spans="1:10" ht="25.5" customHeight="1">
      <c r="A202" s="2519" t="str">
        <f>'Subsidy Layering Memo'!A98</f>
        <v>Include any reserve requirements; explain any reserves far in excess of 6 month ODR, 3 mo lease up, 1 year RR, 6 mo T&amp;I standards.</v>
      </c>
      <c r="B202" s="2519"/>
      <c r="C202" s="2519"/>
      <c r="D202" s="2519"/>
      <c r="E202" s="2519"/>
      <c r="F202" s="2519"/>
      <c r="G202" s="2519"/>
      <c r="H202" s="2519"/>
      <c r="I202" s="2519"/>
      <c r="J202" s="2519"/>
    </row>
    <row r="203" spans="1:10">
      <c r="A203" s="638"/>
      <c r="G203" s="638"/>
      <c r="H203" s="638"/>
      <c r="I203" s="638"/>
    </row>
    <row r="204" spans="1:10">
      <c r="A204" s="751" t="s">
        <v>2806</v>
      </c>
      <c r="G204" s="638"/>
      <c r="H204" s="638"/>
      <c r="I204" s="638"/>
    </row>
    <row r="205" spans="1:10" ht="3" customHeight="1">
      <c r="G205" s="638"/>
      <c r="H205" s="638"/>
      <c r="I205" s="638"/>
    </row>
    <row r="206" spans="1:10" ht="76.5" customHeight="1">
      <c r="A206" s="2521" t="s">
        <v>2497</v>
      </c>
      <c r="B206" s="2521"/>
      <c r="C206" s="2521"/>
      <c r="D206" s="2521"/>
      <c r="E206" s="2521"/>
      <c r="F206" s="2521"/>
      <c r="G206" s="2521"/>
      <c r="H206" s="2521"/>
      <c r="I206" s="2521"/>
      <c r="J206" s="2521"/>
    </row>
    <row r="207" spans="1:10">
      <c r="A207" s="638" t="s">
        <v>2498</v>
      </c>
      <c r="G207" s="638"/>
      <c r="H207" s="638"/>
      <c r="I207" s="638"/>
    </row>
    <row r="208" spans="1:10" ht="38.25" customHeight="1">
      <c r="A208" s="2521" t="str">
        <f>'Subsidy Layering Memo'!A37&amp;".  "&amp;'Subsidy Layering Memo'!A38</f>
        <v xml:space="preserve">.  </v>
      </c>
      <c r="B208" s="2522"/>
      <c r="C208" s="2522"/>
      <c r="D208" s="2522"/>
      <c r="E208" s="2522"/>
      <c r="F208" s="2522"/>
      <c r="G208" s="2522"/>
      <c r="H208" s="2522"/>
      <c r="I208" s="2522"/>
      <c r="J208" s="2522"/>
    </row>
    <row r="209" spans="1:4">
      <c r="A209" s="753"/>
    </row>
    <row r="210" spans="1:4">
      <c r="A210" s="753"/>
    </row>
    <row r="211" spans="1:4">
      <c r="A211" s="638"/>
    </row>
    <row r="215" spans="1:4">
      <c r="D215" s="705" t="s">
        <v>224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xr:uid="{00000000-0002-0000-1300-000000000000}">
      <formula1>"&lt;&lt;Select&gt;&gt;, Profit Corporation, Non-profit Corporation, Profit/Non-profit Joint Venture"</formula1>
    </dataValidation>
    <dataValidation type="list" allowBlank="1" showInputMessage="1" showErrorMessage="1" sqref="C11" xr:uid="{00000000-0002-0000-1300-000001000000}">
      <formula1>"&lt;&lt;Select&gt;&gt;, Limited Partnership,Limited Liability Company"</formula1>
    </dataValidation>
    <dataValidation type="list" allowBlank="1" showInputMessage="1" showErrorMessage="1" sqref="C68" xr:uid="{00000000-0002-0000-1300-000002000000}">
      <formula1>"&lt;&lt;Select&gt;&gt;, Construction/Permanent, Construction only, Permanent only"</formula1>
    </dataValidation>
    <dataValidation type="list" allowBlank="1" showInputMessage="1" showErrorMessage="1" sqref="D72" xr:uid="{00000000-0002-0000-1300-000003000000}">
      <formula1>"&lt;&lt;Select&gt;&gt;, Fully amortizing, Balloon"</formula1>
    </dataValidation>
    <dataValidation type="list" allowBlank="1" showInputMessage="1" showErrorMessage="1" sqref="C74 C88" xr:uid="{00000000-0002-0000-1300-000004000000}">
      <formula1>"&lt;&lt;Select&gt;&gt;, Construction only, Construction and Permanent"</formula1>
    </dataValidation>
    <dataValidation type="list" allowBlank="1" showInputMessage="1" showErrorMessage="1" sqref="C89" xr:uid="{00000000-0002-0000-1300-000005000000}">
      <formula1>"&lt;&lt;Select&gt;&gt;, Hard costs only, Hard costs plus acquisition cost, Hard costs plus HOME eligible soft"</formula1>
    </dataValidation>
    <dataValidation type="list" allowBlank="1" showInputMessage="1" showErrorMessage="1" sqref="C108" xr:uid="{00000000-0002-0000-1300-000006000000}">
      <formula1>"&lt;&lt;Select&gt;&gt;, New Construction, Rehabilitation, Both (explain):"</formula1>
    </dataValidation>
    <dataValidation type="list" allowBlank="1" showInputMessage="1" showErrorMessage="1" sqref="C110" xr:uid="{00000000-0002-0000-1300-000007000000}">
      <formula1>"&lt;&lt;Select&gt;&gt;, Bonded, Letter of Credit, Other - construction loan in lieu of L/C"</formula1>
    </dataValidation>
    <dataValidation type="list" allowBlank="1" showInputMessage="1" showErrorMessage="1" sqref="C112 C120 D12 E180" xr:uid="{00000000-0002-0000-1300-000008000000}">
      <formula1>"&lt;&lt;Select&gt;&gt;, Yes, No"</formula1>
    </dataValidation>
    <dataValidation type="list" allowBlank="1" showInputMessage="1" showErrorMessage="1" sqref="C160" xr:uid="{00000000-0002-0000-1300-000009000000}">
      <formula1>"&lt;&lt;Select&gt;&gt;, Fixed, Floating"</formula1>
    </dataValidation>
    <dataValidation type="list" allowBlank="1" showInputMessage="1" showErrorMessage="1" sqref="E181" xr:uid="{00000000-0002-0000-1300-00000A000000}">
      <formula1>"&lt;&lt;Select&gt;&gt;, Yes, Other-specify:"</formula1>
    </dataValidation>
    <dataValidation type="list" allowBlank="1" showInputMessage="1" showErrorMessage="1" sqref="C197" xr:uid="{00000000-0002-0000-1300-00000B000000}">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dimension ref="A1:K66"/>
  <sheetViews>
    <sheetView showGridLines="0" zoomScaleNormal="100" workbookViewId="0">
      <selection sqref="A1:XFD1048576"/>
    </sheetView>
  </sheetViews>
  <sheetFormatPr defaultColWidth="9.140625" defaultRowHeight="12.75"/>
  <cols>
    <col min="1" max="1" width="3.42578125" style="705" customWidth="1"/>
    <col min="2" max="2" width="4.28515625" style="705" customWidth="1"/>
    <col min="3" max="3" width="18.5703125" style="705" customWidth="1"/>
    <col min="4" max="4" width="2.7109375" style="705" customWidth="1"/>
    <col min="5" max="5" width="6.5703125" style="705" customWidth="1"/>
    <col min="6" max="6" width="39.28515625" style="705" customWidth="1"/>
    <col min="7" max="8" width="8.42578125" style="705" customWidth="1"/>
    <col min="9" max="16384" width="9.140625" style="705"/>
  </cols>
  <sheetData>
    <row r="1" spans="1:11">
      <c r="A1" s="638" t="s">
        <v>2807</v>
      </c>
      <c r="H1" s="756" t="str">
        <f>Overview!C8</f>
        <v>SB OHF Test Villas</v>
      </c>
    </row>
    <row r="2" spans="1:11">
      <c r="A2" s="638" t="s">
        <v>2808</v>
      </c>
    </row>
    <row r="3" spans="1:11" ht="3" customHeight="1"/>
    <row r="4" spans="1:11" ht="51.75" customHeight="1">
      <c r="A4" s="2522" t="s">
        <v>2918</v>
      </c>
      <c r="B4" s="2522"/>
      <c r="C4" s="2522"/>
      <c r="D4" s="2522"/>
      <c r="E4" s="2522"/>
      <c r="F4" s="2522"/>
      <c r="G4" s="2522"/>
      <c r="H4" s="2522"/>
      <c r="J4" s="798" t="e">
        <f>SUM(#REF!)/12</f>
        <v>#REF!</v>
      </c>
      <c r="K4" s="705" t="s">
        <v>3103</v>
      </c>
    </row>
    <row r="5" spans="1:11" ht="1.5" customHeight="1">
      <c r="C5" s="799"/>
      <c r="D5" s="799"/>
      <c r="E5" s="799"/>
      <c r="F5" s="799"/>
      <c r="G5" s="799"/>
      <c r="H5" s="799"/>
    </row>
    <row r="6" spans="1:11" ht="12.75" customHeight="1">
      <c r="B6" s="800" t="s">
        <v>2163</v>
      </c>
      <c r="C6" s="2522" t="s">
        <v>2809</v>
      </c>
      <c r="D6" s="2522"/>
      <c r="E6" s="2522"/>
      <c r="F6" s="2522"/>
      <c r="G6" s="2522"/>
      <c r="H6" s="2522"/>
    </row>
    <row r="7" spans="1:11" ht="12.75" customHeight="1">
      <c r="B7" s="800" t="s">
        <v>2164</v>
      </c>
      <c r="C7" s="2522" t="s">
        <v>2810</v>
      </c>
      <c r="D7" s="2522"/>
      <c r="E7" s="2522"/>
      <c r="F7" s="2522"/>
      <c r="G7" s="2522"/>
      <c r="H7" s="2522"/>
    </row>
    <row r="8" spans="1:11" ht="3" customHeight="1"/>
    <row r="9" spans="1:11">
      <c r="A9" s="705" t="s">
        <v>2811</v>
      </c>
    </row>
    <row r="10" spans="1:11" ht="1.5" customHeight="1"/>
    <row r="11" spans="1:11" ht="26.25" customHeight="1">
      <c r="A11" s="801" t="s">
        <v>1785</v>
      </c>
      <c r="B11" s="2537" t="s">
        <v>2915</v>
      </c>
      <c r="C11" s="2537"/>
      <c r="D11" s="2537"/>
      <c r="E11" s="2537"/>
      <c r="F11" s="2537"/>
      <c r="G11" s="2534">
        <f>'Part III-Sources of Funds'!I29+'Part III-Sources of Funds'!I30</f>
        <v>0</v>
      </c>
      <c r="H11" s="2534"/>
    </row>
    <row r="12" spans="1:11" ht="1.5" customHeight="1">
      <c r="G12" s="764"/>
      <c r="H12" s="764"/>
    </row>
    <row r="13" spans="1:11" ht="26.25" customHeight="1">
      <c r="A13" s="801" t="s">
        <v>1788</v>
      </c>
      <c r="B13" s="2537" t="s">
        <v>2916</v>
      </c>
      <c r="C13" s="2537"/>
      <c r="D13" s="2537"/>
      <c r="E13" s="2537"/>
      <c r="F13" s="2537"/>
      <c r="G13" s="2536" t="s">
        <v>2735</v>
      </c>
      <c r="H13" s="2536"/>
    </row>
    <row r="14" spans="1:11" ht="12" customHeight="1">
      <c r="A14" s="801"/>
      <c r="B14" s="2523"/>
      <c r="C14" s="2523"/>
      <c r="D14" s="2523"/>
      <c r="E14" s="2523"/>
      <c r="F14" s="2523"/>
      <c r="G14" s="2523"/>
      <c r="H14" s="2523"/>
    </row>
    <row r="15" spans="1:11" ht="1.5" customHeight="1"/>
    <row r="16" spans="1:11" ht="12" customHeight="1">
      <c r="A16" s="801" t="s">
        <v>694</v>
      </c>
      <c r="B16" s="705" t="s">
        <v>2920</v>
      </c>
      <c r="F16" s="792"/>
      <c r="G16" s="2535" t="s">
        <v>2553</v>
      </c>
      <c r="H16" s="2535"/>
    </row>
    <row r="17" spans="1:8" ht="1.5" customHeight="1">
      <c r="G17" s="771"/>
    </row>
    <row r="18" spans="1:8" ht="12" customHeight="1">
      <c r="A18" s="801" t="s">
        <v>1889</v>
      </c>
      <c r="B18" s="764" t="s">
        <v>2917</v>
      </c>
      <c r="C18" s="801"/>
      <c r="D18" s="801"/>
      <c r="E18" s="801"/>
      <c r="G18" s="2523" t="s">
        <v>2407</v>
      </c>
      <c r="H18" s="2523"/>
    </row>
    <row r="19" spans="1:8" ht="12" customHeight="1">
      <c r="B19" s="2523"/>
      <c r="C19" s="2523"/>
      <c r="D19" s="2523"/>
      <c r="E19" s="2523"/>
      <c r="F19" s="2523"/>
      <c r="G19" s="2523"/>
      <c r="H19" s="2523"/>
    </row>
    <row r="20" spans="1:8" ht="13.5" customHeight="1"/>
    <row r="21" spans="1:8" ht="12" customHeight="1">
      <c r="A21" s="638" t="s">
        <v>2812</v>
      </c>
    </row>
    <row r="22" spans="1:8" ht="3" customHeight="1"/>
    <row r="23" spans="1:8" ht="26.25" customHeight="1">
      <c r="A23" s="2532" t="s">
        <v>2919</v>
      </c>
      <c r="B23" s="2532"/>
      <c r="C23" s="2532"/>
      <c r="D23" s="2532"/>
      <c r="E23" s="2532"/>
      <c r="F23" s="2532"/>
      <c r="G23" s="2532"/>
      <c r="H23" s="2532"/>
    </row>
    <row r="24" spans="1:8" ht="26.25" customHeight="1">
      <c r="A24" s="2533" t="s">
        <v>2813</v>
      </c>
      <c r="B24" s="2533"/>
      <c r="C24" s="2533"/>
      <c r="D24" s="2533"/>
      <c r="E24" s="2533"/>
      <c r="F24" s="2533"/>
      <c r="G24" s="2533"/>
      <c r="H24" s="2533"/>
    </row>
    <row r="25" spans="1:8" ht="9" customHeight="1">
      <c r="A25" s="731"/>
    </row>
    <row r="26" spans="1:8">
      <c r="A26" s="771" t="s">
        <v>2921</v>
      </c>
      <c r="B26" s="802"/>
      <c r="C26" s="771" t="s">
        <v>2922</v>
      </c>
      <c r="D26" s="803" t="s">
        <v>3063</v>
      </c>
    </row>
    <row r="27" spans="1:8" ht="6" customHeight="1"/>
    <row r="28" spans="1:8" ht="12.75" customHeight="1">
      <c r="C28" s="764" t="s">
        <v>2814</v>
      </c>
      <c r="D28" s="804" t="s">
        <v>1789</v>
      </c>
      <c r="E28" s="805"/>
      <c r="F28" s="2522" t="s">
        <v>2815</v>
      </c>
      <c r="G28" s="2522"/>
      <c r="H28" s="2522"/>
    </row>
    <row r="29" spans="1:8" ht="12.75" customHeight="1">
      <c r="C29" s="806" t="s">
        <v>1252</v>
      </c>
      <c r="D29" s="804" t="s">
        <v>1791</v>
      </c>
      <c r="E29" s="2522" t="s">
        <v>2926</v>
      </c>
      <c r="F29" s="2522"/>
      <c r="G29" s="2522"/>
      <c r="H29" s="2522"/>
    </row>
    <row r="30" spans="1:8" ht="12.75" customHeight="1">
      <c r="E30" s="2522" t="s">
        <v>3059</v>
      </c>
      <c r="F30" s="2522"/>
      <c r="G30" s="2522"/>
      <c r="H30" s="2522"/>
    </row>
    <row r="31" spans="1:8" ht="12.75" customHeight="1">
      <c r="D31" s="807" t="s">
        <v>2925</v>
      </c>
      <c r="E31" s="2522" t="s">
        <v>3060</v>
      </c>
      <c r="F31" s="2522"/>
      <c r="G31" s="2522"/>
      <c r="H31" s="2522"/>
    </row>
    <row r="32" spans="1:8" ht="3" customHeight="1">
      <c r="D32" s="804"/>
      <c r="E32" s="808"/>
      <c r="F32" s="808"/>
      <c r="G32" s="808"/>
      <c r="H32" s="808"/>
    </row>
    <row r="33" spans="1:11">
      <c r="A33" s="771" t="s">
        <v>2921</v>
      </c>
      <c r="B33" s="802"/>
      <c r="C33" s="771" t="s">
        <v>2923</v>
      </c>
      <c r="D33" s="803" t="s">
        <v>3064</v>
      </c>
    </row>
    <row r="34" spans="1:11" ht="4.5" customHeight="1"/>
    <row r="35" spans="1:11" ht="12.75" customHeight="1">
      <c r="C35" s="764" t="s">
        <v>2814</v>
      </c>
      <c r="D35" s="804" t="s">
        <v>1789</v>
      </c>
      <c r="E35" s="805"/>
      <c r="F35" s="2522" t="s">
        <v>2815</v>
      </c>
      <c r="G35" s="2522"/>
      <c r="H35" s="2522"/>
    </row>
    <row r="36" spans="1:11" ht="12.75" customHeight="1">
      <c r="C36" s="806" t="s">
        <v>1252</v>
      </c>
      <c r="D36" s="804" t="s">
        <v>1791</v>
      </c>
      <c r="E36" s="2522" t="s">
        <v>2927</v>
      </c>
      <c r="F36" s="2522"/>
      <c r="G36" s="2522"/>
      <c r="H36" s="2522"/>
    </row>
    <row r="37" spans="1:11" ht="12.75" customHeight="1">
      <c r="E37" s="2522" t="s">
        <v>3059</v>
      </c>
      <c r="F37" s="2522"/>
      <c r="G37" s="2522"/>
      <c r="H37" s="2522"/>
    </row>
    <row r="38" spans="1:11" ht="12.75" customHeight="1">
      <c r="D38" s="807" t="s">
        <v>2925</v>
      </c>
      <c r="E38" s="2522" t="s">
        <v>3060</v>
      </c>
      <c r="F38" s="2522"/>
      <c r="G38" s="2522"/>
      <c r="H38" s="2522"/>
    </row>
    <row r="39" spans="1:11" ht="3" customHeight="1">
      <c r="D39" s="804"/>
      <c r="E39" s="808"/>
      <c r="F39" s="808"/>
      <c r="G39" s="808"/>
      <c r="H39" s="808"/>
    </row>
    <row r="40" spans="1:11">
      <c r="A40" s="771" t="s">
        <v>2921</v>
      </c>
      <c r="B40" s="802"/>
      <c r="C40" s="771" t="s">
        <v>2924</v>
      </c>
      <c r="D40" s="803" t="s">
        <v>3065</v>
      </c>
    </row>
    <row r="41" spans="1:11" ht="4.5" customHeight="1"/>
    <row r="42" spans="1:11" ht="12.75" customHeight="1">
      <c r="C42" s="764" t="s">
        <v>2814</v>
      </c>
      <c r="D42" s="804" t="s">
        <v>1789</v>
      </c>
      <c r="E42" s="805"/>
      <c r="F42" s="2522" t="s">
        <v>2815</v>
      </c>
      <c r="G42" s="2522"/>
      <c r="H42" s="2522"/>
      <c r="K42" s="705" t="s">
        <v>224</v>
      </c>
    </row>
    <row r="43" spans="1:11" ht="12.75" customHeight="1">
      <c r="C43" s="806" t="s">
        <v>1252</v>
      </c>
      <c r="D43" s="804" t="s">
        <v>1791</v>
      </c>
      <c r="E43" s="2522" t="s">
        <v>2927</v>
      </c>
      <c r="F43" s="2522"/>
      <c r="G43" s="2522"/>
      <c r="H43" s="2522"/>
    </row>
    <row r="44" spans="1:11" ht="12.75" customHeight="1">
      <c r="E44" s="2522" t="s">
        <v>3059</v>
      </c>
      <c r="F44" s="2522"/>
      <c r="G44" s="2522"/>
      <c r="H44" s="2522"/>
    </row>
    <row r="45" spans="1:11" ht="12.75" customHeight="1">
      <c r="D45" s="807" t="s">
        <v>2925</v>
      </c>
      <c r="E45" s="2522" t="s">
        <v>3060</v>
      </c>
      <c r="F45" s="2522"/>
      <c r="G45" s="2522"/>
      <c r="H45" s="2522"/>
    </row>
    <row r="46" spans="1:11" ht="9" customHeight="1"/>
    <row r="47" spans="1:11" ht="7.5" customHeight="1">
      <c r="E47" s="2522"/>
      <c r="F47" s="2522"/>
      <c r="G47" s="2522"/>
      <c r="H47" s="2522"/>
    </row>
    <row r="48" spans="1:11">
      <c r="A48" s="731" t="s">
        <v>2816</v>
      </c>
      <c r="E48" s="808"/>
      <c r="F48" s="808"/>
      <c r="G48" s="808"/>
      <c r="H48" s="808"/>
    </row>
    <row r="49" spans="1:11" ht="9" customHeight="1"/>
    <row r="50" spans="1:11" ht="26.25" customHeight="1">
      <c r="A50" s="2532" t="s">
        <v>3061</v>
      </c>
      <c r="B50" s="2532"/>
      <c r="C50" s="2532"/>
      <c r="D50" s="2532"/>
      <c r="E50" s="2532"/>
      <c r="F50" s="2532"/>
      <c r="G50" s="2532"/>
      <c r="H50" s="2532"/>
    </row>
    <row r="51" spans="1:11" ht="9" customHeight="1">
      <c r="A51" s="731"/>
    </row>
    <row r="52" spans="1:11">
      <c r="A52" s="771" t="s">
        <v>2921</v>
      </c>
      <c r="B52" s="802"/>
      <c r="C52" s="771" t="s">
        <v>2922</v>
      </c>
      <c r="D52" s="803" t="s">
        <v>3062</v>
      </c>
    </row>
    <row r="53" spans="1:11" ht="4.5" customHeight="1"/>
    <row r="54" spans="1:11" ht="12.75" customHeight="1">
      <c r="C54" s="764" t="s">
        <v>2814</v>
      </c>
      <c r="D54" s="804" t="s">
        <v>1789</v>
      </c>
      <c r="E54" s="805"/>
      <c r="F54" s="2522" t="s">
        <v>2815</v>
      </c>
      <c r="G54" s="2522"/>
      <c r="H54" s="2522"/>
    </row>
    <row r="55" spans="1:11" ht="12.75" customHeight="1">
      <c r="C55" s="806" t="s">
        <v>1252</v>
      </c>
      <c r="D55" s="804" t="s">
        <v>1791</v>
      </c>
      <c r="E55" s="2522" t="s">
        <v>3068</v>
      </c>
      <c r="F55" s="2522"/>
      <c r="G55" s="2522"/>
      <c r="H55" s="2522"/>
    </row>
    <row r="56" spans="1:11" ht="3" customHeight="1">
      <c r="D56" s="804"/>
      <c r="E56" s="808"/>
      <c r="F56" s="808"/>
      <c r="G56" s="808"/>
      <c r="H56" s="808"/>
    </row>
    <row r="57" spans="1:11">
      <c r="A57" s="771" t="s">
        <v>2921</v>
      </c>
      <c r="B57" s="802"/>
      <c r="C57" s="771" t="s">
        <v>2923</v>
      </c>
      <c r="D57" s="803" t="s">
        <v>3066</v>
      </c>
    </row>
    <row r="58" spans="1:11" ht="4.5" customHeight="1"/>
    <row r="59" spans="1:11">
      <c r="C59" s="764" t="s">
        <v>2814</v>
      </c>
      <c r="D59" s="804" t="s">
        <v>1789</v>
      </c>
      <c r="E59" s="805"/>
      <c r="F59" s="2522" t="s">
        <v>2815</v>
      </c>
      <c r="G59" s="2522"/>
      <c r="H59" s="2522"/>
    </row>
    <row r="60" spans="1:11" ht="12.75" customHeight="1">
      <c r="C60" s="806" t="s">
        <v>1252</v>
      </c>
      <c r="D60" s="804" t="s">
        <v>1791</v>
      </c>
      <c r="E60" s="2522" t="s">
        <v>3068</v>
      </c>
      <c r="F60" s="2522"/>
      <c r="G60" s="2522"/>
      <c r="H60" s="2522"/>
    </row>
    <row r="61" spans="1:11" ht="3" customHeight="1">
      <c r="D61" s="804"/>
      <c r="E61" s="808"/>
      <c r="F61" s="808"/>
      <c r="G61" s="808"/>
      <c r="H61" s="808"/>
    </row>
    <row r="62" spans="1:11">
      <c r="A62" s="771" t="s">
        <v>2921</v>
      </c>
      <c r="B62" s="802"/>
      <c r="C62" s="771" t="s">
        <v>2924</v>
      </c>
      <c r="D62" s="803" t="s">
        <v>3067</v>
      </c>
    </row>
    <row r="63" spans="1:11" ht="4.5" customHeight="1"/>
    <row r="64" spans="1:11">
      <c r="C64" s="764" t="s">
        <v>2814</v>
      </c>
      <c r="D64" s="804" t="s">
        <v>1789</v>
      </c>
      <c r="E64" s="805"/>
      <c r="F64" s="2522" t="s">
        <v>2815</v>
      </c>
      <c r="G64" s="2522"/>
      <c r="H64" s="2522"/>
      <c r="K64" s="705" t="s">
        <v>224</v>
      </c>
    </row>
    <row r="65" spans="3:8" ht="12.75" customHeight="1">
      <c r="C65" s="806" t="s">
        <v>1252</v>
      </c>
      <c r="D65" s="804" t="s">
        <v>1791</v>
      </c>
      <c r="E65" s="2522" t="s">
        <v>3068</v>
      </c>
      <c r="F65" s="2522"/>
      <c r="G65" s="2522"/>
      <c r="H65" s="2522"/>
    </row>
    <row r="66" spans="3:8" ht="7.5" customHeight="1">
      <c r="E66" s="2522"/>
      <c r="F66" s="2522"/>
      <c r="G66" s="2522"/>
      <c r="H66" s="2522"/>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5"/>
  <dimension ref="B1:M88"/>
  <sheetViews>
    <sheetView showGridLines="0" workbookViewId="0">
      <selection sqref="A1:XFD1048576"/>
    </sheetView>
  </sheetViews>
  <sheetFormatPr defaultColWidth="9.140625" defaultRowHeight="12.75"/>
  <cols>
    <col min="1" max="1" width="2.28515625" style="413" customWidth="1"/>
    <col min="2" max="2" width="12.42578125" style="413" customWidth="1"/>
    <col min="3" max="3" width="12.28515625" style="413" customWidth="1"/>
    <col min="4" max="4" width="9.7109375" style="413" customWidth="1"/>
    <col min="5" max="5" width="10.42578125" style="413" customWidth="1"/>
    <col min="6" max="6" width="9.140625" style="413"/>
    <col min="7" max="7" width="11" style="413" customWidth="1"/>
    <col min="8" max="8" width="14.42578125" style="413" customWidth="1"/>
    <col min="9" max="9" width="10.140625" style="413" customWidth="1"/>
    <col min="10" max="16384" width="9.140625" style="413"/>
  </cols>
  <sheetData>
    <row r="1" spans="2:13">
      <c r="B1" s="2567" t="s">
        <v>2817</v>
      </c>
      <c r="C1" s="2568"/>
      <c r="D1" s="2568"/>
      <c r="E1" s="2568"/>
      <c r="F1" s="2568"/>
      <c r="G1" s="2568"/>
      <c r="H1" s="2568"/>
      <c r="I1" s="2569"/>
    </row>
    <row r="2" spans="2:13">
      <c r="B2" s="2570" t="s">
        <v>2818</v>
      </c>
      <c r="C2" s="2571"/>
      <c r="D2" s="2571"/>
      <c r="E2" s="2571" t="s">
        <v>2819</v>
      </c>
      <c r="F2" s="2571"/>
      <c r="G2" s="2571"/>
      <c r="H2" s="2571" t="s">
        <v>573</v>
      </c>
      <c r="I2" s="2572"/>
      <c r="J2" s="421" t="s">
        <v>2654</v>
      </c>
      <c r="K2" s="421"/>
      <c r="L2" s="422"/>
      <c r="M2" s="422"/>
    </row>
    <row r="3" spans="2:13">
      <c r="B3" s="2573" t="str">
        <f>'Closing term sheet'!C8</f>
        <v>(Enter name as it will appear on all legal documents)</v>
      </c>
      <c r="C3" s="2574"/>
      <c r="D3" s="2575"/>
      <c r="E3" s="2576"/>
      <c r="F3" s="2577"/>
      <c r="G3" s="2578"/>
      <c r="H3" s="2579" t="str">
        <f>'Preview term'!E15</f>
        <v>SB OHF Test Villas</v>
      </c>
      <c r="I3" s="2580"/>
      <c r="K3" s="419"/>
    </row>
    <row r="4" spans="2:13" ht="15" customHeight="1">
      <c r="D4" s="549"/>
      <c r="E4" s="549"/>
      <c r="F4" s="549"/>
      <c r="G4" s="549"/>
      <c r="H4" s="549"/>
      <c r="I4" s="549"/>
      <c r="K4" s="419"/>
    </row>
    <row r="5" spans="2:13">
      <c r="B5" s="2554" t="s">
        <v>2820</v>
      </c>
      <c r="C5" s="2555"/>
      <c r="D5" s="423"/>
      <c r="H5" s="2565">
        <f>'Preview term'!E9</f>
        <v>0</v>
      </c>
      <c r="I5" s="2566"/>
    </row>
    <row r="6" spans="2:13" ht="7.5" customHeight="1">
      <c r="B6" s="469"/>
      <c r="C6" s="423"/>
      <c r="D6" s="423"/>
      <c r="E6" s="423"/>
      <c r="F6" s="423"/>
      <c r="G6" s="423"/>
      <c r="H6" s="423"/>
      <c r="I6" s="470"/>
    </row>
    <row r="7" spans="2:13">
      <c r="B7" s="488" t="s">
        <v>2821</v>
      </c>
      <c r="C7" s="489"/>
      <c r="D7" s="423"/>
      <c r="E7" s="425" t="s">
        <v>2822</v>
      </c>
      <c r="F7" s="423"/>
      <c r="G7" s="423"/>
      <c r="H7" s="423"/>
      <c r="I7" s="491" t="str">
        <f>'Closing term sheet'!D12</f>
        <v>&lt;&lt;Select&gt;&gt;</v>
      </c>
    </row>
    <row r="8" spans="2:13" ht="7.5" customHeight="1">
      <c r="B8" s="469"/>
      <c r="C8" s="423"/>
      <c r="D8" s="423"/>
      <c r="E8" s="423"/>
      <c r="F8" s="423"/>
      <c r="G8" s="423"/>
      <c r="H8" s="423"/>
      <c r="I8" s="470"/>
    </row>
    <row r="9" spans="2:13">
      <c r="B9" s="471" t="s">
        <v>2823</v>
      </c>
      <c r="C9" s="423"/>
      <c r="D9" s="424"/>
      <c r="E9" s="423"/>
      <c r="F9" s="423"/>
      <c r="G9" s="423"/>
      <c r="H9" s="423"/>
      <c r="I9" s="470"/>
    </row>
    <row r="10" spans="2:13">
      <c r="B10" s="471" t="s">
        <v>2824</v>
      </c>
      <c r="C10" s="423"/>
      <c r="D10" s="423"/>
      <c r="E10" s="423"/>
      <c r="F10" s="423"/>
      <c r="G10" s="423"/>
      <c r="H10" s="423"/>
      <c r="I10" s="491" t="s">
        <v>2553</v>
      </c>
    </row>
    <row r="11" spans="2:13">
      <c r="B11" s="469"/>
      <c r="C11" s="490"/>
      <c r="D11" s="423"/>
      <c r="E11" s="425" t="s">
        <v>2825</v>
      </c>
      <c r="F11" s="423"/>
      <c r="G11" s="423"/>
      <c r="H11" s="423"/>
      <c r="I11" s="470"/>
    </row>
    <row r="12" spans="2:13" ht="7.5" customHeight="1">
      <c r="B12" s="471"/>
      <c r="C12" s="423"/>
      <c r="D12" s="423"/>
      <c r="E12" s="423"/>
      <c r="F12" s="424"/>
      <c r="G12" s="423"/>
      <c r="H12" s="423"/>
      <c r="I12" s="470"/>
    </row>
    <row r="13" spans="2:13">
      <c r="B13" s="471" t="s">
        <v>2930</v>
      </c>
      <c r="C13" s="423"/>
      <c r="D13" s="423"/>
      <c r="E13" s="423"/>
      <c r="F13" s="420"/>
      <c r="G13" s="423"/>
      <c r="H13" s="423"/>
      <c r="I13" s="492"/>
    </row>
    <row r="14" spans="2:13">
      <c r="B14" s="472" t="s">
        <v>2929</v>
      </c>
      <c r="C14" s="423"/>
      <c r="D14" s="423"/>
      <c r="E14" s="487" t="s">
        <v>2998</v>
      </c>
      <c r="F14" s="423"/>
      <c r="G14" s="423"/>
      <c r="H14" s="423"/>
      <c r="I14" s="492"/>
    </row>
    <row r="15" spans="2:13" ht="7.5" customHeight="1">
      <c r="B15" s="469"/>
      <c r="C15" s="423"/>
      <c r="D15" s="423"/>
      <c r="E15" s="423"/>
      <c r="F15" s="423"/>
      <c r="G15" s="423"/>
      <c r="H15" s="423"/>
      <c r="I15" s="470"/>
    </row>
    <row r="16" spans="2:13">
      <c r="B16" s="471" t="s">
        <v>2826</v>
      </c>
      <c r="C16" s="423"/>
      <c r="D16" s="423"/>
      <c r="E16" s="423"/>
      <c r="F16" s="423"/>
      <c r="G16" s="423"/>
      <c r="H16" s="423"/>
      <c r="I16" s="491" t="s">
        <v>2553</v>
      </c>
    </row>
    <row r="17" spans="2:9" ht="7.5" customHeight="1">
      <c r="B17" s="473"/>
      <c r="C17" s="474"/>
      <c r="D17" s="474"/>
      <c r="E17" s="474"/>
      <c r="F17" s="474"/>
      <c r="G17" s="474"/>
      <c r="H17" s="474"/>
      <c r="I17" s="475"/>
    </row>
    <row r="18" spans="2:9" ht="15" customHeight="1">
      <c r="B18" s="423"/>
      <c r="C18" s="423"/>
      <c r="D18" s="423"/>
      <c r="E18" s="423"/>
      <c r="F18" s="423"/>
      <c r="G18" s="423"/>
      <c r="H18" s="423"/>
      <c r="I18" s="423"/>
    </row>
    <row r="19" spans="2:9" ht="7.5" customHeight="1">
      <c r="B19" s="476"/>
      <c r="C19" s="467"/>
      <c r="D19" s="467"/>
      <c r="E19" s="467"/>
      <c r="F19" s="467"/>
      <c r="G19" s="467"/>
      <c r="H19" s="467"/>
      <c r="I19" s="468"/>
    </row>
    <row r="20" spans="2:9">
      <c r="B20" s="471" t="s">
        <v>2827</v>
      </c>
      <c r="C20" s="423"/>
      <c r="D20" s="461">
        <v>2</v>
      </c>
      <c r="F20" s="423"/>
      <c r="G20" s="420" t="s">
        <v>2828</v>
      </c>
      <c r="H20" s="423"/>
      <c r="I20" s="477">
        <v>2</v>
      </c>
    </row>
    <row r="21" spans="2:9">
      <c r="B21" s="469"/>
      <c r="C21" s="487" t="s">
        <v>2829</v>
      </c>
      <c r="D21" s="429"/>
      <c r="E21" s="429"/>
      <c r="F21" s="429"/>
      <c r="H21" s="429" t="s">
        <v>2830</v>
      </c>
      <c r="I21" s="470"/>
    </row>
    <row r="22" spans="2:9">
      <c r="B22" s="469"/>
      <c r="C22" s="487" t="s">
        <v>2831</v>
      </c>
      <c r="D22" s="429"/>
      <c r="E22" s="429"/>
      <c r="F22" s="429"/>
      <c r="H22" s="429" t="s">
        <v>2832</v>
      </c>
      <c r="I22" s="470"/>
    </row>
    <row r="23" spans="2:9">
      <c r="B23" s="469"/>
      <c r="C23" s="487" t="s">
        <v>2833</v>
      </c>
      <c r="D23" s="429"/>
      <c r="E23" s="429"/>
      <c r="F23" s="429"/>
      <c r="H23" s="429" t="s">
        <v>2834</v>
      </c>
      <c r="I23" s="470"/>
    </row>
    <row r="24" spans="2:9" ht="7.5" customHeight="1">
      <c r="B24" s="473"/>
      <c r="C24" s="474"/>
      <c r="D24" s="474"/>
      <c r="E24" s="474"/>
      <c r="F24" s="474"/>
      <c r="G24" s="474"/>
      <c r="H24" s="474"/>
      <c r="I24" s="475"/>
    </row>
    <row r="25" spans="2:9" ht="15" customHeight="1"/>
    <row r="26" spans="2:9" ht="7.5" customHeight="1">
      <c r="B26" s="476"/>
      <c r="C26" s="467"/>
      <c r="D26" s="467"/>
      <c r="E26" s="467"/>
      <c r="F26" s="467"/>
      <c r="G26" s="467"/>
      <c r="H26" s="467"/>
      <c r="I26" s="468"/>
    </row>
    <row r="27" spans="2:9">
      <c r="B27" s="471" t="s">
        <v>2928</v>
      </c>
      <c r="C27" s="423"/>
      <c r="D27" s="462"/>
      <c r="F27" s="494" t="s">
        <v>2835</v>
      </c>
      <c r="H27" s="423"/>
      <c r="I27" s="470"/>
    </row>
    <row r="28" spans="2:9">
      <c r="B28" s="486" t="s">
        <v>2836</v>
      </c>
      <c r="C28" s="429"/>
      <c r="D28" s="429" t="s">
        <v>2837</v>
      </c>
      <c r="E28" s="423"/>
      <c r="F28" s="2556">
        <f>'Closing term sheet'!C30</f>
        <v>0</v>
      </c>
      <c r="G28" s="2557"/>
      <c r="H28" s="2557"/>
      <c r="I28" s="2558"/>
    </row>
    <row r="29" spans="2:9">
      <c r="B29" s="486" t="s">
        <v>2838</v>
      </c>
      <c r="D29" s="429" t="s">
        <v>2839</v>
      </c>
      <c r="E29" s="423"/>
      <c r="F29" s="2556"/>
      <c r="G29" s="2557"/>
      <c r="H29" s="2557"/>
      <c r="I29" s="2558"/>
    </row>
    <row r="30" spans="2:9">
      <c r="B30" s="486" t="s">
        <v>2840</v>
      </c>
      <c r="D30" s="423"/>
      <c r="E30" s="423"/>
      <c r="F30" s="2556"/>
      <c r="G30" s="2557"/>
      <c r="H30" s="2557"/>
      <c r="I30" s="2558"/>
    </row>
    <row r="31" spans="2:9" ht="7.5" customHeight="1">
      <c r="B31" s="469"/>
      <c r="C31" s="423"/>
      <c r="D31" s="423"/>
      <c r="E31" s="423"/>
      <c r="F31" s="423"/>
      <c r="G31" s="423"/>
      <c r="H31" s="423"/>
      <c r="I31" s="470"/>
    </row>
    <row r="32" spans="2:9">
      <c r="B32" s="484" t="s">
        <v>574</v>
      </c>
      <c r="C32" s="2559" t="str">
        <f>'Part I-Project Information'!F27</f>
        <v>Peachtree Corners</v>
      </c>
      <c r="D32" s="2560"/>
      <c r="E32" s="428" t="s">
        <v>1619</v>
      </c>
      <c r="F32" s="460" t="s">
        <v>787</v>
      </c>
      <c r="G32" s="428" t="s">
        <v>2841</v>
      </c>
      <c r="H32" s="464">
        <f>'Part I-Project Information'!J27</f>
        <v>0</v>
      </c>
      <c r="I32" s="470"/>
    </row>
    <row r="33" spans="2:9">
      <c r="B33" s="484" t="s">
        <v>575</v>
      </c>
      <c r="C33" s="2559" t="str">
        <f>'Part I-Project Information'!J28</f>
        <v>Gwinnett</v>
      </c>
      <c r="D33" s="2560"/>
      <c r="E33" s="423"/>
      <c r="F33" s="423"/>
      <c r="G33" s="423"/>
      <c r="H33" s="423"/>
      <c r="I33" s="470"/>
    </row>
    <row r="34" spans="2:9">
      <c r="B34" s="485" t="s">
        <v>2842</v>
      </c>
      <c r="C34" s="2561" t="e">
        <f>'Subsidy Layering WS'!D12</f>
        <v>#REF!</v>
      </c>
      <c r="D34" s="2562"/>
      <c r="E34" s="423"/>
      <c r="F34" s="425" t="s">
        <v>2843</v>
      </c>
      <c r="G34" s="423"/>
      <c r="H34" s="423"/>
      <c r="I34" s="470"/>
    </row>
    <row r="35" spans="2:9">
      <c r="B35" s="485" t="s">
        <v>3057</v>
      </c>
      <c r="C35" s="2563" t="e">
        <f>'Closing term sheet'!D64</f>
        <v>#REF!</v>
      </c>
      <c r="D35" s="2564"/>
      <c r="E35" s="423"/>
      <c r="F35" s="425" t="s">
        <v>2844</v>
      </c>
      <c r="G35" s="423"/>
      <c r="H35" s="423"/>
      <c r="I35" s="470"/>
    </row>
    <row r="36" spans="2:9">
      <c r="B36" s="478" t="s">
        <v>2845</v>
      </c>
      <c r="C36" s="427"/>
      <c r="D36" s="463"/>
      <c r="E36" s="423"/>
      <c r="F36" s="425" t="s">
        <v>2846</v>
      </c>
      <c r="G36" s="423"/>
      <c r="H36" s="423"/>
      <c r="I36" s="470"/>
    </row>
    <row r="37" spans="2:9" ht="7.5" customHeight="1">
      <c r="B37" s="473"/>
      <c r="C37" s="474"/>
      <c r="D37" s="474"/>
      <c r="E37" s="474"/>
      <c r="F37" s="474"/>
      <c r="G37" s="474"/>
      <c r="H37" s="474"/>
      <c r="I37" s="475"/>
    </row>
    <row r="38" spans="2:9" ht="15" customHeight="1"/>
    <row r="39" spans="2:9" ht="7.5" customHeight="1">
      <c r="B39" s="476"/>
      <c r="C39" s="467"/>
      <c r="D39" s="467"/>
      <c r="E39" s="467"/>
      <c r="F39" s="467"/>
      <c r="G39" s="467"/>
      <c r="H39" s="467"/>
      <c r="I39" s="468"/>
    </row>
    <row r="40" spans="2:9">
      <c r="B40" s="2548" t="s">
        <v>2847</v>
      </c>
      <c r="C40" s="2549"/>
      <c r="D40" s="2549"/>
      <c r="E40" s="2549"/>
      <c r="F40" s="2549"/>
      <c r="G40" s="2549"/>
      <c r="H40" s="2549"/>
      <c r="I40" s="2550"/>
    </row>
    <row r="41" spans="2:9" ht="7.5" customHeight="1">
      <c r="B41" s="2544"/>
      <c r="C41" s="2545"/>
      <c r="D41" s="2545"/>
      <c r="E41" s="423"/>
      <c r="F41" s="423"/>
      <c r="G41" s="479"/>
      <c r="H41" s="423"/>
      <c r="I41" s="470"/>
    </row>
    <row r="42" spans="2:9">
      <c r="B42" s="480" t="s">
        <v>2849</v>
      </c>
      <c r="C42" s="423"/>
      <c r="D42" s="465">
        <v>4</v>
      </c>
      <c r="F42" s="423"/>
      <c r="G42" s="2546" t="s">
        <v>2848</v>
      </c>
      <c r="H42" s="2546"/>
      <c r="I42" s="2547"/>
    </row>
    <row r="43" spans="2:9">
      <c r="B43" s="469"/>
      <c r="C43" s="429" t="s">
        <v>2852</v>
      </c>
      <c r="D43" s="429" t="s">
        <v>2853</v>
      </c>
      <c r="F43" s="423"/>
      <c r="G43" s="561" t="s">
        <v>2850</v>
      </c>
      <c r="H43" s="423"/>
      <c r="I43" s="481" t="e">
        <f>Overview!C13</f>
        <v>#REF!</v>
      </c>
    </row>
    <row r="44" spans="2:9">
      <c r="B44" s="469"/>
      <c r="C44" s="429" t="s">
        <v>2854</v>
      </c>
      <c r="D44" s="429" t="s">
        <v>2855</v>
      </c>
      <c r="F44" s="423"/>
      <c r="G44" s="482" t="s">
        <v>2851</v>
      </c>
      <c r="H44" s="423"/>
      <c r="I44" s="481" t="e">
        <f>C34</f>
        <v>#REF!</v>
      </c>
    </row>
    <row r="45" spans="2:9">
      <c r="B45" s="486"/>
      <c r="C45" s="429" t="s">
        <v>2856</v>
      </c>
      <c r="D45" s="423"/>
      <c r="E45" s="429"/>
      <c r="F45" s="423"/>
      <c r="H45" s="423"/>
      <c r="I45" s="493"/>
    </row>
    <row r="46" spans="2:9" ht="7.5" customHeight="1">
      <c r="B46" s="473"/>
      <c r="C46" s="474"/>
      <c r="D46" s="474"/>
      <c r="E46" s="474"/>
      <c r="F46" s="474"/>
      <c r="G46" s="474"/>
      <c r="H46" s="474"/>
      <c r="I46" s="475"/>
    </row>
    <row r="47" spans="2:9" ht="15" customHeight="1">
      <c r="B47" s="423"/>
      <c r="C47" s="423"/>
      <c r="D47" s="423"/>
      <c r="E47" s="423"/>
      <c r="F47" s="423"/>
      <c r="G47" s="423"/>
      <c r="H47" s="423"/>
      <c r="I47" s="423"/>
    </row>
    <row r="48" spans="2:9" ht="7.5" customHeight="1">
      <c r="B48" s="476"/>
      <c r="C48" s="467"/>
      <c r="D48" s="467"/>
      <c r="E48" s="467"/>
      <c r="F48" s="467"/>
      <c r="G48" s="467"/>
      <c r="H48" s="467"/>
      <c r="I48" s="468"/>
    </row>
    <row r="49" spans="2:9">
      <c r="B49" s="471" t="s">
        <v>2857</v>
      </c>
      <c r="C49" s="423"/>
      <c r="D49" s="423"/>
      <c r="E49" s="423"/>
      <c r="F49" s="423"/>
      <c r="G49" s="423"/>
      <c r="H49" s="423"/>
      <c r="I49" s="470"/>
    </row>
    <row r="50" spans="2:9" ht="7.5" customHeight="1">
      <c r="B50" s="469"/>
      <c r="C50" s="423"/>
      <c r="D50" s="423"/>
      <c r="E50" s="423"/>
      <c r="F50" s="423"/>
      <c r="G50" s="423"/>
      <c r="H50" s="423"/>
      <c r="I50" s="470"/>
    </row>
    <row r="51" spans="2:9">
      <c r="B51" s="471" t="s">
        <v>2858</v>
      </c>
      <c r="D51" s="423"/>
      <c r="E51" s="423"/>
      <c r="F51" s="423"/>
      <c r="G51" s="423"/>
      <c r="H51" s="423"/>
      <c r="I51" s="462"/>
    </row>
    <row r="52" spans="2:9" ht="7.5" customHeight="1">
      <c r="B52" s="469"/>
      <c r="C52" s="423"/>
      <c r="D52" s="423"/>
      <c r="E52" s="423"/>
      <c r="F52" s="423"/>
      <c r="G52" s="423"/>
      <c r="H52" s="423"/>
      <c r="I52" s="470"/>
    </row>
    <row r="53" spans="2:9">
      <c r="B53" s="469" t="s">
        <v>2859</v>
      </c>
      <c r="D53" s="423"/>
      <c r="E53" s="423"/>
      <c r="F53" s="423" t="s">
        <v>2931</v>
      </c>
      <c r="G53" s="423"/>
      <c r="H53" s="423"/>
      <c r="I53" s="466"/>
    </row>
    <row r="54" spans="2:9">
      <c r="B54" s="469"/>
      <c r="E54" s="423"/>
      <c r="F54" s="423" t="s">
        <v>2932</v>
      </c>
      <c r="G54" s="423"/>
      <c r="H54" s="423"/>
      <c r="I54" s="466"/>
    </row>
    <row r="55" spans="2:9">
      <c r="B55" s="469"/>
      <c r="E55" s="423"/>
      <c r="F55" s="423" t="s">
        <v>2933</v>
      </c>
      <c r="G55" s="423"/>
      <c r="H55" s="423"/>
      <c r="I55" s="466"/>
    </row>
    <row r="56" spans="2:9">
      <c r="B56" s="469"/>
      <c r="E56" s="423"/>
      <c r="F56" s="420" t="s">
        <v>2934</v>
      </c>
      <c r="G56" s="423"/>
      <c r="H56" s="423"/>
      <c r="I56" s="466"/>
    </row>
    <row r="57" spans="2:9" ht="7.5" customHeight="1">
      <c r="B57" s="473"/>
      <c r="C57" s="474"/>
      <c r="D57" s="474"/>
      <c r="E57" s="474"/>
      <c r="F57" s="474"/>
      <c r="G57" s="474"/>
      <c r="H57" s="474"/>
      <c r="I57" s="475"/>
    </row>
    <row r="58" spans="2:9" ht="7.5" customHeight="1"/>
    <row r="59" spans="2:9">
      <c r="B59" s="476"/>
      <c r="C59" s="467"/>
      <c r="D59" s="467"/>
      <c r="E59" s="467"/>
      <c r="F59" s="467"/>
      <c r="G59" s="467"/>
      <c r="H59" s="467"/>
      <c r="I59" s="468"/>
    </row>
    <row r="60" spans="2:9">
      <c r="B60" s="2548" t="s">
        <v>2860</v>
      </c>
      <c r="C60" s="2549"/>
      <c r="D60" s="2549"/>
      <c r="E60" s="2549"/>
      <c r="F60" s="2549"/>
      <c r="G60" s="2549"/>
      <c r="H60" s="2549"/>
      <c r="I60" s="2550"/>
    </row>
    <row r="61" spans="2:9">
      <c r="B61" s="469"/>
      <c r="C61" s="423"/>
      <c r="D61" s="423"/>
      <c r="E61" s="423"/>
      <c r="F61" s="423"/>
      <c r="G61" s="423"/>
      <c r="H61" s="423"/>
      <c r="I61" s="470"/>
    </row>
    <row r="62" spans="2:9">
      <c r="B62" s="471" t="s">
        <v>2861</v>
      </c>
      <c r="C62" s="423"/>
      <c r="D62" s="423"/>
      <c r="E62" s="423"/>
      <c r="F62" s="423"/>
      <c r="G62" s="423"/>
      <c r="H62" s="423"/>
      <c r="I62" s="470"/>
    </row>
    <row r="63" spans="2:9">
      <c r="B63" s="469"/>
      <c r="C63" s="420" t="s">
        <v>2862</v>
      </c>
      <c r="D63" s="423"/>
      <c r="E63" s="423"/>
      <c r="F63" s="2542" t="e">
        <f>'Closing term sheet'!D64</f>
        <v>#REF!</v>
      </c>
      <c r="G63" s="2542"/>
      <c r="H63" s="423"/>
      <c r="I63" s="470"/>
    </row>
    <row r="64" spans="2:9">
      <c r="B64" s="469"/>
      <c r="C64" s="420" t="s">
        <v>2863</v>
      </c>
      <c r="D64" s="423"/>
      <c r="E64" s="423"/>
      <c r="F64" s="2551">
        <f>'Part III-Sources of Funds'!I27+'Part III-Sources of Funds'!I28</f>
        <v>0</v>
      </c>
      <c r="G64" s="2551"/>
      <c r="H64" s="423"/>
      <c r="I64" s="470"/>
    </row>
    <row r="65" spans="2:9">
      <c r="B65" s="469"/>
      <c r="C65" s="420" t="s">
        <v>2864</v>
      </c>
      <c r="D65" s="423"/>
      <c r="E65" s="423"/>
      <c r="F65" s="2552"/>
      <c r="G65" s="2552"/>
      <c r="H65" s="423"/>
      <c r="I65" s="470"/>
    </row>
    <row r="66" spans="2:9">
      <c r="B66" s="469"/>
      <c r="C66" s="429" t="s">
        <v>2865</v>
      </c>
      <c r="D66" s="423"/>
      <c r="E66" s="423"/>
      <c r="F66" s="2551">
        <v>11000</v>
      </c>
      <c r="G66" s="2551"/>
      <c r="H66" s="423"/>
      <c r="I66" s="470"/>
    </row>
    <row r="67" spans="2:9">
      <c r="B67" s="469"/>
      <c r="C67" s="420" t="s">
        <v>2866</v>
      </c>
      <c r="D67" s="423"/>
      <c r="E67" s="423"/>
      <c r="F67" s="2543"/>
      <c r="G67" s="2543"/>
      <c r="H67" s="423"/>
      <c r="I67" s="470"/>
    </row>
    <row r="68" spans="2:9">
      <c r="B68" s="469"/>
      <c r="C68" s="425" t="s">
        <v>2867</v>
      </c>
      <c r="D68" s="423"/>
      <c r="E68" s="423"/>
      <c r="F68" s="2538" t="e">
        <f>SUM(F63:G67)</f>
        <v>#REF!</v>
      </c>
      <c r="G68" s="2538"/>
      <c r="H68" s="423"/>
      <c r="I68" s="470"/>
    </row>
    <row r="69" spans="2:9">
      <c r="B69" s="469"/>
      <c r="C69" s="423"/>
      <c r="D69" s="423"/>
      <c r="E69" s="423"/>
      <c r="F69" s="2553"/>
      <c r="G69" s="2553"/>
      <c r="H69" s="423"/>
      <c r="I69" s="470"/>
    </row>
    <row r="70" spans="2:9">
      <c r="B70" s="471" t="s">
        <v>2868</v>
      </c>
      <c r="C70" s="423"/>
      <c r="D70" s="423"/>
      <c r="E70" s="423"/>
      <c r="F70" s="423"/>
      <c r="G70" s="423"/>
      <c r="H70" s="423"/>
      <c r="I70" s="470"/>
    </row>
    <row r="71" spans="2:9">
      <c r="B71" s="469"/>
      <c r="C71" s="420" t="s">
        <v>2869</v>
      </c>
      <c r="D71" s="423"/>
      <c r="E71" s="423"/>
      <c r="F71" s="2542"/>
      <c r="G71" s="2542"/>
      <c r="H71" s="423"/>
      <c r="I71" s="470"/>
    </row>
    <row r="72" spans="2:9">
      <c r="B72" s="469"/>
      <c r="C72" s="420" t="s">
        <v>2870</v>
      </c>
      <c r="D72" s="423"/>
      <c r="E72" s="423"/>
      <c r="F72" s="2540"/>
      <c r="G72" s="2540"/>
      <c r="H72" s="423"/>
      <c r="I72" s="470"/>
    </row>
    <row r="73" spans="2:9">
      <c r="B73" s="469"/>
      <c r="C73" s="420" t="s">
        <v>2871</v>
      </c>
      <c r="D73" s="423"/>
      <c r="E73" s="423"/>
      <c r="F73" s="2541" t="s">
        <v>2735</v>
      </c>
      <c r="G73" s="2539"/>
      <c r="H73" s="423"/>
      <c r="I73" s="470"/>
    </row>
    <row r="74" spans="2:9">
      <c r="B74" s="469"/>
      <c r="C74" s="425" t="s">
        <v>2872</v>
      </c>
      <c r="D74" s="423"/>
      <c r="E74" s="423"/>
      <c r="F74" s="2538">
        <f>+SUM(F71:G73)</f>
        <v>0</v>
      </c>
      <c r="G74" s="2538"/>
      <c r="H74" s="423"/>
      <c r="I74" s="470"/>
    </row>
    <row r="75" spans="2:9">
      <c r="B75" s="469"/>
      <c r="C75" s="423"/>
      <c r="D75" s="423"/>
      <c r="E75" s="423"/>
      <c r="F75" s="423"/>
      <c r="G75" s="423"/>
      <c r="H75" s="423"/>
      <c r="I75" s="470"/>
    </row>
    <row r="76" spans="2:9">
      <c r="B76" s="471" t="s">
        <v>2873</v>
      </c>
      <c r="C76" s="423"/>
      <c r="D76" s="423"/>
      <c r="E76" s="423"/>
      <c r="F76" s="423"/>
      <c r="G76" s="423"/>
      <c r="H76" s="423"/>
      <c r="I76" s="470"/>
    </row>
    <row r="77" spans="2:9">
      <c r="B77" s="469"/>
      <c r="C77" s="420" t="s">
        <v>2874</v>
      </c>
      <c r="D77" s="423"/>
      <c r="E77" s="423"/>
      <c r="F77" s="2542"/>
      <c r="G77" s="2542"/>
      <c r="H77" s="423"/>
      <c r="I77" s="470"/>
    </row>
    <row r="78" spans="2:9">
      <c r="B78" s="469"/>
      <c r="C78" s="420" t="s">
        <v>2875</v>
      </c>
      <c r="D78" s="423"/>
      <c r="E78" s="423"/>
      <c r="F78" s="2540"/>
      <c r="G78" s="2540"/>
      <c r="H78" s="423"/>
      <c r="I78" s="470"/>
    </row>
    <row r="79" spans="2:9">
      <c r="B79" s="469"/>
      <c r="C79" s="420" t="s">
        <v>2876</v>
      </c>
      <c r="D79" s="423"/>
      <c r="E79" s="423"/>
      <c r="F79" s="2543"/>
      <c r="G79" s="2543"/>
      <c r="H79" s="423"/>
      <c r="I79" s="470"/>
    </row>
    <row r="80" spans="2:9">
      <c r="B80" s="469"/>
      <c r="C80" s="425" t="s">
        <v>2877</v>
      </c>
      <c r="D80" s="423"/>
      <c r="E80" s="423"/>
      <c r="F80" s="2538">
        <f>+SUM(F77:G79)</f>
        <v>0</v>
      </c>
      <c r="G80" s="2538"/>
      <c r="H80" s="423"/>
      <c r="I80" s="470"/>
    </row>
    <row r="81" spans="2:9">
      <c r="B81" s="469"/>
      <c r="C81" s="423"/>
      <c r="D81" s="423"/>
      <c r="E81" s="423"/>
      <c r="F81" s="423"/>
      <c r="G81" s="423"/>
      <c r="H81" s="423"/>
      <c r="I81" s="470"/>
    </row>
    <row r="82" spans="2:9">
      <c r="B82" s="480" t="s">
        <v>2878</v>
      </c>
      <c r="C82" s="420"/>
      <c r="D82" s="423"/>
      <c r="E82" s="423"/>
      <c r="F82" s="2539">
        <f>'Part III-Sources of Funds'!I29+'Part III-Sources of Funds'!I30</f>
        <v>0</v>
      </c>
      <c r="G82" s="2539"/>
      <c r="H82" s="423"/>
      <c r="I82" s="470"/>
    </row>
    <row r="83" spans="2:9">
      <c r="B83" s="469"/>
      <c r="C83" s="423"/>
      <c r="D83" s="423"/>
      <c r="E83" s="423"/>
      <c r="F83" s="423"/>
      <c r="G83" s="423"/>
      <c r="H83" s="423"/>
      <c r="I83" s="483" t="s">
        <v>2879</v>
      </c>
    </row>
    <row r="84" spans="2:9">
      <c r="B84" s="471" t="s">
        <v>2880</v>
      </c>
      <c r="C84" s="423"/>
      <c r="D84" s="423"/>
      <c r="E84" s="423"/>
      <c r="F84" s="2539" t="e">
        <f>+F82+F80+F74+F68</f>
        <v>#REF!</v>
      </c>
      <c r="G84" s="2539"/>
      <c r="H84" s="423"/>
      <c r="I84" s="470"/>
    </row>
    <row r="85" spans="2:9">
      <c r="B85" s="473"/>
      <c r="C85" s="474"/>
      <c r="D85" s="474"/>
      <c r="E85" s="474"/>
      <c r="F85" s="474"/>
      <c r="G85" s="474"/>
      <c r="H85" s="474"/>
      <c r="I85" s="475"/>
    </row>
    <row r="87" spans="2:9">
      <c r="C87" s="430" t="s">
        <v>2550</v>
      </c>
    </row>
    <row r="88" spans="2:9">
      <c r="C88" s="430" t="s">
        <v>2553</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xr:uid="{00000000-0002-0000-1500-000000000000}"/>
    <dataValidation type="list" allowBlank="1" showInputMessage="1" showErrorMessage="1" sqref="D36 I10 I13 I16" xr:uid="{00000000-0002-0000-1500-000001000000}">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V180"/>
  <sheetViews>
    <sheetView showGridLines="0" workbookViewId="0">
      <selection activeCell="C3" sqref="C3:D3"/>
    </sheetView>
  </sheetViews>
  <sheetFormatPr defaultColWidth="8.85546875" defaultRowHeight="11.25"/>
  <cols>
    <col min="1" max="1" width="10.28515625" style="860" customWidth="1"/>
    <col min="2" max="4" width="8.85546875" style="860"/>
    <col min="5" max="5" width="4.7109375" style="860" customWidth="1"/>
    <col min="6" max="6" width="7.7109375" style="860" customWidth="1"/>
    <col min="7" max="7" width="4.7109375" style="860" customWidth="1"/>
    <col min="8" max="9" width="7.7109375" style="860" customWidth="1"/>
    <col min="10" max="10" width="4.7109375" style="860" customWidth="1"/>
    <col min="11" max="11" width="7.7109375" style="860" customWidth="1"/>
    <col min="12" max="12" width="6.28515625" style="860" customWidth="1"/>
    <col min="13" max="14" width="7.7109375" style="860" customWidth="1"/>
    <col min="15" max="15" width="4.7109375" style="860" customWidth="1"/>
    <col min="16" max="18" width="7.7109375" style="860" customWidth="1"/>
    <col min="19" max="16384" width="8.85546875" style="860"/>
  </cols>
  <sheetData>
    <row r="1" spans="1:18" s="846" customFormat="1" ht="12.75">
      <c r="A1" s="2601" t="str">
        <f>CONCATENATE("PART EIGHT - BUILDING BY BUILDING CREDIT ALLOCATION - ",$C$4," - ",'Part I-Project Information'!$O$4," ",'Part I-Project Information'!$F$24)</f>
        <v>PART EIGHT - BUILDING BY BUILDING CREDIT ALLOCATION - New Construction - 20##-### SB OHF Test Villas</v>
      </c>
      <c r="B1" s="2602"/>
      <c r="C1" s="2602"/>
      <c r="D1" s="2602"/>
      <c r="E1" s="2602"/>
      <c r="F1" s="2602"/>
      <c r="G1" s="2602"/>
      <c r="H1" s="2602"/>
      <c r="I1" s="2602"/>
      <c r="J1" s="2602"/>
      <c r="K1" s="2602"/>
      <c r="L1" s="2602"/>
      <c r="M1" s="2602"/>
      <c r="N1" s="2602"/>
      <c r="O1" s="2602"/>
      <c r="P1" s="2602"/>
      <c r="Q1" s="2602"/>
      <c r="R1" s="2602"/>
    </row>
    <row r="2" spans="1:18" s="849" customFormat="1" ht="6" customHeight="1">
      <c r="A2" s="847"/>
      <c r="B2" s="847"/>
      <c r="C2" s="847"/>
      <c r="D2" s="847"/>
      <c r="E2" s="847"/>
      <c r="F2" s="847"/>
      <c r="G2" s="847"/>
      <c r="H2" s="847"/>
      <c r="I2" s="847"/>
      <c r="J2" s="847"/>
      <c r="K2" s="847"/>
      <c r="L2" s="847"/>
      <c r="M2" s="848"/>
      <c r="N2" s="848"/>
    </row>
    <row r="3" spans="1:18" s="846" customFormat="1" ht="12.6" customHeight="1">
      <c r="A3" s="850" t="s">
        <v>3125</v>
      </c>
      <c r="B3" s="851"/>
      <c r="C3" s="2603"/>
      <c r="D3" s="2604"/>
      <c r="F3" s="850" t="s">
        <v>3126</v>
      </c>
      <c r="I3" s="2605"/>
      <c r="J3" s="2606"/>
      <c r="L3" s="852" t="s">
        <v>3788</v>
      </c>
      <c r="M3" s="2329" t="str">
        <f>CONCATENATE('Part I-Project Information'!$F$27,", GA, ",'Part I-Project Information'!$J$28," County")</f>
        <v>Peachtree Corners, GA, Gwinnett County</v>
      </c>
      <c r="N3" s="2330"/>
      <c r="O3" s="2330"/>
      <c r="P3" s="2330"/>
      <c r="Q3" s="2330"/>
      <c r="R3" s="2331"/>
    </row>
    <row r="4" spans="1:18" s="846" customFormat="1" ht="12.6" customHeight="1">
      <c r="A4" s="850" t="s">
        <v>3128</v>
      </c>
      <c r="B4" s="853"/>
      <c r="C4" s="2607" t="s">
        <v>2039</v>
      </c>
      <c r="D4" s="2608"/>
      <c r="E4" s="2609"/>
      <c r="F4" s="854" t="str">
        <f>IF(NOT(OR(C4="New Construction",C4="Rehabilitation",C4="Acquisition")),"   &lt;-- PLEASE SELECT TYPE OF ACTIVITY FOR THIS PAGE BEFORE PROCEEDING!","")</f>
        <v/>
      </c>
      <c r="G4" s="855"/>
      <c r="H4" s="855"/>
      <c r="L4" s="848"/>
      <c r="M4" s="848"/>
      <c r="N4" s="848"/>
    </row>
    <row r="5" spans="1:18" s="846" customFormat="1" ht="12.6" customHeight="1">
      <c r="A5" s="2625" t="s">
        <v>3129</v>
      </c>
      <c r="B5" s="2625"/>
      <c r="C5" s="2625"/>
      <c r="D5" s="2625"/>
      <c r="E5" s="2625"/>
      <c r="F5" s="2625"/>
      <c r="G5" s="2625"/>
      <c r="H5" s="2625"/>
      <c r="I5" s="2625"/>
      <c r="J5" s="2625"/>
      <c r="K5" s="2625"/>
      <c r="L5" s="2625"/>
      <c r="M5" s="2625"/>
      <c r="N5" s="2625"/>
      <c r="O5" s="2625"/>
      <c r="P5" s="2625"/>
      <c r="Q5" s="2625"/>
      <c r="R5" s="2625"/>
    </row>
    <row r="6" spans="1:18" s="856" customFormat="1" ht="12" customHeight="1">
      <c r="A6" s="2676"/>
      <c r="B6" s="858"/>
      <c r="C6" s="858"/>
      <c r="D6" s="859"/>
      <c r="E6" s="2689" t="s">
        <v>503</v>
      </c>
      <c r="F6" s="2690"/>
      <c r="G6" s="2690"/>
      <c r="H6" s="2691"/>
      <c r="I6" s="2678"/>
      <c r="J6" s="2679"/>
      <c r="K6" s="2687" t="s">
        <v>3135</v>
      </c>
      <c r="L6" s="2687"/>
      <c r="M6" s="2687"/>
      <c r="N6" s="859" t="s">
        <v>861</v>
      </c>
      <c r="O6" s="2677"/>
      <c r="P6" s="2677"/>
      <c r="Q6" s="2683" t="s">
        <v>3131</v>
      </c>
      <c r="R6" s="2684"/>
    </row>
    <row r="7" spans="1:18" s="856" customFormat="1" ht="12" customHeight="1">
      <c r="A7" s="857"/>
      <c r="B7" s="858"/>
      <c r="C7" s="858"/>
      <c r="D7" s="859" t="s">
        <v>496</v>
      </c>
      <c r="E7" s="2692" t="s">
        <v>3132</v>
      </c>
      <c r="F7" s="2693"/>
      <c r="G7" s="2692" t="s">
        <v>1902</v>
      </c>
      <c r="H7" s="2693"/>
      <c r="I7" s="859" t="s">
        <v>3135</v>
      </c>
      <c r="J7" s="2680" t="s">
        <v>3136</v>
      </c>
      <c r="K7" s="2688"/>
      <c r="L7" s="2688"/>
      <c r="M7" s="2688"/>
      <c r="N7" s="859" t="s">
        <v>3137</v>
      </c>
      <c r="O7" s="859" t="s">
        <v>3138</v>
      </c>
      <c r="P7" s="859" t="s">
        <v>3139</v>
      </c>
      <c r="Q7" s="2685"/>
      <c r="R7" s="2686"/>
    </row>
    <row r="8" spans="1:18" ht="11.45" customHeight="1">
      <c r="A8" s="857"/>
      <c r="B8" s="858"/>
      <c r="C8" s="858"/>
      <c r="D8" s="859" t="s">
        <v>3140</v>
      </c>
      <c r="E8" s="2681" t="s">
        <v>152</v>
      </c>
      <c r="F8" s="859" t="s">
        <v>3110</v>
      </c>
      <c r="G8" s="2681" t="s">
        <v>152</v>
      </c>
      <c r="H8" s="859" t="s">
        <v>3110</v>
      </c>
      <c r="I8" s="859" t="s">
        <v>3142</v>
      </c>
      <c r="J8" s="2680"/>
      <c r="K8" s="2672" t="s">
        <v>3143</v>
      </c>
      <c r="L8" s="2672" t="s">
        <v>3144</v>
      </c>
      <c r="M8" s="2672" t="s">
        <v>3145</v>
      </c>
      <c r="N8" s="859" t="s">
        <v>3146</v>
      </c>
      <c r="O8" s="859" t="s">
        <v>3147</v>
      </c>
      <c r="P8" s="859" t="s">
        <v>3147</v>
      </c>
      <c r="Q8" s="859" t="s">
        <v>3135</v>
      </c>
      <c r="R8" s="859" t="s">
        <v>3148</v>
      </c>
    </row>
    <row r="9" spans="1:18" ht="11.45" customHeight="1">
      <c r="A9" s="861" t="s">
        <v>3149</v>
      </c>
      <c r="B9" s="862"/>
      <c r="C9" s="862"/>
      <c r="D9" s="863" t="s">
        <v>3150</v>
      </c>
      <c r="E9" s="863" t="s">
        <v>3151</v>
      </c>
      <c r="F9" s="863" t="s">
        <v>3152</v>
      </c>
      <c r="G9" s="863" t="s">
        <v>3151</v>
      </c>
      <c r="H9" s="863" t="s">
        <v>3152</v>
      </c>
      <c r="I9" s="863" t="s">
        <v>3153</v>
      </c>
      <c r="J9" s="2682" t="s">
        <v>3154</v>
      </c>
      <c r="K9" s="863" t="s">
        <v>3153</v>
      </c>
      <c r="L9" s="863" t="s">
        <v>3155</v>
      </c>
      <c r="M9" s="863" t="s">
        <v>3153</v>
      </c>
      <c r="N9" s="863" t="s">
        <v>3156</v>
      </c>
      <c r="O9" s="863" t="s">
        <v>3157</v>
      </c>
      <c r="P9" s="863" t="s">
        <v>1793</v>
      </c>
      <c r="Q9" s="863" t="s">
        <v>1830</v>
      </c>
      <c r="R9" s="863" t="s">
        <v>1793</v>
      </c>
    </row>
    <row r="10" spans="1:18" ht="12" customHeight="1">
      <c r="A10" s="2598"/>
      <c r="B10" s="2599"/>
      <c r="C10" s="2600"/>
      <c r="D10" s="864"/>
      <c r="E10" s="2666"/>
      <c r="F10" s="2667"/>
      <c r="G10" s="2666"/>
      <c r="H10" s="2667"/>
      <c r="I10" s="865"/>
      <c r="J10" s="866"/>
      <c r="K10" s="2666"/>
      <c r="L10" s="2673" t="str">
        <f>IF(OR(E10="",F10=""),"",MIN(G10/E10,H10/F10))</f>
        <v/>
      </c>
      <c r="M10" s="2667" t="str">
        <f>IF(OR(E10="",F10=""),"",K10*L10)</f>
        <v/>
      </c>
      <c r="N10" s="864"/>
      <c r="O10" s="867"/>
      <c r="P10" s="865" t="str">
        <f>IF(OR(M10="",O10=""),"",M10*O10)</f>
        <v/>
      </c>
      <c r="Q10" s="2666" t="str">
        <f>IF(M10="","",ROUND(M10,0))</f>
        <v/>
      </c>
      <c r="R10" s="2667" t="str">
        <f>IF(P10="","",ROUND(P10,0))</f>
        <v/>
      </c>
    </row>
    <row r="11" spans="1:18" ht="12" customHeight="1">
      <c r="A11" s="2581"/>
      <c r="B11" s="2582"/>
      <c r="C11" s="2583"/>
      <c r="D11" s="868"/>
      <c r="E11" s="2668"/>
      <c r="F11" s="2669"/>
      <c r="G11" s="2668"/>
      <c r="H11" s="2669"/>
      <c r="I11" s="869"/>
      <c r="J11" s="870"/>
      <c r="K11" s="2668"/>
      <c r="L11" s="2674" t="str">
        <f t="shared" ref="L11:L44" si="0">IF(OR(E11="",F11=""),"",MIN(G11/E11,H11/F11))</f>
        <v/>
      </c>
      <c r="M11" s="2669" t="str">
        <f t="shared" ref="M11:M44" si="1">IF(OR(E11="",F11=""),"",K11*L11)</f>
        <v/>
      </c>
      <c r="N11" s="868"/>
      <c r="O11" s="871"/>
      <c r="P11" s="869" t="str">
        <f t="shared" ref="P11:P44" si="2">IF(OR(M11="",O11=""),"",M11*O11)</f>
        <v/>
      </c>
      <c r="Q11" s="2668" t="str">
        <f t="shared" ref="Q11:Q44" si="3">IF(M11="","",ROUND(M11,0))</f>
        <v/>
      </c>
      <c r="R11" s="2669" t="str">
        <f t="shared" ref="R11:R44" si="4">IF(P11="","",ROUND(P11,0))</f>
        <v/>
      </c>
    </row>
    <row r="12" spans="1:18" ht="12" customHeight="1">
      <c r="A12" s="2581"/>
      <c r="B12" s="2582"/>
      <c r="C12" s="2583"/>
      <c r="D12" s="868"/>
      <c r="E12" s="2668"/>
      <c r="F12" s="2669"/>
      <c r="G12" s="2668"/>
      <c r="H12" s="2669"/>
      <c r="I12" s="869"/>
      <c r="J12" s="870"/>
      <c r="K12" s="2668"/>
      <c r="L12" s="2674" t="str">
        <f t="shared" si="0"/>
        <v/>
      </c>
      <c r="M12" s="2669" t="str">
        <f t="shared" si="1"/>
        <v/>
      </c>
      <c r="N12" s="868"/>
      <c r="O12" s="871"/>
      <c r="P12" s="869" t="str">
        <f t="shared" si="2"/>
        <v/>
      </c>
      <c r="Q12" s="2668" t="str">
        <f t="shared" si="3"/>
        <v/>
      </c>
      <c r="R12" s="2669" t="str">
        <f t="shared" si="4"/>
        <v/>
      </c>
    </row>
    <row r="13" spans="1:18" ht="12" customHeight="1">
      <c r="A13" s="2581"/>
      <c r="B13" s="2582"/>
      <c r="C13" s="2583"/>
      <c r="D13" s="868"/>
      <c r="E13" s="2668"/>
      <c r="F13" s="2669"/>
      <c r="G13" s="2668"/>
      <c r="H13" s="2669"/>
      <c r="I13" s="869"/>
      <c r="J13" s="870"/>
      <c r="K13" s="2668"/>
      <c r="L13" s="2674" t="str">
        <f t="shared" si="0"/>
        <v/>
      </c>
      <c r="M13" s="2669" t="str">
        <f t="shared" si="1"/>
        <v/>
      </c>
      <c r="N13" s="868"/>
      <c r="O13" s="871"/>
      <c r="P13" s="869" t="str">
        <f t="shared" si="2"/>
        <v/>
      </c>
      <c r="Q13" s="2668" t="str">
        <f t="shared" si="3"/>
        <v/>
      </c>
      <c r="R13" s="2669" t="str">
        <f t="shared" si="4"/>
        <v/>
      </c>
    </row>
    <row r="14" spans="1:18" ht="12" customHeight="1">
      <c r="A14" s="2581"/>
      <c r="B14" s="2582"/>
      <c r="C14" s="2583"/>
      <c r="D14" s="868"/>
      <c r="E14" s="2668"/>
      <c r="F14" s="2669"/>
      <c r="G14" s="2668"/>
      <c r="H14" s="2669"/>
      <c r="I14" s="869"/>
      <c r="J14" s="870"/>
      <c r="K14" s="2668"/>
      <c r="L14" s="2674" t="str">
        <f t="shared" si="0"/>
        <v/>
      </c>
      <c r="M14" s="2669" t="str">
        <f t="shared" si="1"/>
        <v/>
      </c>
      <c r="N14" s="868"/>
      <c r="O14" s="871"/>
      <c r="P14" s="869" t="str">
        <f t="shared" si="2"/>
        <v/>
      </c>
      <c r="Q14" s="2668" t="str">
        <f t="shared" si="3"/>
        <v/>
      </c>
      <c r="R14" s="2669" t="str">
        <f t="shared" si="4"/>
        <v/>
      </c>
    </row>
    <row r="15" spans="1:18" ht="12" customHeight="1">
      <c r="A15" s="2581"/>
      <c r="B15" s="2582"/>
      <c r="C15" s="2583"/>
      <c r="D15" s="868"/>
      <c r="E15" s="2668"/>
      <c r="F15" s="2669"/>
      <c r="G15" s="2668"/>
      <c r="H15" s="2669"/>
      <c r="I15" s="869"/>
      <c r="J15" s="870"/>
      <c r="K15" s="2668"/>
      <c r="L15" s="2674" t="str">
        <f t="shared" si="0"/>
        <v/>
      </c>
      <c r="M15" s="2669" t="str">
        <f t="shared" si="1"/>
        <v/>
      </c>
      <c r="N15" s="868"/>
      <c r="O15" s="871"/>
      <c r="P15" s="869" t="str">
        <f t="shared" si="2"/>
        <v/>
      </c>
      <c r="Q15" s="2668" t="str">
        <f t="shared" si="3"/>
        <v/>
      </c>
      <c r="R15" s="2669" t="str">
        <f t="shared" si="4"/>
        <v/>
      </c>
    </row>
    <row r="16" spans="1:18" ht="12" customHeight="1">
      <c r="A16" s="2581"/>
      <c r="B16" s="2582"/>
      <c r="C16" s="2583"/>
      <c r="D16" s="868"/>
      <c r="E16" s="2668"/>
      <c r="F16" s="2669"/>
      <c r="G16" s="2668"/>
      <c r="H16" s="2669"/>
      <c r="I16" s="869"/>
      <c r="J16" s="870"/>
      <c r="K16" s="2668"/>
      <c r="L16" s="2674" t="str">
        <f t="shared" si="0"/>
        <v/>
      </c>
      <c r="M16" s="2669" t="str">
        <f t="shared" si="1"/>
        <v/>
      </c>
      <c r="N16" s="868"/>
      <c r="O16" s="871"/>
      <c r="P16" s="869" t="str">
        <f t="shared" si="2"/>
        <v/>
      </c>
      <c r="Q16" s="2668" t="str">
        <f t="shared" si="3"/>
        <v/>
      </c>
      <c r="R16" s="2669" t="str">
        <f t="shared" si="4"/>
        <v/>
      </c>
    </row>
    <row r="17" spans="1:18" ht="12" customHeight="1">
      <c r="A17" s="2581"/>
      <c r="B17" s="2582"/>
      <c r="C17" s="2583"/>
      <c r="D17" s="868"/>
      <c r="E17" s="2668"/>
      <c r="F17" s="2669"/>
      <c r="G17" s="2668"/>
      <c r="H17" s="2669"/>
      <c r="I17" s="869"/>
      <c r="J17" s="870"/>
      <c r="K17" s="2668"/>
      <c r="L17" s="2674" t="str">
        <f t="shared" si="0"/>
        <v/>
      </c>
      <c r="M17" s="2669" t="str">
        <f t="shared" si="1"/>
        <v/>
      </c>
      <c r="N17" s="868"/>
      <c r="O17" s="871"/>
      <c r="P17" s="869" t="str">
        <f t="shared" si="2"/>
        <v/>
      </c>
      <c r="Q17" s="2668" t="str">
        <f t="shared" si="3"/>
        <v/>
      </c>
      <c r="R17" s="2669" t="str">
        <f t="shared" si="4"/>
        <v/>
      </c>
    </row>
    <row r="18" spans="1:18" ht="12" customHeight="1">
      <c r="A18" s="2581"/>
      <c r="B18" s="2582"/>
      <c r="C18" s="2583"/>
      <c r="D18" s="868"/>
      <c r="E18" s="2668"/>
      <c r="F18" s="2669"/>
      <c r="G18" s="2668"/>
      <c r="H18" s="2669"/>
      <c r="I18" s="869"/>
      <c r="J18" s="870"/>
      <c r="K18" s="2668"/>
      <c r="L18" s="2674" t="str">
        <f t="shared" si="0"/>
        <v/>
      </c>
      <c r="M18" s="2669" t="str">
        <f t="shared" si="1"/>
        <v/>
      </c>
      <c r="N18" s="868"/>
      <c r="O18" s="871"/>
      <c r="P18" s="869" t="str">
        <f t="shared" si="2"/>
        <v/>
      </c>
      <c r="Q18" s="2668" t="str">
        <f t="shared" si="3"/>
        <v/>
      </c>
      <c r="R18" s="2669" t="str">
        <f t="shared" si="4"/>
        <v/>
      </c>
    </row>
    <row r="19" spans="1:18" ht="12" customHeight="1">
      <c r="A19" s="2581"/>
      <c r="B19" s="2582"/>
      <c r="C19" s="2583"/>
      <c r="D19" s="868"/>
      <c r="E19" s="2668"/>
      <c r="F19" s="2669"/>
      <c r="G19" s="2668"/>
      <c r="H19" s="2669"/>
      <c r="I19" s="869"/>
      <c r="J19" s="870"/>
      <c r="K19" s="2668"/>
      <c r="L19" s="2674" t="str">
        <f t="shared" si="0"/>
        <v/>
      </c>
      <c r="M19" s="2669" t="str">
        <f t="shared" si="1"/>
        <v/>
      </c>
      <c r="N19" s="868"/>
      <c r="O19" s="871"/>
      <c r="P19" s="869" t="str">
        <f t="shared" si="2"/>
        <v/>
      </c>
      <c r="Q19" s="2668" t="str">
        <f t="shared" si="3"/>
        <v/>
      </c>
      <c r="R19" s="2669" t="str">
        <f t="shared" si="4"/>
        <v/>
      </c>
    </row>
    <row r="20" spans="1:18" ht="12" customHeight="1">
      <c r="A20" s="2581"/>
      <c r="B20" s="2582"/>
      <c r="C20" s="2583"/>
      <c r="D20" s="868"/>
      <c r="E20" s="2668"/>
      <c r="F20" s="2669"/>
      <c r="G20" s="2668"/>
      <c r="H20" s="2669"/>
      <c r="I20" s="869"/>
      <c r="J20" s="870"/>
      <c r="K20" s="2668"/>
      <c r="L20" s="2674" t="str">
        <f t="shared" si="0"/>
        <v/>
      </c>
      <c r="M20" s="2669" t="str">
        <f t="shared" si="1"/>
        <v/>
      </c>
      <c r="N20" s="868"/>
      <c r="O20" s="871"/>
      <c r="P20" s="869" t="str">
        <f t="shared" si="2"/>
        <v/>
      </c>
      <c r="Q20" s="2668" t="str">
        <f t="shared" si="3"/>
        <v/>
      </c>
      <c r="R20" s="2669" t="str">
        <f t="shared" si="4"/>
        <v/>
      </c>
    </row>
    <row r="21" spans="1:18" ht="12" customHeight="1">
      <c r="A21" s="2581"/>
      <c r="B21" s="2582"/>
      <c r="C21" s="2583"/>
      <c r="D21" s="868"/>
      <c r="E21" s="2668"/>
      <c r="F21" s="2669"/>
      <c r="G21" s="2668"/>
      <c r="H21" s="2669"/>
      <c r="I21" s="869"/>
      <c r="J21" s="870"/>
      <c r="K21" s="2668"/>
      <c r="L21" s="2674" t="str">
        <f t="shared" si="0"/>
        <v/>
      </c>
      <c r="M21" s="2669" t="str">
        <f t="shared" si="1"/>
        <v/>
      </c>
      <c r="N21" s="868"/>
      <c r="O21" s="871"/>
      <c r="P21" s="869" t="str">
        <f t="shared" si="2"/>
        <v/>
      </c>
      <c r="Q21" s="2668" t="str">
        <f t="shared" si="3"/>
        <v/>
      </c>
      <c r="R21" s="2669" t="str">
        <f t="shared" si="4"/>
        <v/>
      </c>
    </row>
    <row r="22" spans="1:18" ht="12" customHeight="1">
      <c r="A22" s="2581"/>
      <c r="B22" s="2582"/>
      <c r="C22" s="2583"/>
      <c r="D22" s="868"/>
      <c r="E22" s="2668"/>
      <c r="F22" s="2669"/>
      <c r="G22" s="2668"/>
      <c r="H22" s="2669"/>
      <c r="I22" s="869"/>
      <c r="J22" s="870"/>
      <c r="K22" s="2668"/>
      <c r="L22" s="2674" t="str">
        <f t="shared" si="0"/>
        <v/>
      </c>
      <c r="M22" s="2669" t="str">
        <f t="shared" si="1"/>
        <v/>
      </c>
      <c r="N22" s="868"/>
      <c r="O22" s="871"/>
      <c r="P22" s="869" t="str">
        <f t="shared" si="2"/>
        <v/>
      </c>
      <c r="Q22" s="2668" t="str">
        <f t="shared" si="3"/>
        <v/>
      </c>
      <c r="R22" s="2669" t="str">
        <f t="shared" si="4"/>
        <v/>
      </c>
    </row>
    <row r="23" spans="1:18" ht="12" customHeight="1">
      <c r="A23" s="2581"/>
      <c r="B23" s="2582"/>
      <c r="C23" s="2583"/>
      <c r="D23" s="868"/>
      <c r="E23" s="2668"/>
      <c r="F23" s="2669"/>
      <c r="G23" s="2668"/>
      <c r="H23" s="2669"/>
      <c r="I23" s="869"/>
      <c r="J23" s="870"/>
      <c r="K23" s="2668"/>
      <c r="L23" s="2674" t="str">
        <f t="shared" si="0"/>
        <v/>
      </c>
      <c r="M23" s="2669" t="str">
        <f t="shared" si="1"/>
        <v/>
      </c>
      <c r="N23" s="868"/>
      <c r="O23" s="871"/>
      <c r="P23" s="869" t="str">
        <f t="shared" si="2"/>
        <v/>
      </c>
      <c r="Q23" s="2668" t="str">
        <f t="shared" si="3"/>
        <v/>
      </c>
      <c r="R23" s="2669" t="str">
        <f t="shared" si="4"/>
        <v/>
      </c>
    </row>
    <row r="24" spans="1:18" ht="12" customHeight="1">
      <c r="A24" s="2581"/>
      <c r="B24" s="2582"/>
      <c r="C24" s="2583"/>
      <c r="D24" s="868"/>
      <c r="E24" s="2668"/>
      <c r="F24" s="2669"/>
      <c r="G24" s="2668"/>
      <c r="H24" s="2669"/>
      <c r="I24" s="869"/>
      <c r="J24" s="870"/>
      <c r="K24" s="2668"/>
      <c r="L24" s="2674" t="str">
        <f t="shared" si="0"/>
        <v/>
      </c>
      <c r="M24" s="2669" t="str">
        <f t="shared" si="1"/>
        <v/>
      </c>
      <c r="N24" s="868"/>
      <c r="O24" s="871"/>
      <c r="P24" s="869" t="str">
        <f t="shared" si="2"/>
        <v/>
      </c>
      <c r="Q24" s="2668" t="str">
        <f t="shared" si="3"/>
        <v/>
      </c>
      <c r="R24" s="2669" t="str">
        <f t="shared" si="4"/>
        <v/>
      </c>
    </row>
    <row r="25" spans="1:18" ht="12" customHeight="1">
      <c r="A25" s="2581"/>
      <c r="B25" s="2582"/>
      <c r="C25" s="2583"/>
      <c r="D25" s="868"/>
      <c r="E25" s="2668"/>
      <c r="F25" s="2669"/>
      <c r="G25" s="2668"/>
      <c r="H25" s="2669"/>
      <c r="I25" s="869"/>
      <c r="J25" s="870"/>
      <c r="K25" s="2668"/>
      <c r="L25" s="2674" t="str">
        <f t="shared" si="0"/>
        <v/>
      </c>
      <c r="M25" s="2669" t="str">
        <f t="shared" si="1"/>
        <v/>
      </c>
      <c r="N25" s="868"/>
      <c r="O25" s="871"/>
      <c r="P25" s="869" t="str">
        <f t="shared" si="2"/>
        <v/>
      </c>
      <c r="Q25" s="2668" t="str">
        <f t="shared" si="3"/>
        <v/>
      </c>
      <c r="R25" s="2669" t="str">
        <f t="shared" si="4"/>
        <v/>
      </c>
    </row>
    <row r="26" spans="1:18" ht="12" customHeight="1">
      <c r="A26" s="2581"/>
      <c r="B26" s="2582"/>
      <c r="C26" s="2583"/>
      <c r="D26" s="868"/>
      <c r="E26" s="2668"/>
      <c r="F26" s="2669"/>
      <c r="G26" s="2668"/>
      <c r="H26" s="2669"/>
      <c r="I26" s="869"/>
      <c r="J26" s="870"/>
      <c r="K26" s="2668"/>
      <c r="L26" s="2674" t="str">
        <f t="shared" si="0"/>
        <v/>
      </c>
      <c r="M26" s="2669" t="str">
        <f t="shared" si="1"/>
        <v/>
      </c>
      <c r="N26" s="868"/>
      <c r="O26" s="871"/>
      <c r="P26" s="869" t="str">
        <f t="shared" si="2"/>
        <v/>
      </c>
      <c r="Q26" s="2668" t="str">
        <f t="shared" si="3"/>
        <v/>
      </c>
      <c r="R26" s="2669" t="str">
        <f t="shared" si="4"/>
        <v/>
      </c>
    </row>
    <row r="27" spans="1:18" ht="12" customHeight="1">
      <c r="A27" s="2581"/>
      <c r="B27" s="2582"/>
      <c r="C27" s="2583"/>
      <c r="D27" s="868"/>
      <c r="E27" s="2668"/>
      <c r="F27" s="2669"/>
      <c r="G27" s="2668"/>
      <c r="H27" s="2669"/>
      <c r="I27" s="869"/>
      <c r="J27" s="870"/>
      <c r="K27" s="2668"/>
      <c r="L27" s="2674" t="str">
        <f t="shared" si="0"/>
        <v/>
      </c>
      <c r="M27" s="2669" t="str">
        <f t="shared" si="1"/>
        <v/>
      </c>
      <c r="N27" s="868"/>
      <c r="O27" s="871"/>
      <c r="P27" s="869" t="str">
        <f t="shared" si="2"/>
        <v/>
      </c>
      <c r="Q27" s="2668" t="str">
        <f t="shared" si="3"/>
        <v/>
      </c>
      <c r="R27" s="2669" t="str">
        <f t="shared" si="4"/>
        <v/>
      </c>
    </row>
    <row r="28" spans="1:18" ht="12" customHeight="1">
      <c r="A28" s="2581"/>
      <c r="B28" s="2582"/>
      <c r="C28" s="2583"/>
      <c r="D28" s="868"/>
      <c r="E28" s="2668"/>
      <c r="F28" s="2669"/>
      <c r="G28" s="2668"/>
      <c r="H28" s="2669"/>
      <c r="I28" s="869"/>
      <c r="J28" s="870"/>
      <c r="K28" s="2668"/>
      <c r="L28" s="2674" t="str">
        <f t="shared" si="0"/>
        <v/>
      </c>
      <c r="M28" s="2669" t="str">
        <f t="shared" si="1"/>
        <v/>
      </c>
      <c r="N28" s="868"/>
      <c r="O28" s="871"/>
      <c r="P28" s="869" t="str">
        <f t="shared" si="2"/>
        <v/>
      </c>
      <c r="Q28" s="2668" t="str">
        <f t="shared" si="3"/>
        <v/>
      </c>
      <c r="R28" s="2669" t="str">
        <f t="shared" si="4"/>
        <v/>
      </c>
    </row>
    <row r="29" spans="1:18" ht="12" customHeight="1">
      <c r="A29" s="2581"/>
      <c r="B29" s="2582"/>
      <c r="C29" s="2583"/>
      <c r="D29" s="868"/>
      <c r="E29" s="2668"/>
      <c r="F29" s="2669"/>
      <c r="G29" s="2668"/>
      <c r="H29" s="2669"/>
      <c r="I29" s="869"/>
      <c r="J29" s="870"/>
      <c r="K29" s="2668"/>
      <c r="L29" s="2674" t="str">
        <f t="shared" si="0"/>
        <v/>
      </c>
      <c r="M29" s="2669" t="str">
        <f t="shared" si="1"/>
        <v/>
      </c>
      <c r="N29" s="868"/>
      <c r="O29" s="871"/>
      <c r="P29" s="869" t="str">
        <f t="shared" si="2"/>
        <v/>
      </c>
      <c r="Q29" s="2668" t="str">
        <f t="shared" si="3"/>
        <v/>
      </c>
      <c r="R29" s="2669" t="str">
        <f t="shared" si="4"/>
        <v/>
      </c>
    </row>
    <row r="30" spans="1:18" ht="12" customHeight="1">
      <c r="A30" s="2581"/>
      <c r="B30" s="2582"/>
      <c r="C30" s="2583"/>
      <c r="D30" s="868"/>
      <c r="E30" s="2668"/>
      <c r="F30" s="2669"/>
      <c r="G30" s="2668"/>
      <c r="H30" s="2669"/>
      <c r="I30" s="869"/>
      <c r="J30" s="870"/>
      <c r="K30" s="2668"/>
      <c r="L30" s="2674" t="str">
        <f t="shared" si="0"/>
        <v/>
      </c>
      <c r="M30" s="2669" t="str">
        <f t="shared" si="1"/>
        <v/>
      </c>
      <c r="N30" s="868"/>
      <c r="O30" s="871"/>
      <c r="P30" s="869" t="str">
        <f t="shared" si="2"/>
        <v/>
      </c>
      <c r="Q30" s="2668" t="str">
        <f t="shared" si="3"/>
        <v/>
      </c>
      <c r="R30" s="2669" t="str">
        <f t="shared" si="4"/>
        <v/>
      </c>
    </row>
    <row r="31" spans="1:18" ht="12" customHeight="1">
      <c r="A31" s="2581"/>
      <c r="B31" s="2582"/>
      <c r="C31" s="2583"/>
      <c r="D31" s="868"/>
      <c r="E31" s="2668"/>
      <c r="F31" s="2669"/>
      <c r="G31" s="2668"/>
      <c r="H31" s="2669"/>
      <c r="I31" s="869"/>
      <c r="J31" s="870"/>
      <c r="K31" s="2668"/>
      <c r="L31" s="2674" t="str">
        <f t="shared" si="0"/>
        <v/>
      </c>
      <c r="M31" s="2669" t="str">
        <f t="shared" si="1"/>
        <v/>
      </c>
      <c r="N31" s="868"/>
      <c r="O31" s="871"/>
      <c r="P31" s="869" t="str">
        <f t="shared" si="2"/>
        <v/>
      </c>
      <c r="Q31" s="2668" t="str">
        <f t="shared" si="3"/>
        <v/>
      </c>
      <c r="R31" s="2669" t="str">
        <f t="shared" si="4"/>
        <v/>
      </c>
    </row>
    <row r="32" spans="1:18" ht="12" customHeight="1">
      <c r="A32" s="2581"/>
      <c r="B32" s="2582"/>
      <c r="C32" s="2583"/>
      <c r="D32" s="868"/>
      <c r="E32" s="2668"/>
      <c r="F32" s="2669"/>
      <c r="G32" s="2668"/>
      <c r="H32" s="2669"/>
      <c r="I32" s="869"/>
      <c r="J32" s="870"/>
      <c r="K32" s="2668"/>
      <c r="L32" s="2674" t="str">
        <f t="shared" si="0"/>
        <v/>
      </c>
      <c r="M32" s="2669" t="str">
        <f t="shared" si="1"/>
        <v/>
      </c>
      <c r="N32" s="868"/>
      <c r="O32" s="871"/>
      <c r="P32" s="869" t="str">
        <f t="shared" si="2"/>
        <v/>
      </c>
      <c r="Q32" s="2668" t="str">
        <f t="shared" si="3"/>
        <v/>
      </c>
      <c r="R32" s="2669" t="str">
        <f t="shared" si="4"/>
        <v/>
      </c>
    </row>
    <row r="33" spans="1:18" ht="12" customHeight="1">
      <c r="A33" s="2581"/>
      <c r="B33" s="2582"/>
      <c r="C33" s="2583"/>
      <c r="D33" s="868"/>
      <c r="E33" s="2668"/>
      <c r="F33" s="2669"/>
      <c r="G33" s="2668"/>
      <c r="H33" s="2669"/>
      <c r="I33" s="869"/>
      <c r="J33" s="870"/>
      <c r="K33" s="2668"/>
      <c r="L33" s="2674" t="str">
        <f t="shared" si="0"/>
        <v/>
      </c>
      <c r="M33" s="2669" t="str">
        <f t="shared" si="1"/>
        <v/>
      </c>
      <c r="N33" s="868"/>
      <c r="O33" s="871"/>
      <c r="P33" s="869" t="str">
        <f t="shared" si="2"/>
        <v/>
      </c>
      <c r="Q33" s="2668" t="str">
        <f t="shared" si="3"/>
        <v/>
      </c>
      <c r="R33" s="2669" t="str">
        <f t="shared" si="4"/>
        <v/>
      </c>
    </row>
    <row r="34" spans="1:18" ht="12" customHeight="1">
      <c r="A34" s="2581"/>
      <c r="B34" s="2582"/>
      <c r="C34" s="2583"/>
      <c r="D34" s="868"/>
      <c r="E34" s="2668"/>
      <c r="F34" s="2669"/>
      <c r="G34" s="2668"/>
      <c r="H34" s="2669"/>
      <c r="I34" s="869"/>
      <c r="J34" s="870"/>
      <c r="K34" s="2668"/>
      <c r="L34" s="2674" t="str">
        <f t="shared" si="0"/>
        <v/>
      </c>
      <c r="M34" s="2669" t="str">
        <f t="shared" si="1"/>
        <v/>
      </c>
      <c r="N34" s="868"/>
      <c r="O34" s="871"/>
      <c r="P34" s="869" t="str">
        <f t="shared" si="2"/>
        <v/>
      </c>
      <c r="Q34" s="2668" t="str">
        <f t="shared" si="3"/>
        <v/>
      </c>
      <c r="R34" s="2669" t="str">
        <f t="shared" si="4"/>
        <v/>
      </c>
    </row>
    <row r="35" spans="1:18" ht="12" customHeight="1">
      <c r="A35" s="2581"/>
      <c r="B35" s="2582"/>
      <c r="C35" s="2583"/>
      <c r="D35" s="868"/>
      <c r="E35" s="2668"/>
      <c r="F35" s="2669"/>
      <c r="G35" s="2668"/>
      <c r="H35" s="2669"/>
      <c r="I35" s="869"/>
      <c r="J35" s="870"/>
      <c r="K35" s="2668"/>
      <c r="L35" s="2674" t="str">
        <f t="shared" si="0"/>
        <v/>
      </c>
      <c r="M35" s="2669" t="str">
        <f t="shared" si="1"/>
        <v/>
      </c>
      <c r="N35" s="868"/>
      <c r="O35" s="871"/>
      <c r="P35" s="869" t="str">
        <f t="shared" si="2"/>
        <v/>
      </c>
      <c r="Q35" s="2668" t="str">
        <f t="shared" si="3"/>
        <v/>
      </c>
      <c r="R35" s="2669" t="str">
        <f t="shared" si="4"/>
        <v/>
      </c>
    </row>
    <row r="36" spans="1:18" ht="12" customHeight="1">
      <c r="A36" s="2581"/>
      <c r="B36" s="2582"/>
      <c r="C36" s="2583"/>
      <c r="D36" s="868"/>
      <c r="E36" s="2668"/>
      <c r="F36" s="2669"/>
      <c r="G36" s="2668"/>
      <c r="H36" s="2669"/>
      <c r="I36" s="869"/>
      <c r="J36" s="870"/>
      <c r="K36" s="2668"/>
      <c r="L36" s="2674" t="str">
        <f t="shared" si="0"/>
        <v/>
      </c>
      <c r="M36" s="2669" t="str">
        <f t="shared" si="1"/>
        <v/>
      </c>
      <c r="N36" s="868"/>
      <c r="O36" s="871"/>
      <c r="P36" s="869" t="str">
        <f t="shared" si="2"/>
        <v/>
      </c>
      <c r="Q36" s="2668" t="str">
        <f t="shared" si="3"/>
        <v/>
      </c>
      <c r="R36" s="2669" t="str">
        <f t="shared" si="4"/>
        <v/>
      </c>
    </row>
    <row r="37" spans="1:18" ht="12" customHeight="1">
      <c r="A37" s="2581"/>
      <c r="B37" s="2582"/>
      <c r="C37" s="2583"/>
      <c r="D37" s="868"/>
      <c r="E37" s="2668"/>
      <c r="F37" s="2669"/>
      <c r="G37" s="2668"/>
      <c r="H37" s="2669"/>
      <c r="I37" s="869"/>
      <c r="J37" s="870"/>
      <c r="K37" s="2668"/>
      <c r="L37" s="2674" t="str">
        <f t="shared" si="0"/>
        <v/>
      </c>
      <c r="M37" s="2669" t="str">
        <f t="shared" si="1"/>
        <v/>
      </c>
      <c r="N37" s="868"/>
      <c r="O37" s="871"/>
      <c r="P37" s="869" t="str">
        <f t="shared" si="2"/>
        <v/>
      </c>
      <c r="Q37" s="2668" t="str">
        <f t="shared" si="3"/>
        <v/>
      </c>
      <c r="R37" s="2669" t="str">
        <f t="shared" si="4"/>
        <v/>
      </c>
    </row>
    <row r="38" spans="1:18" ht="12" customHeight="1">
      <c r="A38" s="2581"/>
      <c r="B38" s="2582"/>
      <c r="C38" s="2583"/>
      <c r="D38" s="868"/>
      <c r="E38" s="2668"/>
      <c r="F38" s="2669"/>
      <c r="G38" s="2668"/>
      <c r="H38" s="2669"/>
      <c r="I38" s="869"/>
      <c r="J38" s="870"/>
      <c r="K38" s="2668"/>
      <c r="L38" s="2674" t="str">
        <f t="shared" si="0"/>
        <v/>
      </c>
      <c r="M38" s="2669" t="str">
        <f t="shared" si="1"/>
        <v/>
      </c>
      <c r="N38" s="868"/>
      <c r="O38" s="871"/>
      <c r="P38" s="869" t="str">
        <f t="shared" si="2"/>
        <v/>
      </c>
      <c r="Q38" s="2668" t="str">
        <f t="shared" si="3"/>
        <v/>
      </c>
      <c r="R38" s="2669" t="str">
        <f t="shared" si="4"/>
        <v/>
      </c>
    </row>
    <row r="39" spans="1:18" ht="12" customHeight="1">
      <c r="A39" s="2581"/>
      <c r="B39" s="2582"/>
      <c r="C39" s="2583"/>
      <c r="D39" s="868"/>
      <c r="E39" s="2668"/>
      <c r="F39" s="2669"/>
      <c r="G39" s="2668"/>
      <c r="H39" s="2669"/>
      <c r="I39" s="869"/>
      <c r="J39" s="870"/>
      <c r="K39" s="2668"/>
      <c r="L39" s="2674" t="str">
        <f t="shared" si="0"/>
        <v/>
      </c>
      <c r="M39" s="2669" t="str">
        <f t="shared" si="1"/>
        <v/>
      </c>
      <c r="N39" s="868"/>
      <c r="O39" s="871"/>
      <c r="P39" s="869" t="str">
        <f t="shared" si="2"/>
        <v/>
      </c>
      <c r="Q39" s="2668" t="str">
        <f t="shared" si="3"/>
        <v/>
      </c>
      <c r="R39" s="2669" t="str">
        <f t="shared" si="4"/>
        <v/>
      </c>
    </row>
    <row r="40" spans="1:18" ht="12" customHeight="1">
      <c r="A40" s="2581"/>
      <c r="B40" s="2582"/>
      <c r="C40" s="2583"/>
      <c r="D40" s="868"/>
      <c r="E40" s="2668"/>
      <c r="F40" s="2669"/>
      <c r="G40" s="2668"/>
      <c r="H40" s="2669"/>
      <c r="I40" s="869"/>
      <c r="J40" s="870"/>
      <c r="K40" s="2668"/>
      <c r="L40" s="2674" t="str">
        <f t="shared" si="0"/>
        <v/>
      </c>
      <c r="M40" s="2669" t="str">
        <f t="shared" si="1"/>
        <v/>
      </c>
      <c r="N40" s="868"/>
      <c r="O40" s="871"/>
      <c r="P40" s="869" t="str">
        <f t="shared" si="2"/>
        <v/>
      </c>
      <c r="Q40" s="2668" t="str">
        <f t="shared" si="3"/>
        <v/>
      </c>
      <c r="R40" s="2669" t="str">
        <f>IF(P40="","",ROUND(P40,0))</f>
        <v/>
      </c>
    </row>
    <row r="41" spans="1:18" ht="12" customHeight="1">
      <c r="A41" s="2581"/>
      <c r="B41" s="2582"/>
      <c r="C41" s="2583"/>
      <c r="D41" s="868"/>
      <c r="E41" s="2668"/>
      <c r="F41" s="2669"/>
      <c r="G41" s="2668"/>
      <c r="H41" s="2669"/>
      <c r="I41" s="869"/>
      <c r="J41" s="870"/>
      <c r="K41" s="2668"/>
      <c r="L41" s="2674" t="str">
        <f t="shared" si="0"/>
        <v/>
      </c>
      <c r="M41" s="2669" t="str">
        <f t="shared" si="1"/>
        <v/>
      </c>
      <c r="N41" s="868"/>
      <c r="O41" s="871"/>
      <c r="P41" s="869" t="str">
        <f t="shared" si="2"/>
        <v/>
      </c>
      <c r="Q41" s="2668" t="str">
        <f t="shared" si="3"/>
        <v/>
      </c>
      <c r="R41" s="2669" t="str">
        <f t="shared" si="4"/>
        <v/>
      </c>
    </row>
    <row r="42" spans="1:18" ht="12" customHeight="1">
      <c r="A42" s="2581"/>
      <c r="B42" s="2582"/>
      <c r="C42" s="2583"/>
      <c r="D42" s="868"/>
      <c r="E42" s="2668"/>
      <c r="F42" s="2669"/>
      <c r="G42" s="2668"/>
      <c r="H42" s="2669"/>
      <c r="I42" s="869"/>
      <c r="J42" s="870"/>
      <c r="K42" s="2668"/>
      <c r="L42" s="2674" t="str">
        <f t="shared" si="0"/>
        <v/>
      </c>
      <c r="M42" s="2669" t="str">
        <f t="shared" si="1"/>
        <v/>
      </c>
      <c r="N42" s="868"/>
      <c r="O42" s="871"/>
      <c r="P42" s="869" t="str">
        <f t="shared" si="2"/>
        <v/>
      </c>
      <c r="Q42" s="2668" t="str">
        <f t="shared" si="3"/>
        <v/>
      </c>
      <c r="R42" s="2669" t="str">
        <f t="shared" si="4"/>
        <v/>
      </c>
    </row>
    <row r="43" spans="1:18" ht="12" customHeight="1">
      <c r="A43" s="2581"/>
      <c r="B43" s="2582"/>
      <c r="C43" s="2583"/>
      <c r="D43" s="868"/>
      <c r="E43" s="2668"/>
      <c r="F43" s="2669"/>
      <c r="G43" s="2668"/>
      <c r="H43" s="2669"/>
      <c r="I43" s="869"/>
      <c r="J43" s="870"/>
      <c r="K43" s="2668"/>
      <c r="L43" s="2674" t="str">
        <f t="shared" si="0"/>
        <v/>
      </c>
      <c r="M43" s="2669" t="str">
        <f t="shared" si="1"/>
        <v/>
      </c>
      <c r="N43" s="868"/>
      <c r="O43" s="871"/>
      <c r="P43" s="869" t="str">
        <f t="shared" si="2"/>
        <v/>
      </c>
      <c r="Q43" s="2668" t="str">
        <f t="shared" si="3"/>
        <v/>
      </c>
      <c r="R43" s="2669" t="str">
        <f t="shared" si="4"/>
        <v/>
      </c>
    </row>
    <row r="44" spans="1:18" ht="12" customHeight="1">
      <c r="A44" s="2584"/>
      <c r="B44" s="2585"/>
      <c r="C44" s="2586"/>
      <c r="D44" s="872"/>
      <c r="E44" s="2670"/>
      <c r="F44" s="2671"/>
      <c r="G44" s="2670"/>
      <c r="H44" s="2671"/>
      <c r="I44" s="873"/>
      <c r="J44" s="874"/>
      <c r="K44" s="2670"/>
      <c r="L44" s="2675" t="str">
        <f t="shared" si="0"/>
        <v/>
      </c>
      <c r="M44" s="2671" t="str">
        <f t="shared" si="1"/>
        <v/>
      </c>
      <c r="N44" s="872"/>
      <c r="O44" s="875"/>
      <c r="P44" s="873" t="str">
        <f t="shared" si="2"/>
        <v/>
      </c>
      <c r="Q44" s="2670" t="str">
        <f t="shared" si="3"/>
        <v/>
      </c>
      <c r="R44" s="2671" t="str">
        <f t="shared" si="4"/>
        <v/>
      </c>
    </row>
    <row r="45" spans="1:18" ht="12.6" customHeight="1">
      <c r="A45" s="850" t="s">
        <v>3159</v>
      </c>
      <c r="B45" s="876"/>
      <c r="C45" s="876"/>
      <c r="D45" s="877"/>
      <c r="E45" s="878">
        <f>SUM(E10:E44)</f>
        <v>0</v>
      </c>
      <c r="F45" s="878">
        <f>SUM(F10:F44)</f>
        <v>0</v>
      </c>
      <c r="G45" s="878">
        <f>SUM(G10:G44)</f>
        <v>0</v>
      </c>
      <c r="H45" s="878">
        <f>SUM(H10:H44)</f>
        <v>0</v>
      </c>
      <c r="I45" s="878">
        <f>SUM(I10:I44)</f>
        <v>0</v>
      </c>
      <c r="J45" s="879"/>
      <c r="K45" s="878">
        <f>SUM(K10:K44)</f>
        <v>0</v>
      </c>
      <c r="L45" s="880"/>
      <c r="M45" s="878">
        <f>SUM(M10:M44)</f>
        <v>0</v>
      </c>
      <c r="N45" s="877"/>
      <c r="O45" s="880"/>
      <c r="P45" s="878">
        <f>SUM(P10:P44)</f>
        <v>0</v>
      </c>
      <c r="Q45" s="878">
        <f>SUM(Q10:Q44)</f>
        <v>0</v>
      </c>
      <c r="R45" s="878">
        <f>SUM(R10:R44)</f>
        <v>0</v>
      </c>
    </row>
    <row r="46" spans="1:18" ht="1.9" customHeight="1">
      <c r="A46" s="876"/>
      <c r="B46" s="876"/>
      <c r="C46" s="876"/>
      <c r="D46" s="877"/>
      <c r="E46" s="881"/>
      <c r="F46" s="881"/>
      <c r="G46" s="881"/>
      <c r="H46" s="881"/>
      <c r="I46" s="881"/>
      <c r="J46" s="879"/>
      <c r="K46" s="881"/>
      <c r="L46" s="880"/>
      <c r="M46" s="881"/>
      <c r="N46" s="880"/>
      <c r="O46" s="877"/>
      <c r="P46" s="881"/>
      <c r="Q46" s="881"/>
      <c r="R46" s="881"/>
    </row>
    <row r="47" spans="1:18" ht="6.75" customHeight="1"/>
    <row r="48" spans="1:18" s="846" customFormat="1" ht="12.6" customHeight="1">
      <c r="A48" s="850" t="s">
        <v>3128</v>
      </c>
      <c r="C48" s="2587" t="str">
        <f>C4</f>
        <v>New Construction</v>
      </c>
      <c r="D48" s="2588"/>
      <c r="E48" s="2588"/>
      <c r="F48" s="854"/>
      <c r="G48" s="855"/>
      <c r="H48" s="855"/>
      <c r="I48" s="855"/>
      <c r="L48" s="848"/>
      <c r="M48" s="848"/>
      <c r="N48" s="848"/>
    </row>
    <row r="49" spans="1:18" s="846" customFormat="1" ht="12.6" customHeight="1">
      <c r="A49" s="2625" t="s">
        <v>3129</v>
      </c>
      <c r="B49" s="2625"/>
      <c r="C49" s="2625"/>
      <c r="D49" s="2625"/>
      <c r="E49" s="2625"/>
      <c r="F49" s="2625"/>
      <c r="G49" s="2625"/>
      <c r="H49" s="2625"/>
      <c r="I49" s="2625"/>
      <c r="J49" s="2625"/>
      <c r="K49" s="2625"/>
      <c r="L49" s="2625"/>
      <c r="M49" s="2625"/>
      <c r="N49" s="2625"/>
      <c r="O49" s="2625"/>
      <c r="P49" s="2625"/>
      <c r="Q49" s="2625"/>
      <c r="R49" s="2625"/>
    </row>
    <row r="50" spans="1:18" s="856" customFormat="1" ht="12" customHeight="1">
      <c r="A50" s="2676"/>
      <c r="B50" s="858"/>
      <c r="C50" s="858"/>
      <c r="D50" s="859"/>
      <c r="E50" s="2689" t="s">
        <v>503</v>
      </c>
      <c r="F50" s="2690"/>
      <c r="G50" s="2690"/>
      <c r="H50" s="2691"/>
      <c r="I50" s="2678"/>
      <c r="J50" s="2679"/>
      <c r="K50" s="2687" t="s">
        <v>3135</v>
      </c>
      <c r="L50" s="2687"/>
      <c r="M50" s="2687"/>
      <c r="N50" s="859" t="s">
        <v>861</v>
      </c>
      <c r="O50" s="2677"/>
      <c r="P50" s="2677"/>
      <c r="Q50" s="2683" t="s">
        <v>3131</v>
      </c>
      <c r="R50" s="2684"/>
    </row>
    <row r="51" spans="1:18" s="856" customFormat="1" ht="12" customHeight="1">
      <c r="A51" s="857"/>
      <c r="B51" s="858"/>
      <c r="C51" s="858"/>
      <c r="D51" s="859" t="s">
        <v>496</v>
      </c>
      <c r="E51" s="2692" t="s">
        <v>3132</v>
      </c>
      <c r="F51" s="2693"/>
      <c r="G51" s="2692" t="s">
        <v>1902</v>
      </c>
      <c r="H51" s="2693"/>
      <c r="I51" s="859" t="s">
        <v>3135</v>
      </c>
      <c r="J51" s="2680" t="s">
        <v>3136</v>
      </c>
      <c r="K51" s="2688"/>
      <c r="L51" s="2688"/>
      <c r="M51" s="2688"/>
      <c r="N51" s="859" t="s">
        <v>3137</v>
      </c>
      <c r="O51" s="859" t="s">
        <v>3138</v>
      </c>
      <c r="P51" s="859" t="s">
        <v>3139</v>
      </c>
      <c r="Q51" s="2685"/>
      <c r="R51" s="2686"/>
    </row>
    <row r="52" spans="1:18" ht="11.45" customHeight="1">
      <c r="A52" s="857"/>
      <c r="B52" s="858"/>
      <c r="C52" s="858"/>
      <c r="D52" s="859" t="s">
        <v>3140</v>
      </c>
      <c r="E52" s="2681" t="s">
        <v>152</v>
      </c>
      <c r="F52" s="859" t="s">
        <v>3110</v>
      </c>
      <c r="G52" s="2681" t="s">
        <v>152</v>
      </c>
      <c r="H52" s="859" t="s">
        <v>3110</v>
      </c>
      <c r="I52" s="859" t="s">
        <v>3142</v>
      </c>
      <c r="J52" s="2680"/>
      <c r="K52" s="2672" t="s">
        <v>3143</v>
      </c>
      <c r="L52" s="2672" t="s">
        <v>3144</v>
      </c>
      <c r="M52" s="2672" t="s">
        <v>3145</v>
      </c>
      <c r="N52" s="859" t="s">
        <v>3146</v>
      </c>
      <c r="O52" s="859" t="s">
        <v>3147</v>
      </c>
      <c r="P52" s="859" t="s">
        <v>3147</v>
      </c>
      <c r="Q52" s="859" t="s">
        <v>3135</v>
      </c>
      <c r="R52" s="859" t="s">
        <v>3148</v>
      </c>
    </row>
    <row r="53" spans="1:18" ht="11.45" customHeight="1">
      <c r="A53" s="861" t="s">
        <v>3149</v>
      </c>
      <c r="B53" s="862"/>
      <c r="C53" s="862"/>
      <c r="D53" s="863" t="s">
        <v>3150</v>
      </c>
      <c r="E53" s="863" t="s">
        <v>3151</v>
      </c>
      <c r="F53" s="863" t="s">
        <v>3152</v>
      </c>
      <c r="G53" s="863" t="s">
        <v>3151</v>
      </c>
      <c r="H53" s="863" t="s">
        <v>3152</v>
      </c>
      <c r="I53" s="863" t="s">
        <v>3153</v>
      </c>
      <c r="J53" s="2682" t="s">
        <v>3154</v>
      </c>
      <c r="K53" s="863" t="s">
        <v>3153</v>
      </c>
      <c r="L53" s="863" t="s">
        <v>3155</v>
      </c>
      <c r="M53" s="863" t="s">
        <v>3153</v>
      </c>
      <c r="N53" s="863" t="s">
        <v>3156</v>
      </c>
      <c r="O53" s="863" t="s">
        <v>3157</v>
      </c>
      <c r="P53" s="863" t="s">
        <v>1793</v>
      </c>
      <c r="Q53" s="863" t="s">
        <v>1830</v>
      </c>
      <c r="R53" s="863" t="s">
        <v>1793</v>
      </c>
    </row>
    <row r="54" spans="1:18" ht="12" customHeight="1">
      <c r="A54" s="2598"/>
      <c r="B54" s="2599"/>
      <c r="C54" s="2600"/>
      <c r="D54" s="864"/>
      <c r="E54" s="2666"/>
      <c r="F54" s="2667"/>
      <c r="G54" s="2666"/>
      <c r="H54" s="2667"/>
      <c r="I54" s="865"/>
      <c r="J54" s="866"/>
      <c r="K54" s="2666"/>
      <c r="L54" s="2673" t="str">
        <f>IF(OR(E54="",F54=""),"",MIN(G54/E54,H54/F54))</f>
        <v/>
      </c>
      <c r="M54" s="2667" t="str">
        <f>IF(OR(E54="",F54=""),"",K54*L54)</f>
        <v/>
      </c>
      <c r="N54" s="864"/>
      <c r="O54" s="867"/>
      <c r="P54" s="865" t="str">
        <f>IF(OR(M54="",O54=""),"",M54*O54)</f>
        <v/>
      </c>
      <c r="Q54" s="2666" t="str">
        <f>IF(M54="","",ROUND(M54,0))</f>
        <v/>
      </c>
      <c r="R54" s="2667" t="str">
        <f>IF(P54="","",ROUND(P54,0))</f>
        <v/>
      </c>
    </row>
    <row r="55" spans="1:18" ht="12" customHeight="1">
      <c r="A55" s="2581"/>
      <c r="B55" s="2582"/>
      <c r="C55" s="2583"/>
      <c r="D55" s="868"/>
      <c r="E55" s="2668"/>
      <c r="F55" s="2669"/>
      <c r="G55" s="2668"/>
      <c r="H55" s="2669"/>
      <c r="I55" s="869"/>
      <c r="J55" s="870"/>
      <c r="K55" s="2668"/>
      <c r="L55" s="2674" t="str">
        <f t="shared" ref="L55:L88" si="5">IF(OR(E55="",F55=""),"",MIN(G55/E55,H55/F55))</f>
        <v/>
      </c>
      <c r="M55" s="2669" t="str">
        <f t="shared" ref="M55:M88" si="6">IF(OR(E55="",F55=""),"",K55*L55)</f>
        <v/>
      </c>
      <c r="N55" s="868"/>
      <c r="O55" s="871"/>
      <c r="P55" s="869" t="str">
        <f t="shared" ref="P55:P88" si="7">IF(OR(M55="",O55=""),"",M55*O55)</f>
        <v/>
      </c>
      <c r="Q55" s="2668" t="str">
        <f t="shared" ref="Q55:Q88" si="8">IF(M55="","",ROUND(M55,0))</f>
        <v/>
      </c>
      <c r="R55" s="2669" t="str">
        <f t="shared" ref="R55:R88" si="9">IF(P55="","",ROUND(P55,0))</f>
        <v/>
      </c>
    </row>
    <row r="56" spans="1:18" ht="12" customHeight="1">
      <c r="A56" s="2581"/>
      <c r="B56" s="2582"/>
      <c r="C56" s="2583"/>
      <c r="D56" s="868"/>
      <c r="E56" s="2668"/>
      <c r="F56" s="2669"/>
      <c r="G56" s="2668"/>
      <c r="H56" s="2669"/>
      <c r="I56" s="869"/>
      <c r="J56" s="870"/>
      <c r="K56" s="2668"/>
      <c r="L56" s="2674" t="str">
        <f t="shared" si="5"/>
        <v/>
      </c>
      <c r="M56" s="2669" t="str">
        <f t="shared" si="6"/>
        <v/>
      </c>
      <c r="N56" s="868"/>
      <c r="O56" s="871"/>
      <c r="P56" s="869" t="str">
        <f t="shared" si="7"/>
        <v/>
      </c>
      <c r="Q56" s="2668" t="str">
        <f t="shared" si="8"/>
        <v/>
      </c>
      <c r="R56" s="2669" t="str">
        <f t="shared" si="9"/>
        <v/>
      </c>
    </row>
    <row r="57" spans="1:18" ht="12" customHeight="1">
      <c r="A57" s="2581"/>
      <c r="B57" s="2582"/>
      <c r="C57" s="2583"/>
      <c r="D57" s="868"/>
      <c r="E57" s="2668"/>
      <c r="F57" s="2669"/>
      <c r="G57" s="2668"/>
      <c r="H57" s="2669"/>
      <c r="I57" s="869"/>
      <c r="J57" s="870"/>
      <c r="K57" s="2668"/>
      <c r="L57" s="2674" t="str">
        <f t="shared" si="5"/>
        <v/>
      </c>
      <c r="M57" s="2669" t="str">
        <f t="shared" si="6"/>
        <v/>
      </c>
      <c r="N57" s="868"/>
      <c r="O57" s="871"/>
      <c r="P57" s="869" t="str">
        <f t="shared" si="7"/>
        <v/>
      </c>
      <c r="Q57" s="2668" t="str">
        <f t="shared" si="8"/>
        <v/>
      </c>
      <c r="R57" s="2669" t="str">
        <f t="shared" si="9"/>
        <v/>
      </c>
    </row>
    <row r="58" spans="1:18" ht="12" customHeight="1">
      <c r="A58" s="2581"/>
      <c r="B58" s="2582"/>
      <c r="C58" s="2583"/>
      <c r="D58" s="868"/>
      <c r="E58" s="2668"/>
      <c r="F58" s="2669"/>
      <c r="G58" s="2668"/>
      <c r="H58" s="2669"/>
      <c r="I58" s="869"/>
      <c r="J58" s="870"/>
      <c r="K58" s="2668"/>
      <c r="L58" s="2674" t="str">
        <f t="shared" si="5"/>
        <v/>
      </c>
      <c r="M58" s="2669" t="str">
        <f t="shared" si="6"/>
        <v/>
      </c>
      <c r="N58" s="868"/>
      <c r="O58" s="871"/>
      <c r="P58" s="869" t="str">
        <f t="shared" si="7"/>
        <v/>
      </c>
      <c r="Q58" s="2668" t="str">
        <f t="shared" si="8"/>
        <v/>
      </c>
      <c r="R58" s="2669" t="str">
        <f t="shared" si="9"/>
        <v/>
      </c>
    </row>
    <row r="59" spans="1:18" ht="12" customHeight="1">
      <c r="A59" s="2581"/>
      <c r="B59" s="2582"/>
      <c r="C59" s="2583"/>
      <c r="D59" s="868"/>
      <c r="E59" s="2668"/>
      <c r="F59" s="2669"/>
      <c r="G59" s="2668"/>
      <c r="H59" s="2669"/>
      <c r="I59" s="869"/>
      <c r="J59" s="870"/>
      <c r="K59" s="2668"/>
      <c r="L59" s="2674" t="str">
        <f t="shared" si="5"/>
        <v/>
      </c>
      <c r="M59" s="2669" t="str">
        <f t="shared" si="6"/>
        <v/>
      </c>
      <c r="N59" s="868"/>
      <c r="O59" s="871"/>
      <c r="P59" s="869" t="str">
        <f t="shared" si="7"/>
        <v/>
      </c>
      <c r="Q59" s="2668" t="str">
        <f t="shared" si="8"/>
        <v/>
      </c>
      <c r="R59" s="2669" t="str">
        <f t="shared" si="9"/>
        <v/>
      </c>
    </row>
    <row r="60" spans="1:18" ht="12" customHeight="1">
      <c r="A60" s="2581"/>
      <c r="B60" s="2582"/>
      <c r="C60" s="2583"/>
      <c r="D60" s="868"/>
      <c r="E60" s="2668"/>
      <c r="F60" s="2669"/>
      <c r="G60" s="2668"/>
      <c r="H60" s="2669"/>
      <c r="I60" s="869"/>
      <c r="J60" s="870"/>
      <c r="K60" s="2668"/>
      <c r="L60" s="2674" t="str">
        <f t="shared" si="5"/>
        <v/>
      </c>
      <c r="M60" s="2669" t="str">
        <f t="shared" si="6"/>
        <v/>
      </c>
      <c r="N60" s="868"/>
      <c r="O60" s="871"/>
      <c r="P60" s="869" t="str">
        <f t="shared" si="7"/>
        <v/>
      </c>
      <c r="Q60" s="2668" t="str">
        <f t="shared" si="8"/>
        <v/>
      </c>
      <c r="R60" s="2669" t="str">
        <f t="shared" si="9"/>
        <v/>
      </c>
    </row>
    <row r="61" spans="1:18" ht="12" customHeight="1">
      <c r="A61" s="2581"/>
      <c r="B61" s="2582"/>
      <c r="C61" s="2583"/>
      <c r="D61" s="868"/>
      <c r="E61" s="2668"/>
      <c r="F61" s="2669"/>
      <c r="G61" s="2668"/>
      <c r="H61" s="2669"/>
      <c r="I61" s="869"/>
      <c r="J61" s="870"/>
      <c r="K61" s="2668"/>
      <c r="L61" s="2674" t="str">
        <f t="shared" si="5"/>
        <v/>
      </c>
      <c r="M61" s="2669" t="str">
        <f t="shared" si="6"/>
        <v/>
      </c>
      <c r="N61" s="868"/>
      <c r="O61" s="871"/>
      <c r="P61" s="869" t="str">
        <f t="shared" si="7"/>
        <v/>
      </c>
      <c r="Q61" s="2668" t="str">
        <f t="shared" si="8"/>
        <v/>
      </c>
      <c r="R61" s="2669" t="str">
        <f t="shared" si="9"/>
        <v/>
      </c>
    </row>
    <row r="62" spans="1:18" ht="12" customHeight="1">
      <c r="A62" s="2581"/>
      <c r="B62" s="2582"/>
      <c r="C62" s="2583"/>
      <c r="D62" s="868"/>
      <c r="E62" s="2668"/>
      <c r="F62" s="2669"/>
      <c r="G62" s="2668"/>
      <c r="H62" s="2669"/>
      <c r="I62" s="869"/>
      <c r="J62" s="870"/>
      <c r="K62" s="2668"/>
      <c r="L62" s="2674" t="str">
        <f t="shared" si="5"/>
        <v/>
      </c>
      <c r="M62" s="2669" t="str">
        <f t="shared" si="6"/>
        <v/>
      </c>
      <c r="N62" s="868"/>
      <c r="O62" s="871"/>
      <c r="P62" s="869" t="str">
        <f t="shared" si="7"/>
        <v/>
      </c>
      <c r="Q62" s="2668" t="str">
        <f t="shared" si="8"/>
        <v/>
      </c>
      <c r="R62" s="2669" t="str">
        <f t="shared" si="9"/>
        <v/>
      </c>
    </row>
    <row r="63" spans="1:18" ht="12" customHeight="1">
      <c r="A63" s="2581"/>
      <c r="B63" s="2582"/>
      <c r="C63" s="2583"/>
      <c r="D63" s="868"/>
      <c r="E63" s="2668"/>
      <c r="F63" s="2669"/>
      <c r="G63" s="2668"/>
      <c r="H63" s="2669"/>
      <c r="I63" s="869"/>
      <c r="J63" s="870"/>
      <c r="K63" s="2668"/>
      <c r="L63" s="2674" t="str">
        <f t="shared" si="5"/>
        <v/>
      </c>
      <c r="M63" s="2669" t="str">
        <f t="shared" si="6"/>
        <v/>
      </c>
      <c r="N63" s="868"/>
      <c r="O63" s="871"/>
      <c r="P63" s="869" t="str">
        <f t="shared" si="7"/>
        <v/>
      </c>
      <c r="Q63" s="2668" t="str">
        <f t="shared" si="8"/>
        <v/>
      </c>
      <c r="R63" s="2669" t="str">
        <f t="shared" si="9"/>
        <v/>
      </c>
    </row>
    <row r="64" spans="1:18" ht="12" customHeight="1">
      <c r="A64" s="2581"/>
      <c r="B64" s="2582"/>
      <c r="C64" s="2583"/>
      <c r="D64" s="868"/>
      <c r="E64" s="2668"/>
      <c r="F64" s="2669"/>
      <c r="G64" s="2668"/>
      <c r="H64" s="2669"/>
      <c r="I64" s="869"/>
      <c r="J64" s="870"/>
      <c r="K64" s="2668"/>
      <c r="L64" s="2674" t="str">
        <f t="shared" si="5"/>
        <v/>
      </c>
      <c r="M64" s="2669" t="str">
        <f t="shared" si="6"/>
        <v/>
      </c>
      <c r="N64" s="868"/>
      <c r="O64" s="871"/>
      <c r="P64" s="869" t="str">
        <f t="shared" si="7"/>
        <v/>
      </c>
      <c r="Q64" s="2668" t="str">
        <f t="shared" si="8"/>
        <v/>
      </c>
      <c r="R64" s="2669" t="str">
        <f t="shared" si="9"/>
        <v/>
      </c>
    </row>
    <row r="65" spans="1:18" ht="12" customHeight="1">
      <c r="A65" s="2581"/>
      <c r="B65" s="2582"/>
      <c r="C65" s="2583"/>
      <c r="D65" s="868"/>
      <c r="E65" s="2668"/>
      <c r="F65" s="2669"/>
      <c r="G65" s="2668"/>
      <c r="H65" s="2669"/>
      <c r="I65" s="869"/>
      <c r="J65" s="870"/>
      <c r="K65" s="2668"/>
      <c r="L65" s="2674" t="str">
        <f t="shared" si="5"/>
        <v/>
      </c>
      <c r="M65" s="2669" t="str">
        <f t="shared" si="6"/>
        <v/>
      </c>
      <c r="N65" s="868"/>
      <c r="O65" s="871"/>
      <c r="P65" s="869" t="str">
        <f t="shared" si="7"/>
        <v/>
      </c>
      <c r="Q65" s="2668" t="str">
        <f t="shared" si="8"/>
        <v/>
      </c>
      <c r="R65" s="2669" t="str">
        <f t="shared" si="9"/>
        <v/>
      </c>
    </row>
    <row r="66" spans="1:18" ht="12" customHeight="1">
      <c r="A66" s="2581"/>
      <c r="B66" s="2582"/>
      <c r="C66" s="2583"/>
      <c r="D66" s="868"/>
      <c r="E66" s="2668"/>
      <c r="F66" s="2669"/>
      <c r="G66" s="2668"/>
      <c r="H66" s="2669"/>
      <c r="I66" s="869"/>
      <c r="J66" s="870"/>
      <c r="K66" s="2668"/>
      <c r="L66" s="2674" t="str">
        <f t="shared" si="5"/>
        <v/>
      </c>
      <c r="M66" s="2669" t="str">
        <f t="shared" si="6"/>
        <v/>
      </c>
      <c r="N66" s="868"/>
      <c r="O66" s="871"/>
      <c r="P66" s="869" t="str">
        <f t="shared" si="7"/>
        <v/>
      </c>
      <c r="Q66" s="2668" t="str">
        <f t="shared" si="8"/>
        <v/>
      </c>
      <c r="R66" s="2669" t="str">
        <f t="shared" si="9"/>
        <v/>
      </c>
    </row>
    <row r="67" spans="1:18" ht="12" customHeight="1">
      <c r="A67" s="2581"/>
      <c r="B67" s="2582"/>
      <c r="C67" s="2583"/>
      <c r="D67" s="868"/>
      <c r="E67" s="2668"/>
      <c r="F67" s="2669"/>
      <c r="G67" s="2668"/>
      <c r="H67" s="2669"/>
      <c r="I67" s="869"/>
      <c r="J67" s="870"/>
      <c r="K67" s="2668"/>
      <c r="L67" s="2674" t="str">
        <f t="shared" si="5"/>
        <v/>
      </c>
      <c r="M67" s="2669" t="str">
        <f t="shared" si="6"/>
        <v/>
      </c>
      <c r="N67" s="868"/>
      <c r="O67" s="871"/>
      <c r="P67" s="869" t="str">
        <f t="shared" si="7"/>
        <v/>
      </c>
      <c r="Q67" s="2668" t="str">
        <f t="shared" si="8"/>
        <v/>
      </c>
      <c r="R67" s="2669" t="str">
        <f t="shared" si="9"/>
        <v/>
      </c>
    </row>
    <row r="68" spans="1:18" ht="12" customHeight="1">
      <c r="A68" s="2581"/>
      <c r="B68" s="2582"/>
      <c r="C68" s="2583"/>
      <c r="D68" s="868"/>
      <c r="E68" s="2668"/>
      <c r="F68" s="2669"/>
      <c r="G68" s="2668"/>
      <c r="H68" s="2669"/>
      <c r="I68" s="869"/>
      <c r="J68" s="870"/>
      <c r="K68" s="2668"/>
      <c r="L68" s="2674" t="str">
        <f t="shared" si="5"/>
        <v/>
      </c>
      <c r="M68" s="2669" t="str">
        <f t="shared" si="6"/>
        <v/>
      </c>
      <c r="N68" s="868"/>
      <c r="O68" s="871"/>
      <c r="P68" s="869" t="str">
        <f t="shared" si="7"/>
        <v/>
      </c>
      <c r="Q68" s="2668" t="str">
        <f t="shared" si="8"/>
        <v/>
      </c>
      <c r="R68" s="2669" t="str">
        <f t="shared" si="9"/>
        <v/>
      </c>
    </row>
    <row r="69" spans="1:18" ht="12" customHeight="1">
      <c r="A69" s="2581"/>
      <c r="B69" s="2582"/>
      <c r="C69" s="2583"/>
      <c r="D69" s="868"/>
      <c r="E69" s="2668"/>
      <c r="F69" s="2669"/>
      <c r="G69" s="2668"/>
      <c r="H69" s="2669"/>
      <c r="I69" s="869"/>
      <c r="J69" s="870"/>
      <c r="K69" s="2668"/>
      <c r="L69" s="2674" t="str">
        <f t="shared" si="5"/>
        <v/>
      </c>
      <c r="M69" s="2669" t="str">
        <f t="shared" si="6"/>
        <v/>
      </c>
      <c r="N69" s="868"/>
      <c r="O69" s="871"/>
      <c r="P69" s="869" t="str">
        <f t="shared" si="7"/>
        <v/>
      </c>
      <c r="Q69" s="2668" t="str">
        <f t="shared" si="8"/>
        <v/>
      </c>
      <c r="R69" s="2669" t="str">
        <f t="shared" si="9"/>
        <v/>
      </c>
    </row>
    <row r="70" spans="1:18" ht="12" customHeight="1">
      <c r="A70" s="2581"/>
      <c r="B70" s="2582"/>
      <c r="C70" s="2583"/>
      <c r="D70" s="868"/>
      <c r="E70" s="2668"/>
      <c r="F70" s="2669"/>
      <c r="G70" s="2668"/>
      <c r="H70" s="2669"/>
      <c r="I70" s="869"/>
      <c r="J70" s="870"/>
      <c r="K70" s="2668"/>
      <c r="L70" s="2674" t="str">
        <f t="shared" si="5"/>
        <v/>
      </c>
      <c r="M70" s="2669" t="str">
        <f t="shared" si="6"/>
        <v/>
      </c>
      <c r="N70" s="868"/>
      <c r="O70" s="871"/>
      <c r="P70" s="869" t="str">
        <f t="shared" si="7"/>
        <v/>
      </c>
      <c r="Q70" s="2668" t="str">
        <f t="shared" si="8"/>
        <v/>
      </c>
      <c r="R70" s="2669" t="str">
        <f t="shared" si="9"/>
        <v/>
      </c>
    </row>
    <row r="71" spans="1:18" ht="12" customHeight="1">
      <c r="A71" s="2581"/>
      <c r="B71" s="2582"/>
      <c r="C71" s="2583"/>
      <c r="D71" s="868"/>
      <c r="E71" s="2668"/>
      <c r="F71" s="2669"/>
      <c r="G71" s="2668"/>
      <c r="H71" s="2669"/>
      <c r="I71" s="869"/>
      <c r="J71" s="870"/>
      <c r="K71" s="2668"/>
      <c r="L71" s="2674" t="str">
        <f t="shared" si="5"/>
        <v/>
      </c>
      <c r="M71" s="2669" t="str">
        <f t="shared" si="6"/>
        <v/>
      </c>
      <c r="N71" s="868"/>
      <c r="O71" s="871"/>
      <c r="P71" s="869" t="str">
        <f t="shared" si="7"/>
        <v/>
      </c>
      <c r="Q71" s="2668" t="str">
        <f t="shared" si="8"/>
        <v/>
      </c>
      <c r="R71" s="2669" t="str">
        <f t="shared" si="9"/>
        <v/>
      </c>
    </row>
    <row r="72" spans="1:18" ht="12" customHeight="1">
      <c r="A72" s="2581"/>
      <c r="B72" s="2582"/>
      <c r="C72" s="2583"/>
      <c r="D72" s="868"/>
      <c r="E72" s="2668"/>
      <c r="F72" s="2669"/>
      <c r="G72" s="2668"/>
      <c r="H72" s="2669"/>
      <c r="I72" s="869"/>
      <c r="J72" s="870"/>
      <c r="K72" s="2668"/>
      <c r="L72" s="2674" t="str">
        <f t="shared" si="5"/>
        <v/>
      </c>
      <c r="M72" s="2669" t="str">
        <f t="shared" si="6"/>
        <v/>
      </c>
      <c r="N72" s="868"/>
      <c r="O72" s="871"/>
      <c r="P72" s="869" t="str">
        <f t="shared" si="7"/>
        <v/>
      </c>
      <c r="Q72" s="2668" t="str">
        <f t="shared" si="8"/>
        <v/>
      </c>
      <c r="R72" s="2669" t="str">
        <f t="shared" si="9"/>
        <v/>
      </c>
    </row>
    <row r="73" spans="1:18" ht="12" customHeight="1">
      <c r="A73" s="2581"/>
      <c r="B73" s="2582"/>
      <c r="C73" s="2583"/>
      <c r="D73" s="868"/>
      <c r="E73" s="2668"/>
      <c r="F73" s="2669"/>
      <c r="G73" s="2668"/>
      <c r="H73" s="2669"/>
      <c r="I73" s="869"/>
      <c r="J73" s="870"/>
      <c r="K73" s="2668"/>
      <c r="L73" s="2674" t="str">
        <f t="shared" si="5"/>
        <v/>
      </c>
      <c r="M73" s="2669" t="str">
        <f t="shared" si="6"/>
        <v/>
      </c>
      <c r="N73" s="868"/>
      <c r="O73" s="871"/>
      <c r="P73" s="869" t="str">
        <f t="shared" si="7"/>
        <v/>
      </c>
      <c r="Q73" s="2668" t="str">
        <f t="shared" si="8"/>
        <v/>
      </c>
      <c r="R73" s="2669" t="str">
        <f t="shared" si="9"/>
        <v/>
      </c>
    </row>
    <row r="74" spans="1:18" ht="12" customHeight="1">
      <c r="A74" s="2581"/>
      <c r="B74" s="2582"/>
      <c r="C74" s="2583"/>
      <c r="D74" s="868"/>
      <c r="E74" s="2668"/>
      <c r="F74" s="2669"/>
      <c r="G74" s="2668"/>
      <c r="H74" s="2669"/>
      <c r="I74" s="869"/>
      <c r="J74" s="870"/>
      <c r="K74" s="2668"/>
      <c r="L74" s="2674" t="str">
        <f t="shared" si="5"/>
        <v/>
      </c>
      <c r="M74" s="2669" t="str">
        <f t="shared" si="6"/>
        <v/>
      </c>
      <c r="N74" s="868"/>
      <c r="O74" s="871"/>
      <c r="P74" s="869" t="str">
        <f t="shared" si="7"/>
        <v/>
      </c>
      <c r="Q74" s="2668" t="str">
        <f t="shared" si="8"/>
        <v/>
      </c>
      <c r="R74" s="2669" t="str">
        <f t="shared" si="9"/>
        <v/>
      </c>
    </row>
    <row r="75" spans="1:18" ht="12" customHeight="1">
      <c r="A75" s="2581"/>
      <c r="B75" s="2582"/>
      <c r="C75" s="2583"/>
      <c r="D75" s="868"/>
      <c r="E75" s="2668"/>
      <c r="F75" s="2669"/>
      <c r="G75" s="2668"/>
      <c r="H75" s="2669"/>
      <c r="I75" s="869"/>
      <c r="J75" s="870"/>
      <c r="K75" s="2668"/>
      <c r="L75" s="2674" t="str">
        <f t="shared" si="5"/>
        <v/>
      </c>
      <c r="M75" s="2669" t="str">
        <f t="shared" si="6"/>
        <v/>
      </c>
      <c r="N75" s="868"/>
      <c r="O75" s="871"/>
      <c r="P75" s="869" t="str">
        <f t="shared" si="7"/>
        <v/>
      </c>
      <c r="Q75" s="2668" t="str">
        <f t="shared" si="8"/>
        <v/>
      </c>
      <c r="R75" s="2669" t="str">
        <f t="shared" si="9"/>
        <v/>
      </c>
    </row>
    <row r="76" spans="1:18" ht="12" customHeight="1">
      <c r="A76" s="2581"/>
      <c r="B76" s="2582"/>
      <c r="C76" s="2583"/>
      <c r="D76" s="868"/>
      <c r="E76" s="2668"/>
      <c r="F76" s="2669"/>
      <c r="G76" s="2668"/>
      <c r="H76" s="2669"/>
      <c r="I76" s="869"/>
      <c r="J76" s="870"/>
      <c r="K76" s="2668"/>
      <c r="L76" s="2674" t="str">
        <f t="shared" si="5"/>
        <v/>
      </c>
      <c r="M76" s="2669" t="str">
        <f t="shared" si="6"/>
        <v/>
      </c>
      <c r="N76" s="868"/>
      <c r="O76" s="871"/>
      <c r="P76" s="869" t="str">
        <f t="shared" si="7"/>
        <v/>
      </c>
      <c r="Q76" s="2668" t="str">
        <f t="shared" si="8"/>
        <v/>
      </c>
      <c r="R76" s="2669" t="str">
        <f t="shared" si="9"/>
        <v/>
      </c>
    </row>
    <row r="77" spans="1:18" ht="12" customHeight="1">
      <c r="A77" s="2581"/>
      <c r="B77" s="2582"/>
      <c r="C77" s="2583"/>
      <c r="D77" s="868"/>
      <c r="E77" s="2668"/>
      <c r="F77" s="2669"/>
      <c r="G77" s="2668"/>
      <c r="H77" s="2669"/>
      <c r="I77" s="869"/>
      <c r="J77" s="870"/>
      <c r="K77" s="2668"/>
      <c r="L77" s="2674" t="str">
        <f t="shared" si="5"/>
        <v/>
      </c>
      <c r="M77" s="2669" t="str">
        <f t="shared" si="6"/>
        <v/>
      </c>
      <c r="N77" s="868"/>
      <c r="O77" s="871"/>
      <c r="P77" s="869" t="str">
        <f t="shared" si="7"/>
        <v/>
      </c>
      <c r="Q77" s="2668" t="str">
        <f t="shared" si="8"/>
        <v/>
      </c>
      <c r="R77" s="2669" t="str">
        <f t="shared" si="9"/>
        <v/>
      </c>
    </row>
    <row r="78" spans="1:18" ht="12" customHeight="1">
      <c r="A78" s="2581"/>
      <c r="B78" s="2582"/>
      <c r="C78" s="2583"/>
      <c r="D78" s="868"/>
      <c r="E78" s="2668"/>
      <c r="F78" s="2669"/>
      <c r="G78" s="2668"/>
      <c r="H78" s="2669"/>
      <c r="I78" s="869"/>
      <c r="J78" s="870"/>
      <c r="K78" s="2668"/>
      <c r="L78" s="2674" t="str">
        <f t="shared" si="5"/>
        <v/>
      </c>
      <c r="M78" s="2669" t="str">
        <f t="shared" si="6"/>
        <v/>
      </c>
      <c r="N78" s="868"/>
      <c r="O78" s="871"/>
      <c r="P78" s="869" t="str">
        <f t="shared" si="7"/>
        <v/>
      </c>
      <c r="Q78" s="2668" t="str">
        <f t="shared" si="8"/>
        <v/>
      </c>
      <c r="R78" s="2669" t="str">
        <f t="shared" si="9"/>
        <v/>
      </c>
    </row>
    <row r="79" spans="1:18" ht="12" customHeight="1">
      <c r="A79" s="2581"/>
      <c r="B79" s="2582"/>
      <c r="C79" s="2583"/>
      <c r="D79" s="868"/>
      <c r="E79" s="2668"/>
      <c r="F79" s="2669"/>
      <c r="G79" s="2668"/>
      <c r="H79" s="2669"/>
      <c r="I79" s="869"/>
      <c r="J79" s="870"/>
      <c r="K79" s="2668"/>
      <c r="L79" s="2674" t="str">
        <f t="shared" si="5"/>
        <v/>
      </c>
      <c r="M79" s="2669" t="str">
        <f t="shared" si="6"/>
        <v/>
      </c>
      <c r="N79" s="868"/>
      <c r="O79" s="871"/>
      <c r="P79" s="869" t="str">
        <f t="shared" si="7"/>
        <v/>
      </c>
      <c r="Q79" s="2668" t="str">
        <f t="shared" si="8"/>
        <v/>
      </c>
      <c r="R79" s="2669" t="str">
        <f t="shared" si="9"/>
        <v/>
      </c>
    </row>
    <row r="80" spans="1:18" ht="12" customHeight="1">
      <c r="A80" s="2581"/>
      <c r="B80" s="2582"/>
      <c r="C80" s="2583"/>
      <c r="D80" s="868"/>
      <c r="E80" s="2668"/>
      <c r="F80" s="2669"/>
      <c r="G80" s="2668"/>
      <c r="H80" s="2669"/>
      <c r="I80" s="869"/>
      <c r="J80" s="870"/>
      <c r="K80" s="2668"/>
      <c r="L80" s="2674" t="str">
        <f t="shared" si="5"/>
        <v/>
      </c>
      <c r="M80" s="2669" t="str">
        <f t="shared" si="6"/>
        <v/>
      </c>
      <c r="N80" s="868"/>
      <c r="O80" s="871"/>
      <c r="P80" s="869" t="str">
        <f t="shared" si="7"/>
        <v/>
      </c>
      <c r="Q80" s="2668" t="str">
        <f t="shared" si="8"/>
        <v/>
      </c>
      <c r="R80" s="2669" t="str">
        <f t="shared" si="9"/>
        <v/>
      </c>
    </row>
    <row r="81" spans="1:18" ht="12" customHeight="1">
      <c r="A81" s="2581"/>
      <c r="B81" s="2582"/>
      <c r="C81" s="2583"/>
      <c r="D81" s="868"/>
      <c r="E81" s="2668"/>
      <c r="F81" s="2669"/>
      <c r="G81" s="2668"/>
      <c r="H81" s="2669"/>
      <c r="I81" s="869"/>
      <c r="J81" s="870"/>
      <c r="K81" s="2668"/>
      <c r="L81" s="2674" t="str">
        <f t="shared" si="5"/>
        <v/>
      </c>
      <c r="M81" s="2669" t="str">
        <f t="shared" si="6"/>
        <v/>
      </c>
      <c r="N81" s="868"/>
      <c r="O81" s="871"/>
      <c r="P81" s="869" t="str">
        <f t="shared" si="7"/>
        <v/>
      </c>
      <c r="Q81" s="2668" t="str">
        <f t="shared" si="8"/>
        <v/>
      </c>
      <c r="R81" s="2669" t="str">
        <f t="shared" si="9"/>
        <v/>
      </c>
    </row>
    <row r="82" spans="1:18" ht="12" customHeight="1">
      <c r="A82" s="2581"/>
      <c r="B82" s="2582"/>
      <c r="C82" s="2583"/>
      <c r="D82" s="868"/>
      <c r="E82" s="2668"/>
      <c r="F82" s="2669"/>
      <c r="G82" s="2668"/>
      <c r="H82" s="2669"/>
      <c r="I82" s="869"/>
      <c r="J82" s="870"/>
      <c r="K82" s="2668"/>
      <c r="L82" s="2674" t="str">
        <f t="shared" si="5"/>
        <v/>
      </c>
      <c r="M82" s="2669" t="str">
        <f t="shared" si="6"/>
        <v/>
      </c>
      <c r="N82" s="868"/>
      <c r="O82" s="871"/>
      <c r="P82" s="869" t="str">
        <f t="shared" si="7"/>
        <v/>
      </c>
      <c r="Q82" s="2668" t="str">
        <f t="shared" si="8"/>
        <v/>
      </c>
      <c r="R82" s="2669" t="str">
        <f t="shared" si="9"/>
        <v/>
      </c>
    </row>
    <row r="83" spans="1:18" ht="12" customHeight="1">
      <c r="A83" s="2581"/>
      <c r="B83" s="2582"/>
      <c r="C83" s="2583"/>
      <c r="D83" s="868"/>
      <c r="E83" s="2668"/>
      <c r="F83" s="2669"/>
      <c r="G83" s="2668"/>
      <c r="H83" s="2669"/>
      <c r="I83" s="869"/>
      <c r="J83" s="870"/>
      <c r="K83" s="2668"/>
      <c r="L83" s="2674" t="str">
        <f t="shared" si="5"/>
        <v/>
      </c>
      <c r="M83" s="2669" t="str">
        <f t="shared" si="6"/>
        <v/>
      </c>
      <c r="N83" s="868"/>
      <c r="O83" s="871"/>
      <c r="P83" s="869" t="str">
        <f t="shared" si="7"/>
        <v/>
      </c>
      <c r="Q83" s="2668" t="str">
        <f t="shared" si="8"/>
        <v/>
      </c>
      <c r="R83" s="2669" t="str">
        <f t="shared" si="9"/>
        <v/>
      </c>
    </row>
    <row r="84" spans="1:18" ht="12" customHeight="1">
      <c r="A84" s="2581"/>
      <c r="B84" s="2582"/>
      <c r="C84" s="2583"/>
      <c r="D84" s="868"/>
      <c r="E84" s="2668"/>
      <c r="F84" s="2669"/>
      <c r="G84" s="2668"/>
      <c r="H84" s="2669"/>
      <c r="I84" s="869"/>
      <c r="J84" s="870"/>
      <c r="K84" s="2668"/>
      <c r="L84" s="2674" t="str">
        <f t="shared" si="5"/>
        <v/>
      </c>
      <c r="M84" s="2669" t="str">
        <f t="shared" si="6"/>
        <v/>
      </c>
      <c r="N84" s="868"/>
      <c r="O84" s="871"/>
      <c r="P84" s="869" t="str">
        <f t="shared" si="7"/>
        <v/>
      </c>
      <c r="Q84" s="2668" t="str">
        <f t="shared" si="8"/>
        <v/>
      </c>
      <c r="R84" s="2669" t="str">
        <f t="shared" si="9"/>
        <v/>
      </c>
    </row>
    <row r="85" spans="1:18" ht="12" customHeight="1">
      <c r="A85" s="2581"/>
      <c r="B85" s="2582"/>
      <c r="C85" s="2583"/>
      <c r="D85" s="868"/>
      <c r="E85" s="2668"/>
      <c r="F85" s="2669"/>
      <c r="G85" s="2668"/>
      <c r="H85" s="2669"/>
      <c r="I85" s="869"/>
      <c r="J85" s="870"/>
      <c r="K85" s="2668"/>
      <c r="L85" s="2674" t="str">
        <f t="shared" si="5"/>
        <v/>
      </c>
      <c r="M85" s="2669" t="str">
        <f t="shared" si="6"/>
        <v/>
      </c>
      <c r="N85" s="868"/>
      <c r="O85" s="871"/>
      <c r="P85" s="869" t="str">
        <f t="shared" si="7"/>
        <v/>
      </c>
      <c r="Q85" s="2668" t="str">
        <f t="shared" si="8"/>
        <v/>
      </c>
      <c r="R85" s="2669" t="str">
        <f t="shared" si="9"/>
        <v/>
      </c>
    </row>
    <row r="86" spans="1:18" ht="12" customHeight="1">
      <c r="A86" s="2581"/>
      <c r="B86" s="2582"/>
      <c r="C86" s="2583"/>
      <c r="D86" s="868"/>
      <c r="E86" s="2668"/>
      <c r="F86" s="2669"/>
      <c r="G86" s="2668"/>
      <c r="H86" s="2669"/>
      <c r="I86" s="869"/>
      <c r="J86" s="870"/>
      <c r="K86" s="2668"/>
      <c r="L86" s="2674" t="str">
        <f t="shared" si="5"/>
        <v/>
      </c>
      <c r="M86" s="2669" t="str">
        <f t="shared" si="6"/>
        <v/>
      </c>
      <c r="N86" s="868"/>
      <c r="O86" s="871"/>
      <c r="P86" s="869" t="str">
        <f t="shared" si="7"/>
        <v/>
      </c>
      <c r="Q86" s="2668" t="str">
        <f t="shared" si="8"/>
        <v/>
      </c>
      <c r="R86" s="2669" t="str">
        <f t="shared" si="9"/>
        <v/>
      </c>
    </row>
    <row r="87" spans="1:18" ht="12" customHeight="1">
      <c r="A87" s="2581"/>
      <c r="B87" s="2582"/>
      <c r="C87" s="2583"/>
      <c r="D87" s="868"/>
      <c r="E87" s="2668"/>
      <c r="F87" s="2669"/>
      <c r="G87" s="2668"/>
      <c r="H87" s="2669"/>
      <c r="I87" s="869"/>
      <c r="J87" s="870"/>
      <c r="K87" s="2668"/>
      <c r="L87" s="2674" t="str">
        <f t="shared" si="5"/>
        <v/>
      </c>
      <c r="M87" s="2669" t="str">
        <f t="shared" si="6"/>
        <v/>
      </c>
      <c r="N87" s="868"/>
      <c r="O87" s="871"/>
      <c r="P87" s="869" t="str">
        <f t="shared" si="7"/>
        <v/>
      </c>
      <c r="Q87" s="2668" t="str">
        <f t="shared" si="8"/>
        <v/>
      </c>
      <c r="R87" s="2669" t="str">
        <f t="shared" si="9"/>
        <v/>
      </c>
    </row>
    <row r="88" spans="1:18" ht="12" customHeight="1">
      <c r="A88" s="2584"/>
      <c r="B88" s="2585"/>
      <c r="C88" s="2586"/>
      <c r="D88" s="872"/>
      <c r="E88" s="2670"/>
      <c r="F88" s="2671"/>
      <c r="G88" s="2670"/>
      <c r="H88" s="2671"/>
      <c r="I88" s="873"/>
      <c r="J88" s="874"/>
      <c r="K88" s="2670"/>
      <c r="L88" s="2675" t="str">
        <f t="shared" si="5"/>
        <v/>
      </c>
      <c r="M88" s="2671" t="str">
        <f t="shared" si="6"/>
        <v/>
      </c>
      <c r="N88" s="872"/>
      <c r="O88" s="875"/>
      <c r="P88" s="873" t="str">
        <f t="shared" si="7"/>
        <v/>
      </c>
      <c r="Q88" s="2670" t="str">
        <f t="shared" si="8"/>
        <v/>
      </c>
      <c r="R88" s="2671" t="str">
        <f t="shared" si="9"/>
        <v/>
      </c>
    </row>
    <row r="89" spans="1:18" ht="12.6" customHeight="1">
      <c r="A89" s="850" t="s">
        <v>3160</v>
      </c>
      <c r="B89" s="876"/>
      <c r="C89" s="876"/>
      <c r="D89" s="877"/>
      <c r="E89" s="878">
        <f>SUM(E54:E88)</f>
        <v>0</v>
      </c>
      <c r="F89" s="878">
        <f>SUM(F54:F88)</f>
        <v>0</v>
      </c>
      <c r="G89" s="878">
        <f>SUM(G54:G88)</f>
        <v>0</v>
      </c>
      <c r="H89" s="878">
        <f>SUM(H54:H88)</f>
        <v>0</v>
      </c>
      <c r="I89" s="878">
        <f>SUM(I54:I88)</f>
        <v>0</v>
      </c>
      <c r="J89" s="879"/>
      <c r="K89" s="878">
        <f>SUM(K54:K88)</f>
        <v>0</v>
      </c>
      <c r="L89" s="880"/>
      <c r="M89" s="878">
        <f>SUM(M54:M88)</f>
        <v>0</v>
      </c>
      <c r="N89" s="877"/>
      <c r="O89" s="880"/>
      <c r="P89" s="878">
        <f>SUM(P54:P88)</f>
        <v>0</v>
      </c>
      <c r="Q89" s="878">
        <f>SUM(Q54:Q88)</f>
        <v>0</v>
      </c>
      <c r="R89" s="878">
        <f>SUM(R54:R88)</f>
        <v>0</v>
      </c>
    </row>
    <row r="90" spans="1:18" s="846" customFormat="1" ht="12.6" customHeight="1">
      <c r="A90" s="850" t="s">
        <v>3128</v>
      </c>
      <c r="C90" s="2587" t="str">
        <f>C4</f>
        <v>New Construction</v>
      </c>
      <c r="D90" s="2588"/>
      <c r="E90" s="2588"/>
      <c r="F90" s="854"/>
      <c r="G90" s="855"/>
      <c r="H90" s="855"/>
      <c r="I90" s="855"/>
      <c r="L90" s="848"/>
      <c r="M90" s="848"/>
      <c r="N90" s="848"/>
    </row>
    <row r="91" spans="1:18" s="846" customFormat="1" ht="12.6" customHeight="1">
      <c r="A91" s="2625" t="s">
        <v>3129</v>
      </c>
      <c r="B91" s="2625"/>
      <c r="C91" s="2625"/>
      <c r="D91" s="2625"/>
      <c r="E91" s="2625"/>
      <c r="F91" s="2625"/>
      <c r="G91" s="2625"/>
      <c r="H91" s="2625"/>
      <c r="I91" s="2625"/>
      <c r="J91" s="2625"/>
      <c r="K91" s="2625"/>
      <c r="L91" s="2625"/>
      <c r="M91" s="2625"/>
      <c r="N91" s="2625"/>
      <c r="O91" s="2625"/>
      <c r="P91" s="2625"/>
      <c r="Q91" s="2625"/>
      <c r="R91" s="2625"/>
    </row>
    <row r="92" spans="1:18" s="856" customFormat="1" ht="12" customHeight="1">
      <c r="A92" s="2676"/>
      <c r="B92" s="858"/>
      <c r="C92" s="858"/>
      <c r="D92" s="859"/>
      <c r="E92" s="2689" t="s">
        <v>503</v>
      </c>
      <c r="F92" s="2690"/>
      <c r="G92" s="2690"/>
      <c r="H92" s="2691"/>
      <c r="I92" s="2678"/>
      <c r="J92" s="2679"/>
      <c r="K92" s="2687" t="s">
        <v>3135</v>
      </c>
      <c r="L92" s="2687"/>
      <c r="M92" s="2687"/>
      <c r="N92" s="859" t="s">
        <v>861</v>
      </c>
      <c r="O92" s="2677"/>
      <c r="P92" s="2677"/>
      <c r="Q92" s="2683" t="s">
        <v>3131</v>
      </c>
      <c r="R92" s="2684"/>
    </row>
    <row r="93" spans="1:18" s="856" customFormat="1" ht="12" customHeight="1">
      <c r="A93" s="857"/>
      <c r="B93" s="858"/>
      <c r="C93" s="858"/>
      <c r="D93" s="859" t="s">
        <v>496</v>
      </c>
      <c r="E93" s="2692" t="s">
        <v>3132</v>
      </c>
      <c r="F93" s="2693"/>
      <c r="G93" s="2692" t="s">
        <v>1902</v>
      </c>
      <c r="H93" s="2693"/>
      <c r="I93" s="859" t="s">
        <v>3135</v>
      </c>
      <c r="J93" s="2680" t="s">
        <v>3136</v>
      </c>
      <c r="K93" s="2688"/>
      <c r="L93" s="2688"/>
      <c r="M93" s="2688"/>
      <c r="N93" s="859" t="s">
        <v>3137</v>
      </c>
      <c r="O93" s="859" t="s">
        <v>3138</v>
      </c>
      <c r="P93" s="859" t="s">
        <v>3139</v>
      </c>
      <c r="Q93" s="2685"/>
      <c r="R93" s="2686"/>
    </row>
    <row r="94" spans="1:18" ht="11.45" customHeight="1">
      <c r="A94" s="857"/>
      <c r="B94" s="858"/>
      <c r="C94" s="858"/>
      <c r="D94" s="859" t="s">
        <v>3140</v>
      </c>
      <c r="E94" s="2681" t="s">
        <v>152</v>
      </c>
      <c r="F94" s="859" t="s">
        <v>3110</v>
      </c>
      <c r="G94" s="2681" t="s">
        <v>152</v>
      </c>
      <c r="H94" s="859" t="s">
        <v>3110</v>
      </c>
      <c r="I94" s="859" t="s">
        <v>3142</v>
      </c>
      <c r="J94" s="2680"/>
      <c r="K94" s="2672" t="s">
        <v>3143</v>
      </c>
      <c r="L94" s="2672" t="s">
        <v>3144</v>
      </c>
      <c r="M94" s="2672" t="s">
        <v>3145</v>
      </c>
      <c r="N94" s="859" t="s">
        <v>3146</v>
      </c>
      <c r="O94" s="859" t="s">
        <v>3147</v>
      </c>
      <c r="P94" s="859" t="s">
        <v>3147</v>
      </c>
      <c r="Q94" s="859" t="s">
        <v>3135</v>
      </c>
      <c r="R94" s="859" t="s">
        <v>3148</v>
      </c>
    </row>
    <row r="95" spans="1:18" ht="11.45" customHeight="1">
      <c r="A95" s="861" t="s">
        <v>3149</v>
      </c>
      <c r="B95" s="862"/>
      <c r="C95" s="862"/>
      <c r="D95" s="863" t="s">
        <v>3150</v>
      </c>
      <c r="E95" s="863" t="s">
        <v>3151</v>
      </c>
      <c r="F95" s="863" t="s">
        <v>3152</v>
      </c>
      <c r="G95" s="863" t="s">
        <v>3151</v>
      </c>
      <c r="H95" s="863" t="s">
        <v>3152</v>
      </c>
      <c r="I95" s="863" t="s">
        <v>3153</v>
      </c>
      <c r="J95" s="2682" t="s">
        <v>3154</v>
      </c>
      <c r="K95" s="863" t="s">
        <v>3153</v>
      </c>
      <c r="L95" s="863" t="s">
        <v>3155</v>
      </c>
      <c r="M95" s="863" t="s">
        <v>3153</v>
      </c>
      <c r="N95" s="863" t="s">
        <v>3156</v>
      </c>
      <c r="O95" s="863" t="s">
        <v>3157</v>
      </c>
      <c r="P95" s="863" t="s">
        <v>1793</v>
      </c>
      <c r="Q95" s="863" t="s">
        <v>1830</v>
      </c>
      <c r="R95" s="863" t="s">
        <v>1793</v>
      </c>
    </row>
    <row r="96" spans="1:18" ht="12" customHeight="1">
      <c r="A96" s="2598"/>
      <c r="B96" s="2599"/>
      <c r="C96" s="2600"/>
      <c r="D96" s="864"/>
      <c r="E96" s="2666"/>
      <c r="F96" s="2667"/>
      <c r="G96" s="2666"/>
      <c r="H96" s="2667"/>
      <c r="I96" s="865"/>
      <c r="J96" s="866"/>
      <c r="K96" s="2666"/>
      <c r="L96" s="2673" t="str">
        <f>IF(OR(E96="",F96=""),"",MIN(G96/E96,H96/F96))</f>
        <v/>
      </c>
      <c r="M96" s="2667" t="str">
        <f>IF(OR(E96="",F96=""),"",K96*L96)</f>
        <v/>
      </c>
      <c r="N96" s="864"/>
      <c r="O96" s="867"/>
      <c r="P96" s="865" t="str">
        <f>IF(OR(M96="",O96=""),"",M96*O96)</f>
        <v/>
      </c>
      <c r="Q96" s="2666" t="str">
        <f>IF(M96="","",ROUND(M96,0))</f>
        <v/>
      </c>
      <c r="R96" s="2667" t="str">
        <f>IF(P96="","",ROUND(P96,0))</f>
        <v/>
      </c>
    </row>
    <row r="97" spans="1:18" ht="12" customHeight="1">
      <c r="A97" s="2581"/>
      <c r="B97" s="2582"/>
      <c r="C97" s="2583"/>
      <c r="D97" s="868"/>
      <c r="E97" s="2668"/>
      <c r="F97" s="2669"/>
      <c r="G97" s="2668"/>
      <c r="H97" s="2669"/>
      <c r="I97" s="869"/>
      <c r="J97" s="870"/>
      <c r="K97" s="2668"/>
      <c r="L97" s="2674" t="str">
        <f t="shared" ref="L97:L130" si="10">IF(OR(E97="",F97=""),"",MIN(G97/E97,H97/F97))</f>
        <v/>
      </c>
      <c r="M97" s="2669" t="str">
        <f t="shared" ref="M97:M130" si="11">IF(OR(E97="",F97=""),"",K97*L97)</f>
        <v/>
      </c>
      <c r="N97" s="868"/>
      <c r="O97" s="871"/>
      <c r="P97" s="869" t="str">
        <f t="shared" ref="P97:P130" si="12">IF(OR(M97="",O97=""),"",M97*O97)</f>
        <v/>
      </c>
      <c r="Q97" s="2668" t="str">
        <f t="shared" ref="Q97:Q130" si="13">IF(M97="","",ROUND(M97,0))</f>
        <v/>
      </c>
      <c r="R97" s="2669" t="str">
        <f t="shared" ref="R97:R130" si="14">IF(P97="","",ROUND(P97,0))</f>
        <v/>
      </c>
    </row>
    <row r="98" spans="1:18" ht="12" customHeight="1">
      <c r="A98" s="2581"/>
      <c r="B98" s="2582"/>
      <c r="C98" s="2583"/>
      <c r="D98" s="868"/>
      <c r="E98" s="2668"/>
      <c r="F98" s="2669"/>
      <c r="G98" s="2668"/>
      <c r="H98" s="2669"/>
      <c r="I98" s="869"/>
      <c r="J98" s="870"/>
      <c r="K98" s="2668"/>
      <c r="L98" s="2674" t="str">
        <f t="shared" si="10"/>
        <v/>
      </c>
      <c r="M98" s="2669" t="str">
        <f t="shared" si="11"/>
        <v/>
      </c>
      <c r="N98" s="868"/>
      <c r="O98" s="871"/>
      <c r="P98" s="869" t="str">
        <f t="shared" si="12"/>
        <v/>
      </c>
      <c r="Q98" s="2668" t="str">
        <f t="shared" si="13"/>
        <v/>
      </c>
      <c r="R98" s="2669" t="str">
        <f t="shared" si="14"/>
        <v/>
      </c>
    </row>
    <row r="99" spans="1:18" ht="12" customHeight="1">
      <c r="A99" s="2581"/>
      <c r="B99" s="2582"/>
      <c r="C99" s="2583"/>
      <c r="D99" s="868"/>
      <c r="E99" s="2668"/>
      <c r="F99" s="2669"/>
      <c r="G99" s="2668"/>
      <c r="H99" s="2669"/>
      <c r="I99" s="869"/>
      <c r="J99" s="870"/>
      <c r="K99" s="2668"/>
      <c r="L99" s="2674" t="str">
        <f t="shared" si="10"/>
        <v/>
      </c>
      <c r="M99" s="2669" t="str">
        <f t="shared" si="11"/>
        <v/>
      </c>
      <c r="N99" s="868"/>
      <c r="O99" s="871"/>
      <c r="P99" s="869" t="str">
        <f t="shared" si="12"/>
        <v/>
      </c>
      <c r="Q99" s="2668" t="str">
        <f t="shared" si="13"/>
        <v/>
      </c>
      <c r="R99" s="2669" t="str">
        <f t="shared" si="14"/>
        <v/>
      </c>
    </row>
    <row r="100" spans="1:18" ht="12" customHeight="1">
      <c r="A100" s="2581"/>
      <c r="B100" s="2582"/>
      <c r="C100" s="2583"/>
      <c r="D100" s="868"/>
      <c r="E100" s="2668"/>
      <c r="F100" s="2669"/>
      <c r="G100" s="2668"/>
      <c r="H100" s="2669"/>
      <c r="I100" s="869"/>
      <c r="J100" s="870"/>
      <c r="K100" s="2668"/>
      <c r="L100" s="2674" t="str">
        <f t="shared" si="10"/>
        <v/>
      </c>
      <c r="M100" s="2669" t="str">
        <f t="shared" si="11"/>
        <v/>
      </c>
      <c r="N100" s="868"/>
      <c r="O100" s="871"/>
      <c r="P100" s="869" t="str">
        <f t="shared" si="12"/>
        <v/>
      </c>
      <c r="Q100" s="2668" t="str">
        <f t="shared" si="13"/>
        <v/>
      </c>
      <c r="R100" s="2669" t="str">
        <f t="shared" si="14"/>
        <v/>
      </c>
    </row>
    <row r="101" spans="1:18" ht="12" customHeight="1">
      <c r="A101" s="2581"/>
      <c r="B101" s="2582"/>
      <c r="C101" s="2583"/>
      <c r="D101" s="868"/>
      <c r="E101" s="2668"/>
      <c r="F101" s="2669"/>
      <c r="G101" s="2668"/>
      <c r="H101" s="2669"/>
      <c r="I101" s="869"/>
      <c r="J101" s="870"/>
      <c r="K101" s="2668"/>
      <c r="L101" s="2674" t="str">
        <f t="shared" si="10"/>
        <v/>
      </c>
      <c r="M101" s="2669" t="str">
        <f t="shared" si="11"/>
        <v/>
      </c>
      <c r="N101" s="868"/>
      <c r="O101" s="871"/>
      <c r="P101" s="869" t="str">
        <f t="shared" si="12"/>
        <v/>
      </c>
      <c r="Q101" s="2668" t="str">
        <f t="shared" si="13"/>
        <v/>
      </c>
      <c r="R101" s="2669" t="str">
        <f t="shared" si="14"/>
        <v/>
      </c>
    </row>
    <row r="102" spans="1:18" ht="12" customHeight="1">
      <c r="A102" s="2581"/>
      <c r="B102" s="2582"/>
      <c r="C102" s="2583"/>
      <c r="D102" s="868"/>
      <c r="E102" s="2668"/>
      <c r="F102" s="2669"/>
      <c r="G102" s="2668"/>
      <c r="H102" s="2669"/>
      <c r="I102" s="869"/>
      <c r="J102" s="870"/>
      <c r="K102" s="2668"/>
      <c r="L102" s="2674" t="str">
        <f t="shared" si="10"/>
        <v/>
      </c>
      <c r="M102" s="2669" t="str">
        <f t="shared" si="11"/>
        <v/>
      </c>
      <c r="N102" s="868"/>
      <c r="O102" s="871"/>
      <c r="P102" s="869" t="str">
        <f t="shared" si="12"/>
        <v/>
      </c>
      <c r="Q102" s="2668" t="str">
        <f t="shared" si="13"/>
        <v/>
      </c>
      <c r="R102" s="2669" t="str">
        <f t="shared" si="14"/>
        <v/>
      </c>
    </row>
    <row r="103" spans="1:18" ht="12" customHeight="1">
      <c r="A103" s="2581"/>
      <c r="B103" s="2582"/>
      <c r="C103" s="2583"/>
      <c r="D103" s="868"/>
      <c r="E103" s="2668"/>
      <c r="F103" s="2669"/>
      <c r="G103" s="2668"/>
      <c r="H103" s="2669"/>
      <c r="I103" s="869"/>
      <c r="J103" s="870"/>
      <c r="K103" s="2668"/>
      <c r="L103" s="2674" t="str">
        <f t="shared" si="10"/>
        <v/>
      </c>
      <c r="M103" s="2669" t="str">
        <f t="shared" si="11"/>
        <v/>
      </c>
      <c r="N103" s="868"/>
      <c r="O103" s="871"/>
      <c r="P103" s="869" t="str">
        <f t="shared" si="12"/>
        <v/>
      </c>
      <c r="Q103" s="2668" t="str">
        <f t="shared" si="13"/>
        <v/>
      </c>
      <c r="R103" s="2669" t="str">
        <f t="shared" si="14"/>
        <v/>
      </c>
    </row>
    <row r="104" spans="1:18" ht="12" customHeight="1">
      <c r="A104" s="2581"/>
      <c r="B104" s="2582"/>
      <c r="C104" s="2583"/>
      <c r="D104" s="868"/>
      <c r="E104" s="2668"/>
      <c r="F104" s="2669"/>
      <c r="G104" s="2668"/>
      <c r="H104" s="2669"/>
      <c r="I104" s="869"/>
      <c r="J104" s="870"/>
      <c r="K104" s="2668"/>
      <c r="L104" s="2674" t="str">
        <f t="shared" si="10"/>
        <v/>
      </c>
      <c r="M104" s="2669" t="str">
        <f t="shared" si="11"/>
        <v/>
      </c>
      <c r="N104" s="868"/>
      <c r="O104" s="871"/>
      <c r="P104" s="869" t="str">
        <f t="shared" si="12"/>
        <v/>
      </c>
      <c r="Q104" s="2668" t="str">
        <f t="shared" si="13"/>
        <v/>
      </c>
      <c r="R104" s="2669" t="str">
        <f t="shared" si="14"/>
        <v/>
      </c>
    </row>
    <row r="105" spans="1:18" ht="12" customHeight="1">
      <c r="A105" s="2581"/>
      <c r="B105" s="2582"/>
      <c r="C105" s="2583"/>
      <c r="D105" s="868"/>
      <c r="E105" s="2668"/>
      <c r="F105" s="2669"/>
      <c r="G105" s="2668"/>
      <c r="H105" s="2669"/>
      <c r="I105" s="869"/>
      <c r="J105" s="870"/>
      <c r="K105" s="2668"/>
      <c r="L105" s="2674" t="str">
        <f t="shared" si="10"/>
        <v/>
      </c>
      <c r="M105" s="2669" t="str">
        <f t="shared" si="11"/>
        <v/>
      </c>
      <c r="N105" s="868"/>
      <c r="O105" s="871"/>
      <c r="P105" s="869" t="str">
        <f t="shared" si="12"/>
        <v/>
      </c>
      <c r="Q105" s="2668" t="str">
        <f t="shared" si="13"/>
        <v/>
      </c>
      <c r="R105" s="2669" t="str">
        <f t="shared" si="14"/>
        <v/>
      </c>
    </row>
    <row r="106" spans="1:18" ht="12" customHeight="1">
      <c r="A106" s="2581"/>
      <c r="B106" s="2582"/>
      <c r="C106" s="2583"/>
      <c r="D106" s="868"/>
      <c r="E106" s="2668"/>
      <c r="F106" s="2669"/>
      <c r="G106" s="2668"/>
      <c r="H106" s="2669"/>
      <c r="I106" s="869"/>
      <c r="J106" s="870"/>
      <c r="K106" s="2668"/>
      <c r="L106" s="2674" t="str">
        <f t="shared" si="10"/>
        <v/>
      </c>
      <c r="M106" s="2669" t="str">
        <f t="shared" si="11"/>
        <v/>
      </c>
      <c r="N106" s="868"/>
      <c r="O106" s="871"/>
      <c r="P106" s="869" t="str">
        <f t="shared" si="12"/>
        <v/>
      </c>
      <c r="Q106" s="2668" t="str">
        <f t="shared" si="13"/>
        <v/>
      </c>
      <c r="R106" s="2669" t="str">
        <f t="shared" si="14"/>
        <v/>
      </c>
    </row>
    <row r="107" spans="1:18" ht="12" customHeight="1">
      <c r="A107" s="2581"/>
      <c r="B107" s="2582"/>
      <c r="C107" s="2583"/>
      <c r="D107" s="868"/>
      <c r="E107" s="2668"/>
      <c r="F107" s="2669"/>
      <c r="G107" s="2668"/>
      <c r="H107" s="2669"/>
      <c r="I107" s="869"/>
      <c r="J107" s="870"/>
      <c r="K107" s="2668"/>
      <c r="L107" s="2674" t="str">
        <f t="shared" si="10"/>
        <v/>
      </c>
      <c r="M107" s="2669" t="str">
        <f t="shared" si="11"/>
        <v/>
      </c>
      <c r="N107" s="868"/>
      <c r="O107" s="871"/>
      <c r="P107" s="869" t="str">
        <f t="shared" si="12"/>
        <v/>
      </c>
      <c r="Q107" s="2668" t="str">
        <f t="shared" si="13"/>
        <v/>
      </c>
      <c r="R107" s="2669" t="str">
        <f t="shared" si="14"/>
        <v/>
      </c>
    </row>
    <row r="108" spans="1:18" ht="12" customHeight="1">
      <c r="A108" s="2581"/>
      <c r="B108" s="2582"/>
      <c r="C108" s="2583"/>
      <c r="D108" s="868"/>
      <c r="E108" s="2668"/>
      <c r="F108" s="2669"/>
      <c r="G108" s="2668"/>
      <c r="H108" s="2669"/>
      <c r="I108" s="869"/>
      <c r="J108" s="870"/>
      <c r="K108" s="2668"/>
      <c r="L108" s="2674" t="str">
        <f t="shared" si="10"/>
        <v/>
      </c>
      <c r="M108" s="2669" t="str">
        <f t="shared" si="11"/>
        <v/>
      </c>
      <c r="N108" s="868"/>
      <c r="O108" s="871"/>
      <c r="P108" s="869" t="str">
        <f t="shared" si="12"/>
        <v/>
      </c>
      <c r="Q108" s="2668" t="str">
        <f t="shared" si="13"/>
        <v/>
      </c>
      <c r="R108" s="2669" t="str">
        <f t="shared" si="14"/>
        <v/>
      </c>
    </row>
    <row r="109" spans="1:18" ht="12" customHeight="1">
      <c r="A109" s="2581"/>
      <c r="B109" s="2582"/>
      <c r="C109" s="2583"/>
      <c r="D109" s="868"/>
      <c r="E109" s="2668"/>
      <c r="F109" s="2669"/>
      <c r="G109" s="2668"/>
      <c r="H109" s="2669"/>
      <c r="I109" s="869"/>
      <c r="J109" s="870"/>
      <c r="K109" s="2668"/>
      <c r="L109" s="2674" t="str">
        <f t="shared" si="10"/>
        <v/>
      </c>
      <c r="M109" s="2669" t="str">
        <f t="shared" si="11"/>
        <v/>
      </c>
      <c r="N109" s="868"/>
      <c r="O109" s="871"/>
      <c r="P109" s="869" t="str">
        <f t="shared" si="12"/>
        <v/>
      </c>
      <c r="Q109" s="2668" t="str">
        <f t="shared" si="13"/>
        <v/>
      </c>
      <c r="R109" s="2669" t="str">
        <f t="shared" si="14"/>
        <v/>
      </c>
    </row>
    <row r="110" spans="1:18" ht="12" customHeight="1">
      <c r="A110" s="2581"/>
      <c r="B110" s="2582"/>
      <c r="C110" s="2583"/>
      <c r="D110" s="868"/>
      <c r="E110" s="2668"/>
      <c r="F110" s="2669"/>
      <c r="G110" s="2668"/>
      <c r="H110" s="2669"/>
      <c r="I110" s="869"/>
      <c r="J110" s="870"/>
      <c r="K110" s="2668"/>
      <c r="L110" s="2674" t="str">
        <f t="shared" si="10"/>
        <v/>
      </c>
      <c r="M110" s="2669" t="str">
        <f t="shared" si="11"/>
        <v/>
      </c>
      <c r="N110" s="868"/>
      <c r="O110" s="871"/>
      <c r="P110" s="869" t="str">
        <f t="shared" si="12"/>
        <v/>
      </c>
      <c r="Q110" s="2668" t="str">
        <f t="shared" si="13"/>
        <v/>
      </c>
      <c r="R110" s="2669" t="str">
        <f t="shared" si="14"/>
        <v/>
      </c>
    </row>
    <row r="111" spans="1:18" ht="12" customHeight="1">
      <c r="A111" s="2581"/>
      <c r="B111" s="2582"/>
      <c r="C111" s="2583"/>
      <c r="D111" s="868"/>
      <c r="E111" s="2668"/>
      <c r="F111" s="2669"/>
      <c r="G111" s="2668"/>
      <c r="H111" s="2669"/>
      <c r="I111" s="869"/>
      <c r="J111" s="870"/>
      <c r="K111" s="2668"/>
      <c r="L111" s="2674" t="str">
        <f t="shared" si="10"/>
        <v/>
      </c>
      <c r="M111" s="2669" t="str">
        <f t="shared" si="11"/>
        <v/>
      </c>
      <c r="N111" s="868"/>
      <c r="O111" s="871"/>
      <c r="P111" s="869" t="str">
        <f t="shared" si="12"/>
        <v/>
      </c>
      <c r="Q111" s="2668" t="str">
        <f t="shared" si="13"/>
        <v/>
      </c>
      <c r="R111" s="2669" t="str">
        <f t="shared" si="14"/>
        <v/>
      </c>
    </row>
    <row r="112" spans="1:18" ht="12" customHeight="1">
      <c r="A112" s="2581"/>
      <c r="B112" s="2582"/>
      <c r="C112" s="2583"/>
      <c r="D112" s="868"/>
      <c r="E112" s="2668"/>
      <c r="F112" s="2669"/>
      <c r="G112" s="2668"/>
      <c r="H112" s="2669"/>
      <c r="I112" s="869"/>
      <c r="J112" s="870"/>
      <c r="K112" s="2668"/>
      <c r="L112" s="2674" t="str">
        <f t="shared" si="10"/>
        <v/>
      </c>
      <c r="M112" s="2669" t="str">
        <f t="shared" si="11"/>
        <v/>
      </c>
      <c r="N112" s="868"/>
      <c r="O112" s="871"/>
      <c r="P112" s="869" t="str">
        <f t="shared" si="12"/>
        <v/>
      </c>
      <c r="Q112" s="2668" t="str">
        <f t="shared" si="13"/>
        <v/>
      </c>
      <c r="R112" s="2669" t="str">
        <f t="shared" si="14"/>
        <v/>
      </c>
    </row>
    <row r="113" spans="1:18" ht="12" customHeight="1">
      <c r="A113" s="2581"/>
      <c r="B113" s="2582"/>
      <c r="C113" s="2583"/>
      <c r="D113" s="868"/>
      <c r="E113" s="2668"/>
      <c r="F113" s="2669"/>
      <c r="G113" s="2668"/>
      <c r="H113" s="2669"/>
      <c r="I113" s="869"/>
      <c r="J113" s="870"/>
      <c r="K113" s="2668"/>
      <c r="L113" s="2674" t="str">
        <f t="shared" si="10"/>
        <v/>
      </c>
      <c r="M113" s="2669" t="str">
        <f t="shared" si="11"/>
        <v/>
      </c>
      <c r="N113" s="868"/>
      <c r="O113" s="871"/>
      <c r="P113" s="869" t="str">
        <f t="shared" si="12"/>
        <v/>
      </c>
      <c r="Q113" s="2668" t="str">
        <f t="shared" si="13"/>
        <v/>
      </c>
      <c r="R113" s="2669" t="str">
        <f t="shared" si="14"/>
        <v/>
      </c>
    </row>
    <row r="114" spans="1:18" ht="12" customHeight="1">
      <c r="A114" s="2581"/>
      <c r="B114" s="2582"/>
      <c r="C114" s="2583"/>
      <c r="D114" s="868"/>
      <c r="E114" s="2668"/>
      <c r="F114" s="2669"/>
      <c r="G114" s="2668"/>
      <c r="H114" s="2669"/>
      <c r="I114" s="869"/>
      <c r="J114" s="870"/>
      <c r="K114" s="2668"/>
      <c r="L114" s="2674" t="str">
        <f t="shared" si="10"/>
        <v/>
      </c>
      <c r="M114" s="2669" t="str">
        <f t="shared" si="11"/>
        <v/>
      </c>
      <c r="N114" s="868"/>
      <c r="O114" s="871"/>
      <c r="P114" s="869" t="str">
        <f t="shared" si="12"/>
        <v/>
      </c>
      <c r="Q114" s="2668" t="str">
        <f t="shared" si="13"/>
        <v/>
      </c>
      <c r="R114" s="2669" t="str">
        <f t="shared" si="14"/>
        <v/>
      </c>
    </row>
    <row r="115" spans="1:18" ht="12" customHeight="1">
      <c r="A115" s="2581"/>
      <c r="B115" s="2582"/>
      <c r="C115" s="2583"/>
      <c r="D115" s="868"/>
      <c r="E115" s="2668"/>
      <c r="F115" s="2669"/>
      <c r="G115" s="2668"/>
      <c r="H115" s="2669"/>
      <c r="I115" s="869"/>
      <c r="J115" s="870"/>
      <c r="K115" s="2668"/>
      <c r="L115" s="2674" t="str">
        <f t="shared" si="10"/>
        <v/>
      </c>
      <c r="M115" s="2669" t="str">
        <f t="shared" si="11"/>
        <v/>
      </c>
      <c r="N115" s="868"/>
      <c r="O115" s="871"/>
      <c r="P115" s="869" t="str">
        <f t="shared" si="12"/>
        <v/>
      </c>
      <c r="Q115" s="2668" t="str">
        <f t="shared" si="13"/>
        <v/>
      </c>
      <c r="R115" s="2669" t="str">
        <f t="shared" si="14"/>
        <v/>
      </c>
    </row>
    <row r="116" spans="1:18" ht="12" customHeight="1">
      <c r="A116" s="2581"/>
      <c r="B116" s="2582"/>
      <c r="C116" s="2583"/>
      <c r="D116" s="868"/>
      <c r="E116" s="2668"/>
      <c r="F116" s="2669"/>
      <c r="G116" s="2668"/>
      <c r="H116" s="2669"/>
      <c r="I116" s="869"/>
      <c r="J116" s="870"/>
      <c r="K116" s="2668"/>
      <c r="L116" s="2674" t="str">
        <f t="shared" si="10"/>
        <v/>
      </c>
      <c r="M116" s="2669" t="str">
        <f t="shared" si="11"/>
        <v/>
      </c>
      <c r="N116" s="868"/>
      <c r="O116" s="871"/>
      <c r="P116" s="869" t="str">
        <f t="shared" si="12"/>
        <v/>
      </c>
      <c r="Q116" s="2668" t="str">
        <f t="shared" si="13"/>
        <v/>
      </c>
      <c r="R116" s="2669" t="str">
        <f t="shared" si="14"/>
        <v/>
      </c>
    </row>
    <row r="117" spans="1:18" ht="12" customHeight="1">
      <c r="A117" s="2581"/>
      <c r="B117" s="2582"/>
      <c r="C117" s="2583"/>
      <c r="D117" s="868"/>
      <c r="E117" s="2668"/>
      <c r="F117" s="2669"/>
      <c r="G117" s="2668"/>
      <c r="H117" s="2669"/>
      <c r="I117" s="869"/>
      <c r="J117" s="870"/>
      <c r="K117" s="2668"/>
      <c r="L117" s="2674" t="str">
        <f t="shared" si="10"/>
        <v/>
      </c>
      <c r="M117" s="2669" t="str">
        <f t="shared" si="11"/>
        <v/>
      </c>
      <c r="N117" s="868"/>
      <c r="O117" s="871"/>
      <c r="P117" s="869" t="str">
        <f t="shared" si="12"/>
        <v/>
      </c>
      <c r="Q117" s="2668" t="str">
        <f t="shared" si="13"/>
        <v/>
      </c>
      <c r="R117" s="2669" t="str">
        <f t="shared" si="14"/>
        <v/>
      </c>
    </row>
    <row r="118" spans="1:18" ht="12" customHeight="1">
      <c r="A118" s="2581"/>
      <c r="B118" s="2582"/>
      <c r="C118" s="2583"/>
      <c r="D118" s="868"/>
      <c r="E118" s="2668"/>
      <c r="F118" s="2669"/>
      <c r="G118" s="2668"/>
      <c r="H118" s="2669"/>
      <c r="I118" s="869"/>
      <c r="J118" s="870"/>
      <c r="K118" s="2668"/>
      <c r="L118" s="2674" t="str">
        <f t="shared" si="10"/>
        <v/>
      </c>
      <c r="M118" s="2669" t="str">
        <f t="shared" si="11"/>
        <v/>
      </c>
      <c r="N118" s="868"/>
      <c r="O118" s="871"/>
      <c r="P118" s="869" t="str">
        <f t="shared" si="12"/>
        <v/>
      </c>
      <c r="Q118" s="2668" t="str">
        <f t="shared" si="13"/>
        <v/>
      </c>
      <c r="R118" s="2669" t="str">
        <f t="shared" si="14"/>
        <v/>
      </c>
    </row>
    <row r="119" spans="1:18" ht="12" customHeight="1">
      <c r="A119" s="2581"/>
      <c r="B119" s="2582"/>
      <c r="C119" s="2583"/>
      <c r="D119" s="868"/>
      <c r="E119" s="2668"/>
      <c r="F119" s="2669"/>
      <c r="G119" s="2668"/>
      <c r="H119" s="2669"/>
      <c r="I119" s="869"/>
      <c r="J119" s="870"/>
      <c r="K119" s="2668"/>
      <c r="L119" s="2674" t="str">
        <f t="shared" si="10"/>
        <v/>
      </c>
      <c r="M119" s="2669" t="str">
        <f t="shared" si="11"/>
        <v/>
      </c>
      <c r="N119" s="868"/>
      <c r="O119" s="871"/>
      <c r="P119" s="869" t="str">
        <f t="shared" si="12"/>
        <v/>
      </c>
      <c r="Q119" s="2668" t="str">
        <f t="shared" si="13"/>
        <v/>
      </c>
      <c r="R119" s="2669" t="str">
        <f t="shared" si="14"/>
        <v/>
      </c>
    </row>
    <row r="120" spans="1:18" ht="12" customHeight="1">
      <c r="A120" s="2581"/>
      <c r="B120" s="2582"/>
      <c r="C120" s="2583"/>
      <c r="D120" s="868"/>
      <c r="E120" s="2668"/>
      <c r="F120" s="2669"/>
      <c r="G120" s="2668"/>
      <c r="H120" s="2669"/>
      <c r="I120" s="869"/>
      <c r="J120" s="870"/>
      <c r="K120" s="2668"/>
      <c r="L120" s="2674" t="str">
        <f t="shared" si="10"/>
        <v/>
      </c>
      <c r="M120" s="2669" t="str">
        <f t="shared" si="11"/>
        <v/>
      </c>
      <c r="N120" s="868"/>
      <c r="O120" s="871"/>
      <c r="P120" s="869" t="str">
        <f t="shared" si="12"/>
        <v/>
      </c>
      <c r="Q120" s="2668" t="str">
        <f t="shared" si="13"/>
        <v/>
      </c>
      <c r="R120" s="2669" t="str">
        <f t="shared" si="14"/>
        <v/>
      </c>
    </row>
    <row r="121" spans="1:18" ht="12" customHeight="1">
      <c r="A121" s="2581"/>
      <c r="B121" s="2582"/>
      <c r="C121" s="2583"/>
      <c r="D121" s="868"/>
      <c r="E121" s="2668"/>
      <c r="F121" s="2669"/>
      <c r="G121" s="2668"/>
      <c r="H121" s="2669"/>
      <c r="I121" s="869"/>
      <c r="J121" s="870"/>
      <c r="K121" s="2668"/>
      <c r="L121" s="2674" t="str">
        <f t="shared" si="10"/>
        <v/>
      </c>
      <c r="M121" s="2669" t="str">
        <f t="shared" si="11"/>
        <v/>
      </c>
      <c r="N121" s="868"/>
      <c r="O121" s="871"/>
      <c r="P121" s="869" t="str">
        <f t="shared" si="12"/>
        <v/>
      </c>
      <c r="Q121" s="2668" t="str">
        <f t="shared" si="13"/>
        <v/>
      </c>
      <c r="R121" s="2669" t="str">
        <f t="shared" si="14"/>
        <v/>
      </c>
    </row>
    <row r="122" spans="1:18" ht="12" customHeight="1">
      <c r="A122" s="2581"/>
      <c r="B122" s="2582"/>
      <c r="C122" s="2583"/>
      <c r="D122" s="868"/>
      <c r="E122" s="2668"/>
      <c r="F122" s="2669"/>
      <c r="G122" s="2668"/>
      <c r="H122" s="2669"/>
      <c r="I122" s="869"/>
      <c r="J122" s="870"/>
      <c r="K122" s="2668"/>
      <c r="L122" s="2674" t="str">
        <f t="shared" si="10"/>
        <v/>
      </c>
      <c r="M122" s="2669" t="str">
        <f t="shared" si="11"/>
        <v/>
      </c>
      <c r="N122" s="868"/>
      <c r="O122" s="871"/>
      <c r="P122" s="869" t="str">
        <f t="shared" si="12"/>
        <v/>
      </c>
      <c r="Q122" s="2668" t="str">
        <f t="shared" si="13"/>
        <v/>
      </c>
      <c r="R122" s="2669" t="str">
        <f t="shared" si="14"/>
        <v/>
      </c>
    </row>
    <row r="123" spans="1:18" ht="12" customHeight="1">
      <c r="A123" s="2581"/>
      <c r="B123" s="2582"/>
      <c r="C123" s="2583"/>
      <c r="D123" s="868"/>
      <c r="E123" s="2668"/>
      <c r="F123" s="2669"/>
      <c r="G123" s="2668"/>
      <c r="H123" s="2669"/>
      <c r="I123" s="869"/>
      <c r="J123" s="870"/>
      <c r="K123" s="2668"/>
      <c r="L123" s="2674" t="str">
        <f t="shared" si="10"/>
        <v/>
      </c>
      <c r="M123" s="2669" t="str">
        <f t="shared" si="11"/>
        <v/>
      </c>
      <c r="N123" s="868"/>
      <c r="O123" s="871"/>
      <c r="P123" s="869" t="str">
        <f t="shared" si="12"/>
        <v/>
      </c>
      <c r="Q123" s="2668" t="str">
        <f t="shared" si="13"/>
        <v/>
      </c>
      <c r="R123" s="2669" t="str">
        <f t="shared" si="14"/>
        <v/>
      </c>
    </row>
    <row r="124" spans="1:18" ht="12" customHeight="1">
      <c r="A124" s="2581"/>
      <c r="B124" s="2582"/>
      <c r="C124" s="2583"/>
      <c r="D124" s="868"/>
      <c r="E124" s="2668"/>
      <c r="F124" s="2669"/>
      <c r="G124" s="2668"/>
      <c r="H124" s="2669"/>
      <c r="I124" s="869"/>
      <c r="J124" s="870"/>
      <c r="K124" s="2668"/>
      <c r="L124" s="2674" t="str">
        <f t="shared" si="10"/>
        <v/>
      </c>
      <c r="M124" s="2669" t="str">
        <f t="shared" si="11"/>
        <v/>
      </c>
      <c r="N124" s="868"/>
      <c r="O124" s="871"/>
      <c r="P124" s="869" t="str">
        <f t="shared" si="12"/>
        <v/>
      </c>
      <c r="Q124" s="2668" t="str">
        <f t="shared" si="13"/>
        <v/>
      </c>
      <c r="R124" s="2669" t="str">
        <f t="shared" si="14"/>
        <v/>
      </c>
    </row>
    <row r="125" spans="1:18" ht="12" customHeight="1">
      <c r="A125" s="2581"/>
      <c r="B125" s="2582"/>
      <c r="C125" s="2583"/>
      <c r="D125" s="868"/>
      <c r="E125" s="2668"/>
      <c r="F125" s="2669"/>
      <c r="G125" s="2668"/>
      <c r="H125" s="2669"/>
      <c r="I125" s="869"/>
      <c r="J125" s="870"/>
      <c r="K125" s="2668"/>
      <c r="L125" s="2674" t="str">
        <f t="shared" si="10"/>
        <v/>
      </c>
      <c r="M125" s="2669" t="str">
        <f t="shared" si="11"/>
        <v/>
      </c>
      <c r="N125" s="868"/>
      <c r="O125" s="871"/>
      <c r="P125" s="869" t="str">
        <f t="shared" si="12"/>
        <v/>
      </c>
      <c r="Q125" s="2668" t="str">
        <f t="shared" si="13"/>
        <v/>
      </c>
      <c r="R125" s="2669" t="str">
        <f t="shared" si="14"/>
        <v/>
      </c>
    </row>
    <row r="126" spans="1:18" ht="12" customHeight="1">
      <c r="A126" s="2581"/>
      <c r="B126" s="2582"/>
      <c r="C126" s="2583"/>
      <c r="D126" s="868"/>
      <c r="E126" s="2668"/>
      <c r="F126" s="2669"/>
      <c r="G126" s="2668"/>
      <c r="H126" s="2669"/>
      <c r="I126" s="869"/>
      <c r="J126" s="870"/>
      <c r="K126" s="2668"/>
      <c r="L126" s="2674" t="str">
        <f t="shared" si="10"/>
        <v/>
      </c>
      <c r="M126" s="2669" t="str">
        <f t="shared" si="11"/>
        <v/>
      </c>
      <c r="N126" s="868"/>
      <c r="O126" s="871"/>
      <c r="P126" s="869" t="str">
        <f t="shared" si="12"/>
        <v/>
      </c>
      <c r="Q126" s="2668" t="str">
        <f t="shared" si="13"/>
        <v/>
      </c>
      <c r="R126" s="2669" t="str">
        <f t="shared" si="14"/>
        <v/>
      </c>
    </row>
    <row r="127" spans="1:18" ht="12" customHeight="1">
      <c r="A127" s="2581"/>
      <c r="B127" s="2582"/>
      <c r="C127" s="2583"/>
      <c r="D127" s="868"/>
      <c r="E127" s="2668"/>
      <c r="F127" s="2669"/>
      <c r="G127" s="2668"/>
      <c r="H127" s="2669"/>
      <c r="I127" s="869"/>
      <c r="J127" s="870"/>
      <c r="K127" s="2668"/>
      <c r="L127" s="2674" t="str">
        <f t="shared" si="10"/>
        <v/>
      </c>
      <c r="M127" s="2669" t="str">
        <f t="shared" si="11"/>
        <v/>
      </c>
      <c r="N127" s="868"/>
      <c r="O127" s="871"/>
      <c r="P127" s="869" t="str">
        <f t="shared" si="12"/>
        <v/>
      </c>
      <c r="Q127" s="2668" t="str">
        <f t="shared" si="13"/>
        <v/>
      </c>
      <c r="R127" s="2669" t="str">
        <f t="shared" si="14"/>
        <v/>
      </c>
    </row>
    <row r="128" spans="1:18" ht="12" customHeight="1">
      <c r="A128" s="2581"/>
      <c r="B128" s="2582"/>
      <c r="C128" s="2583"/>
      <c r="D128" s="868"/>
      <c r="E128" s="2668"/>
      <c r="F128" s="2669"/>
      <c r="G128" s="2668"/>
      <c r="H128" s="2669"/>
      <c r="I128" s="869"/>
      <c r="J128" s="870"/>
      <c r="K128" s="2668"/>
      <c r="L128" s="2674" t="str">
        <f t="shared" si="10"/>
        <v/>
      </c>
      <c r="M128" s="2669" t="str">
        <f t="shared" si="11"/>
        <v/>
      </c>
      <c r="N128" s="868"/>
      <c r="O128" s="871"/>
      <c r="P128" s="869" t="str">
        <f t="shared" si="12"/>
        <v/>
      </c>
      <c r="Q128" s="2668" t="str">
        <f t="shared" si="13"/>
        <v/>
      </c>
      <c r="R128" s="2669" t="str">
        <f t="shared" si="14"/>
        <v/>
      </c>
    </row>
    <row r="129" spans="1:18" ht="12" customHeight="1">
      <c r="A129" s="2581"/>
      <c r="B129" s="2582"/>
      <c r="C129" s="2583"/>
      <c r="D129" s="868"/>
      <c r="E129" s="2668"/>
      <c r="F129" s="2669"/>
      <c r="G129" s="2668"/>
      <c r="H129" s="2669"/>
      <c r="I129" s="869"/>
      <c r="J129" s="870"/>
      <c r="K129" s="2668"/>
      <c r="L129" s="2674" t="str">
        <f t="shared" si="10"/>
        <v/>
      </c>
      <c r="M129" s="2669" t="str">
        <f t="shared" si="11"/>
        <v/>
      </c>
      <c r="N129" s="868"/>
      <c r="O129" s="871"/>
      <c r="P129" s="869" t="str">
        <f t="shared" si="12"/>
        <v/>
      </c>
      <c r="Q129" s="2668" t="str">
        <f t="shared" si="13"/>
        <v/>
      </c>
      <c r="R129" s="2669" t="str">
        <f t="shared" si="14"/>
        <v/>
      </c>
    </row>
    <row r="130" spans="1:18" ht="12" customHeight="1">
      <c r="A130" s="2584"/>
      <c r="B130" s="2585"/>
      <c r="C130" s="2586"/>
      <c r="D130" s="872"/>
      <c r="E130" s="2670"/>
      <c r="F130" s="2671"/>
      <c r="G130" s="2670"/>
      <c r="H130" s="2671"/>
      <c r="I130" s="873"/>
      <c r="J130" s="874"/>
      <c r="K130" s="2670"/>
      <c r="L130" s="2675" t="str">
        <f t="shared" si="10"/>
        <v/>
      </c>
      <c r="M130" s="2671" t="str">
        <f t="shared" si="11"/>
        <v/>
      </c>
      <c r="N130" s="872"/>
      <c r="O130" s="875"/>
      <c r="P130" s="873" t="str">
        <f t="shared" si="12"/>
        <v/>
      </c>
      <c r="Q130" s="2670" t="str">
        <f t="shared" si="13"/>
        <v/>
      </c>
      <c r="R130" s="2671" t="str">
        <f t="shared" si="14"/>
        <v/>
      </c>
    </row>
    <row r="131" spans="1:18" ht="12.6" customHeight="1">
      <c r="A131" s="850" t="s">
        <v>3161</v>
      </c>
      <c r="B131" s="876"/>
      <c r="C131" s="876"/>
      <c r="D131" s="877"/>
      <c r="E131" s="878">
        <f>SUM(E96:E130)</f>
        <v>0</v>
      </c>
      <c r="F131" s="878">
        <f>SUM(F96:F130)</f>
        <v>0</v>
      </c>
      <c r="G131" s="878">
        <f>SUM(G96:G130)</f>
        <v>0</v>
      </c>
      <c r="H131" s="878">
        <f>SUM(H96:H130)</f>
        <v>0</v>
      </c>
      <c r="I131" s="878">
        <f>SUM(I96:I130)</f>
        <v>0</v>
      </c>
      <c r="J131" s="879"/>
      <c r="K131" s="878">
        <f>SUM(K96:K130)</f>
        <v>0</v>
      </c>
      <c r="L131" s="880"/>
      <c r="M131" s="878">
        <f>SUM(M96:M130)</f>
        <v>0</v>
      </c>
      <c r="N131" s="877"/>
      <c r="O131" s="880"/>
      <c r="P131" s="878">
        <f>SUM(P96:P130)</f>
        <v>0</v>
      </c>
      <c r="Q131" s="878">
        <f>SUM(Q96:Q130)</f>
        <v>0</v>
      </c>
      <c r="R131" s="878">
        <f>SUM(R96:R130)</f>
        <v>0</v>
      </c>
    </row>
    <row r="132" spans="1:18" s="846" customFormat="1" ht="12.6" customHeight="1">
      <c r="A132" s="850" t="s">
        <v>3128</v>
      </c>
      <c r="C132" s="2587" t="str">
        <f>C4</f>
        <v>New Construction</v>
      </c>
      <c r="D132" s="2588"/>
      <c r="E132" s="2588"/>
      <c r="F132" s="854"/>
      <c r="G132" s="855"/>
      <c r="H132" s="855"/>
      <c r="I132" s="855"/>
      <c r="L132" s="848"/>
      <c r="M132" s="848"/>
      <c r="N132" s="848"/>
    </row>
    <row r="133" spans="1:18" s="846" customFormat="1" ht="12.6" customHeight="1">
      <c r="A133" s="2625" t="s">
        <v>3129</v>
      </c>
      <c r="B133" s="2625"/>
      <c r="C133" s="2625"/>
      <c r="D133" s="2625"/>
      <c r="E133" s="2625"/>
      <c r="F133" s="2625"/>
      <c r="G133" s="2625"/>
      <c r="H133" s="2625"/>
      <c r="I133" s="2625"/>
      <c r="J133" s="2625"/>
      <c r="K133" s="2625"/>
      <c r="L133" s="2625"/>
      <c r="M133" s="2625"/>
      <c r="N133" s="2625"/>
      <c r="O133" s="2625"/>
      <c r="P133" s="2625"/>
      <c r="Q133" s="2625"/>
      <c r="R133" s="2625"/>
    </row>
    <row r="134" spans="1:18" s="856" customFormat="1" ht="12" customHeight="1">
      <c r="A134" s="2676"/>
      <c r="B134" s="858"/>
      <c r="C134" s="858"/>
      <c r="D134" s="859"/>
      <c r="E134" s="2689" t="s">
        <v>503</v>
      </c>
      <c r="F134" s="2690"/>
      <c r="G134" s="2690"/>
      <c r="H134" s="2691"/>
      <c r="I134" s="2678"/>
      <c r="J134" s="2679"/>
      <c r="K134" s="2687" t="s">
        <v>3135</v>
      </c>
      <c r="L134" s="2687"/>
      <c r="M134" s="2687"/>
      <c r="N134" s="859" t="s">
        <v>861</v>
      </c>
      <c r="O134" s="2677"/>
      <c r="P134" s="2677"/>
      <c r="Q134" s="2683" t="s">
        <v>3131</v>
      </c>
      <c r="R134" s="2684"/>
    </row>
    <row r="135" spans="1:18" s="856" customFormat="1" ht="12" customHeight="1">
      <c r="A135" s="857"/>
      <c r="B135" s="858"/>
      <c r="C135" s="858"/>
      <c r="D135" s="859" t="s">
        <v>496</v>
      </c>
      <c r="E135" s="2692" t="s">
        <v>3132</v>
      </c>
      <c r="F135" s="2693"/>
      <c r="G135" s="2692" t="s">
        <v>1902</v>
      </c>
      <c r="H135" s="2693"/>
      <c r="I135" s="859" t="s">
        <v>3135</v>
      </c>
      <c r="J135" s="2680" t="s">
        <v>3136</v>
      </c>
      <c r="K135" s="2688"/>
      <c r="L135" s="2688"/>
      <c r="M135" s="2688"/>
      <c r="N135" s="859" t="s">
        <v>3137</v>
      </c>
      <c r="O135" s="859" t="s">
        <v>3138</v>
      </c>
      <c r="P135" s="859" t="s">
        <v>3139</v>
      </c>
      <c r="Q135" s="2685"/>
      <c r="R135" s="2686"/>
    </row>
    <row r="136" spans="1:18" ht="11.45" customHeight="1">
      <c r="A136" s="857"/>
      <c r="B136" s="858"/>
      <c r="C136" s="858"/>
      <c r="D136" s="859" t="s">
        <v>3140</v>
      </c>
      <c r="E136" s="2681" t="s">
        <v>152</v>
      </c>
      <c r="F136" s="859" t="s">
        <v>3110</v>
      </c>
      <c r="G136" s="2681" t="s">
        <v>152</v>
      </c>
      <c r="H136" s="859" t="s">
        <v>3110</v>
      </c>
      <c r="I136" s="859" t="s">
        <v>3142</v>
      </c>
      <c r="J136" s="2680"/>
      <c r="K136" s="2672" t="s">
        <v>3143</v>
      </c>
      <c r="L136" s="2672" t="s">
        <v>3144</v>
      </c>
      <c r="M136" s="2672" t="s">
        <v>3145</v>
      </c>
      <c r="N136" s="859" t="s">
        <v>3146</v>
      </c>
      <c r="O136" s="859" t="s">
        <v>3147</v>
      </c>
      <c r="P136" s="859" t="s">
        <v>3147</v>
      </c>
      <c r="Q136" s="859" t="s">
        <v>3135</v>
      </c>
      <c r="R136" s="859" t="s">
        <v>3148</v>
      </c>
    </row>
    <row r="137" spans="1:18" ht="11.45" customHeight="1">
      <c r="A137" s="861" t="s">
        <v>3149</v>
      </c>
      <c r="B137" s="862"/>
      <c r="C137" s="862"/>
      <c r="D137" s="863" t="s">
        <v>3150</v>
      </c>
      <c r="E137" s="863" t="s">
        <v>3151</v>
      </c>
      <c r="F137" s="863" t="s">
        <v>3152</v>
      </c>
      <c r="G137" s="863" t="s">
        <v>3151</v>
      </c>
      <c r="H137" s="863" t="s">
        <v>3152</v>
      </c>
      <c r="I137" s="863" t="s">
        <v>3153</v>
      </c>
      <c r="J137" s="2682" t="s">
        <v>3154</v>
      </c>
      <c r="K137" s="863" t="s">
        <v>3153</v>
      </c>
      <c r="L137" s="863" t="s">
        <v>3155</v>
      </c>
      <c r="M137" s="863" t="s">
        <v>3153</v>
      </c>
      <c r="N137" s="863" t="s">
        <v>3156</v>
      </c>
      <c r="O137" s="863" t="s">
        <v>3157</v>
      </c>
      <c r="P137" s="863" t="s">
        <v>1793</v>
      </c>
      <c r="Q137" s="863" t="s">
        <v>1830</v>
      </c>
      <c r="R137" s="863" t="s">
        <v>1793</v>
      </c>
    </row>
    <row r="138" spans="1:18" ht="12" customHeight="1">
      <c r="A138" s="2598"/>
      <c r="B138" s="2599"/>
      <c r="C138" s="2600"/>
      <c r="D138" s="864"/>
      <c r="E138" s="2666"/>
      <c r="F138" s="2667"/>
      <c r="G138" s="2666"/>
      <c r="H138" s="2667"/>
      <c r="I138" s="865"/>
      <c r="J138" s="866"/>
      <c r="K138" s="2666"/>
      <c r="L138" s="2673" t="str">
        <f>IF(OR(E138="",F138=""),"",MIN(G138/E138,H138/F138))</f>
        <v/>
      </c>
      <c r="M138" s="2667" t="str">
        <f>IF(OR(E138="",F138=""),"",K138*L138)</f>
        <v/>
      </c>
      <c r="N138" s="864"/>
      <c r="O138" s="867"/>
      <c r="P138" s="865" t="str">
        <f>IF(OR(M138="",O138=""),"",M138*O138)</f>
        <v/>
      </c>
      <c r="Q138" s="2666" t="str">
        <f>IF(M138="","",ROUND(M138,0))</f>
        <v/>
      </c>
      <c r="R138" s="2667" t="str">
        <f>IF(P138="","",ROUND(P138,0))</f>
        <v/>
      </c>
    </row>
    <row r="139" spans="1:18" ht="12" customHeight="1">
      <c r="A139" s="2581"/>
      <c r="B139" s="2582"/>
      <c r="C139" s="2583"/>
      <c r="D139" s="868"/>
      <c r="E139" s="2668"/>
      <c r="F139" s="2669"/>
      <c r="G139" s="2668"/>
      <c r="H139" s="2669"/>
      <c r="I139" s="869"/>
      <c r="J139" s="870"/>
      <c r="K139" s="2668"/>
      <c r="L139" s="2674" t="str">
        <f t="shared" ref="L139:L170" si="15">IF(OR(E139="",F139=""),"",MIN(G139/E139,H139/F139))</f>
        <v/>
      </c>
      <c r="M139" s="2669" t="str">
        <f t="shared" ref="M139:M170" si="16">IF(OR(E139="",F139=""),"",K139*L139)</f>
        <v/>
      </c>
      <c r="N139" s="868"/>
      <c r="O139" s="871"/>
      <c r="P139" s="869" t="str">
        <f t="shared" ref="P139:P170" si="17">IF(OR(M139="",O139=""),"",M139*O139)</f>
        <v/>
      </c>
      <c r="Q139" s="2668" t="str">
        <f t="shared" ref="Q139:Q170" si="18">IF(M139="","",ROUND(M139,0))</f>
        <v/>
      </c>
      <c r="R139" s="2669" t="str">
        <f t="shared" ref="R139:R170" si="19">IF(P139="","",ROUND(P139,0))</f>
        <v/>
      </c>
    </row>
    <row r="140" spans="1:18" ht="12" customHeight="1">
      <c r="A140" s="2581"/>
      <c r="B140" s="2582"/>
      <c r="C140" s="2583"/>
      <c r="D140" s="868"/>
      <c r="E140" s="2668"/>
      <c r="F140" s="2669"/>
      <c r="G140" s="2668"/>
      <c r="H140" s="2669"/>
      <c r="I140" s="869"/>
      <c r="J140" s="870"/>
      <c r="K140" s="2668"/>
      <c r="L140" s="2674" t="str">
        <f t="shared" si="15"/>
        <v/>
      </c>
      <c r="M140" s="2669" t="str">
        <f t="shared" si="16"/>
        <v/>
      </c>
      <c r="N140" s="868"/>
      <c r="O140" s="871"/>
      <c r="P140" s="869" t="str">
        <f t="shared" si="17"/>
        <v/>
      </c>
      <c r="Q140" s="2668" t="str">
        <f t="shared" si="18"/>
        <v/>
      </c>
      <c r="R140" s="2669" t="str">
        <f t="shared" si="19"/>
        <v/>
      </c>
    </row>
    <row r="141" spans="1:18" ht="12" customHeight="1">
      <c r="A141" s="2581"/>
      <c r="B141" s="2582"/>
      <c r="C141" s="2583"/>
      <c r="D141" s="868"/>
      <c r="E141" s="2668"/>
      <c r="F141" s="2669"/>
      <c r="G141" s="2668"/>
      <c r="H141" s="2669"/>
      <c r="I141" s="869"/>
      <c r="J141" s="870"/>
      <c r="K141" s="2668"/>
      <c r="L141" s="2674" t="str">
        <f t="shared" si="15"/>
        <v/>
      </c>
      <c r="M141" s="2669" t="str">
        <f t="shared" si="16"/>
        <v/>
      </c>
      <c r="N141" s="868"/>
      <c r="O141" s="871"/>
      <c r="P141" s="869" t="str">
        <f t="shared" si="17"/>
        <v/>
      </c>
      <c r="Q141" s="2668" t="str">
        <f t="shared" si="18"/>
        <v/>
      </c>
      <c r="R141" s="2669" t="str">
        <f t="shared" si="19"/>
        <v/>
      </c>
    </row>
    <row r="142" spans="1:18" ht="12" customHeight="1">
      <c r="A142" s="2581"/>
      <c r="B142" s="2582"/>
      <c r="C142" s="2583"/>
      <c r="D142" s="868"/>
      <c r="E142" s="2668"/>
      <c r="F142" s="2669"/>
      <c r="G142" s="2668"/>
      <c r="H142" s="2669"/>
      <c r="I142" s="869"/>
      <c r="J142" s="870"/>
      <c r="K142" s="2668"/>
      <c r="L142" s="2674" t="str">
        <f t="shared" si="15"/>
        <v/>
      </c>
      <c r="M142" s="2669" t="str">
        <f t="shared" si="16"/>
        <v/>
      </c>
      <c r="N142" s="868"/>
      <c r="O142" s="871"/>
      <c r="P142" s="869" t="str">
        <f t="shared" si="17"/>
        <v/>
      </c>
      <c r="Q142" s="2668" t="str">
        <f t="shared" si="18"/>
        <v/>
      </c>
      <c r="R142" s="2669" t="str">
        <f t="shared" si="19"/>
        <v/>
      </c>
    </row>
    <row r="143" spans="1:18" ht="12" customHeight="1">
      <c r="A143" s="2581"/>
      <c r="B143" s="2582"/>
      <c r="C143" s="2583"/>
      <c r="D143" s="868"/>
      <c r="E143" s="2668"/>
      <c r="F143" s="2669"/>
      <c r="G143" s="2668"/>
      <c r="H143" s="2669"/>
      <c r="I143" s="869"/>
      <c r="J143" s="870"/>
      <c r="K143" s="2668"/>
      <c r="L143" s="2674" t="str">
        <f t="shared" si="15"/>
        <v/>
      </c>
      <c r="M143" s="2669" t="str">
        <f t="shared" si="16"/>
        <v/>
      </c>
      <c r="N143" s="868"/>
      <c r="O143" s="871"/>
      <c r="P143" s="869" t="str">
        <f t="shared" si="17"/>
        <v/>
      </c>
      <c r="Q143" s="2668" t="str">
        <f t="shared" si="18"/>
        <v/>
      </c>
      <c r="R143" s="2669" t="str">
        <f t="shared" si="19"/>
        <v/>
      </c>
    </row>
    <row r="144" spans="1:18" ht="12" customHeight="1">
      <c r="A144" s="2581"/>
      <c r="B144" s="2582"/>
      <c r="C144" s="2583"/>
      <c r="D144" s="868"/>
      <c r="E144" s="2668"/>
      <c r="F144" s="2669"/>
      <c r="G144" s="2668"/>
      <c r="H144" s="2669"/>
      <c r="I144" s="869"/>
      <c r="J144" s="870"/>
      <c r="K144" s="2668"/>
      <c r="L144" s="2674" t="str">
        <f t="shared" si="15"/>
        <v/>
      </c>
      <c r="M144" s="2669" t="str">
        <f t="shared" si="16"/>
        <v/>
      </c>
      <c r="N144" s="868"/>
      <c r="O144" s="871"/>
      <c r="P144" s="869" t="str">
        <f t="shared" si="17"/>
        <v/>
      </c>
      <c r="Q144" s="2668" t="str">
        <f t="shared" si="18"/>
        <v/>
      </c>
      <c r="R144" s="2669" t="str">
        <f t="shared" si="19"/>
        <v/>
      </c>
    </row>
    <row r="145" spans="1:18" ht="12" customHeight="1">
      <c r="A145" s="2581"/>
      <c r="B145" s="2582"/>
      <c r="C145" s="2583"/>
      <c r="D145" s="868"/>
      <c r="E145" s="2668"/>
      <c r="F145" s="2669"/>
      <c r="G145" s="2668"/>
      <c r="H145" s="2669"/>
      <c r="I145" s="869"/>
      <c r="J145" s="870"/>
      <c r="K145" s="2668"/>
      <c r="L145" s="2674" t="str">
        <f t="shared" si="15"/>
        <v/>
      </c>
      <c r="M145" s="2669" t="str">
        <f t="shared" si="16"/>
        <v/>
      </c>
      <c r="N145" s="868"/>
      <c r="O145" s="871"/>
      <c r="P145" s="869" t="str">
        <f t="shared" si="17"/>
        <v/>
      </c>
      <c r="Q145" s="2668" t="str">
        <f t="shared" si="18"/>
        <v/>
      </c>
      <c r="R145" s="2669" t="str">
        <f t="shared" si="19"/>
        <v/>
      </c>
    </row>
    <row r="146" spans="1:18" ht="12" customHeight="1">
      <c r="A146" s="2581"/>
      <c r="B146" s="2582"/>
      <c r="C146" s="2583"/>
      <c r="D146" s="868"/>
      <c r="E146" s="2668"/>
      <c r="F146" s="2669"/>
      <c r="G146" s="2668"/>
      <c r="H146" s="2669"/>
      <c r="I146" s="869"/>
      <c r="J146" s="870"/>
      <c r="K146" s="2668"/>
      <c r="L146" s="2674" t="str">
        <f t="shared" si="15"/>
        <v/>
      </c>
      <c r="M146" s="2669" t="str">
        <f t="shared" si="16"/>
        <v/>
      </c>
      <c r="N146" s="868"/>
      <c r="O146" s="871"/>
      <c r="P146" s="869" t="str">
        <f t="shared" si="17"/>
        <v/>
      </c>
      <c r="Q146" s="2668" t="str">
        <f t="shared" si="18"/>
        <v/>
      </c>
      <c r="R146" s="2669" t="str">
        <f t="shared" si="19"/>
        <v/>
      </c>
    </row>
    <row r="147" spans="1:18" ht="12" customHeight="1">
      <c r="A147" s="2581"/>
      <c r="B147" s="2582"/>
      <c r="C147" s="2583"/>
      <c r="D147" s="868"/>
      <c r="E147" s="2668"/>
      <c r="F147" s="2669"/>
      <c r="G147" s="2668"/>
      <c r="H147" s="2669"/>
      <c r="I147" s="869"/>
      <c r="J147" s="870"/>
      <c r="K147" s="2668"/>
      <c r="L147" s="2674" t="str">
        <f t="shared" si="15"/>
        <v/>
      </c>
      <c r="M147" s="2669" t="str">
        <f t="shared" si="16"/>
        <v/>
      </c>
      <c r="N147" s="868"/>
      <c r="O147" s="871"/>
      <c r="P147" s="869" t="str">
        <f t="shared" si="17"/>
        <v/>
      </c>
      <c r="Q147" s="2668" t="str">
        <f t="shared" si="18"/>
        <v/>
      </c>
      <c r="R147" s="2669" t="str">
        <f t="shared" si="19"/>
        <v/>
      </c>
    </row>
    <row r="148" spans="1:18" ht="12" customHeight="1">
      <c r="A148" s="2581"/>
      <c r="B148" s="2582"/>
      <c r="C148" s="2583"/>
      <c r="D148" s="868"/>
      <c r="E148" s="2668"/>
      <c r="F148" s="2669"/>
      <c r="G148" s="2668"/>
      <c r="H148" s="2669"/>
      <c r="I148" s="869"/>
      <c r="J148" s="870"/>
      <c r="K148" s="2668"/>
      <c r="L148" s="2674" t="str">
        <f t="shared" si="15"/>
        <v/>
      </c>
      <c r="M148" s="2669" t="str">
        <f t="shared" si="16"/>
        <v/>
      </c>
      <c r="N148" s="868"/>
      <c r="O148" s="871"/>
      <c r="P148" s="869" t="str">
        <f t="shared" si="17"/>
        <v/>
      </c>
      <c r="Q148" s="2668" t="str">
        <f t="shared" si="18"/>
        <v/>
      </c>
      <c r="R148" s="2669" t="str">
        <f t="shared" si="19"/>
        <v/>
      </c>
    </row>
    <row r="149" spans="1:18" ht="12" customHeight="1">
      <c r="A149" s="2581"/>
      <c r="B149" s="2582"/>
      <c r="C149" s="2583"/>
      <c r="D149" s="868"/>
      <c r="E149" s="2668"/>
      <c r="F149" s="2669"/>
      <c r="G149" s="2668"/>
      <c r="H149" s="2669"/>
      <c r="I149" s="869"/>
      <c r="J149" s="870"/>
      <c r="K149" s="2668"/>
      <c r="L149" s="2674" t="str">
        <f t="shared" si="15"/>
        <v/>
      </c>
      <c r="M149" s="2669" t="str">
        <f t="shared" si="16"/>
        <v/>
      </c>
      <c r="N149" s="868"/>
      <c r="O149" s="871"/>
      <c r="P149" s="869" t="str">
        <f t="shared" si="17"/>
        <v/>
      </c>
      <c r="Q149" s="2668" t="str">
        <f t="shared" si="18"/>
        <v/>
      </c>
      <c r="R149" s="2669" t="str">
        <f t="shared" si="19"/>
        <v/>
      </c>
    </row>
    <row r="150" spans="1:18" ht="12" customHeight="1">
      <c r="A150" s="2581"/>
      <c r="B150" s="2582"/>
      <c r="C150" s="2583"/>
      <c r="D150" s="868"/>
      <c r="E150" s="2668"/>
      <c r="F150" s="2669"/>
      <c r="G150" s="2668"/>
      <c r="H150" s="2669"/>
      <c r="I150" s="869"/>
      <c r="J150" s="870"/>
      <c r="K150" s="2668"/>
      <c r="L150" s="2674" t="str">
        <f t="shared" si="15"/>
        <v/>
      </c>
      <c r="M150" s="2669" t="str">
        <f t="shared" si="16"/>
        <v/>
      </c>
      <c r="N150" s="868"/>
      <c r="O150" s="871"/>
      <c r="P150" s="869" t="str">
        <f t="shared" si="17"/>
        <v/>
      </c>
      <c r="Q150" s="2668" t="str">
        <f t="shared" si="18"/>
        <v/>
      </c>
      <c r="R150" s="2669" t="str">
        <f t="shared" si="19"/>
        <v/>
      </c>
    </row>
    <row r="151" spans="1:18" ht="12" customHeight="1">
      <c r="A151" s="2581"/>
      <c r="B151" s="2582"/>
      <c r="C151" s="2583"/>
      <c r="D151" s="868"/>
      <c r="E151" s="2668"/>
      <c r="F151" s="2669"/>
      <c r="G151" s="2668"/>
      <c r="H151" s="2669"/>
      <c r="I151" s="869"/>
      <c r="J151" s="870"/>
      <c r="K151" s="2668"/>
      <c r="L151" s="2674" t="str">
        <f t="shared" si="15"/>
        <v/>
      </c>
      <c r="M151" s="2669" t="str">
        <f t="shared" si="16"/>
        <v/>
      </c>
      <c r="N151" s="868"/>
      <c r="O151" s="871"/>
      <c r="P151" s="869" t="str">
        <f t="shared" si="17"/>
        <v/>
      </c>
      <c r="Q151" s="2668" t="str">
        <f t="shared" si="18"/>
        <v/>
      </c>
      <c r="R151" s="2669" t="str">
        <f t="shared" si="19"/>
        <v/>
      </c>
    </row>
    <row r="152" spans="1:18" ht="12" customHeight="1">
      <c r="A152" s="2581"/>
      <c r="B152" s="2582"/>
      <c r="C152" s="2583"/>
      <c r="D152" s="868"/>
      <c r="E152" s="2668"/>
      <c r="F152" s="2669"/>
      <c r="G152" s="2668"/>
      <c r="H152" s="2669"/>
      <c r="I152" s="869"/>
      <c r="J152" s="870"/>
      <c r="K152" s="2668"/>
      <c r="L152" s="2674" t="str">
        <f t="shared" si="15"/>
        <v/>
      </c>
      <c r="M152" s="2669" t="str">
        <f t="shared" si="16"/>
        <v/>
      </c>
      <c r="N152" s="868"/>
      <c r="O152" s="871"/>
      <c r="P152" s="869" t="str">
        <f t="shared" si="17"/>
        <v/>
      </c>
      <c r="Q152" s="2668" t="str">
        <f t="shared" si="18"/>
        <v/>
      </c>
      <c r="R152" s="2669" t="str">
        <f t="shared" si="19"/>
        <v/>
      </c>
    </row>
    <row r="153" spans="1:18" ht="12" customHeight="1">
      <c r="A153" s="2581"/>
      <c r="B153" s="2582"/>
      <c r="C153" s="2583"/>
      <c r="D153" s="868"/>
      <c r="E153" s="2668"/>
      <c r="F153" s="2669"/>
      <c r="G153" s="2668"/>
      <c r="H153" s="2669"/>
      <c r="I153" s="869"/>
      <c r="J153" s="870"/>
      <c r="K153" s="2668"/>
      <c r="L153" s="2674" t="str">
        <f t="shared" si="15"/>
        <v/>
      </c>
      <c r="M153" s="2669" t="str">
        <f t="shared" si="16"/>
        <v/>
      </c>
      <c r="N153" s="868"/>
      <c r="O153" s="871"/>
      <c r="P153" s="869" t="str">
        <f t="shared" si="17"/>
        <v/>
      </c>
      <c r="Q153" s="2668" t="str">
        <f t="shared" si="18"/>
        <v/>
      </c>
      <c r="R153" s="2669" t="str">
        <f t="shared" si="19"/>
        <v/>
      </c>
    </row>
    <row r="154" spans="1:18" ht="12" customHeight="1">
      <c r="A154" s="2581"/>
      <c r="B154" s="2582"/>
      <c r="C154" s="2583"/>
      <c r="D154" s="868"/>
      <c r="E154" s="2668"/>
      <c r="F154" s="2669"/>
      <c r="G154" s="2668"/>
      <c r="H154" s="2669"/>
      <c r="I154" s="869"/>
      <c r="J154" s="870"/>
      <c r="K154" s="2668"/>
      <c r="L154" s="2674" t="str">
        <f t="shared" si="15"/>
        <v/>
      </c>
      <c r="M154" s="2669" t="str">
        <f t="shared" si="16"/>
        <v/>
      </c>
      <c r="N154" s="868"/>
      <c r="O154" s="871"/>
      <c r="P154" s="869" t="str">
        <f t="shared" si="17"/>
        <v/>
      </c>
      <c r="Q154" s="2668" t="str">
        <f t="shared" si="18"/>
        <v/>
      </c>
      <c r="R154" s="2669" t="str">
        <f t="shared" si="19"/>
        <v/>
      </c>
    </row>
    <row r="155" spans="1:18" ht="12" customHeight="1">
      <c r="A155" s="2581"/>
      <c r="B155" s="2582"/>
      <c r="C155" s="2583"/>
      <c r="D155" s="868"/>
      <c r="E155" s="2668"/>
      <c r="F155" s="2669"/>
      <c r="G155" s="2668"/>
      <c r="H155" s="2669"/>
      <c r="I155" s="869"/>
      <c r="J155" s="870"/>
      <c r="K155" s="2668"/>
      <c r="L155" s="2674" t="str">
        <f t="shared" si="15"/>
        <v/>
      </c>
      <c r="M155" s="2669" t="str">
        <f t="shared" si="16"/>
        <v/>
      </c>
      <c r="N155" s="868"/>
      <c r="O155" s="871"/>
      <c r="P155" s="869" t="str">
        <f t="shared" si="17"/>
        <v/>
      </c>
      <c r="Q155" s="2668" t="str">
        <f t="shared" si="18"/>
        <v/>
      </c>
      <c r="R155" s="2669" t="str">
        <f t="shared" si="19"/>
        <v/>
      </c>
    </row>
    <row r="156" spans="1:18" ht="12" customHeight="1">
      <c r="A156" s="2581"/>
      <c r="B156" s="2582"/>
      <c r="C156" s="2583"/>
      <c r="D156" s="868"/>
      <c r="E156" s="2668"/>
      <c r="F156" s="2669"/>
      <c r="G156" s="2668"/>
      <c r="H156" s="2669"/>
      <c r="I156" s="869"/>
      <c r="J156" s="870"/>
      <c r="K156" s="2668"/>
      <c r="L156" s="2674" t="str">
        <f t="shared" si="15"/>
        <v/>
      </c>
      <c r="M156" s="2669" t="str">
        <f t="shared" si="16"/>
        <v/>
      </c>
      <c r="N156" s="868"/>
      <c r="O156" s="871"/>
      <c r="P156" s="869" t="str">
        <f t="shared" si="17"/>
        <v/>
      </c>
      <c r="Q156" s="2668" t="str">
        <f t="shared" si="18"/>
        <v/>
      </c>
      <c r="R156" s="2669" t="str">
        <f t="shared" si="19"/>
        <v/>
      </c>
    </row>
    <row r="157" spans="1:18" ht="12" customHeight="1">
      <c r="A157" s="2581"/>
      <c r="B157" s="2582"/>
      <c r="C157" s="2583"/>
      <c r="D157" s="868"/>
      <c r="E157" s="2668"/>
      <c r="F157" s="2669"/>
      <c r="G157" s="2668"/>
      <c r="H157" s="2669"/>
      <c r="I157" s="869"/>
      <c r="J157" s="870"/>
      <c r="K157" s="2668"/>
      <c r="L157" s="2674" t="str">
        <f t="shared" si="15"/>
        <v/>
      </c>
      <c r="M157" s="2669" t="str">
        <f t="shared" si="16"/>
        <v/>
      </c>
      <c r="N157" s="868"/>
      <c r="O157" s="871"/>
      <c r="P157" s="869" t="str">
        <f t="shared" si="17"/>
        <v/>
      </c>
      <c r="Q157" s="2668" t="str">
        <f t="shared" si="18"/>
        <v/>
      </c>
      <c r="R157" s="2669" t="str">
        <f t="shared" si="19"/>
        <v/>
      </c>
    </row>
    <row r="158" spans="1:18" ht="12" customHeight="1">
      <c r="A158" s="2581"/>
      <c r="B158" s="2582"/>
      <c r="C158" s="2583"/>
      <c r="D158" s="868"/>
      <c r="E158" s="2668"/>
      <c r="F158" s="2669"/>
      <c r="G158" s="2668"/>
      <c r="H158" s="2669"/>
      <c r="I158" s="869"/>
      <c r="J158" s="870"/>
      <c r="K158" s="2668"/>
      <c r="L158" s="2674" t="str">
        <f t="shared" si="15"/>
        <v/>
      </c>
      <c r="M158" s="2669" t="str">
        <f t="shared" si="16"/>
        <v/>
      </c>
      <c r="N158" s="868"/>
      <c r="O158" s="871"/>
      <c r="P158" s="869" t="str">
        <f t="shared" si="17"/>
        <v/>
      </c>
      <c r="Q158" s="2668" t="str">
        <f t="shared" si="18"/>
        <v/>
      </c>
      <c r="R158" s="2669" t="str">
        <f t="shared" si="19"/>
        <v/>
      </c>
    </row>
    <row r="159" spans="1:18" ht="12" customHeight="1">
      <c r="A159" s="2581"/>
      <c r="B159" s="2582"/>
      <c r="C159" s="2583"/>
      <c r="D159" s="868"/>
      <c r="E159" s="2668"/>
      <c r="F159" s="2669"/>
      <c r="G159" s="2668"/>
      <c r="H159" s="2669"/>
      <c r="I159" s="869"/>
      <c r="J159" s="870"/>
      <c r="K159" s="2668"/>
      <c r="L159" s="2674" t="str">
        <f t="shared" si="15"/>
        <v/>
      </c>
      <c r="M159" s="2669" t="str">
        <f t="shared" si="16"/>
        <v/>
      </c>
      <c r="N159" s="868"/>
      <c r="O159" s="871"/>
      <c r="P159" s="869" t="str">
        <f t="shared" si="17"/>
        <v/>
      </c>
      <c r="Q159" s="2668" t="str">
        <f t="shared" si="18"/>
        <v/>
      </c>
      <c r="R159" s="2669" t="str">
        <f t="shared" si="19"/>
        <v/>
      </c>
    </row>
    <row r="160" spans="1:18" ht="12" customHeight="1">
      <c r="A160" s="2581"/>
      <c r="B160" s="2582"/>
      <c r="C160" s="2583"/>
      <c r="D160" s="868"/>
      <c r="E160" s="2668"/>
      <c r="F160" s="2669"/>
      <c r="G160" s="2668"/>
      <c r="H160" s="2669"/>
      <c r="I160" s="869"/>
      <c r="J160" s="870"/>
      <c r="K160" s="2668"/>
      <c r="L160" s="2674" t="str">
        <f t="shared" si="15"/>
        <v/>
      </c>
      <c r="M160" s="2669" t="str">
        <f t="shared" si="16"/>
        <v/>
      </c>
      <c r="N160" s="868"/>
      <c r="O160" s="871"/>
      <c r="P160" s="869" t="str">
        <f t="shared" si="17"/>
        <v/>
      </c>
      <c r="Q160" s="2668" t="str">
        <f t="shared" si="18"/>
        <v/>
      </c>
      <c r="R160" s="2669" t="str">
        <f t="shared" si="19"/>
        <v/>
      </c>
    </row>
    <row r="161" spans="1:22" ht="12" customHeight="1">
      <c r="A161" s="2581"/>
      <c r="B161" s="2582"/>
      <c r="C161" s="2583"/>
      <c r="D161" s="868"/>
      <c r="E161" s="2668"/>
      <c r="F161" s="2669"/>
      <c r="G161" s="2668"/>
      <c r="H161" s="2669"/>
      <c r="I161" s="869"/>
      <c r="J161" s="870"/>
      <c r="K161" s="2668"/>
      <c r="L161" s="2674" t="str">
        <f t="shared" si="15"/>
        <v/>
      </c>
      <c r="M161" s="2669" t="str">
        <f t="shared" si="16"/>
        <v/>
      </c>
      <c r="N161" s="868"/>
      <c r="O161" s="871"/>
      <c r="P161" s="869" t="str">
        <f t="shared" si="17"/>
        <v/>
      </c>
      <c r="Q161" s="2668" t="str">
        <f t="shared" si="18"/>
        <v/>
      </c>
      <c r="R161" s="2669" t="str">
        <f t="shared" si="19"/>
        <v/>
      </c>
    </row>
    <row r="162" spans="1:22" ht="12" customHeight="1">
      <c r="A162" s="2581"/>
      <c r="B162" s="2582"/>
      <c r="C162" s="2583"/>
      <c r="D162" s="868"/>
      <c r="E162" s="2668"/>
      <c r="F162" s="2669"/>
      <c r="G162" s="2668"/>
      <c r="H162" s="2669"/>
      <c r="I162" s="869"/>
      <c r="J162" s="870"/>
      <c r="K162" s="2668"/>
      <c r="L162" s="2674" t="str">
        <f t="shared" si="15"/>
        <v/>
      </c>
      <c r="M162" s="2669" t="str">
        <f t="shared" si="16"/>
        <v/>
      </c>
      <c r="N162" s="868"/>
      <c r="O162" s="871"/>
      <c r="P162" s="869" t="str">
        <f t="shared" si="17"/>
        <v/>
      </c>
      <c r="Q162" s="2668" t="str">
        <f t="shared" si="18"/>
        <v/>
      </c>
      <c r="R162" s="2669" t="str">
        <f t="shared" si="19"/>
        <v/>
      </c>
    </row>
    <row r="163" spans="1:22" ht="12" customHeight="1">
      <c r="A163" s="2581"/>
      <c r="B163" s="2582"/>
      <c r="C163" s="2583"/>
      <c r="D163" s="868"/>
      <c r="E163" s="2668"/>
      <c r="F163" s="2669"/>
      <c r="G163" s="2668"/>
      <c r="H163" s="2669"/>
      <c r="I163" s="869"/>
      <c r="J163" s="870"/>
      <c r="K163" s="2668"/>
      <c r="L163" s="2674" t="str">
        <f t="shared" si="15"/>
        <v/>
      </c>
      <c r="M163" s="2669" t="str">
        <f t="shared" si="16"/>
        <v/>
      </c>
      <c r="N163" s="868"/>
      <c r="O163" s="871"/>
      <c r="P163" s="869" t="str">
        <f t="shared" si="17"/>
        <v/>
      </c>
      <c r="Q163" s="2668" t="str">
        <f t="shared" si="18"/>
        <v/>
      </c>
      <c r="R163" s="2669" t="str">
        <f t="shared" si="19"/>
        <v/>
      </c>
    </row>
    <row r="164" spans="1:22" ht="12" customHeight="1">
      <c r="A164" s="2581"/>
      <c r="B164" s="2582"/>
      <c r="C164" s="2583"/>
      <c r="D164" s="868"/>
      <c r="E164" s="2668"/>
      <c r="F164" s="2669"/>
      <c r="G164" s="2668"/>
      <c r="H164" s="2669"/>
      <c r="I164" s="869"/>
      <c r="J164" s="870"/>
      <c r="K164" s="2668"/>
      <c r="L164" s="2674" t="str">
        <f t="shared" si="15"/>
        <v/>
      </c>
      <c r="M164" s="2669" t="str">
        <f t="shared" si="16"/>
        <v/>
      </c>
      <c r="N164" s="868"/>
      <c r="O164" s="871"/>
      <c r="P164" s="869" t="str">
        <f t="shared" si="17"/>
        <v/>
      </c>
      <c r="Q164" s="2668" t="str">
        <f t="shared" si="18"/>
        <v/>
      </c>
      <c r="R164" s="2669" t="str">
        <f t="shared" si="19"/>
        <v/>
      </c>
    </row>
    <row r="165" spans="1:22" ht="12" customHeight="1">
      <c r="A165" s="2581"/>
      <c r="B165" s="2582"/>
      <c r="C165" s="2583"/>
      <c r="D165" s="868"/>
      <c r="E165" s="2668"/>
      <c r="F165" s="2669"/>
      <c r="G165" s="2668"/>
      <c r="H165" s="2669"/>
      <c r="I165" s="869"/>
      <c r="J165" s="870"/>
      <c r="K165" s="2668"/>
      <c r="L165" s="2674" t="str">
        <f t="shared" si="15"/>
        <v/>
      </c>
      <c r="M165" s="2669" t="str">
        <f t="shared" si="16"/>
        <v/>
      </c>
      <c r="N165" s="868"/>
      <c r="O165" s="871"/>
      <c r="P165" s="869" t="str">
        <f t="shared" si="17"/>
        <v/>
      </c>
      <c r="Q165" s="2668" t="str">
        <f t="shared" si="18"/>
        <v/>
      </c>
      <c r="R165" s="2669" t="str">
        <f t="shared" si="19"/>
        <v/>
      </c>
    </row>
    <row r="166" spans="1:22" ht="12" customHeight="1">
      <c r="A166" s="2581"/>
      <c r="B166" s="2582"/>
      <c r="C166" s="2583"/>
      <c r="D166" s="868"/>
      <c r="E166" s="2668"/>
      <c r="F166" s="2669"/>
      <c r="G166" s="2668"/>
      <c r="H166" s="2669"/>
      <c r="I166" s="869"/>
      <c r="J166" s="870"/>
      <c r="K166" s="2668"/>
      <c r="L166" s="2674" t="str">
        <f t="shared" si="15"/>
        <v/>
      </c>
      <c r="M166" s="2669" t="str">
        <f t="shared" si="16"/>
        <v/>
      </c>
      <c r="N166" s="868"/>
      <c r="O166" s="871"/>
      <c r="P166" s="869" t="str">
        <f t="shared" si="17"/>
        <v/>
      </c>
      <c r="Q166" s="2668" t="str">
        <f t="shared" si="18"/>
        <v/>
      </c>
      <c r="R166" s="2669" t="str">
        <f>IF(P166="","",ROUND(P166,0))</f>
        <v/>
      </c>
    </row>
    <row r="167" spans="1:22" ht="12" customHeight="1">
      <c r="A167" s="2581"/>
      <c r="B167" s="2582"/>
      <c r="C167" s="2583"/>
      <c r="D167" s="868"/>
      <c r="E167" s="2668"/>
      <c r="F167" s="2669"/>
      <c r="G167" s="2668"/>
      <c r="H167" s="2669"/>
      <c r="I167" s="869"/>
      <c r="J167" s="870"/>
      <c r="K167" s="2668"/>
      <c r="L167" s="2674" t="str">
        <f t="shared" si="15"/>
        <v/>
      </c>
      <c r="M167" s="2669" t="str">
        <f t="shared" si="16"/>
        <v/>
      </c>
      <c r="N167" s="868"/>
      <c r="O167" s="871"/>
      <c r="P167" s="869" t="str">
        <f t="shared" si="17"/>
        <v/>
      </c>
      <c r="Q167" s="2668" t="str">
        <f t="shared" si="18"/>
        <v/>
      </c>
      <c r="R167" s="2669" t="str">
        <f t="shared" si="19"/>
        <v/>
      </c>
    </row>
    <row r="168" spans="1:22" ht="12" customHeight="1">
      <c r="A168" s="2581"/>
      <c r="B168" s="2582"/>
      <c r="C168" s="2583"/>
      <c r="D168" s="868"/>
      <c r="E168" s="2668"/>
      <c r="F168" s="2669"/>
      <c r="G168" s="2668"/>
      <c r="H168" s="2669"/>
      <c r="I168" s="869"/>
      <c r="J168" s="870"/>
      <c r="K168" s="2668"/>
      <c r="L168" s="2674" t="str">
        <f t="shared" si="15"/>
        <v/>
      </c>
      <c r="M168" s="2669" t="str">
        <f t="shared" si="16"/>
        <v/>
      </c>
      <c r="N168" s="868"/>
      <c r="O168" s="871"/>
      <c r="P168" s="869" t="str">
        <f t="shared" si="17"/>
        <v/>
      </c>
      <c r="Q168" s="2668" t="str">
        <f t="shared" si="18"/>
        <v/>
      </c>
      <c r="R168" s="2669" t="str">
        <f t="shared" si="19"/>
        <v/>
      </c>
    </row>
    <row r="169" spans="1:22" ht="12" customHeight="1">
      <c r="A169" s="2581"/>
      <c r="B169" s="2582"/>
      <c r="C169" s="2583"/>
      <c r="D169" s="868"/>
      <c r="E169" s="2668"/>
      <c r="F169" s="2669"/>
      <c r="G169" s="2668"/>
      <c r="H169" s="2669"/>
      <c r="I169" s="869"/>
      <c r="J169" s="870"/>
      <c r="K169" s="2668"/>
      <c r="L169" s="2674" t="str">
        <f t="shared" si="15"/>
        <v/>
      </c>
      <c r="M169" s="2669" t="str">
        <f t="shared" si="16"/>
        <v/>
      </c>
      <c r="N169" s="868"/>
      <c r="O169" s="871"/>
      <c r="P169" s="869" t="str">
        <f t="shared" si="17"/>
        <v/>
      </c>
      <c r="Q169" s="2668" t="str">
        <f t="shared" si="18"/>
        <v/>
      </c>
      <c r="R169" s="2669" t="str">
        <f t="shared" si="19"/>
        <v/>
      </c>
    </row>
    <row r="170" spans="1:22" ht="12" customHeight="1">
      <c r="A170" s="2584"/>
      <c r="B170" s="2585"/>
      <c r="C170" s="2586"/>
      <c r="D170" s="872"/>
      <c r="E170" s="2670"/>
      <c r="F170" s="2671"/>
      <c r="G170" s="2670"/>
      <c r="H170" s="2671"/>
      <c r="I170" s="873"/>
      <c r="J170" s="874"/>
      <c r="K170" s="2670"/>
      <c r="L170" s="2675" t="str">
        <f t="shared" si="15"/>
        <v/>
      </c>
      <c r="M170" s="2671" t="str">
        <f t="shared" si="16"/>
        <v/>
      </c>
      <c r="N170" s="872"/>
      <c r="O170" s="875"/>
      <c r="P170" s="873" t="str">
        <f t="shared" si="17"/>
        <v/>
      </c>
      <c r="Q170" s="2670" t="str">
        <f t="shared" si="18"/>
        <v/>
      </c>
      <c r="R170" s="2671" t="str">
        <f t="shared" si="19"/>
        <v/>
      </c>
    </row>
    <row r="171" spans="1:22" ht="12.6" customHeight="1">
      <c r="A171" s="850" t="s">
        <v>3162</v>
      </c>
      <c r="B171" s="876"/>
      <c r="C171" s="876"/>
      <c r="D171" s="877"/>
      <c r="E171" s="878">
        <f>SUM(E138:E170)</f>
        <v>0</v>
      </c>
      <c r="F171" s="878">
        <f>SUM(F138:F170)</f>
        <v>0</v>
      </c>
      <c r="G171" s="878">
        <f>SUM(G138:G170)</f>
        <v>0</v>
      </c>
      <c r="H171" s="878">
        <f>SUM(H138:H170)</f>
        <v>0</v>
      </c>
      <c r="I171" s="878">
        <f>SUM(I138:I170)</f>
        <v>0</v>
      </c>
      <c r="J171" s="879"/>
      <c r="K171" s="878">
        <f>SUM(K138:K170)</f>
        <v>0</v>
      </c>
      <c r="L171" s="880"/>
      <c r="M171" s="878">
        <f>SUM(M138:M170)</f>
        <v>0</v>
      </c>
      <c r="N171" s="877"/>
      <c r="O171" s="880"/>
      <c r="P171" s="878">
        <f>SUM(P138:P170)</f>
        <v>0</v>
      </c>
      <c r="Q171" s="878">
        <f>SUM(Q138:Q170)</f>
        <v>0</v>
      </c>
      <c r="R171" s="878">
        <f>SUM(R138:R170)</f>
        <v>0</v>
      </c>
      <c r="T171" s="882"/>
      <c r="U171" s="882"/>
      <c r="V171" s="882"/>
    </row>
    <row r="172" spans="1:22" ht="12.6" customHeight="1">
      <c r="B172" s="876"/>
      <c r="C172" s="876"/>
      <c r="D172" s="877"/>
      <c r="E172" s="883"/>
      <c r="F172" s="881"/>
      <c r="G172" s="881"/>
      <c r="H172" s="881"/>
      <c r="I172" s="881"/>
      <c r="J172" s="879"/>
      <c r="K172" s="881"/>
      <c r="L172" s="880"/>
      <c r="M172" s="881"/>
      <c r="N172" s="877"/>
      <c r="O172" s="880"/>
      <c r="P172" s="881"/>
      <c r="Q172" s="881"/>
      <c r="R172" s="881"/>
    </row>
    <row r="173" spans="1:22" ht="12.6" customHeight="1">
      <c r="A173" s="884" t="str">
        <f>"GRAND TOTALS - "&amp;C4</f>
        <v>GRAND TOTALS - New Construction</v>
      </c>
      <c r="B173" s="876"/>
      <c r="C173" s="882"/>
      <c r="D173" s="877"/>
      <c r="E173" s="878">
        <f>E45+E89+E131+E171</f>
        <v>0</v>
      </c>
      <c r="F173" s="878">
        <f t="shared" ref="F173:M173" si="20">F45+F89+F131+F171</f>
        <v>0</v>
      </c>
      <c r="G173" s="878">
        <f t="shared" si="20"/>
        <v>0</v>
      </c>
      <c r="H173" s="878">
        <f t="shared" si="20"/>
        <v>0</v>
      </c>
      <c r="I173" s="878">
        <f t="shared" si="20"/>
        <v>0</v>
      </c>
      <c r="J173" s="879"/>
      <c r="K173" s="878">
        <f t="shared" si="20"/>
        <v>0</v>
      </c>
      <c r="L173" s="880"/>
      <c r="M173" s="878">
        <f t="shared" si="20"/>
        <v>0</v>
      </c>
      <c r="N173" s="877"/>
      <c r="O173" s="880"/>
      <c r="P173" s="878">
        <f t="shared" ref="P173:R173" si="21">P45+P89+P131+P171</f>
        <v>0</v>
      </c>
      <c r="Q173" s="878">
        <f t="shared" si="21"/>
        <v>0</v>
      </c>
      <c r="R173" s="878">
        <f t="shared" si="21"/>
        <v>0</v>
      </c>
    </row>
    <row r="174" spans="1:22" ht="3" customHeight="1">
      <c r="A174" s="876"/>
      <c r="B174" s="876"/>
      <c r="C174" s="876"/>
      <c r="D174" s="877"/>
      <c r="E174" s="883"/>
      <c r="F174" s="883"/>
      <c r="G174" s="881"/>
      <c r="H174" s="881"/>
      <c r="I174" s="881"/>
      <c r="J174" s="879"/>
      <c r="K174" s="881"/>
      <c r="L174" s="880"/>
      <c r="M174" s="881"/>
      <c r="N174" s="877"/>
      <c r="O174" s="880"/>
      <c r="P174" s="881"/>
      <c r="Q174" s="881"/>
      <c r="R174" s="881"/>
    </row>
    <row r="175" spans="1:22" ht="13.5" customHeight="1">
      <c r="A175" s="885" t="s">
        <v>687</v>
      </c>
      <c r="B175" s="885" t="s">
        <v>3158</v>
      </c>
      <c r="C175" s="886"/>
      <c r="D175" s="886"/>
      <c r="E175" s="886"/>
      <c r="F175" s="886"/>
      <c r="G175" s="886"/>
      <c r="H175" s="850" t="s">
        <v>3128</v>
      </c>
      <c r="I175" s="846"/>
      <c r="J175" s="2587" t="str">
        <f>C4</f>
        <v>New Construction</v>
      </c>
      <c r="K175" s="2588"/>
      <c r="L175" s="2588"/>
    </row>
    <row r="176" spans="1:22" ht="3.75" customHeight="1">
      <c r="A176" s="886"/>
      <c r="B176" s="887"/>
      <c r="C176" s="886"/>
      <c r="D176" s="886"/>
      <c r="E176" s="886"/>
      <c r="F176" s="886"/>
      <c r="G176" s="886"/>
      <c r="H176" s="886"/>
      <c r="I176" s="886"/>
      <c r="J176" s="886"/>
      <c r="K176" s="886"/>
    </row>
    <row r="177" spans="1:18" ht="102" customHeight="1">
      <c r="A177" s="2589"/>
      <c r="B177" s="2590"/>
      <c r="C177" s="2590"/>
      <c r="D177" s="2590"/>
      <c r="E177" s="2590"/>
      <c r="F177" s="2590"/>
      <c r="G177" s="2590"/>
      <c r="H177" s="2590"/>
      <c r="I177" s="2590"/>
      <c r="J177" s="2590"/>
      <c r="K177" s="2590"/>
      <c r="L177" s="2590"/>
      <c r="M177" s="2590"/>
      <c r="N177" s="2590"/>
      <c r="O177" s="2590"/>
      <c r="P177" s="2590"/>
      <c r="Q177" s="2590"/>
      <c r="R177" s="2591"/>
    </row>
    <row r="178" spans="1:18" ht="102" customHeight="1">
      <c r="A178" s="2592"/>
      <c r="B178" s="2593"/>
      <c r="C178" s="2593"/>
      <c r="D178" s="2593"/>
      <c r="E178" s="2593"/>
      <c r="F178" s="2593"/>
      <c r="G178" s="2593"/>
      <c r="H178" s="2593"/>
      <c r="I178" s="2593"/>
      <c r="J178" s="2593"/>
      <c r="K178" s="2593"/>
      <c r="L178" s="2593"/>
      <c r="M178" s="2593"/>
      <c r="N178" s="2593"/>
      <c r="O178" s="2593"/>
      <c r="P178" s="2593"/>
      <c r="Q178" s="2593"/>
      <c r="R178" s="2594"/>
    </row>
    <row r="179" spans="1:18" ht="102" customHeight="1">
      <c r="A179" s="2592"/>
      <c r="B179" s="2593"/>
      <c r="C179" s="2593"/>
      <c r="D179" s="2593"/>
      <c r="E179" s="2593"/>
      <c r="F179" s="2593"/>
      <c r="G179" s="2593"/>
      <c r="H179" s="2593"/>
      <c r="I179" s="2593"/>
      <c r="J179" s="2593"/>
      <c r="K179" s="2593"/>
      <c r="L179" s="2593"/>
      <c r="M179" s="2593"/>
      <c r="N179" s="2593"/>
      <c r="O179" s="2593"/>
      <c r="P179" s="2593"/>
      <c r="Q179" s="2593"/>
      <c r="R179" s="2594"/>
    </row>
    <row r="180" spans="1:18" ht="102" customHeight="1">
      <c r="A180" s="2595"/>
      <c r="B180" s="2596"/>
      <c r="C180" s="2596"/>
      <c r="D180" s="2596"/>
      <c r="E180" s="2596"/>
      <c r="F180" s="2596"/>
      <c r="G180" s="2596"/>
      <c r="H180" s="2596"/>
      <c r="I180" s="2596"/>
      <c r="J180" s="2596"/>
      <c r="K180" s="2596"/>
      <c r="L180" s="2596"/>
      <c r="M180" s="2596"/>
      <c r="N180" s="2596"/>
      <c r="O180" s="2596"/>
      <c r="P180" s="2596"/>
      <c r="Q180" s="2596"/>
      <c r="R180" s="2597"/>
    </row>
  </sheetData>
  <sheetProtection algorithmName="SHA-512" hashValue="viUhg8VOWLLc69CCnd4uZlWDzQXbmqhBIwA4fUl2AmXxrxNbWZHBkDpiA00RfKvNJqi++qg04YVvuHly5X3D4w==" saltValue="7S8SiJFn06ufdxy/WGF9XQ==" spinCount="100000" sheet="1" objects="1" scenarios="1" formatCells="0" formatColumns="0" formatRows="0"/>
  <mergeCells count="176">
    <mergeCell ref="A1:R1"/>
    <mergeCell ref="C3:D3"/>
    <mergeCell ref="I3:J3"/>
    <mergeCell ref="M3:R3"/>
    <mergeCell ref="C4:E4"/>
    <mergeCell ref="A5:R5"/>
    <mergeCell ref="A14:C14"/>
    <mergeCell ref="A15:C15"/>
    <mergeCell ref="A16:C16"/>
    <mergeCell ref="K6:M7"/>
    <mergeCell ref="E6:H6"/>
    <mergeCell ref="G7:H7"/>
    <mergeCell ref="E7:F7"/>
    <mergeCell ref="A17:C17"/>
    <mergeCell ref="A18:C18"/>
    <mergeCell ref="A19:C19"/>
    <mergeCell ref="Q6:R7"/>
    <mergeCell ref="J7:J8"/>
    <mergeCell ref="A10:C10"/>
    <mergeCell ref="A11:C11"/>
    <mergeCell ref="A12:C12"/>
    <mergeCell ref="A13:C13"/>
    <mergeCell ref="A26:C26"/>
    <mergeCell ref="A27:C27"/>
    <mergeCell ref="A28:C28"/>
    <mergeCell ref="A29:C29"/>
    <mergeCell ref="A30:C30"/>
    <mergeCell ref="A31:C31"/>
    <mergeCell ref="A20:C20"/>
    <mergeCell ref="A21:C21"/>
    <mergeCell ref="A22:C22"/>
    <mergeCell ref="A23:C23"/>
    <mergeCell ref="A24:C24"/>
    <mergeCell ref="A25:C25"/>
    <mergeCell ref="A38:C38"/>
    <mergeCell ref="A39:C39"/>
    <mergeCell ref="A40:C40"/>
    <mergeCell ref="A41:C41"/>
    <mergeCell ref="A42:C42"/>
    <mergeCell ref="A43:C43"/>
    <mergeCell ref="A32:C32"/>
    <mergeCell ref="A33:C33"/>
    <mergeCell ref="A34:C34"/>
    <mergeCell ref="A35:C35"/>
    <mergeCell ref="A36:C36"/>
    <mergeCell ref="A37:C37"/>
    <mergeCell ref="A55:C55"/>
    <mergeCell ref="A56:C56"/>
    <mergeCell ref="A57:C57"/>
    <mergeCell ref="A58:C58"/>
    <mergeCell ref="A59:C59"/>
    <mergeCell ref="A60:C60"/>
    <mergeCell ref="A44:C44"/>
    <mergeCell ref="C48:E48"/>
    <mergeCell ref="A49:R49"/>
    <mergeCell ref="Q50:R51"/>
    <mergeCell ref="J51:J52"/>
    <mergeCell ref="A54:C54"/>
    <mergeCell ref="E50:H50"/>
    <mergeCell ref="K50:M51"/>
    <mergeCell ref="E51:F51"/>
    <mergeCell ref="G51:H51"/>
    <mergeCell ref="A67:C67"/>
    <mergeCell ref="A68:C68"/>
    <mergeCell ref="A69:C69"/>
    <mergeCell ref="A70:C70"/>
    <mergeCell ref="A71:C71"/>
    <mergeCell ref="A72:C72"/>
    <mergeCell ref="A61:C61"/>
    <mergeCell ref="A62:C62"/>
    <mergeCell ref="A63:C63"/>
    <mergeCell ref="A64:C64"/>
    <mergeCell ref="A65:C65"/>
    <mergeCell ref="A66:C66"/>
    <mergeCell ref="A79:C79"/>
    <mergeCell ref="A80:C80"/>
    <mergeCell ref="A81:C81"/>
    <mergeCell ref="A82:C82"/>
    <mergeCell ref="A83:C83"/>
    <mergeCell ref="A84:C84"/>
    <mergeCell ref="A73:C73"/>
    <mergeCell ref="A74:C74"/>
    <mergeCell ref="A75:C75"/>
    <mergeCell ref="A76:C76"/>
    <mergeCell ref="A77:C77"/>
    <mergeCell ref="A78:C78"/>
    <mergeCell ref="Q92:R93"/>
    <mergeCell ref="J93:J94"/>
    <mergeCell ref="A96:C96"/>
    <mergeCell ref="A97:C97"/>
    <mergeCell ref="A98:C98"/>
    <mergeCell ref="A99:C99"/>
    <mergeCell ref="A85:C85"/>
    <mergeCell ref="A86:C86"/>
    <mergeCell ref="A87:C87"/>
    <mergeCell ref="A88:C88"/>
    <mergeCell ref="C90:E90"/>
    <mergeCell ref="A91:R91"/>
    <mergeCell ref="E92:H92"/>
    <mergeCell ref="K92:M93"/>
    <mergeCell ref="E93:F93"/>
    <mergeCell ref="G93:H93"/>
    <mergeCell ref="A106:C106"/>
    <mergeCell ref="A107:C107"/>
    <mergeCell ref="A108:C108"/>
    <mergeCell ref="A109:C109"/>
    <mergeCell ref="A110:C110"/>
    <mergeCell ref="A111:C111"/>
    <mergeCell ref="A100:C100"/>
    <mergeCell ref="A101:C101"/>
    <mergeCell ref="A102:C102"/>
    <mergeCell ref="A103:C103"/>
    <mergeCell ref="A104:C104"/>
    <mergeCell ref="A105:C105"/>
    <mergeCell ref="A118:C118"/>
    <mergeCell ref="A119:C119"/>
    <mergeCell ref="A120:C120"/>
    <mergeCell ref="A121:C121"/>
    <mergeCell ref="A122:C122"/>
    <mergeCell ref="A123:C123"/>
    <mergeCell ref="A112:C112"/>
    <mergeCell ref="A113:C113"/>
    <mergeCell ref="A114:C114"/>
    <mergeCell ref="A115:C115"/>
    <mergeCell ref="A116:C116"/>
    <mergeCell ref="A117:C117"/>
    <mergeCell ref="A130:C130"/>
    <mergeCell ref="C132:E132"/>
    <mergeCell ref="A133:R133"/>
    <mergeCell ref="Q134:R135"/>
    <mergeCell ref="J135:J136"/>
    <mergeCell ref="A138:C138"/>
    <mergeCell ref="A124:C124"/>
    <mergeCell ref="A125:C125"/>
    <mergeCell ref="A126:C126"/>
    <mergeCell ref="A127:C127"/>
    <mergeCell ref="A128:C128"/>
    <mergeCell ref="A129:C129"/>
    <mergeCell ref="E134:H134"/>
    <mergeCell ref="K134:M135"/>
    <mergeCell ref="E135:F135"/>
    <mergeCell ref="G135:H135"/>
    <mergeCell ref="A145:C145"/>
    <mergeCell ref="A146:C146"/>
    <mergeCell ref="A147:C147"/>
    <mergeCell ref="A148:C148"/>
    <mergeCell ref="A149:C149"/>
    <mergeCell ref="A150:C150"/>
    <mergeCell ref="A139:C139"/>
    <mergeCell ref="A140:C140"/>
    <mergeCell ref="A141:C141"/>
    <mergeCell ref="A142:C142"/>
    <mergeCell ref="A143:C143"/>
    <mergeCell ref="A144:C144"/>
    <mergeCell ref="A157:C157"/>
    <mergeCell ref="A158:C158"/>
    <mergeCell ref="A159:C159"/>
    <mergeCell ref="A160:C160"/>
    <mergeCell ref="A161:C161"/>
    <mergeCell ref="A162:C162"/>
    <mergeCell ref="A151:C151"/>
    <mergeCell ref="A152:C152"/>
    <mergeCell ref="A153:C153"/>
    <mergeCell ref="A154:C154"/>
    <mergeCell ref="A155:C155"/>
    <mergeCell ref="A156:C156"/>
    <mergeCell ref="A169:C169"/>
    <mergeCell ref="A170:C170"/>
    <mergeCell ref="J175:L175"/>
    <mergeCell ref="A177:R180"/>
    <mergeCell ref="A163:C163"/>
    <mergeCell ref="A164:C164"/>
    <mergeCell ref="A165:C165"/>
    <mergeCell ref="A166:C166"/>
    <mergeCell ref="A167:C167"/>
    <mergeCell ref="A168:C168"/>
  </mergeCells>
  <dataValidations count="1">
    <dataValidation type="list" allowBlank="1" showInputMessage="1" showErrorMessage="1" sqref="C4:E4" xr:uid="{00000000-0002-0000-1600-000000000000}">
      <formula1>"New Construction, Rehabilitation, Acquisition"</formula1>
    </dataValidation>
  </dataValidations>
  <printOptions horizontalCentered="1"/>
  <pageMargins left="0.25" right="0.25" top="0.5" bottom="0.4" header="0.25" footer="0.25"/>
  <pageSetup orientation="landscape" r:id="rId1"/>
  <headerFooter alignWithMargins="0">
    <oddHeader>&amp;LGeorgia Department of Community Affairs&amp;C&amp;"Arial,Bold" Cost Certification Application&amp;ROffice of Housing Finance</oddHeader>
    <oddFooter>&amp;L&amp;9OHF Cost Certification Application&amp;C&amp;9&amp;A&amp;R&amp;9&amp;P of &amp;N</oddFooter>
  </headerFooter>
  <rowBreaks count="4" manualBreakCount="4">
    <brk id="47" max="16383" man="1"/>
    <brk id="89" max="16383" man="1"/>
    <brk id="131" max="16383" man="1"/>
    <brk id="174"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V180"/>
  <sheetViews>
    <sheetView showGridLines="0" workbookViewId="0">
      <selection activeCell="C3" sqref="C3:D3"/>
    </sheetView>
  </sheetViews>
  <sheetFormatPr defaultColWidth="8.85546875" defaultRowHeight="11.25"/>
  <cols>
    <col min="1" max="1" width="10.28515625" style="860" customWidth="1"/>
    <col min="2" max="4" width="8.85546875" style="860"/>
    <col min="5" max="5" width="4.7109375" style="860" customWidth="1"/>
    <col min="6" max="6" width="7.7109375" style="860" customWidth="1"/>
    <col min="7" max="7" width="4.7109375" style="860" customWidth="1"/>
    <col min="8" max="9" width="7.7109375" style="860" customWidth="1"/>
    <col min="10" max="10" width="4.7109375" style="860" customWidth="1"/>
    <col min="11" max="11" width="7.7109375" style="860" customWidth="1"/>
    <col min="12" max="12" width="6.28515625" style="860" customWidth="1"/>
    <col min="13" max="14" width="7.7109375" style="860" customWidth="1"/>
    <col min="15" max="15" width="4.7109375" style="860" customWidth="1"/>
    <col min="16" max="18" width="7.7109375" style="860" customWidth="1"/>
    <col min="19" max="16384" width="8.85546875" style="860"/>
  </cols>
  <sheetData>
    <row r="1" spans="1:18" s="846" customFormat="1" ht="12.75">
      <c r="A1" s="2601" t="str">
        <f>CONCATENATE("PART EIGHT - BUILDING BY BUILDING CREDIT ALLOCATION - ",$C$4," - ",'Part I-Project Information'!$O$4," ",'Part I-Project Information'!$F$24)</f>
        <v>PART EIGHT - BUILDING BY BUILDING CREDIT ALLOCATION - Rehabilitation - 20##-### SB OHF Test Villas</v>
      </c>
      <c r="B1" s="2602"/>
      <c r="C1" s="2602"/>
      <c r="D1" s="2602"/>
      <c r="E1" s="2602"/>
      <c r="F1" s="2602"/>
      <c r="G1" s="2602"/>
      <c r="H1" s="2602"/>
      <c r="I1" s="2602"/>
      <c r="J1" s="2602"/>
      <c r="K1" s="2602"/>
      <c r="L1" s="2602"/>
      <c r="M1" s="2602"/>
      <c r="N1" s="2602"/>
      <c r="O1" s="2602"/>
      <c r="P1" s="2602"/>
      <c r="Q1" s="2602"/>
      <c r="R1" s="2602"/>
    </row>
    <row r="2" spans="1:18" s="849" customFormat="1" ht="6" customHeight="1">
      <c r="A2" s="847"/>
      <c r="B2" s="847"/>
      <c r="C2" s="847"/>
      <c r="D2" s="847"/>
      <c r="E2" s="847"/>
      <c r="F2" s="847"/>
      <c r="G2" s="847"/>
      <c r="H2" s="847"/>
      <c r="I2" s="847"/>
      <c r="J2" s="847"/>
      <c r="K2" s="847"/>
      <c r="L2" s="847"/>
      <c r="M2" s="848"/>
      <c r="N2" s="848"/>
    </row>
    <row r="3" spans="1:18" s="846" customFormat="1" ht="12.6" customHeight="1">
      <c r="A3" s="850" t="s">
        <v>3125</v>
      </c>
      <c r="B3" s="851"/>
      <c r="C3" s="2603"/>
      <c r="D3" s="2604"/>
      <c r="F3" s="850" t="s">
        <v>3126</v>
      </c>
      <c r="I3" s="2605"/>
      <c r="J3" s="2606"/>
      <c r="L3" s="852" t="s">
        <v>3788</v>
      </c>
      <c r="M3" s="2329" t="str">
        <f>CONCATENATE('Part I-Project Information'!$F$27,", GA, ",'Part I-Project Information'!$J$28," County")</f>
        <v>Peachtree Corners, GA, Gwinnett County</v>
      </c>
      <c r="N3" s="2330"/>
      <c r="O3" s="2330"/>
      <c r="P3" s="2330"/>
      <c r="Q3" s="2330"/>
      <c r="R3" s="2331"/>
    </row>
    <row r="4" spans="1:18" s="846" customFormat="1" ht="12.6" customHeight="1">
      <c r="A4" s="850" t="s">
        <v>3128</v>
      </c>
      <c r="B4" s="853"/>
      <c r="C4" s="2607" t="s">
        <v>898</v>
      </c>
      <c r="D4" s="2608"/>
      <c r="E4" s="2609"/>
      <c r="F4" s="854" t="str">
        <f>IF(NOT(OR(C4="New Construction",C4="Rehabilitation",C4="Acquisition")),"   &lt;-- PLEASE SELECT TYPE OF ACTIVITY FOR THIS PAGE BEFORE PROCEEDING!","")</f>
        <v/>
      </c>
      <c r="G4" s="855"/>
      <c r="H4" s="855"/>
      <c r="L4" s="848"/>
      <c r="M4" s="848"/>
      <c r="N4" s="848"/>
    </row>
    <row r="5" spans="1:18" s="846" customFormat="1" ht="12.6" customHeight="1">
      <c r="A5" s="2625" t="s">
        <v>3129</v>
      </c>
      <c r="B5" s="2625"/>
      <c r="C5" s="2625"/>
      <c r="D5" s="2625"/>
      <c r="E5" s="2625"/>
      <c r="F5" s="2625"/>
      <c r="G5" s="2625"/>
      <c r="H5" s="2625"/>
      <c r="I5" s="2625"/>
      <c r="J5" s="2625"/>
      <c r="K5" s="2625"/>
      <c r="L5" s="2625"/>
      <c r="M5" s="2625"/>
      <c r="N5" s="2625"/>
      <c r="O5" s="2625"/>
      <c r="P5" s="2625"/>
      <c r="Q5" s="2625"/>
      <c r="R5" s="2625"/>
    </row>
    <row r="6" spans="1:18" s="856" customFormat="1" ht="12" customHeight="1">
      <c r="A6" s="2676"/>
      <c r="B6" s="858"/>
      <c r="C6" s="858"/>
      <c r="D6" s="859"/>
      <c r="E6" s="2689" t="s">
        <v>503</v>
      </c>
      <c r="F6" s="2690"/>
      <c r="G6" s="2690"/>
      <c r="H6" s="2691"/>
      <c r="I6" s="2678"/>
      <c r="J6" s="2679"/>
      <c r="K6" s="2687" t="s">
        <v>3135</v>
      </c>
      <c r="L6" s="2687"/>
      <c r="M6" s="2687"/>
      <c r="N6" s="859" t="s">
        <v>861</v>
      </c>
      <c r="O6" s="2677"/>
      <c r="P6" s="2677"/>
      <c r="Q6" s="2683" t="s">
        <v>3131</v>
      </c>
      <c r="R6" s="2684"/>
    </row>
    <row r="7" spans="1:18" s="856" customFormat="1" ht="12" customHeight="1">
      <c r="A7" s="857"/>
      <c r="B7" s="858"/>
      <c r="C7" s="858"/>
      <c r="D7" s="859" t="s">
        <v>496</v>
      </c>
      <c r="E7" s="2692" t="s">
        <v>3132</v>
      </c>
      <c r="F7" s="2693"/>
      <c r="G7" s="2692" t="s">
        <v>1902</v>
      </c>
      <c r="H7" s="2693"/>
      <c r="I7" s="859" t="s">
        <v>3135</v>
      </c>
      <c r="J7" s="2680" t="s">
        <v>3136</v>
      </c>
      <c r="K7" s="2688"/>
      <c r="L7" s="2688"/>
      <c r="M7" s="2688"/>
      <c r="N7" s="859" t="s">
        <v>3137</v>
      </c>
      <c r="O7" s="859" t="s">
        <v>3138</v>
      </c>
      <c r="P7" s="859" t="s">
        <v>3139</v>
      </c>
      <c r="Q7" s="2685"/>
      <c r="R7" s="2686"/>
    </row>
    <row r="8" spans="1:18" ht="11.45" customHeight="1">
      <c r="A8" s="857"/>
      <c r="B8" s="858"/>
      <c r="C8" s="858"/>
      <c r="D8" s="859" t="s">
        <v>3140</v>
      </c>
      <c r="E8" s="2681" t="s">
        <v>152</v>
      </c>
      <c r="F8" s="859" t="s">
        <v>3110</v>
      </c>
      <c r="G8" s="2681" t="s">
        <v>152</v>
      </c>
      <c r="H8" s="859" t="s">
        <v>3110</v>
      </c>
      <c r="I8" s="859" t="s">
        <v>3142</v>
      </c>
      <c r="J8" s="2680"/>
      <c r="K8" s="2672" t="s">
        <v>3143</v>
      </c>
      <c r="L8" s="2672" t="s">
        <v>3144</v>
      </c>
      <c r="M8" s="2672" t="s">
        <v>3145</v>
      </c>
      <c r="N8" s="859" t="s">
        <v>3146</v>
      </c>
      <c r="O8" s="859" t="s">
        <v>3147</v>
      </c>
      <c r="P8" s="859" t="s">
        <v>3147</v>
      </c>
      <c r="Q8" s="859" t="s">
        <v>3135</v>
      </c>
      <c r="R8" s="859" t="s">
        <v>3148</v>
      </c>
    </row>
    <row r="9" spans="1:18" ht="11.45" customHeight="1">
      <c r="A9" s="861" t="s">
        <v>3149</v>
      </c>
      <c r="B9" s="862"/>
      <c r="C9" s="862"/>
      <c r="D9" s="863" t="s">
        <v>3150</v>
      </c>
      <c r="E9" s="863" t="s">
        <v>3151</v>
      </c>
      <c r="F9" s="863" t="s">
        <v>3152</v>
      </c>
      <c r="G9" s="863" t="s">
        <v>3151</v>
      </c>
      <c r="H9" s="863" t="s">
        <v>3152</v>
      </c>
      <c r="I9" s="863" t="s">
        <v>3153</v>
      </c>
      <c r="J9" s="2682" t="s">
        <v>3154</v>
      </c>
      <c r="K9" s="863" t="s">
        <v>3153</v>
      </c>
      <c r="L9" s="863" t="s">
        <v>3155</v>
      </c>
      <c r="M9" s="863" t="s">
        <v>3153</v>
      </c>
      <c r="N9" s="863" t="s">
        <v>3156</v>
      </c>
      <c r="O9" s="863" t="s">
        <v>3157</v>
      </c>
      <c r="P9" s="863" t="s">
        <v>1793</v>
      </c>
      <c r="Q9" s="863" t="s">
        <v>1830</v>
      </c>
      <c r="R9" s="863" t="s">
        <v>1793</v>
      </c>
    </row>
    <row r="10" spans="1:18" ht="12" customHeight="1">
      <c r="A10" s="2598"/>
      <c r="B10" s="2599"/>
      <c r="C10" s="2600"/>
      <c r="D10" s="864"/>
      <c r="E10" s="2666"/>
      <c r="F10" s="2667"/>
      <c r="G10" s="2666"/>
      <c r="H10" s="2667"/>
      <c r="I10" s="865"/>
      <c r="J10" s="866"/>
      <c r="K10" s="2666"/>
      <c r="L10" s="2673" t="str">
        <f>IF(OR(E10="",F10=""),"",MIN(G10/E10,H10/F10))</f>
        <v/>
      </c>
      <c r="M10" s="2667" t="str">
        <f>IF(OR(E10="",F10=""),"",K10*L10)</f>
        <v/>
      </c>
      <c r="N10" s="864"/>
      <c r="O10" s="867"/>
      <c r="P10" s="865" t="str">
        <f>IF(OR(M10="",O10=""),"",M10*O10)</f>
        <v/>
      </c>
      <c r="Q10" s="2666" t="str">
        <f>IF(M10="","",ROUND(M10,0))</f>
        <v/>
      </c>
      <c r="R10" s="2667" t="str">
        <f>IF(P10="","",ROUND(P10,0))</f>
        <v/>
      </c>
    </row>
    <row r="11" spans="1:18" ht="12" customHeight="1">
      <c r="A11" s="2581"/>
      <c r="B11" s="2582"/>
      <c r="C11" s="2583"/>
      <c r="D11" s="868"/>
      <c r="E11" s="2668"/>
      <c r="F11" s="2669"/>
      <c r="G11" s="2668"/>
      <c r="H11" s="2669"/>
      <c r="I11" s="869"/>
      <c r="J11" s="870"/>
      <c r="K11" s="2668"/>
      <c r="L11" s="2674" t="str">
        <f t="shared" ref="L11:L44" si="0">IF(OR(E11="",F11=""),"",MIN(G11/E11,H11/F11))</f>
        <v/>
      </c>
      <c r="M11" s="2669" t="str">
        <f t="shared" ref="M11:M44" si="1">IF(OR(E11="",F11=""),"",K11*L11)</f>
        <v/>
      </c>
      <c r="N11" s="868"/>
      <c r="O11" s="871"/>
      <c r="P11" s="869" t="str">
        <f t="shared" ref="P11:P44" si="2">IF(OR(M11="",O11=""),"",M11*O11)</f>
        <v/>
      </c>
      <c r="Q11" s="2668" t="str">
        <f t="shared" ref="Q11:Q44" si="3">IF(M11="","",ROUND(M11,0))</f>
        <v/>
      </c>
      <c r="R11" s="2669" t="str">
        <f t="shared" ref="R11:R44" si="4">IF(P11="","",ROUND(P11,0))</f>
        <v/>
      </c>
    </row>
    <row r="12" spans="1:18" ht="12" customHeight="1">
      <c r="A12" s="2581"/>
      <c r="B12" s="2582"/>
      <c r="C12" s="2583"/>
      <c r="D12" s="868"/>
      <c r="E12" s="2668"/>
      <c r="F12" s="2669"/>
      <c r="G12" s="2668"/>
      <c r="H12" s="2669"/>
      <c r="I12" s="869"/>
      <c r="J12" s="870"/>
      <c r="K12" s="2668"/>
      <c r="L12" s="2674" t="str">
        <f t="shared" si="0"/>
        <v/>
      </c>
      <c r="M12" s="2669" t="str">
        <f t="shared" si="1"/>
        <v/>
      </c>
      <c r="N12" s="868"/>
      <c r="O12" s="871"/>
      <c r="P12" s="869" t="str">
        <f t="shared" si="2"/>
        <v/>
      </c>
      <c r="Q12" s="2668" t="str">
        <f t="shared" si="3"/>
        <v/>
      </c>
      <c r="R12" s="2669" t="str">
        <f t="shared" si="4"/>
        <v/>
      </c>
    </row>
    <row r="13" spans="1:18" ht="12" customHeight="1">
      <c r="A13" s="2581"/>
      <c r="B13" s="2582"/>
      <c r="C13" s="2583"/>
      <c r="D13" s="868"/>
      <c r="E13" s="2668"/>
      <c r="F13" s="2669"/>
      <c r="G13" s="2668"/>
      <c r="H13" s="2669"/>
      <c r="I13" s="869"/>
      <c r="J13" s="870"/>
      <c r="K13" s="2668"/>
      <c r="L13" s="2674" t="str">
        <f t="shared" si="0"/>
        <v/>
      </c>
      <c r="M13" s="2669" t="str">
        <f t="shared" si="1"/>
        <v/>
      </c>
      <c r="N13" s="868"/>
      <c r="O13" s="871"/>
      <c r="P13" s="869" t="str">
        <f t="shared" si="2"/>
        <v/>
      </c>
      <c r="Q13" s="2668" t="str">
        <f t="shared" si="3"/>
        <v/>
      </c>
      <c r="R13" s="2669" t="str">
        <f t="shared" si="4"/>
        <v/>
      </c>
    </row>
    <row r="14" spans="1:18" ht="12" customHeight="1">
      <c r="A14" s="2581"/>
      <c r="B14" s="2582"/>
      <c r="C14" s="2583"/>
      <c r="D14" s="868"/>
      <c r="E14" s="2668"/>
      <c r="F14" s="2669"/>
      <c r="G14" s="2668"/>
      <c r="H14" s="2669"/>
      <c r="I14" s="869"/>
      <c r="J14" s="870"/>
      <c r="K14" s="2668"/>
      <c r="L14" s="2674" t="str">
        <f t="shared" si="0"/>
        <v/>
      </c>
      <c r="M14" s="2669" t="str">
        <f t="shared" si="1"/>
        <v/>
      </c>
      <c r="N14" s="868"/>
      <c r="O14" s="871"/>
      <c r="P14" s="869" t="str">
        <f t="shared" si="2"/>
        <v/>
      </c>
      <c r="Q14" s="2668" t="str">
        <f t="shared" si="3"/>
        <v/>
      </c>
      <c r="R14" s="2669" t="str">
        <f t="shared" si="4"/>
        <v/>
      </c>
    </row>
    <row r="15" spans="1:18" ht="12" customHeight="1">
      <c r="A15" s="2581"/>
      <c r="B15" s="2582"/>
      <c r="C15" s="2583"/>
      <c r="D15" s="868"/>
      <c r="E15" s="2668"/>
      <c r="F15" s="2669"/>
      <c r="G15" s="2668"/>
      <c r="H15" s="2669"/>
      <c r="I15" s="869"/>
      <c r="J15" s="870"/>
      <c r="K15" s="2668"/>
      <c r="L15" s="2674" t="str">
        <f t="shared" si="0"/>
        <v/>
      </c>
      <c r="M15" s="2669" t="str">
        <f t="shared" si="1"/>
        <v/>
      </c>
      <c r="N15" s="868"/>
      <c r="O15" s="871"/>
      <c r="P15" s="869" t="str">
        <f t="shared" si="2"/>
        <v/>
      </c>
      <c r="Q15" s="2668" t="str">
        <f t="shared" si="3"/>
        <v/>
      </c>
      <c r="R15" s="2669" t="str">
        <f t="shared" si="4"/>
        <v/>
      </c>
    </row>
    <row r="16" spans="1:18" ht="12" customHeight="1">
      <c r="A16" s="2581"/>
      <c r="B16" s="2582"/>
      <c r="C16" s="2583"/>
      <c r="D16" s="868"/>
      <c r="E16" s="2668"/>
      <c r="F16" s="2669"/>
      <c r="G16" s="2668"/>
      <c r="H16" s="2669"/>
      <c r="I16" s="869"/>
      <c r="J16" s="870"/>
      <c r="K16" s="2668"/>
      <c r="L16" s="2674" t="str">
        <f t="shared" si="0"/>
        <v/>
      </c>
      <c r="M16" s="2669" t="str">
        <f t="shared" si="1"/>
        <v/>
      </c>
      <c r="N16" s="868"/>
      <c r="O16" s="871"/>
      <c r="P16" s="869" t="str">
        <f t="shared" si="2"/>
        <v/>
      </c>
      <c r="Q16" s="2668" t="str">
        <f t="shared" si="3"/>
        <v/>
      </c>
      <c r="R16" s="2669" t="str">
        <f t="shared" si="4"/>
        <v/>
      </c>
    </row>
    <row r="17" spans="1:18" ht="12" customHeight="1">
      <c r="A17" s="2581"/>
      <c r="B17" s="2582"/>
      <c r="C17" s="2583"/>
      <c r="D17" s="868"/>
      <c r="E17" s="2668"/>
      <c r="F17" s="2669"/>
      <c r="G17" s="2668"/>
      <c r="H17" s="2669"/>
      <c r="I17" s="869"/>
      <c r="J17" s="870"/>
      <c r="K17" s="2668"/>
      <c r="L17" s="2674" t="str">
        <f t="shared" si="0"/>
        <v/>
      </c>
      <c r="M17" s="2669" t="str">
        <f t="shared" si="1"/>
        <v/>
      </c>
      <c r="N17" s="868"/>
      <c r="O17" s="871"/>
      <c r="P17" s="869" t="str">
        <f t="shared" si="2"/>
        <v/>
      </c>
      <c r="Q17" s="2668" t="str">
        <f t="shared" si="3"/>
        <v/>
      </c>
      <c r="R17" s="2669" t="str">
        <f t="shared" si="4"/>
        <v/>
      </c>
    </row>
    <row r="18" spans="1:18" ht="12" customHeight="1">
      <c r="A18" s="2581"/>
      <c r="B18" s="2582"/>
      <c r="C18" s="2583"/>
      <c r="D18" s="868"/>
      <c r="E18" s="2668"/>
      <c r="F18" s="2669"/>
      <c r="G18" s="2668"/>
      <c r="H18" s="2669"/>
      <c r="I18" s="869"/>
      <c r="J18" s="870"/>
      <c r="K18" s="2668"/>
      <c r="L18" s="2674" t="str">
        <f t="shared" si="0"/>
        <v/>
      </c>
      <c r="M18" s="2669" t="str">
        <f t="shared" si="1"/>
        <v/>
      </c>
      <c r="N18" s="868"/>
      <c r="O18" s="871"/>
      <c r="P18" s="869" t="str">
        <f t="shared" si="2"/>
        <v/>
      </c>
      <c r="Q18" s="2668" t="str">
        <f t="shared" si="3"/>
        <v/>
      </c>
      <c r="R18" s="2669" t="str">
        <f t="shared" si="4"/>
        <v/>
      </c>
    </row>
    <row r="19" spans="1:18" ht="12" customHeight="1">
      <c r="A19" s="2581"/>
      <c r="B19" s="2582"/>
      <c r="C19" s="2583"/>
      <c r="D19" s="868"/>
      <c r="E19" s="2668"/>
      <c r="F19" s="2669"/>
      <c r="G19" s="2668"/>
      <c r="H19" s="2669"/>
      <c r="I19" s="869"/>
      <c r="J19" s="870"/>
      <c r="K19" s="2668"/>
      <c r="L19" s="2674" t="str">
        <f t="shared" si="0"/>
        <v/>
      </c>
      <c r="M19" s="2669" t="str">
        <f t="shared" si="1"/>
        <v/>
      </c>
      <c r="N19" s="868"/>
      <c r="O19" s="871"/>
      <c r="P19" s="869" t="str">
        <f t="shared" si="2"/>
        <v/>
      </c>
      <c r="Q19" s="2668" t="str">
        <f t="shared" si="3"/>
        <v/>
      </c>
      <c r="R19" s="2669" t="str">
        <f t="shared" si="4"/>
        <v/>
      </c>
    </row>
    <row r="20" spans="1:18" ht="12" customHeight="1">
      <c r="A20" s="2581"/>
      <c r="B20" s="2582"/>
      <c r="C20" s="2583"/>
      <c r="D20" s="868"/>
      <c r="E20" s="2668"/>
      <c r="F20" s="2669"/>
      <c r="G20" s="2668"/>
      <c r="H20" s="2669"/>
      <c r="I20" s="869"/>
      <c r="J20" s="870"/>
      <c r="K20" s="2668"/>
      <c r="L20" s="2674" t="str">
        <f t="shared" si="0"/>
        <v/>
      </c>
      <c r="M20" s="2669" t="str">
        <f t="shared" si="1"/>
        <v/>
      </c>
      <c r="N20" s="868"/>
      <c r="O20" s="871"/>
      <c r="P20" s="869" t="str">
        <f t="shared" si="2"/>
        <v/>
      </c>
      <c r="Q20" s="2668" t="str">
        <f t="shared" si="3"/>
        <v/>
      </c>
      <c r="R20" s="2669" t="str">
        <f t="shared" si="4"/>
        <v/>
      </c>
    </row>
    <row r="21" spans="1:18" ht="12" customHeight="1">
      <c r="A21" s="2581"/>
      <c r="B21" s="2582"/>
      <c r="C21" s="2583"/>
      <c r="D21" s="868"/>
      <c r="E21" s="2668"/>
      <c r="F21" s="2669"/>
      <c r="G21" s="2668"/>
      <c r="H21" s="2669"/>
      <c r="I21" s="869"/>
      <c r="J21" s="870"/>
      <c r="K21" s="2668"/>
      <c r="L21" s="2674" t="str">
        <f t="shared" si="0"/>
        <v/>
      </c>
      <c r="M21" s="2669" t="str">
        <f t="shared" si="1"/>
        <v/>
      </c>
      <c r="N21" s="868"/>
      <c r="O21" s="871"/>
      <c r="P21" s="869" t="str">
        <f t="shared" si="2"/>
        <v/>
      </c>
      <c r="Q21" s="2668" t="str">
        <f t="shared" si="3"/>
        <v/>
      </c>
      <c r="R21" s="2669" t="str">
        <f t="shared" si="4"/>
        <v/>
      </c>
    </row>
    <row r="22" spans="1:18" ht="12" customHeight="1">
      <c r="A22" s="2581"/>
      <c r="B22" s="2582"/>
      <c r="C22" s="2583"/>
      <c r="D22" s="868"/>
      <c r="E22" s="2668"/>
      <c r="F22" s="2669"/>
      <c r="G22" s="2668"/>
      <c r="H22" s="2669"/>
      <c r="I22" s="869"/>
      <c r="J22" s="870"/>
      <c r="K22" s="2668"/>
      <c r="L22" s="2674" t="str">
        <f t="shared" si="0"/>
        <v/>
      </c>
      <c r="M22" s="2669" t="str">
        <f t="shared" si="1"/>
        <v/>
      </c>
      <c r="N22" s="868"/>
      <c r="O22" s="871"/>
      <c r="P22" s="869" t="str">
        <f t="shared" si="2"/>
        <v/>
      </c>
      <c r="Q22" s="2668" t="str">
        <f t="shared" si="3"/>
        <v/>
      </c>
      <c r="R22" s="2669" t="str">
        <f t="shared" si="4"/>
        <v/>
      </c>
    </row>
    <row r="23" spans="1:18" ht="12" customHeight="1">
      <c r="A23" s="2581"/>
      <c r="B23" s="2582"/>
      <c r="C23" s="2583"/>
      <c r="D23" s="868"/>
      <c r="E23" s="2668"/>
      <c r="F23" s="2669"/>
      <c r="G23" s="2668"/>
      <c r="H23" s="2669"/>
      <c r="I23" s="869"/>
      <c r="J23" s="870"/>
      <c r="K23" s="2668"/>
      <c r="L23" s="2674" t="str">
        <f t="shared" si="0"/>
        <v/>
      </c>
      <c r="M23" s="2669" t="str">
        <f t="shared" si="1"/>
        <v/>
      </c>
      <c r="N23" s="868"/>
      <c r="O23" s="871"/>
      <c r="P23" s="869" t="str">
        <f t="shared" si="2"/>
        <v/>
      </c>
      <c r="Q23" s="2668" t="str">
        <f t="shared" si="3"/>
        <v/>
      </c>
      <c r="R23" s="2669" t="str">
        <f t="shared" si="4"/>
        <v/>
      </c>
    </row>
    <row r="24" spans="1:18" ht="12" customHeight="1">
      <c r="A24" s="2581"/>
      <c r="B24" s="2582"/>
      <c r="C24" s="2583"/>
      <c r="D24" s="868"/>
      <c r="E24" s="2668"/>
      <c r="F24" s="2669"/>
      <c r="G24" s="2668"/>
      <c r="H24" s="2669"/>
      <c r="I24" s="869"/>
      <c r="J24" s="870"/>
      <c r="K24" s="2668"/>
      <c r="L24" s="2674" t="str">
        <f t="shared" si="0"/>
        <v/>
      </c>
      <c r="M24" s="2669" t="str">
        <f t="shared" si="1"/>
        <v/>
      </c>
      <c r="N24" s="868"/>
      <c r="O24" s="871"/>
      <c r="P24" s="869" t="str">
        <f t="shared" si="2"/>
        <v/>
      </c>
      <c r="Q24" s="2668" t="str">
        <f t="shared" si="3"/>
        <v/>
      </c>
      <c r="R24" s="2669" t="str">
        <f t="shared" si="4"/>
        <v/>
      </c>
    </row>
    <row r="25" spans="1:18" ht="12" customHeight="1">
      <c r="A25" s="2581"/>
      <c r="B25" s="2582"/>
      <c r="C25" s="2583"/>
      <c r="D25" s="868"/>
      <c r="E25" s="2668"/>
      <c r="F25" s="2669"/>
      <c r="G25" s="2668"/>
      <c r="H25" s="2669"/>
      <c r="I25" s="869"/>
      <c r="J25" s="870"/>
      <c r="K25" s="2668"/>
      <c r="L25" s="2674" t="str">
        <f t="shared" si="0"/>
        <v/>
      </c>
      <c r="M25" s="2669" t="str">
        <f t="shared" si="1"/>
        <v/>
      </c>
      <c r="N25" s="868"/>
      <c r="O25" s="871"/>
      <c r="P25" s="869" t="str">
        <f t="shared" si="2"/>
        <v/>
      </c>
      <c r="Q25" s="2668" t="str">
        <f t="shared" si="3"/>
        <v/>
      </c>
      <c r="R25" s="2669" t="str">
        <f t="shared" si="4"/>
        <v/>
      </c>
    </row>
    <row r="26" spans="1:18" ht="12" customHeight="1">
      <c r="A26" s="2581"/>
      <c r="B26" s="2582"/>
      <c r="C26" s="2583"/>
      <c r="D26" s="868"/>
      <c r="E26" s="2668"/>
      <c r="F26" s="2669"/>
      <c r="G26" s="2668"/>
      <c r="H26" s="2669"/>
      <c r="I26" s="869"/>
      <c r="J26" s="870"/>
      <c r="K26" s="2668"/>
      <c r="L26" s="2674" t="str">
        <f t="shared" si="0"/>
        <v/>
      </c>
      <c r="M26" s="2669" t="str">
        <f t="shared" si="1"/>
        <v/>
      </c>
      <c r="N26" s="868"/>
      <c r="O26" s="871"/>
      <c r="P26" s="869" t="str">
        <f t="shared" si="2"/>
        <v/>
      </c>
      <c r="Q26" s="2668" t="str">
        <f t="shared" si="3"/>
        <v/>
      </c>
      <c r="R26" s="2669" t="str">
        <f t="shared" si="4"/>
        <v/>
      </c>
    </row>
    <row r="27" spans="1:18" ht="12" customHeight="1">
      <c r="A27" s="2581"/>
      <c r="B27" s="2582"/>
      <c r="C27" s="2583"/>
      <c r="D27" s="868"/>
      <c r="E27" s="2668"/>
      <c r="F27" s="2669"/>
      <c r="G27" s="2668"/>
      <c r="H27" s="2669"/>
      <c r="I27" s="869"/>
      <c r="J27" s="870"/>
      <c r="K27" s="2668"/>
      <c r="L27" s="2674" t="str">
        <f t="shared" si="0"/>
        <v/>
      </c>
      <c r="M27" s="2669" t="str">
        <f t="shared" si="1"/>
        <v/>
      </c>
      <c r="N27" s="868"/>
      <c r="O27" s="871"/>
      <c r="P27" s="869" t="str">
        <f t="shared" si="2"/>
        <v/>
      </c>
      <c r="Q27" s="2668" t="str">
        <f t="shared" si="3"/>
        <v/>
      </c>
      <c r="R27" s="2669" t="str">
        <f t="shared" si="4"/>
        <v/>
      </c>
    </row>
    <row r="28" spans="1:18" ht="12" customHeight="1">
      <c r="A28" s="2581"/>
      <c r="B28" s="2582"/>
      <c r="C28" s="2583"/>
      <c r="D28" s="868"/>
      <c r="E28" s="2668"/>
      <c r="F28" s="2669"/>
      <c r="G28" s="2668"/>
      <c r="H28" s="2669"/>
      <c r="I28" s="869"/>
      <c r="J28" s="870"/>
      <c r="K28" s="2668"/>
      <c r="L28" s="2674" t="str">
        <f t="shared" si="0"/>
        <v/>
      </c>
      <c r="M28" s="2669" t="str">
        <f t="shared" si="1"/>
        <v/>
      </c>
      <c r="N28" s="868"/>
      <c r="O28" s="871"/>
      <c r="P28" s="869" t="str">
        <f t="shared" si="2"/>
        <v/>
      </c>
      <c r="Q28" s="2668" t="str">
        <f t="shared" si="3"/>
        <v/>
      </c>
      <c r="R28" s="2669" t="str">
        <f t="shared" si="4"/>
        <v/>
      </c>
    </row>
    <row r="29" spans="1:18" ht="12" customHeight="1">
      <c r="A29" s="2581"/>
      <c r="B29" s="2582"/>
      <c r="C29" s="2583"/>
      <c r="D29" s="868"/>
      <c r="E29" s="2668"/>
      <c r="F29" s="2669"/>
      <c r="G29" s="2668"/>
      <c r="H29" s="2669"/>
      <c r="I29" s="869"/>
      <c r="J29" s="870"/>
      <c r="K29" s="2668"/>
      <c r="L29" s="2674" t="str">
        <f t="shared" si="0"/>
        <v/>
      </c>
      <c r="M29" s="2669" t="str">
        <f t="shared" si="1"/>
        <v/>
      </c>
      <c r="N29" s="868"/>
      <c r="O29" s="871"/>
      <c r="P29" s="869" t="str">
        <f t="shared" si="2"/>
        <v/>
      </c>
      <c r="Q29" s="2668" t="str">
        <f t="shared" si="3"/>
        <v/>
      </c>
      <c r="R29" s="2669" t="str">
        <f t="shared" si="4"/>
        <v/>
      </c>
    </row>
    <row r="30" spans="1:18" ht="12" customHeight="1">
      <c r="A30" s="2581"/>
      <c r="B30" s="2582"/>
      <c r="C30" s="2583"/>
      <c r="D30" s="868"/>
      <c r="E30" s="2668"/>
      <c r="F30" s="2669"/>
      <c r="G30" s="2668"/>
      <c r="H30" s="2669"/>
      <c r="I30" s="869"/>
      <c r="J30" s="870"/>
      <c r="K30" s="2668"/>
      <c r="L30" s="2674" t="str">
        <f t="shared" si="0"/>
        <v/>
      </c>
      <c r="M30" s="2669" t="str">
        <f t="shared" si="1"/>
        <v/>
      </c>
      <c r="N30" s="868"/>
      <c r="O30" s="871"/>
      <c r="P30" s="869" t="str">
        <f t="shared" si="2"/>
        <v/>
      </c>
      <c r="Q30" s="2668" t="str">
        <f t="shared" si="3"/>
        <v/>
      </c>
      <c r="R30" s="2669" t="str">
        <f t="shared" si="4"/>
        <v/>
      </c>
    </row>
    <row r="31" spans="1:18" ht="12" customHeight="1">
      <c r="A31" s="2581"/>
      <c r="B31" s="2582"/>
      <c r="C31" s="2583"/>
      <c r="D31" s="868"/>
      <c r="E31" s="2668"/>
      <c r="F31" s="2669"/>
      <c r="G31" s="2668"/>
      <c r="H31" s="2669"/>
      <c r="I31" s="869"/>
      <c r="J31" s="870"/>
      <c r="K31" s="2668"/>
      <c r="L31" s="2674" t="str">
        <f t="shared" si="0"/>
        <v/>
      </c>
      <c r="M31" s="2669" t="str">
        <f t="shared" si="1"/>
        <v/>
      </c>
      <c r="N31" s="868"/>
      <c r="O31" s="871"/>
      <c r="P31" s="869" t="str">
        <f t="shared" si="2"/>
        <v/>
      </c>
      <c r="Q31" s="2668" t="str">
        <f t="shared" si="3"/>
        <v/>
      </c>
      <c r="R31" s="2669" t="str">
        <f t="shared" si="4"/>
        <v/>
      </c>
    </row>
    <row r="32" spans="1:18" ht="12" customHeight="1">
      <c r="A32" s="2581"/>
      <c r="B32" s="2582"/>
      <c r="C32" s="2583"/>
      <c r="D32" s="868"/>
      <c r="E32" s="2668"/>
      <c r="F32" s="2669"/>
      <c r="G32" s="2668"/>
      <c r="H32" s="2669"/>
      <c r="I32" s="869"/>
      <c r="J32" s="870"/>
      <c r="K32" s="2668"/>
      <c r="L32" s="2674" t="str">
        <f t="shared" si="0"/>
        <v/>
      </c>
      <c r="M32" s="2669" t="str">
        <f t="shared" si="1"/>
        <v/>
      </c>
      <c r="N32" s="868"/>
      <c r="O32" s="871"/>
      <c r="P32" s="869" t="str">
        <f t="shared" si="2"/>
        <v/>
      </c>
      <c r="Q32" s="2668" t="str">
        <f t="shared" si="3"/>
        <v/>
      </c>
      <c r="R32" s="2669" t="str">
        <f t="shared" si="4"/>
        <v/>
      </c>
    </row>
    <row r="33" spans="1:18" ht="12" customHeight="1">
      <c r="A33" s="2581"/>
      <c r="B33" s="2582"/>
      <c r="C33" s="2583"/>
      <c r="D33" s="868"/>
      <c r="E33" s="2668"/>
      <c r="F33" s="2669"/>
      <c r="G33" s="2668"/>
      <c r="H33" s="2669"/>
      <c r="I33" s="869"/>
      <c r="J33" s="870"/>
      <c r="K33" s="2668"/>
      <c r="L33" s="2674" t="str">
        <f t="shared" si="0"/>
        <v/>
      </c>
      <c r="M33" s="2669" t="str">
        <f t="shared" si="1"/>
        <v/>
      </c>
      <c r="N33" s="868"/>
      <c r="O33" s="871"/>
      <c r="P33" s="869" t="str">
        <f t="shared" si="2"/>
        <v/>
      </c>
      <c r="Q33" s="2668" t="str">
        <f t="shared" si="3"/>
        <v/>
      </c>
      <c r="R33" s="2669" t="str">
        <f t="shared" si="4"/>
        <v/>
      </c>
    </row>
    <row r="34" spans="1:18" ht="12" customHeight="1">
      <c r="A34" s="2581"/>
      <c r="B34" s="2582"/>
      <c r="C34" s="2583"/>
      <c r="D34" s="868"/>
      <c r="E34" s="2668"/>
      <c r="F34" s="2669"/>
      <c r="G34" s="2668"/>
      <c r="H34" s="2669"/>
      <c r="I34" s="869"/>
      <c r="J34" s="870"/>
      <c r="K34" s="2668"/>
      <c r="L34" s="2674" t="str">
        <f t="shared" si="0"/>
        <v/>
      </c>
      <c r="M34" s="2669" t="str">
        <f t="shared" si="1"/>
        <v/>
      </c>
      <c r="N34" s="868"/>
      <c r="O34" s="871"/>
      <c r="P34" s="869" t="str">
        <f t="shared" si="2"/>
        <v/>
      </c>
      <c r="Q34" s="2668" t="str">
        <f t="shared" si="3"/>
        <v/>
      </c>
      <c r="R34" s="2669" t="str">
        <f t="shared" si="4"/>
        <v/>
      </c>
    </row>
    <row r="35" spans="1:18" ht="12" customHeight="1">
      <c r="A35" s="2581"/>
      <c r="B35" s="2582"/>
      <c r="C35" s="2583"/>
      <c r="D35" s="868"/>
      <c r="E35" s="2668"/>
      <c r="F35" s="2669"/>
      <c r="G35" s="2668"/>
      <c r="H35" s="2669"/>
      <c r="I35" s="869"/>
      <c r="J35" s="870"/>
      <c r="K35" s="2668"/>
      <c r="L35" s="2674" t="str">
        <f t="shared" si="0"/>
        <v/>
      </c>
      <c r="M35" s="2669" t="str">
        <f t="shared" si="1"/>
        <v/>
      </c>
      <c r="N35" s="868"/>
      <c r="O35" s="871"/>
      <c r="P35" s="869" t="str">
        <f t="shared" si="2"/>
        <v/>
      </c>
      <c r="Q35" s="2668" t="str">
        <f t="shared" si="3"/>
        <v/>
      </c>
      <c r="R35" s="2669" t="str">
        <f t="shared" si="4"/>
        <v/>
      </c>
    </row>
    <row r="36" spans="1:18" ht="12" customHeight="1">
      <c r="A36" s="2581"/>
      <c r="B36" s="2582"/>
      <c r="C36" s="2583"/>
      <c r="D36" s="868"/>
      <c r="E36" s="2668"/>
      <c r="F36" s="2669"/>
      <c r="G36" s="2668"/>
      <c r="H36" s="2669"/>
      <c r="I36" s="869"/>
      <c r="J36" s="870"/>
      <c r="K36" s="2668"/>
      <c r="L36" s="2674" t="str">
        <f t="shared" si="0"/>
        <v/>
      </c>
      <c r="M36" s="2669" t="str">
        <f t="shared" si="1"/>
        <v/>
      </c>
      <c r="N36" s="868"/>
      <c r="O36" s="871"/>
      <c r="P36" s="869" t="str">
        <f t="shared" si="2"/>
        <v/>
      </c>
      <c r="Q36" s="2668" t="str">
        <f t="shared" si="3"/>
        <v/>
      </c>
      <c r="R36" s="2669" t="str">
        <f t="shared" si="4"/>
        <v/>
      </c>
    </row>
    <row r="37" spans="1:18" ht="12" customHeight="1">
      <c r="A37" s="2581"/>
      <c r="B37" s="2582"/>
      <c r="C37" s="2583"/>
      <c r="D37" s="868"/>
      <c r="E37" s="2668"/>
      <c r="F37" s="2669"/>
      <c r="G37" s="2668"/>
      <c r="H37" s="2669"/>
      <c r="I37" s="869"/>
      <c r="J37" s="870"/>
      <c r="K37" s="2668"/>
      <c r="L37" s="2674" t="str">
        <f t="shared" si="0"/>
        <v/>
      </c>
      <c r="M37" s="2669" t="str">
        <f t="shared" si="1"/>
        <v/>
      </c>
      <c r="N37" s="868"/>
      <c r="O37" s="871"/>
      <c r="P37" s="869" t="str">
        <f t="shared" si="2"/>
        <v/>
      </c>
      <c r="Q37" s="2668" t="str">
        <f t="shared" si="3"/>
        <v/>
      </c>
      <c r="R37" s="2669" t="str">
        <f t="shared" si="4"/>
        <v/>
      </c>
    </row>
    <row r="38" spans="1:18" ht="12" customHeight="1">
      <c r="A38" s="2581"/>
      <c r="B38" s="2582"/>
      <c r="C38" s="2583"/>
      <c r="D38" s="868"/>
      <c r="E38" s="2668"/>
      <c r="F38" s="2669"/>
      <c r="G38" s="2668"/>
      <c r="H38" s="2669"/>
      <c r="I38" s="869"/>
      <c r="J38" s="870"/>
      <c r="K38" s="2668"/>
      <c r="L38" s="2674" t="str">
        <f t="shared" si="0"/>
        <v/>
      </c>
      <c r="M38" s="2669" t="str">
        <f t="shared" si="1"/>
        <v/>
      </c>
      <c r="N38" s="868"/>
      <c r="O38" s="871"/>
      <c r="P38" s="869" t="str">
        <f t="shared" si="2"/>
        <v/>
      </c>
      <c r="Q38" s="2668" t="str">
        <f t="shared" si="3"/>
        <v/>
      </c>
      <c r="R38" s="2669" t="str">
        <f t="shared" si="4"/>
        <v/>
      </c>
    </row>
    <row r="39" spans="1:18" ht="12" customHeight="1">
      <c r="A39" s="2581"/>
      <c r="B39" s="2582"/>
      <c r="C39" s="2583"/>
      <c r="D39" s="868"/>
      <c r="E39" s="2668"/>
      <c r="F39" s="2669"/>
      <c r="G39" s="2668"/>
      <c r="H39" s="2669"/>
      <c r="I39" s="869"/>
      <c r="J39" s="870"/>
      <c r="K39" s="2668"/>
      <c r="L39" s="2674" t="str">
        <f t="shared" si="0"/>
        <v/>
      </c>
      <c r="M39" s="2669" t="str">
        <f t="shared" si="1"/>
        <v/>
      </c>
      <c r="N39" s="868"/>
      <c r="O39" s="871"/>
      <c r="P39" s="869" t="str">
        <f t="shared" si="2"/>
        <v/>
      </c>
      <c r="Q39" s="2668" t="str">
        <f t="shared" si="3"/>
        <v/>
      </c>
      <c r="R39" s="2669" t="str">
        <f t="shared" si="4"/>
        <v/>
      </c>
    </row>
    <row r="40" spans="1:18" ht="12" customHeight="1">
      <c r="A40" s="2581"/>
      <c r="B40" s="2582"/>
      <c r="C40" s="2583"/>
      <c r="D40" s="868"/>
      <c r="E40" s="2668"/>
      <c r="F40" s="2669"/>
      <c r="G40" s="2668"/>
      <c r="H40" s="2669"/>
      <c r="I40" s="869"/>
      <c r="J40" s="870"/>
      <c r="K40" s="2668"/>
      <c r="L40" s="2674" t="str">
        <f t="shared" si="0"/>
        <v/>
      </c>
      <c r="M40" s="2669" t="str">
        <f t="shared" si="1"/>
        <v/>
      </c>
      <c r="N40" s="868"/>
      <c r="O40" s="871"/>
      <c r="P40" s="869" t="str">
        <f t="shared" si="2"/>
        <v/>
      </c>
      <c r="Q40" s="2668" t="str">
        <f t="shared" si="3"/>
        <v/>
      </c>
      <c r="R40" s="2669" t="str">
        <f>IF(P40="","",ROUND(P40,0))</f>
        <v/>
      </c>
    </row>
    <row r="41" spans="1:18" ht="12" customHeight="1">
      <c r="A41" s="2581"/>
      <c r="B41" s="2582"/>
      <c r="C41" s="2583"/>
      <c r="D41" s="868"/>
      <c r="E41" s="2668"/>
      <c r="F41" s="2669"/>
      <c r="G41" s="2668"/>
      <c r="H41" s="2669"/>
      <c r="I41" s="869"/>
      <c r="J41" s="870"/>
      <c r="K41" s="2668"/>
      <c r="L41" s="2674" t="str">
        <f t="shared" si="0"/>
        <v/>
      </c>
      <c r="M41" s="2669" t="str">
        <f t="shared" si="1"/>
        <v/>
      </c>
      <c r="N41" s="868"/>
      <c r="O41" s="871"/>
      <c r="P41" s="869" t="str">
        <f t="shared" si="2"/>
        <v/>
      </c>
      <c r="Q41" s="2668" t="str">
        <f t="shared" si="3"/>
        <v/>
      </c>
      <c r="R41" s="2669" t="str">
        <f t="shared" si="4"/>
        <v/>
      </c>
    </row>
    <row r="42" spans="1:18" ht="12" customHeight="1">
      <c r="A42" s="2581"/>
      <c r="B42" s="2582"/>
      <c r="C42" s="2583"/>
      <c r="D42" s="868"/>
      <c r="E42" s="2668"/>
      <c r="F42" s="2669"/>
      <c r="G42" s="2668"/>
      <c r="H42" s="2669"/>
      <c r="I42" s="869"/>
      <c r="J42" s="870"/>
      <c r="K42" s="2668"/>
      <c r="L42" s="2674" t="str">
        <f t="shared" si="0"/>
        <v/>
      </c>
      <c r="M42" s="2669" t="str">
        <f t="shared" si="1"/>
        <v/>
      </c>
      <c r="N42" s="868"/>
      <c r="O42" s="871"/>
      <c r="P42" s="869" t="str">
        <f t="shared" si="2"/>
        <v/>
      </c>
      <c r="Q42" s="2668" t="str">
        <f t="shared" si="3"/>
        <v/>
      </c>
      <c r="R42" s="2669" t="str">
        <f t="shared" si="4"/>
        <v/>
      </c>
    </row>
    <row r="43" spans="1:18" ht="12" customHeight="1">
      <c r="A43" s="2581"/>
      <c r="B43" s="2582"/>
      <c r="C43" s="2583"/>
      <c r="D43" s="868"/>
      <c r="E43" s="2668"/>
      <c r="F43" s="2669"/>
      <c r="G43" s="2668"/>
      <c r="H43" s="2669"/>
      <c r="I43" s="869"/>
      <c r="J43" s="870"/>
      <c r="K43" s="2668"/>
      <c r="L43" s="2674" t="str">
        <f t="shared" si="0"/>
        <v/>
      </c>
      <c r="M43" s="2669" t="str">
        <f t="shared" si="1"/>
        <v/>
      </c>
      <c r="N43" s="868"/>
      <c r="O43" s="871"/>
      <c r="P43" s="869" t="str">
        <f t="shared" si="2"/>
        <v/>
      </c>
      <c r="Q43" s="2668" t="str">
        <f t="shared" si="3"/>
        <v/>
      </c>
      <c r="R43" s="2669" t="str">
        <f t="shared" si="4"/>
        <v/>
      </c>
    </row>
    <row r="44" spans="1:18" ht="12" customHeight="1">
      <c r="A44" s="2584"/>
      <c r="B44" s="2585"/>
      <c r="C44" s="2586"/>
      <c r="D44" s="872"/>
      <c r="E44" s="2670"/>
      <c r="F44" s="2671"/>
      <c r="G44" s="2670"/>
      <c r="H44" s="2671"/>
      <c r="I44" s="873"/>
      <c r="J44" s="874"/>
      <c r="K44" s="2670"/>
      <c r="L44" s="2675" t="str">
        <f t="shared" si="0"/>
        <v/>
      </c>
      <c r="M44" s="2671" t="str">
        <f t="shared" si="1"/>
        <v/>
      </c>
      <c r="N44" s="872"/>
      <c r="O44" s="875"/>
      <c r="P44" s="873" t="str">
        <f t="shared" si="2"/>
        <v/>
      </c>
      <c r="Q44" s="2670" t="str">
        <f t="shared" si="3"/>
        <v/>
      </c>
      <c r="R44" s="2671" t="str">
        <f t="shared" si="4"/>
        <v/>
      </c>
    </row>
    <row r="45" spans="1:18" ht="12.6" customHeight="1">
      <c r="A45" s="850" t="s">
        <v>3159</v>
      </c>
      <c r="B45" s="876"/>
      <c r="C45" s="876"/>
      <c r="D45" s="877"/>
      <c r="E45" s="878">
        <f>SUM(E10:E44)</f>
        <v>0</v>
      </c>
      <c r="F45" s="878">
        <f>SUM(F10:F44)</f>
        <v>0</v>
      </c>
      <c r="G45" s="878">
        <f>SUM(G10:G44)</f>
        <v>0</v>
      </c>
      <c r="H45" s="878">
        <f>SUM(H10:H44)</f>
        <v>0</v>
      </c>
      <c r="I45" s="878">
        <f>SUM(I10:I44)</f>
        <v>0</v>
      </c>
      <c r="J45" s="879"/>
      <c r="K45" s="878">
        <f>SUM(K10:K44)</f>
        <v>0</v>
      </c>
      <c r="L45" s="880"/>
      <c r="M45" s="878">
        <f>SUM(M10:M44)</f>
        <v>0</v>
      </c>
      <c r="N45" s="877"/>
      <c r="O45" s="880"/>
      <c r="P45" s="878">
        <f>SUM(P10:P44)</f>
        <v>0</v>
      </c>
      <c r="Q45" s="878">
        <f>SUM(Q10:Q44)</f>
        <v>0</v>
      </c>
      <c r="R45" s="878">
        <f>SUM(R10:R44)</f>
        <v>0</v>
      </c>
    </row>
    <row r="46" spans="1:18" ht="1.9" customHeight="1">
      <c r="A46" s="876"/>
      <c r="B46" s="876"/>
      <c r="C46" s="876"/>
      <c r="D46" s="877"/>
      <c r="E46" s="881"/>
      <c r="F46" s="881"/>
      <c r="G46" s="881"/>
      <c r="H46" s="881"/>
      <c r="I46" s="881"/>
      <c r="J46" s="879"/>
      <c r="K46" s="881"/>
      <c r="L46" s="880"/>
      <c r="M46" s="881"/>
      <c r="N46" s="880"/>
      <c r="O46" s="877"/>
      <c r="P46" s="881"/>
      <c r="Q46" s="881"/>
      <c r="R46" s="881"/>
    </row>
    <row r="47" spans="1:18" ht="6.75" customHeight="1"/>
    <row r="48" spans="1:18" s="846" customFormat="1" ht="12.6" customHeight="1">
      <c r="A48" s="850" t="s">
        <v>3128</v>
      </c>
      <c r="C48" s="2587" t="str">
        <f>C4</f>
        <v>Rehabilitation</v>
      </c>
      <c r="D48" s="2588"/>
      <c r="E48" s="2588"/>
      <c r="F48" s="854"/>
      <c r="G48" s="855"/>
      <c r="H48" s="855"/>
      <c r="I48" s="855"/>
      <c r="L48" s="848"/>
      <c r="M48" s="848"/>
      <c r="N48" s="848"/>
    </row>
    <row r="49" spans="1:18" s="846" customFormat="1" ht="12.6" customHeight="1">
      <c r="A49" s="2625" t="s">
        <v>3129</v>
      </c>
      <c r="B49" s="2625"/>
      <c r="C49" s="2625"/>
      <c r="D49" s="2625"/>
      <c r="E49" s="2625"/>
      <c r="F49" s="2625"/>
      <c r="G49" s="2625"/>
      <c r="H49" s="2625"/>
      <c r="I49" s="2625"/>
      <c r="J49" s="2625"/>
      <c r="K49" s="2625"/>
      <c r="L49" s="2625"/>
      <c r="M49" s="2625"/>
      <c r="N49" s="2625"/>
      <c r="O49" s="2625"/>
      <c r="P49" s="2625"/>
      <c r="Q49" s="2625"/>
      <c r="R49" s="2625"/>
    </row>
    <row r="50" spans="1:18" s="856" customFormat="1" ht="12" customHeight="1">
      <c r="A50" s="2676"/>
      <c r="B50" s="858"/>
      <c r="C50" s="858"/>
      <c r="D50" s="859"/>
      <c r="E50" s="2689" t="s">
        <v>503</v>
      </c>
      <c r="F50" s="2690"/>
      <c r="G50" s="2690"/>
      <c r="H50" s="2691"/>
      <c r="I50" s="2678"/>
      <c r="J50" s="2679"/>
      <c r="K50" s="2687" t="s">
        <v>3135</v>
      </c>
      <c r="L50" s="2687"/>
      <c r="M50" s="2687"/>
      <c r="N50" s="859" t="s">
        <v>861</v>
      </c>
      <c r="O50" s="2677"/>
      <c r="P50" s="2677"/>
      <c r="Q50" s="2683" t="s">
        <v>3131</v>
      </c>
      <c r="R50" s="2684"/>
    </row>
    <row r="51" spans="1:18" s="856" customFormat="1" ht="12" customHeight="1">
      <c r="A51" s="857"/>
      <c r="B51" s="858"/>
      <c r="C51" s="858"/>
      <c r="D51" s="859" t="s">
        <v>496</v>
      </c>
      <c r="E51" s="2692" t="s">
        <v>3132</v>
      </c>
      <c r="F51" s="2693"/>
      <c r="G51" s="2692" t="s">
        <v>1902</v>
      </c>
      <c r="H51" s="2693"/>
      <c r="I51" s="859" t="s">
        <v>3135</v>
      </c>
      <c r="J51" s="2680" t="s">
        <v>3136</v>
      </c>
      <c r="K51" s="2688"/>
      <c r="L51" s="2688"/>
      <c r="M51" s="2688"/>
      <c r="N51" s="859" t="s">
        <v>3137</v>
      </c>
      <c r="O51" s="859" t="s">
        <v>3138</v>
      </c>
      <c r="P51" s="859" t="s">
        <v>3139</v>
      </c>
      <c r="Q51" s="2685"/>
      <c r="R51" s="2686"/>
    </row>
    <row r="52" spans="1:18" ht="11.45" customHeight="1">
      <c r="A52" s="857"/>
      <c r="B52" s="858"/>
      <c r="C52" s="858"/>
      <c r="D52" s="859" t="s">
        <v>3140</v>
      </c>
      <c r="E52" s="2681" t="s">
        <v>152</v>
      </c>
      <c r="F52" s="859" t="s">
        <v>3110</v>
      </c>
      <c r="G52" s="2681" t="s">
        <v>152</v>
      </c>
      <c r="H52" s="859" t="s">
        <v>3110</v>
      </c>
      <c r="I52" s="859" t="s">
        <v>3142</v>
      </c>
      <c r="J52" s="2680"/>
      <c r="K52" s="2672" t="s">
        <v>3143</v>
      </c>
      <c r="L52" s="2672" t="s">
        <v>3144</v>
      </c>
      <c r="M52" s="2672" t="s">
        <v>3145</v>
      </c>
      <c r="N52" s="859" t="s">
        <v>3146</v>
      </c>
      <c r="O52" s="859" t="s">
        <v>3147</v>
      </c>
      <c r="P52" s="859" t="s">
        <v>3147</v>
      </c>
      <c r="Q52" s="859" t="s">
        <v>3135</v>
      </c>
      <c r="R52" s="859" t="s">
        <v>3148</v>
      </c>
    </row>
    <row r="53" spans="1:18" ht="11.45" customHeight="1">
      <c r="A53" s="861" t="s">
        <v>3149</v>
      </c>
      <c r="B53" s="862"/>
      <c r="C53" s="862"/>
      <c r="D53" s="863" t="s">
        <v>3150</v>
      </c>
      <c r="E53" s="863" t="s">
        <v>3151</v>
      </c>
      <c r="F53" s="863" t="s">
        <v>3152</v>
      </c>
      <c r="G53" s="863" t="s">
        <v>3151</v>
      </c>
      <c r="H53" s="863" t="s">
        <v>3152</v>
      </c>
      <c r="I53" s="863" t="s">
        <v>3153</v>
      </c>
      <c r="J53" s="2682" t="s">
        <v>3154</v>
      </c>
      <c r="K53" s="863" t="s">
        <v>3153</v>
      </c>
      <c r="L53" s="863" t="s">
        <v>3155</v>
      </c>
      <c r="M53" s="863" t="s">
        <v>3153</v>
      </c>
      <c r="N53" s="863" t="s">
        <v>3156</v>
      </c>
      <c r="O53" s="863" t="s">
        <v>3157</v>
      </c>
      <c r="P53" s="863" t="s">
        <v>1793</v>
      </c>
      <c r="Q53" s="863" t="s">
        <v>1830</v>
      </c>
      <c r="R53" s="863" t="s">
        <v>1793</v>
      </c>
    </row>
    <row r="54" spans="1:18" ht="12" customHeight="1">
      <c r="A54" s="2598"/>
      <c r="B54" s="2599"/>
      <c r="C54" s="2600"/>
      <c r="D54" s="864"/>
      <c r="E54" s="2666"/>
      <c r="F54" s="2667"/>
      <c r="G54" s="2666"/>
      <c r="H54" s="2667"/>
      <c r="I54" s="865"/>
      <c r="J54" s="866"/>
      <c r="K54" s="2666"/>
      <c r="L54" s="2673" t="str">
        <f>IF(OR(E54="",F54=""),"",MIN(G54/E54,H54/F54))</f>
        <v/>
      </c>
      <c r="M54" s="2667" t="str">
        <f>IF(OR(E54="",F54=""),"",K54*L54)</f>
        <v/>
      </c>
      <c r="N54" s="864"/>
      <c r="O54" s="867"/>
      <c r="P54" s="865" t="str">
        <f>IF(OR(M54="",O54=""),"",M54*O54)</f>
        <v/>
      </c>
      <c r="Q54" s="2666" t="str">
        <f>IF(M54="","",ROUND(M54,0))</f>
        <v/>
      </c>
      <c r="R54" s="2667" t="str">
        <f>IF(P54="","",ROUND(P54,0))</f>
        <v/>
      </c>
    </row>
    <row r="55" spans="1:18" ht="12" customHeight="1">
      <c r="A55" s="2581"/>
      <c r="B55" s="2582"/>
      <c r="C55" s="2583"/>
      <c r="D55" s="868"/>
      <c r="E55" s="2668"/>
      <c r="F55" s="2669"/>
      <c r="G55" s="2668"/>
      <c r="H55" s="2669"/>
      <c r="I55" s="869"/>
      <c r="J55" s="870"/>
      <c r="K55" s="2668"/>
      <c r="L55" s="2674" t="str">
        <f t="shared" ref="L55:L88" si="5">IF(OR(E55="",F55=""),"",MIN(G55/E55,H55/F55))</f>
        <v/>
      </c>
      <c r="M55" s="2669" t="str">
        <f t="shared" ref="M55:M88" si="6">IF(OR(E55="",F55=""),"",K55*L55)</f>
        <v/>
      </c>
      <c r="N55" s="868"/>
      <c r="O55" s="871"/>
      <c r="P55" s="869" t="str">
        <f t="shared" ref="P55:P88" si="7">IF(OR(M55="",O55=""),"",M55*O55)</f>
        <v/>
      </c>
      <c r="Q55" s="2668" t="str">
        <f t="shared" ref="Q55:Q88" si="8">IF(M55="","",ROUND(M55,0))</f>
        <v/>
      </c>
      <c r="R55" s="2669" t="str">
        <f t="shared" ref="R55:R88" si="9">IF(P55="","",ROUND(P55,0))</f>
        <v/>
      </c>
    </row>
    <row r="56" spans="1:18" ht="12" customHeight="1">
      <c r="A56" s="2581"/>
      <c r="B56" s="2582"/>
      <c r="C56" s="2583"/>
      <c r="D56" s="868"/>
      <c r="E56" s="2668"/>
      <c r="F56" s="2669"/>
      <c r="G56" s="2668"/>
      <c r="H56" s="2669"/>
      <c r="I56" s="869"/>
      <c r="J56" s="870"/>
      <c r="K56" s="2668"/>
      <c r="L56" s="2674" t="str">
        <f t="shared" si="5"/>
        <v/>
      </c>
      <c r="M56" s="2669" t="str">
        <f t="shared" si="6"/>
        <v/>
      </c>
      <c r="N56" s="868"/>
      <c r="O56" s="871"/>
      <c r="P56" s="869" t="str">
        <f t="shared" si="7"/>
        <v/>
      </c>
      <c r="Q56" s="2668" t="str">
        <f t="shared" si="8"/>
        <v/>
      </c>
      <c r="R56" s="2669" t="str">
        <f t="shared" si="9"/>
        <v/>
      </c>
    </row>
    <row r="57" spans="1:18" ht="12" customHeight="1">
      <c r="A57" s="2581"/>
      <c r="B57" s="2582"/>
      <c r="C57" s="2583"/>
      <c r="D57" s="868"/>
      <c r="E57" s="2668"/>
      <c r="F57" s="2669"/>
      <c r="G57" s="2668"/>
      <c r="H57" s="2669"/>
      <c r="I57" s="869"/>
      <c r="J57" s="870"/>
      <c r="K57" s="2668"/>
      <c r="L57" s="2674" t="str">
        <f t="shared" si="5"/>
        <v/>
      </c>
      <c r="M57" s="2669" t="str">
        <f t="shared" si="6"/>
        <v/>
      </c>
      <c r="N57" s="868"/>
      <c r="O57" s="871"/>
      <c r="P57" s="869" t="str">
        <f t="shared" si="7"/>
        <v/>
      </c>
      <c r="Q57" s="2668" t="str">
        <f t="shared" si="8"/>
        <v/>
      </c>
      <c r="R57" s="2669" t="str">
        <f t="shared" si="9"/>
        <v/>
      </c>
    </row>
    <row r="58" spans="1:18" ht="12" customHeight="1">
      <c r="A58" s="2581"/>
      <c r="B58" s="2582"/>
      <c r="C58" s="2583"/>
      <c r="D58" s="868"/>
      <c r="E58" s="2668"/>
      <c r="F58" s="2669"/>
      <c r="G58" s="2668"/>
      <c r="H58" s="2669"/>
      <c r="I58" s="869"/>
      <c r="J58" s="870"/>
      <c r="K58" s="2668"/>
      <c r="L58" s="2674" t="str">
        <f t="shared" si="5"/>
        <v/>
      </c>
      <c r="M58" s="2669" t="str">
        <f t="shared" si="6"/>
        <v/>
      </c>
      <c r="N58" s="868"/>
      <c r="O58" s="871"/>
      <c r="P58" s="869" t="str">
        <f t="shared" si="7"/>
        <v/>
      </c>
      <c r="Q58" s="2668" t="str">
        <f t="shared" si="8"/>
        <v/>
      </c>
      <c r="R58" s="2669" t="str">
        <f t="shared" si="9"/>
        <v/>
      </c>
    </row>
    <row r="59" spans="1:18" ht="12" customHeight="1">
      <c r="A59" s="2581"/>
      <c r="B59" s="2582"/>
      <c r="C59" s="2583"/>
      <c r="D59" s="868"/>
      <c r="E59" s="2668"/>
      <c r="F59" s="2669"/>
      <c r="G59" s="2668"/>
      <c r="H59" s="2669"/>
      <c r="I59" s="869"/>
      <c r="J59" s="870"/>
      <c r="K59" s="2668"/>
      <c r="L59" s="2674" t="str">
        <f t="shared" si="5"/>
        <v/>
      </c>
      <c r="M59" s="2669" t="str">
        <f t="shared" si="6"/>
        <v/>
      </c>
      <c r="N59" s="868"/>
      <c r="O59" s="871"/>
      <c r="P59" s="869" t="str">
        <f t="shared" si="7"/>
        <v/>
      </c>
      <c r="Q59" s="2668" t="str">
        <f t="shared" si="8"/>
        <v/>
      </c>
      <c r="R59" s="2669" t="str">
        <f t="shared" si="9"/>
        <v/>
      </c>
    </row>
    <row r="60" spans="1:18" ht="12" customHeight="1">
      <c r="A60" s="2581"/>
      <c r="B60" s="2582"/>
      <c r="C60" s="2583"/>
      <c r="D60" s="868"/>
      <c r="E60" s="2668"/>
      <c r="F60" s="2669"/>
      <c r="G60" s="2668"/>
      <c r="H60" s="2669"/>
      <c r="I60" s="869"/>
      <c r="J60" s="870"/>
      <c r="K60" s="2668"/>
      <c r="L60" s="2674" t="str">
        <f t="shared" si="5"/>
        <v/>
      </c>
      <c r="M60" s="2669" t="str">
        <f t="shared" si="6"/>
        <v/>
      </c>
      <c r="N60" s="868"/>
      <c r="O60" s="871"/>
      <c r="P60" s="869" t="str">
        <f t="shared" si="7"/>
        <v/>
      </c>
      <c r="Q60" s="2668" t="str">
        <f t="shared" si="8"/>
        <v/>
      </c>
      <c r="R60" s="2669" t="str">
        <f t="shared" si="9"/>
        <v/>
      </c>
    </row>
    <row r="61" spans="1:18" ht="12" customHeight="1">
      <c r="A61" s="2581"/>
      <c r="B61" s="2582"/>
      <c r="C61" s="2583"/>
      <c r="D61" s="868"/>
      <c r="E61" s="2668"/>
      <c r="F61" s="2669"/>
      <c r="G61" s="2668"/>
      <c r="H61" s="2669"/>
      <c r="I61" s="869"/>
      <c r="J61" s="870"/>
      <c r="K61" s="2668"/>
      <c r="L61" s="2674" t="str">
        <f t="shared" si="5"/>
        <v/>
      </c>
      <c r="M61" s="2669" t="str">
        <f t="shared" si="6"/>
        <v/>
      </c>
      <c r="N61" s="868"/>
      <c r="O61" s="871"/>
      <c r="P61" s="869" t="str">
        <f t="shared" si="7"/>
        <v/>
      </c>
      <c r="Q61" s="2668" t="str">
        <f t="shared" si="8"/>
        <v/>
      </c>
      <c r="R61" s="2669" t="str">
        <f t="shared" si="9"/>
        <v/>
      </c>
    </row>
    <row r="62" spans="1:18" ht="12" customHeight="1">
      <c r="A62" s="2581"/>
      <c r="B62" s="2582"/>
      <c r="C62" s="2583"/>
      <c r="D62" s="868"/>
      <c r="E62" s="2668"/>
      <c r="F62" s="2669"/>
      <c r="G62" s="2668"/>
      <c r="H62" s="2669"/>
      <c r="I62" s="869"/>
      <c r="J62" s="870"/>
      <c r="K62" s="2668"/>
      <c r="L62" s="2674" t="str">
        <f t="shared" si="5"/>
        <v/>
      </c>
      <c r="M62" s="2669" t="str">
        <f t="shared" si="6"/>
        <v/>
      </c>
      <c r="N62" s="868"/>
      <c r="O62" s="871"/>
      <c r="P62" s="869" t="str">
        <f t="shared" si="7"/>
        <v/>
      </c>
      <c r="Q62" s="2668" t="str">
        <f t="shared" si="8"/>
        <v/>
      </c>
      <c r="R62" s="2669" t="str">
        <f t="shared" si="9"/>
        <v/>
      </c>
    </row>
    <row r="63" spans="1:18" ht="12" customHeight="1">
      <c r="A63" s="2581"/>
      <c r="B63" s="2582"/>
      <c r="C63" s="2583"/>
      <c r="D63" s="868"/>
      <c r="E63" s="2668"/>
      <c r="F63" s="2669"/>
      <c r="G63" s="2668"/>
      <c r="H63" s="2669"/>
      <c r="I63" s="869"/>
      <c r="J63" s="870"/>
      <c r="K63" s="2668"/>
      <c r="L63" s="2674" t="str">
        <f t="shared" si="5"/>
        <v/>
      </c>
      <c r="M63" s="2669" t="str">
        <f t="shared" si="6"/>
        <v/>
      </c>
      <c r="N63" s="868"/>
      <c r="O63" s="871"/>
      <c r="P63" s="869" t="str">
        <f t="shared" si="7"/>
        <v/>
      </c>
      <c r="Q63" s="2668" t="str">
        <f t="shared" si="8"/>
        <v/>
      </c>
      <c r="R63" s="2669" t="str">
        <f t="shared" si="9"/>
        <v/>
      </c>
    </row>
    <row r="64" spans="1:18" ht="12" customHeight="1">
      <c r="A64" s="2581"/>
      <c r="B64" s="2582"/>
      <c r="C64" s="2583"/>
      <c r="D64" s="868"/>
      <c r="E64" s="2668"/>
      <c r="F64" s="2669"/>
      <c r="G64" s="2668"/>
      <c r="H64" s="2669"/>
      <c r="I64" s="869"/>
      <c r="J64" s="870"/>
      <c r="K64" s="2668"/>
      <c r="L64" s="2674" t="str">
        <f t="shared" si="5"/>
        <v/>
      </c>
      <c r="M64" s="2669" t="str">
        <f t="shared" si="6"/>
        <v/>
      </c>
      <c r="N64" s="868"/>
      <c r="O64" s="871"/>
      <c r="P64" s="869" t="str">
        <f t="shared" si="7"/>
        <v/>
      </c>
      <c r="Q64" s="2668" t="str">
        <f t="shared" si="8"/>
        <v/>
      </c>
      <c r="R64" s="2669" t="str">
        <f t="shared" si="9"/>
        <v/>
      </c>
    </row>
    <row r="65" spans="1:18" ht="12" customHeight="1">
      <c r="A65" s="2581"/>
      <c r="B65" s="2582"/>
      <c r="C65" s="2583"/>
      <c r="D65" s="868"/>
      <c r="E65" s="2668"/>
      <c r="F65" s="2669"/>
      <c r="G65" s="2668"/>
      <c r="H65" s="2669"/>
      <c r="I65" s="869"/>
      <c r="J65" s="870"/>
      <c r="K65" s="2668"/>
      <c r="L65" s="2674" t="str">
        <f t="shared" si="5"/>
        <v/>
      </c>
      <c r="M65" s="2669" t="str">
        <f t="shared" si="6"/>
        <v/>
      </c>
      <c r="N65" s="868"/>
      <c r="O65" s="871"/>
      <c r="P65" s="869" t="str">
        <f t="shared" si="7"/>
        <v/>
      </c>
      <c r="Q65" s="2668" t="str">
        <f t="shared" si="8"/>
        <v/>
      </c>
      <c r="R65" s="2669" t="str">
        <f t="shared" si="9"/>
        <v/>
      </c>
    </row>
    <row r="66" spans="1:18" ht="12" customHeight="1">
      <c r="A66" s="2581"/>
      <c r="B66" s="2582"/>
      <c r="C66" s="2583"/>
      <c r="D66" s="868"/>
      <c r="E66" s="2668"/>
      <c r="F66" s="2669"/>
      <c r="G66" s="2668"/>
      <c r="H66" s="2669"/>
      <c r="I66" s="869"/>
      <c r="J66" s="870"/>
      <c r="K66" s="2668"/>
      <c r="L66" s="2674" t="str">
        <f t="shared" si="5"/>
        <v/>
      </c>
      <c r="M66" s="2669" t="str">
        <f t="shared" si="6"/>
        <v/>
      </c>
      <c r="N66" s="868"/>
      <c r="O66" s="871"/>
      <c r="P66" s="869" t="str">
        <f t="shared" si="7"/>
        <v/>
      </c>
      <c r="Q66" s="2668" t="str">
        <f t="shared" si="8"/>
        <v/>
      </c>
      <c r="R66" s="2669" t="str">
        <f t="shared" si="9"/>
        <v/>
      </c>
    </row>
    <row r="67" spans="1:18" ht="12" customHeight="1">
      <c r="A67" s="2581"/>
      <c r="B67" s="2582"/>
      <c r="C67" s="2583"/>
      <c r="D67" s="868"/>
      <c r="E67" s="2668"/>
      <c r="F67" s="2669"/>
      <c r="G67" s="2668"/>
      <c r="H67" s="2669"/>
      <c r="I67" s="869"/>
      <c r="J67" s="870"/>
      <c r="K67" s="2668"/>
      <c r="L67" s="2674" t="str">
        <f t="shared" si="5"/>
        <v/>
      </c>
      <c r="M67" s="2669" t="str">
        <f t="shared" si="6"/>
        <v/>
      </c>
      <c r="N67" s="868"/>
      <c r="O67" s="871"/>
      <c r="P67" s="869" t="str">
        <f t="shared" si="7"/>
        <v/>
      </c>
      <c r="Q67" s="2668" t="str">
        <f t="shared" si="8"/>
        <v/>
      </c>
      <c r="R67" s="2669" t="str">
        <f t="shared" si="9"/>
        <v/>
      </c>
    </row>
    <row r="68" spans="1:18" ht="12" customHeight="1">
      <c r="A68" s="2581"/>
      <c r="B68" s="2582"/>
      <c r="C68" s="2583"/>
      <c r="D68" s="868"/>
      <c r="E68" s="2668"/>
      <c r="F68" s="2669"/>
      <c r="G68" s="2668"/>
      <c r="H68" s="2669"/>
      <c r="I68" s="869"/>
      <c r="J68" s="870"/>
      <c r="K68" s="2668"/>
      <c r="L68" s="2674" t="str">
        <f t="shared" si="5"/>
        <v/>
      </c>
      <c r="M68" s="2669" t="str">
        <f t="shared" si="6"/>
        <v/>
      </c>
      <c r="N68" s="868"/>
      <c r="O68" s="871"/>
      <c r="P68" s="869" t="str">
        <f t="shared" si="7"/>
        <v/>
      </c>
      <c r="Q68" s="2668" t="str">
        <f t="shared" si="8"/>
        <v/>
      </c>
      <c r="R68" s="2669" t="str">
        <f t="shared" si="9"/>
        <v/>
      </c>
    </row>
    <row r="69" spans="1:18" ht="12" customHeight="1">
      <c r="A69" s="2581"/>
      <c r="B69" s="2582"/>
      <c r="C69" s="2583"/>
      <c r="D69" s="868"/>
      <c r="E69" s="2668"/>
      <c r="F69" s="2669"/>
      <c r="G69" s="2668"/>
      <c r="H69" s="2669"/>
      <c r="I69" s="869"/>
      <c r="J69" s="870"/>
      <c r="K69" s="2668"/>
      <c r="L69" s="2674" t="str">
        <f t="shared" si="5"/>
        <v/>
      </c>
      <c r="M69" s="2669" t="str">
        <f t="shared" si="6"/>
        <v/>
      </c>
      <c r="N69" s="868"/>
      <c r="O69" s="871"/>
      <c r="P69" s="869" t="str">
        <f t="shared" si="7"/>
        <v/>
      </c>
      <c r="Q69" s="2668" t="str">
        <f t="shared" si="8"/>
        <v/>
      </c>
      <c r="R69" s="2669" t="str">
        <f t="shared" si="9"/>
        <v/>
      </c>
    </row>
    <row r="70" spans="1:18" ht="12" customHeight="1">
      <c r="A70" s="2581"/>
      <c r="B70" s="2582"/>
      <c r="C70" s="2583"/>
      <c r="D70" s="868"/>
      <c r="E70" s="2668"/>
      <c r="F70" s="2669"/>
      <c r="G70" s="2668"/>
      <c r="H70" s="2669"/>
      <c r="I70" s="869"/>
      <c r="J70" s="870"/>
      <c r="K70" s="2668"/>
      <c r="L70" s="2674" t="str">
        <f t="shared" si="5"/>
        <v/>
      </c>
      <c r="M70" s="2669" t="str">
        <f t="shared" si="6"/>
        <v/>
      </c>
      <c r="N70" s="868"/>
      <c r="O70" s="871"/>
      <c r="P70" s="869" t="str">
        <f t="shared" si="7"/>
        <v/>
      </c>
      <c r="Q70" s="2668" t="str">
        <f t="shared" si="8"/>
        <v/>
      </c>
      <c r="R70" s="2669" t="str">
        <f t="shared" si="9"/>
        <v/>
      </c>
    </row>
    <row r="71" spans="1:18" ht="12" customHeight="1">
      <c r="A71" s="2581"/>
      <c r="B71" s="2582"/>
      <c r="C71" s="2583"/>
      <c r="D71" s="868"/>
      <c r="E71" s="2668"/>
      <c r="F71" s="2669"/>
      <c r="G71" s="2668"/>
      <c r="H71" s="2669"/>
      <c r="I71" s="869"/>
      <c r="J71" s="870"/>
      <c r="K71" s="2668"/>
      <c r="L71" s="2674" t="str">
        <f t="shared" si="5"/>
        <v/>
      </c>
      <c r="M71" s="2669" t="str">
        <f t="shared" si="6"/>
        <v/>
      </c>
      <c r="N71" s="868"/>
      <c r="O71" s="871"/>
      <c r="P71" s="869" t="str">
        <f t="shared" si="7"/>
        <v/>
      </c>
      <c r="Q71" s="2668" t="str">
        <f t="shared" si="8"/>
        <v/>
      </c>
      <c r="R71" s="2669" t="str">
        <f t="shared" si="9"/>
        <v/>
      </c>
    </row>
    <row r="72" spans="1:18" ht="12" customHeight="1">
      <c r="A72" s="2581"/>
      <c r="B72" s="2582"/>
      <c r="C72" s="2583"/>
      <c r="D72" s="868"/>
      <c r="E72" s="2668"/>
      <c r="F72" s="2669"/>
      <c r="G72" s="2668"/>
      <c r="H72" s="2669"/>
      <c r="I72" s="869"/>
      <c r="J72" s="870"/>
      <c r="K72" s="2668"/>
      <c r="L72" s="2674" t="str">
        <f t="shared" si="5"/>
        <v/>
      </c>
      <c r="M72" s="2669" t="str">
        <f t="shared" si="6"/>
        <v/>
      </c>
      <c r="N72" s="868"/>
      <c r="O72" s="871"/>
      <c r="P72" s="869" t="str">
        <f t="shared" si="7"/>
        <v/>
      </c>
      <c r="Q72" s="2668" t="str">
        <f t="shared" si="8"/>
        <v/>
      </c>
      <c r="R72" s="2669" t="str">
        <f t="shared" si="9"/>
        <v/>
      </c>
    </row>
    <row r="73" spans="1:18" ht="12" customHeight="1">
      <c r="A73" s="2581"/>
      <c r="B73" s="2582"/>
      <c r="C73" s="2583"/>
      <c r="D73" s="868"/>
      <c r="E73" s="2668"/>
      <c r="F73" s="2669"/>
      <c r="G73" s="2668"/>
      <c r="H73" s="2669"/>
      <c r="I73" s="869"/>
      <c r="J73" s="870"/>
      <c r="K73" s="2668"/>
      <c r="L73" s="2674" t="str">
        <f t="shared" si="5"/>
        <v/>
      </c>
      <c r="M73" s="2669" t="str">
        <f t="shared" si="6"/>
        <v/>
      </c>
      <c r="N73" s="868"/>
      <c r="O73" s="871"/>
      <c r="P73" s="869" t="str">
        <f t="shared" si="7"/>
        <v/>
      </c>
      <c r="Q73" s="2668" t="str">
        <f t="shared" si="8"/>
        <v/>
      </c>
      <c r="R73" s="2669" t="str">
        <f t="shared" si="9"/>
        <v/>
      </c>
    </row>
    <row r="74" spans="1:18" ht="12" customHeight="1">
      <c r="A74" s="2581"/>
      <c r="B74" s="2582"/>
      <c r="C74" s="2583"/>
      <c r="D74" s="868"/>
      <c r="E74" s="2668"/>
      <c r="F74" s="2669"/>
      <c r="G74" s="2668"/>
      <c r="H74" s="2669"/>
      <c r="I74" s="869"/>
      <c r="J74" s="870"/>
      <c r="K74" s="2668"/>
      <c r="L74" s="2674" t="str">
        <f t="shared" si="5"/>
        <v/>
      </c>
      <c r="M74" s="2669" t="str">
        <f t="shared" si="6"/>
        <v/>
      </c>
      <c r="N74" s="868"/>
      <c r="O74" s="871"/>
      <c r="P74" s="869" t="str">
        <f t="shared" si="7"/>
        <v/>
      </c>
      <c r="Q74" s="2668" t="str">
        <f t="shared" si="8"/>
        <v/>
      </c>
      <c r="R74" s="2669" t="str">
        <f t="shared" si="9"/>
        <v/>
      </c>
    </row>
    <row r="75" spans="1:18" ht="12" customHeight="1">
      <c r="A75" s="2581"/>
      <c r="B75" s="2582"/>
      <c r="C75" s="2583"/>
      <c r="D75" s="868"/>
      <c r="E75" s="2668"/>
      <c r="F75" s="2669"/>
      <c r="G75" s="2668"/>
      <c r="H75" s="2669"/>
      <c r="I75" s="869"/>
      <c r="J75" s="870"/>
      <c r="K75" s="2668"/>
      <c r="L75" s="2674" t="str">
        <f t="shared" si="5"/>
        <v/>
      </c>
      <c r="M75" s="2669" t="str">
        <f t="shared" si="6"/>
        <v/>
      </c>
      <c r="N75" s="868"/>
      <c r="O75" s="871"/>
      <c r="P75" s="869" t="str">
        <f t="shared" si="7"/>
        <v/>
      </c>
      <c r="Q75" s="2668" t="str">
        <f t="shared" si="8"/>
        <v/>
      </c>
      <c r="R75" s="2669" t="str">
        <f t="shared" si="9"/>
        <v/>
      </c>
    </row>
    <row r="76" spans="1:18" ht="12" customHeight="1">
      <c r="A76" s="2581"/>
      <c r="B76" s="2582"/>
      <c r="C76" s="2583"/>
      <c r="D76" s="868"/>
      <c r="E76" s="2668"/>
      <c r="F76" s="2669"/>
      <c r="G76" s="2668"/>
      <c r="H76" s="2669"/>
      <c r="I76" s="869"/>
      <c r="J76" s="870"/>
      <c r="K76" s="2668"/>
      <c r="L76" s="2674" t="str">
        <f t="shared" si="5"/>
        <v/>
      </c>
      <c r="M76" s="2669" t="str">
        <f t="shared" si="6"/>
        <v/>
      </c>
      <c r="N76" s="868"/>
      <c r="O76" s="871"/>
      <c r="P76" s="869" t="str">
        <f t="shared" si="7"/>
        <v/>
      </c>
      <c r="Q76" s="2668" t="str">
        <f t="shared" si="8"/>
        <v/>
      </c>
      <c r="R76" s="2669" t="str">
        <f t="shared" si="9"/>
        <v/>
      </c>
    </row>
    <row r="77" spans="1:18" ht="12" customHeight="1">
      <c r="A77" s="2581"/>
      <c r="B77" s="2582"/>
      <c r="C77" s="2583"/>
      <c r="D77" s="868"/>
      <c r="E77" s="2668"/>
      <c r="F77" s="2669"/>
      <c r="G77" s="2668"/>
      <c r="H77" s="2669"/>
      <c r="I77" s="869"/>
      <c r="J77" s="870"/>
      <c r="K77" s="2668"/>
      <c r="L77" s="2674" t="str">
        <f t="shared" si="5"/>
        <v/>
      </c>
      <c r="M77" s="2669" t="str">
        <f t="shared" si="6"/>
        <v/>
      </c>
      <c r="N77" s="868"/>
      <c r="O77" s="871"/>
      <c r="P77" s="869" t="str">
        <f t="shared" si="7"/>
        <v/>
      </c>
      <c r="Q77" s="2668" t="str">
        <f t="shared" si="8"/>
        <v/>
      </c>
      <c r="R77" s="2669" t="str">
        <f t="shared" si="9"/>
        <v/>
      </c>
    </row>
    <row r="78" spans="1:18" ht="12" customHeight="1">
      <c r="A78" s="2581"/>
      <c r="B78" s="2582"/>
      <c r="C78" s="2583"/>
      <c r="D78" s="868"/>
      <c r="E78" s="2668"/>
      <c r="F78" s="2669"/>
      <c r="G78" s="2668"/>
      <c r="H78" s="2669"/>
      <c r="I78" s="869"/>
      <c r="J78" s="870"/>
      <c r="K78" s="2668"/>
      <c r="L78" s="2674" t="str">
        <f t="shared" si="5"/>
        <v/>
      </c>
      <c r="M78" s="2669" t="str">
        <f t="shared" si="6"/>
        <v/>
      </c>
      <c r="N78" s="868"/>
      <c r="O78" s="871"/>
      <c r="P78" s="869" t="str">
        <f t="shared" si="7"/>
        <v/>
      </c>
      <c r="Q78" s="2668" t="str">
        <f t="shared" si="8"/>
        <v/>
      </c>
      <c r="R78" s="2669" t="str">
        <f t="shared" si="9"/>
        <v/>
      </c>
    </row>
    <row r="79" spans="1:18" ht="12" customHeight="1">
      <c r="A79" s="2581"/>
      <c r="B79" s="2582"/>
      <c r="C79" s="2583"/>
      <c r="D79" s="868"/>
      <c r="E79" s="2668"/>
      <c r="F79" s="2669"/>
      <c r="G79" s="2668"/>
      <c r="H79" s="2669"/>
      <c r="I79" s="869"/>
      <c r="J79" s="870"/>
      <c r="K79" s="2668"/>
      <c r="L79" s="2674" t="str">
        <f t="shared" si="5"/>
        <v/>
      </c>
      <c r="M79" s="2669" t="str">
        <f t="shared" si="6"/>
        <v/>
      </c>
      <c r="N79" s="868"/>
      <c r="O79" s="871"/>
      <c r="P79" s="869" t="str">
        <f t="shared" si="7"/>
        <v/>
      </c>
      <c r="Q79" s="2668" t="str">
        <f t="shared" si="8"/>
        <v/>
      </c>
      <c r="R79" s="2669" t="str">
        <f t="shared" si="9"/>
        <v/>
      </c>
    </row>
    <row r="80" spans="1:18" ht="12" customHeight="1">
      <c r="A80" s="2581"/>
      <c r="B80" s="2582"/>
      <c r="C80" s="2583"/>
      <c r="D80" s="868"/>
      <c r="E80" s="2668"/>
      <c r="F80" s="2669"/>
      <c r="G80" s="2668"/>
      <c r="H80" s="2669"/>
      <c r="I80" s="869"/>
      <c r="J80" s="870"/>
      <c r="K80" s="2668"/>
      <c r="L80" s="2674" t="str">
        <f t="shared" si="5"/>
        <v/>
      </c>
      <c r="M80" s="2669" t="str">
        <f t="shared" si="6"/>
        <v/>
      </c>
      <c r="N80" s="868"/>
      <c r="O80" s="871"/>
      <c r="P80" s="869" t="str">
        <f t="shared" si="7"/>
        <v/>
      </c>
      <c r="Q80" s="2668" t="str">
        <f t="shared" si="8"/>
        <v/>
      </c>
      <c r="R80" s="2669" t="str">
        <f t="shared" si="9"/>
        <v/>
      </c>
    </row>
    <row r="81" spans="1:18" ht="12" customHeight="1">
      <c r="A81" s="2581"/>
      <c r="B81" s="2582"/>
      <c r="C81" s="2583"/>
      <c r="D81" s="868"/>
      <c r="E81" s="2668"/>
      <c r="F81" s="2669"/>
      <c r="G81" s="2668"/>
      <c r="H81" s="2669"/>
      <c r="I81" s="869"/>
      <c r="J81" s="870"/>
      <c r="K81" s="2668"/>
      <c r="L81" s="2674" t="str">
        <f t="shared" si="5"/>
        <v/>
      </c>
      <c r="M81" s="2669" t="str">
        <f t="shared" si="6"/>
        <v/>
      </c>
      <c r="N81" s="868"/>
      <c r="O81" s="871"/>
      <c r="P81" s="869" t="str">
        <f t="shared" si="7"/>
        <v/>
      </c>
      <c r="Q81" s="2668" t="str">
        <f t="shared" si="8"/>
        <v/>
      </c>
      <c r="R81" s="2669" t="str">
        <f t="shared" si="9"/>
        <v/>
      </c>
    </row>
    <row r="82" spans="1:18" ht="12" customHeight="1">
      <c r="A82" s="2581"/>
      <c r="B82" s="2582"/>
      <c r="C82" s="2583"/>
      <c r="D82" s="868"/>
      <c r="E82" s="2668"/>
      <c r="F82" s="2669"/>
      <c r="G82" s="2668"/>
      <c r="H82" s="2669"/>
      <c r="I82" s="869"/>
      <c r="J82" s="870"/>
      <c r="K82" s="2668"/>
      <c r="L82" s="2674" t="str">
        <f t="shared" si="5"/>
        <v/>
      </c>
      <c r="M82" s="2669" t="str">
        <f t="shared" si="6"/>
        <v/>
      </c>
      <c r="N82" s="868"/>
      <c r="O82" s="871"/>
      <c r="P82" s="869" t="str">
        <f t="shared" si="7"/>
        <v/>
      </c>
      <c r="Q82" s="2668" t="str">
        <f t="shared" si="8"/>
        <v/>
      </c>
      <c r="R82" s="2669" t="str">
        <f t="shared" si="9"/>
        <v/>
      </c>
    </row>
    <row r="83" spans="1:18" ht="12" customHeight="1">
      <c r="A83" s="2581"/>
      <c r="B83" s="2582"/>
      <c r="C83" s="2583"/>
      <c r="D83" s="868"/>
      <c r="E83" s="2668"/>
      <c r="F83" s="2669"/>
      <c r="G83" s="2668"/>
      <c r="H83" s="2669"/>
      <c r="I83" s="869"/>
      <c r="J83" s="870"/>
      <c r="K83" s="2668"/>
      <c r="L83" s="2674" t="str">
        <f t="shared" si="5"/>
        <v/>
      </c>
      <c r="M83" s="2669" t="str">
        <f t="shared" si="6"/>
        <v/>
      </c>
      <c r="N83" s="868"/>
      <c r="O83" s="871"/>
      <c r="P83" s="869" t="str">
        <f t="shared" si="7"/>
        <v/>
      </c>
      <c r="Q83" s="2668" t="str">
        <f t="shared" si="8"/>
        <v/>
      </c>
      <c r="R83" s="2669" t="str">
        <f t="shared" si="9"/>
        <v/>
      </c>
    </row>
    <row r="84" spans="1:18" ht="12" customHeight="1">
      <c r="A84" s="2581"/>
      <c r="B84" s="2582"/>
      <c r="C84" s="2583"/>
      <c r="D84" s="868"/>
      <c r="E84" s="2668"/>
      <c r="F84" s="2669"/>
      <c r="G84" s="2668"/>
      <c r="H84" s="2669"/>
      <c r="I84" s="869"/>
      <c r="J84" s="870"/>
      <c r="K84" s="2668"/>
      <c r="L84" s="2674" t="str">
        <f t="shared" si="5"/>
        <v/>
      </c>
      <c r="M84" s="2669" t="str">
        <f t="shared" si="6"/>
        <v/>
      </c>
      <c r="N84" s="868"/>
      <c r="O84" s="871"/>
      <c r="P84" s="869" t="str">
        <f t="shared" si="7"/>
        <v/>
      </c>
      <c r="Q84" s="2668" t="str">
        <f t="shared" si="8"/>
        <v/>
      </c>
      <c r="R84" s="2669" t="str">
        <f t="shared" si="9"/>
        <v/>
      </c>
    </row>
    <row r="85" spans="1:18" ht="12" customHeight="1">
      <c r="A85" s="2581"/>
      <c r="B85" s="2582"/>
      <c r="C85" s="2583"/>
      <c r="D85" s="868"/>
      <c r="E85" s="2668"/>
      <c r="F85" s="2669"/>
      <c r="G85" s="2668"/>
      <c r="H85" s="2669"/>
      <c r="I85" s="869"/>
      <c r="J85" s="870"/>
      <c r="K85" s="2668"/>
      <c r="L85" s="2674" t="str">
        <f t="shared" si="5"/>
        <v/>
      </c>
      <c r="M85" s="2669" t="str">
        <f t="shared" si="6"/>
        <v/>
      </c>
      <c r="N85" s="868"/>
      <c r="O85" s="871"/>
      <c r="P85" s="869" t="str">
        <f t="shared" si="7"/>
        <v/>
      </c>
      <c r="Q85" s="2668" t="str">
        <f t="shared" si="8"/>
        <v/>
      </c>
      <c r="R85" s="2669" t="str">
        <f t="shared" si="9"/>
        <v/>
      </c>
    </row>
    <row r="86" spans="1:18" ht="12" customHeight="1">
      <c r="A86" s="2581"/>
      <c r="B86" s="2582"/>
      <c r="C86" s="2583"/>
      <c r="D86" s="868"/>
      <c r="E86" s="2668"/>
      <c r="F86" s="2669"/>
      <c r="G86" s="2668"/>
      <c r="H86" s="2669"/>
      <c r="I86" s="869"/>
      <c r="J86" s="870"/>
      <c r="K86" s="2668"/>
      <c r="L86" s="2674" t="str">
        <f t="shared" si="5"/>
        <v/>
      </c>
      <c r="M86" s="2669" t="str">
        <f t="shared" si="6"/>
        <v/>
      </c>
      <c r="N86" s="868"/>
      <c r="O86" s="871"/>
      <c r="P86" s="869" t="str">
        <f t="shared" si="7"/>
        <v/>
      </c>
      <c r="Q86" s="2668" t="str">
        <f t="shared" si="8"/>
        <v/>
      </c>
      <c r="R86" s="2669" t="str">
        <f t="shared" si="9"/>
        <v/>
      </c>
    </row>
    <row r="87" spans="1:18" ht="12" customHeight="1">
      <c r="A87" s="2581"/>
      <c r="B87" s="2582"/>
      <c r="C87" s="2583"/>
      <c r="D87" s="868"/>
      <c r="E87" s="2668"/>
      <c r="F87" s="2669"/>
      <c r="G87" s="2668"/>
      <c r="H87" s="2669"/>
      <c r="I87" s="869"/>
      <c r="J87" s="870"/>
      <c r="K87" s="2668"/>
      <c r="L87" s="2674" t="str">
        <f t="shared" si="5"/>
        <v/>
      </c>
      <c r="M87" s="2669" t="str">
        <f t="shared" si="6"/>
        <v/>
      </c>
      <c r="N87" s="868"/>
      <c r="O87" s="871"/>
      <c r="P87" s="869" t="str">
        <f t="shared" si="7"/>
        <v/>
      </c>
      <c r="Q87" s="2668" t="str">
        <f t="shared" si="8"/>
        <v/>
      </c>
      <c r="R87" s="2669" t="str">
        <f t="shared" si="9"/>
        <v/>
      </c>
    </row>
    <row r="88" spans="1:18" ht="12" customHeight="1">
      <c r="A88" s="2584"/>
      <c r="B88" s="2585"/>
      <c r="C88" s="2586"/>
      <c r="D88" s="872"/>
      <c r="E88" s="2670"/>
      <c r="F88" s="2671"/>
      <c r="G88" s="2670"/>
      <c r="H88" s="2671"/>
      <c r="I88" s="873"/>
      <c r="J88" s="874"/>
      <c r="K88" s="2670"/>
      <c r="L88" s="2675" t="str">
        <f t="shared" si="5"/>
        <v/>
      </c>
      <c r="M88" s="2671" t="str">
        <f t="shared" si="6"/>
        <v/>
      </c>
      <c r="N88" s="872"/>
      <c r="O88" s="875"/>
      <c r="P88" s="873" t="str">
        <f t="shared" si="7"/>
        <v/>
      </c>
      <c r="Q88" s="2670" t="str">
        <f t="shared" si="8"/>
        <v/>
      </c>
      <c r="R88" s="2671" t="str">
        <f t="shared" si="9"/>
        <v/>
      </c>
    </row>
    <row r="89" spans="1:18" ht="12.6" customHeight="1">
      <c r="A89" s="850" t="s">
        <v>3160</v>
      </c>
      <c r="B89" s="876"/>
      <c r="C89" s="876"/>
      <c r="D89" s="877"/>
      <c r="E89" s="878">
        <f>SUM(E54:E88)</f>
        <v>0</v>
      </c>
      <c r="F89" s="878">
        <f>SUM(F54:F88)</f>
        <v>0</v>
      </c>
      <c r="G89" s="878">
        <f>SUM(G54:G88)</f>
        <v>0</v>
      </c>
      <c r="H89" s="878">
        <f>SUM(H54:H88)</f>
        <v>0</v>
      </c>
      <c r="I89" s="878">
        <f>SUM(I54:I88)</f>
        <v>0</v>
      </c>
      <c r="J89" s="879"/>
      <c r="K89" s="878">
        <f>SUM(K54:K88)</f>
        <v>0</v>
      </c>
      <c r="L89" s="880"/>
      <c r="M89" s="878">
        <f>SUM(M54:M88)</f>
        <v>0</v>
      </c>
      <c r="N89" s="877"/>
      <c r="O89" s="880"/>
      <c r="P89" s="878">
        <f>SUM(P54:P88)</f>
        <v>0</v>
      </c>
      <c r="Q89" s="878">
        <f>SUM(Q54:Q88)</f>
        <v>0</v>
      </c>
      <c r="R89" s="878">
        <f>SUM(R54:R88)</f>
        <v>0</v>
      </c>
    </row>
    <row r="90" spans="1:18" s="846" customFormat="1" ht="12.6" customHeight="1">
      <c r="A90" s="850" t="s">
        <v>3128</v>
      </c>
      <c r="C90" s="2587" t="str">
        <f>C4</f>
        <v>Rehabilitation</v>
      </c>
      <c r="D90" s="2588"/>
      <c r="E90" s="2588"/>
      <c r="F90" s="854"/>
      <c r="G90" s="855"/>
      <c r="H90" s="855"/>
      <c r="I90" s="855"/>
      <c r="L90" s="848"/>
      <c r="M90" s="848"/>
      <c r="N90" s="848"/>
    </row>
    <row r="91" spans="1:18" s="846" customFormat="1" ht="12.6" customHeight="1">
      <c r="A91" s="2625" t="s">
        <v>3129</v>
      </c>
      <c r="B91" s="2625"/>
      <c r="C91" s="2625"/>
      <c r="D91" s="2625"/>
      <c r="E91" s="2625"/>
      <c r="F91" s="2625"/>
      <c r="G91" s="2625"/>
      <c r="H91" s="2625"/>
      <c r="I91" s="2625"/>
      <c r="J91" s="2625"/>
      <c r="K91" s="2625"/>
      <c r="L91" s="2625"/>
      <c r="M91" s="2625"/>
      <c r="N91" s="2625"/>
      <c r="O91" s="2625"/>
      <c r="P91" s="2625"/>
      <c r="Q91" s="2625"/>
      <c r="R91" s="2625"/>
    </row>
    <row r="92" spans="1:18" s="856" customFormat="1" ht="12" customHeight="1">
      <c r="A92" s="2676"/>
      <c r="B92" s="858"/>
      <c r="C92" s="858"/>
      <c r="D92" s="859"/>
      <c r="E92" s="2689" t="s">
        <v>503</v>
      </c>
      <c r="F92" s="2690"/>
      <c r="G92" s="2690"/>
      <c r="H92" s="2691"/>
      <c r="I92" s="2678"/>
      <c r="J92" s="2679"/>
      <c r="K92" s="2687" t="s">
        <v>3135</v>
      </c>
      <c r="L92" s="2687"/>
      <c r="M92" s="2687"/>
      <c r="N92" s="859" t="s">
        <v>861</v>
      </c>
      <c r="O92" s="2677"/>
      <c r="P92" s="2677"/>
      <c r="Q92" s="2683" t="s">
        <v>3131</v>
      </c>
      <c r="R92" s="2684"/>
    </row>
    <row r="93" spans="1:18" s="856" customFormat="1" ht="12" customHeight="1">
      <c r="A93" s="857"/>
      <c r="B93" s="858"/>
      <c r="C93" s="858"/>
      <c r="D93" s="859" t="s">
        <v>496</v>
      </c>
      <c r="E93" s="2692" t="s">
        <v>3132</v>
      </c>
      <c r="F93" s="2693"/>
      <c r="G93" s="2692" t="s">
        <v>1902</v>
      </c>
      <c r="H93" s="2693"/>
      <c r="I93" s="859" t="s">
        <v>3135</v>
      </c>
      <c r="J93" s="2680" t="s">
        <v>3136</v>
      </c>
      <c r="K93" s="2688"/>
      <c r="L93" s="2688"/>
      <c r="M93" s="2688"/>
      <c r="N93" s="859" t="s">
        <v>3137</v>
      </c>
      <c r="O93" s="859" t="s">
        <v>3138</v>
      </c>
      <c r="P93" s="859" t="s">
        <v>3139</v>
      </c>
      <c r="Q93" s="2685"/>
      <c r="R93" s="2686"/>
    </row>
    <row r="94" spans="1:18" ht="11.45" customHeight="1">
      <c r="A94" s="857"/>
      <c r="B94" s="858"/>
      <c r="C94" s="858"/>
      <c r="D94" s="859" t="s">
        <v>3140</v>
      </c>
      <c r="E94" s="2681" t="s">
        <v>152</v>
      </c>
      <c r="F94" s="859" t="s">
        <v>3110</v>
      </c>
      <c r="G94" s="2681" t="s">
        <v>152</v>
      </c>
      <c r="H94" s="859" t="s">
        <v>3110</v>
      </c>
      <c r="I94" s="859" t="s">
        <v>3142</v>
      </c>
      <c r="J94" s="2680"/>
      <c r="K94" s="2672" t="s">
        <v>3143</v>
      </c>
      <c r="L94" s="2672" t="s">
        <v>3144</v>
      </c>
      <c r="M94" s="2672" t="s">
        <v>3145</v>
      </c>
      <c r="N94" s="859" t="s">
        <v>3146</v>
      </c>
      <c r="O94" s="859" t="s">
        <v>3147</v>
      </c>
      <c r="P94" s="859" t="s">
        <v>3147</v>
      </c>
      <c r="Q94" s="859" t="s">
        <v>3135</v>
      </c>
      <c r="R94" s="859" t="s">
        <v>3148</v>
      </c>
    </row>
    <row r="95" spans="1:18" ht="11.45" customHeight="1">
      <c r="A95" s="861" t="s">
        <v>3149</v>
      </c>
      <c r="B95" s="862"/>
      <c r="C95" s="862"/>
      <c r="D95" s="863" t="s">
        <v>3150</v>
      </c>
      <c r="E95" s="863" t="s">
        <v>3151</v>
      </c>
      <c r="F95" s="863" t="s">
        <v>3152</v>
      </c>
      <c r="G95" s="863" t="s">
        <v>3151</v>
      </c>
      <c r="H95" s="863" t="s">
        <v>3152</v>
      </c>
      <c r="I95" s="863" t="s">
        <v>3153</v>
      </c>
      <c r="J95" s="2682" t="s">
        <v>3154</v>
      </c>
      <c r="K95" s="863" t="s">
        <v>3153</v>
      </c>
      <c r="L95" s="863" t="s">
        <v>3155</v>
      </c>
      <c r="M95" s="863" t="s">
        <v>3153</v>
      </c>
      <c r="N95" s="863" t="s">
        <v>3156</v>
      </c>
      <c r="O95" s="863" t="s">
        <v>3157</v>
      </c>
      <c r="P95" s="863" t="s">
        <v>1793</v>
      </c>
      <c r="Q95" s="863" t="s">
        <v>1830</v>
      </c>
      <c r="R95" s="863" t="s">
        <v>1793</v>
      </c>
    </row>
    <row r="96" spans="1:18" ht="12" customHeight="1">
      <c r="A96" s="2598"/>
      <c r="B96" s="2599"/>
      <c r="C96" s="2600"/>
      <c r="D96" s="864"/>
      <c r="E96" s="2666"/>
      <c r="F96" s="2667"/>
      <c r="G96" s="2666"/>
      <c r="H96" s="2667"/>
      <c r="I96" s="865"/>
      <c r="J96" s="866"/>
      <c r="K96" s="2666"/>
      <c r="L96" s="2673" t="str">
        <f>IF(OR(E96="",F96=""),"",MIN(G96/E96,H96/F96))</f>
        <v/>
      </c>
      <c r="M96" s="2667" t="str">
        <f>IF(OR(E96="",F96=""),"",K96*L96)</f>
        <v/>
      </c>
      <c r="N96" s="864"/>
      <c r="O96" s="867"/>
      <c r="P96" s="865" t="str">
        <f>IF(OR(M96="",O96=""),"",M96*O96)</f>
        <v/>
      </c>
      <c r="Q96" s="2666" t="str">
        <f>IF(M96="","",ROUND(M96,0))</f>
        <v/>
      </c>
      <c r="R96" s="2667" t="str">
        <f>IF(P96="","",ROUND(P96,0))</f>
        <v/>
      </c>
    </row>
    <row r="97" spans="1:18" ht="12" customHeight="1">
      <c r="A97" s="2581"/>
      <c r="B97" s="2582"/>
      <c r="C97" s="2583"/>
      <c r="D97" s="868"/>
      <c r="E97" s="2668"/>
      <c r="F97" s="2669"/>
      <c r="G97" s="2668"/>
      <c r="H97" s="2669"/>
      <c r="I97" s="869"/>
      <c r="J97" s="870"/>
      <c r="K97" s="2668"/>
      <c r="L97" s="2674" t="str">
        <f t="shared" ref="L97:L130" si="10">IF(OR(E97="",F97=""),"",MIN(G97/E97,H97/F97))</f>
        <v/>
      </c>
      <c r="M97" s="2669" t="str">
        <f t="shared" ref="M97:M130" si="11">IF(OR(E97="",F97=""),"",K97*L97)</f>
        <v/>
      </c>
      <c r="N97" s="868"/>
      <c r="O97" s="871"/>
      <c r="P97" s="869" t="str">
        <f t="shared" ref="P97:P130" si="12">IF(OR(M97="",O97=""),"",M97*O97)</f>
        <v/>
      </c>
      <c r="Q97" s="2668" t="str">
        <f t="shared" ref="Q97:Q130" si="13">IF(M97="","",ROUND(M97,0))</f>
        <v/>
      </c>
      <c r="R97" s="2669" t="str">
        <f t="shared" ref="R97:R130" si="14">IF(P97="","",ROUND(P97,0))</f>
        <v/>
      </c>
    </row>
    <row r="98" spans="1:18" ht="12" customHeight="1">
      <c r="A98" s="2581"/>
      <c r="B98" s="2582"/>
      <c r="C98" s="2583"/>
      <c r="D98" s="868"/>
      <c r="E98" s="2668"/>
      <c r="F98" s="2669"/>
      <c r="G98" s="2668"/>
      <c r="H98" s="2669"/>
      <c r="I98" s="869"/>
      <c r="J98" s="870"/>
      <c r="K98" s="2668"/>
      <c r="L98" s="2674" t="str">
        <f t="shared" si="10"/>
        <v/>
      </c>
      <c r="M98" s="2669" t="str">
        <f t="shared" si="11"/>
        <v/>
      </c>
      <c r="N98" s="868"/>
      <c r="O98" s="871"/>
      <c r="P98" s="869" t="str">
        <f t="shared" si="12"/>
        <v/>
      </c>
      <c r="Q98" s="2668" t="str">
        <f t="shared" si="13"/>
        <v/>
      </c>
      <c r="R98" s="2669" t="str">
        <f t="shared" si="14"/>
        <v/>
      </c>
    </row>
    <row r="99" spans="1:18" ht="12" customHeight="1">
      <c r="A99" s="2581"/>
      <c r="B99" s="2582"/>
      <c r="C99" s="2583"/>
      <c r="D99" s="868"/>
      <c r="E99" s="2668"/>
      <c r="F99" s="2669"/>
      <c r="G99" s="2668"/>
      <c r="H99" s="2669"/>
      <c r="I99" s="869"/>
      <c r="J99" s="870"/>
      <c r="K99" s="2668"/>
      <c r="L99" s="2674" t="str">
        <f t="shared" si="10"/>
        <v/>
      </c>
      <c r="M99" s="2669" t="str">
        <f t="shared" si="11"/>
        <v/>
      </c>
      <c r="N99" s="868"/>
      <c r="O99" s="871"/>
      <c r="P99" s="869" t="str">
        <f t="shared" si="12"/>
        <v/>
      </c>
      <c r="Q99" s="2668" t="str">
        <f t="shared" si="13"/>
        <v/>
      </c>
      <c r="R99" s="2669" t="str">
        <f t="shared" si="14"/>
        <v/>
      </c>
    </row>
    <row r="100" spans="1:18" ht="12" customHeight="1">
      <c r="A100" s="2581"/>
      <c r="B100" s="2582"/>
      <c r="C100" s="2583"/>
      <c r="D100" s="868"/>
      <c r="E100" s="2668"/>
      <c r="F100" s="2669"/>
      <c r="G100" s="2668"/>
      <c r="H100" s="2669"/>
      <c r="I100" s="869"/>
      <c r="J100" s="870"/>
      <c r="K100" s="2668"/>
      <c r="L100" s="2674" t="str">
        <f t="shared" si="10"/>
        <v/>
      </c>
      <c r="M100" s="2669" t="str">
        <f t="shared" si="11"/>
        <v/>
      </c>
      <c r="N100" s="868"/>
      <c r="O100" s="871"/>
      <c r="P100" s="869" t="str">
        <f t="shared" si="12"/>
        <v/>
      </c>
      <c r="Q100" s="2668" t="str">
        <f t="shared" si="13"/>
        <v/>
      </c>
      <c r="R100" s="2669" t="str">
        <f t="shared" si="14"/>
        <v/>
      </c>
    </row>
    <row r="101" spans="1:18" ht="12" customHeight="1">
      <c r="A101" s="2581"/>
      <c r="B101" s="2582"/>
      <c r="C101" s="2583"/>
      <c r="D101" s="868"/>
      <c r="E101" s="2668"/>
      <c r="F101" s="2669"/>
      <c r="G101" s="2668"/>
      <c r="H101" s="2669"/>
      <c r="I101" s="869"/>
      <c r="J101" s="870"/>
      <c r="K101" s="2668"/>
      <c r="L101" s="2674" t="str">
        <f t="shared" si="10"/>
        <v/>
      </c>
      <c r="M101" s="2669" t="str">
        <f t="shared" si="11"/>
        <v/>
      </c>
      <c r="N101" s="868"/>
      <c r="O101" s="871"/>
      <c r="P101" s="869" t="str">
        <f t="shared" si="12"/>
        <v/>
      </c>
      <c r="Q101" s="2668" t="str">
        <f t="shared" si="13"/>
        <v/>
      </c>
      <c r="R101" s="2669" t="str">
        <f t="shared" si="14"/>
        <v/>
      </c>
    </row>
    <row r="102" spans="1:18" ht="12" customHeight="1">
      <c r="A102" s="2581"/>
      <c r="B102" s="2582"/>
      <c r="C102" s="2583"/>
      <c r="D102" s="868"/>
      <c r="E102" s="2668"/>
      <c r="F102" s="2669"/>
      <c r="G102" s="2668"/>
      <c r="H102" s="2669"/>
      <c r="I102" s="869"/>
      <c r="J102" s="870"/>
      <c r="K102" s="2668"/>
      <c r="L102" s="2674" t="str">
        <f t="shared" si="10"/>
        <v/>
      </c>
      <c r="M102" s="2669" t="str">
        <f t="shared" si="11"/>
        <v/>
      </c>
      <c r="N102" s="868"/>
      <c r="O102" s="871"/>
      <c r="P102" s="869" t="str">
        <f t="shared" si="12"/>
        <v/>
      </c>
      <c r="Q102" s="2668" t="str">
        <f t="shared" si="13"/>
        <v/>
      </c>
      <c r="R102" s="2669" t="str">
        <f t="shared" si="14"/>
        <v/>
      </c>
    </row>
    <row r="103" spans="1:18" ht="12" customHeight="1">
      <c r="A103" s="2581"/>
      <c r="B103" s="2582"/>
      <c r="C103" s="2583"/>
      <c r="D103" s="868"/>
      <c r="E103" s="2668"/>
      <c r="F103" s="2669"/>
      <c r="G103" s="2668"/>
      <c r="H103" s="2669"/>
      <c r="I103" s="869"/>
      <c r="J103" s="870"/>
      <c r="K103" s="2668"/>
      <c r="L103" s="2674" t="str">
        <f t="shared" si="10"/>
        <v/>
      </c>
      <c r="M103" s="2669" t="str">
        <f t="shared" si="11"/>
        <v/>
      </c>
      <c r="N103" s="868"/>
      <c r="O103" s="871"/>
      <c r="P103" s="869" t="str">
        <f t="shared" si="12"/>
        <v/>
      </c>
      <c r="Q103" s="2668" t="str">
        <f t="shared" si="13"/>
        <v/>
      </c>
      <c r="R103" s="2669" t="str">
        <f t="shared" si="14"/>
        <v/>
      </c>
    </row>
    <row r="104" spans="1:18" ht="12" customHeight="1">
      <c r="A104" s="2581"/>
      <c r="B104" s="2582"/>
      <c r="C104" s="2583"/>
      <c r="D104" s="868"/>
      <c r="E104" s="2668"/>
      <c r="F104" s="2669"/>
      <c r="G104" s="2668"/>
      <c r="H104" s="2669"/>
      <c r="I104" s="869"/>
      <c r="J104" s="870"/>
      <c r="K104" s="2668"/>
      <c r="L104" s="2674" t="str">
        <f t="shared" si="10"/>
        <v/>
      </c>
      <c r="M104" s="2669" t="str">
        <f t="shared" si="11"/>
        <v/>
      </c>
      <c r="N104" s="868"/>
      <c r="O104" s="871"/>
      <c r="P104" s="869" t="str">
        <f t="shared" si="12"/>
        <v/>
      </c>
      <c r="Q104" s="2668" t="str">
        <f t="shared" si="13"/>
        <v/>
      </c>
      <c r="R104" s="2669" t="str">
        <f t="shared" si="14"/>
        <v/>
      </c>
    </row>
    <row r="105" spans="1:18" ht="12" customHeight="1">
      <c r="A105" s="2581"/>
      <c r="B105" s="2582"/>
      <c r="C105" s="2583"/>
      <c r="D105" s="868"/>
      <c r="E105" s="2668"/>
      <c r="F105" s="2669"/>
      <c r="G105" s="2668"/>
      <c r="H105" s="2669"/>
      <c r="I105" s="869"/>
      <c r="J105" s="870"/>
      <c r="K105" s="2668"/>
      <c r="L105" s="2674" t="str">
        <f t="shared" si="10"/>
        <v/>
      </c>
      <c r="M105" s="2669" t="str">
        <f t="shared" si="11"/>
        <v/>
      </c>
      <c r="N105" s="868"/>
      <c r="O105" s="871"/>
      <c r="P105" s="869" t="str">
        <f t="shared" si="12"/>
        <v/>
      </c>
      <c r="Q105" s="2668" t="str">
        <f t="shared" si="13"/>
        <v/>
      </c>
      <c r="R105" s="2669" t="str">
        <f t="shared" si="14"/>
        <v/>
      </c>
    </row>
    <row r="106" spans="1:18" ht="12" customHeight="1">
      <c r="A106" s="2581"/>
      <c r="B106" s="2582"/>
      <c r="C106" s="2583"/>
      <c r="D106" s="868"/>
      <c r="E106" s="2668"/>
      <c r="F106" s="2669"/>
      <c r="G106" s="2668"/>
      <c r="H106" s="2669"/>
      <c r="I106" s="869"/>
      <c r="J106" s="870"/>
      <c r="K106" s="2668"/>
      <c r="L106" s="2674" t="str">
        <f t="shared" si="10"/>
        <v/>
      </c>
      <c r="M106" s="2669" t="str">
        <f t="shared" si="11"/>
        <v/>
      </c>
      <c r="N106" s="868"/>
      <c r="O106" s="871"/>
      <c r="P106" s="869" t="str">
        <f t="shared" si="12"/>
        <v/>
      </c>
      <c r="Q106" s="2668" t="str">
        <f t="shared" si="13"/>
        <v/>
      </c>
      <c r="R106" s="2669" t="str">
        <f t="shared" si="14"/>
        <v/>
      </c>
    </row>
    <row r="107" spans="1:18" ht="12" customHeight="1">
      <c r="A107" s="2581"/>
      <c r="B107" s="2582"/>
      <c r="C107" s="2583"/>
      <c r="D107" s="868"/>
      <c r="E107" s="2668"/>
      <c r="F107" s="2669"/>
      <c r="G107" s="2668"/>
      <c r="H107" s="2669"/>
      <c r="I107" s="869"/>
      <c r="J107" s="870"/>
      <c r="K107" s="2668"/>
      <c r="L107" s="2674" t="str">
        <f t="shared" si="10"/>
        <v/>
      </c>
      <c r="M107" s="2669" t="str">
        <f t="shared" si="11"/>
        <v/>
      </c>
      <c r="N107" s="868"/>
      <c r="O107" s="871"/>
      <c r="P107" s="869" t="str">
        <f t="shared" si="12"/>
        <v/>
      </c>
      <c r="Q107" s="2668" t="str">
        <f t="shared" si="13"/>
        <v/>
      </c>
      <c r="R107" s="2669" t="str">
        <f t="shared" si="14"/>
        <v/>
      </c>
    </row>
    <row r="108" spans="1:18" ht="12" customHeight="1">
      <c r="A108" s="2581"/>
      <c r="B108" s="2582"/>
      <c r="C108" s="2583"/>
      <c r="D108" s="868"/>
      <c r="E108" s="2668"/>
      <c r="F108" s="2669"/>
      <c r="G108" s="2668"/>
      <c r="H108" s="2669"/>
      <c r="I108" s="869"/>
      <c r="J108" s="870"/>
      <c r="K108" s="2668"/>
      <c r="L108" s="2674" t="str">
        <f t="shared" si="10"/>
        <v/>
      </c>
      <c r="M108" s="2669" t="str">
        <f t="shared" si="11"/>
        <v/>
      </c>
      <c r="N108" s="868"/>
      <c r="O108" s="871"/>
      <c r="P108" s="869" t="str">
        <f t="shared" si="12"/>
        <v/>
      </c>
      <c r="Q108" s="2668" t="str">
        <f t="shared" si="13"/>
        <v/>
      </c>
      <c r="R108" s="2669" t="str">
        <f t="shared" si="14"/>
        <v/>
      </c>
    </row>
    <row r="109" spans="1:18" ht="12" customHeight="1">
      <c r="A109" s="2581"/>
      <c r="B109" s="2582"/>
      <c r="C109" s="2583"/>
      <c r="D109" s="868"/>
      <c r="E109" s="2668"/>
      <c r="F109" s="2669"/>
      <c r="G109" s="2668"/>
      <c r="H109" s="2669"/>
      <c r="I109" s="869"/>
      <c r="J109" s="870"/>
      <c r="K109" s="2668"/>
      <c r="L109" s="2674" t="str">
        <f t="shared" si="10"/>
        <v/>
      </c>
      <c r="M109" s="2669" t="str">
        <f t="shared" si="11"/>
        <v/>
      </c>
      <c r="N109" s="868"/>
      <c r="O109" s="871"/>
      <c r="P109" s="869" t="str">
        <f t="shared" si="12"/>
        <v/>
      </c>
      <c r="Q109" s="2668" t="str">
        <f t="shared" si="13"/>
        <v/>
      </c>
      <c r="R109" s="2669" t="str">
        <f t="shared" si="14"/>
        <v/>
      </c>
    </row>
    <row r="110" spans="1:18" ht="12" customHeight="1">
      <c r="A110" s="2581"/>
      <c r="B110" s="2582"/>
      <c r="C110" s="2583"/>
      <c r="D110" s="868"/>
      <c r="E110" s="2668"/>
      <c r="F110" s="2669"/>
      <c r="G110" s="2668"/>
      <c r="H110" s="2669"/>
      <c r="I110" s="869"/>
      <c r="J110" s="870"/>
      <c r="K110" s="2668"/>
      <c r="L110" s="2674" t="str">
        <f t="shared" si="10"/>
        <v/>
      </c>
      <c r="M110" s="2669" t="str">
        <f t="shared" si="11"/>
        <v/>
      </c>
      <c r="N110" s="868"/>
      <c r="O110" s="871"/>
      <c r="P110" s="869" t="str">
        <f t="shared" si="12"/>
        <v/>
      </c>
      <c r="Q110" s="2668" t="str">
        <f t="shared" si="13"/>
        <v/>
      </c>
      <c r="R110" s="2669" t="str">
        <f t="shared" si="14"/>
        <v/>
      </c>
    </row>
    <row r="111" spans="1:18" ht="12" customHeight="1">
      <c r="A111" s="2581"/>
      <c r="B111" s="2582"/>
      <c r="C111" s="2583"/>
      <c r="D111" s="868"/>
      <c r="E111" s="2668"/>
      <c r="F111" s="2669"/>
      <c r="G111" s="2668"/>
      <c r="H111" s="2669"/>
      <c r="I111" s="869"/>
      <c r="J111" s="870"/>
      <c r="K111" s="2668"/>
      <c r="L111" s="2674" t="str">
        <f t="shared" si="10"/>
        <v/>
      </c>
      <c r="M111" s="2669" t="str">
        <f t="shared" si="11"/>
        <v/>
      </c>
      <c r="N111" s="868"/>
      <c r="O111" s="871"/>
      <c r="P111" s="869" t="str">
        <f t="shared" si="12"/>
        <v/>
      </c>
      <c r="Q111" s="2668" t="str">
        <f t="shared" si="13"/>
        <v/>
      </c>
      <c r="R111" s="2669" t="str">
        <f t="shared" si="14"/>
        <v/>
      </c>
    </row>
    <row r="112" spans="1:18" ht="12" customHeight="1">
      <c r="A112" s="2581"/>
      <c r="B112" s="2582"/>
      <c r="C112" s="2583"/>
      <c r="D112" s="868"/>
      <c r="E112" s="2668"/>
      <c r="F112" s="2669"/>
      <c r="G112" s="2668"/>
      <c r="H112" s="2669"/>
      <c r="I112" s="869"/>
      <c r="J112" s="870"/>
      <c r="K112" s="2668"/>
      <c r="L112" s="2674" t="str">
        <f t="shared" si="10"/>
        <v/>
      </c>
      <c r="M112" s="2669" t="str">
        <f t="shared" si="11"/>
        <v/>
      </c>
      <c r="N112" s="868"/>
      <c r="O112" s="871"/>
      <c r="P112" s="869" t="str">
        <f t="shared" si="12"/>
        <v/>
      </c>
      <c r="Q112" s="2668" t="str">
        <f t="shared" si="13"/>
        <v/>
      </c>
      <c r="R112" s="2669" t="str">
        <f t="shared" si="14"/>
        <v/>
      </c>
    </row>
    <row r="113" spans="1:18" ht="12" customHeight="1">
      <c r="A113" s="2581"/>
      <c r="B113" s="2582"/>
      <c r="C113" s="2583"/>
      <c r="D113" s="868"/>
      <c r="E113" s="2668"/>
      <c r="F113" s="2669"/>
      <c r="G113" s="2668"/>
      <c r="H113" s="2669"/>
      <c r="I113" s="869"/>
      <c r="J113" s="870"/>
      <c r="K113" s="2668"/>
      <c r="L113" s="2674" t="str">
        <f t="shared" si="10"/>
        <v/>
      </c>
      <c r="M113" s="2669" t="str">
        <f t="shared" si="11"/>
        <v/>
      </c>
      <c r="N113" s="868"/>
      <c r="O113" s="871"/>
      <c r="P113" s="869" t="str">
        <f t="shared" si="12"/>
        <v/>
      </c>
      <c r="Q113" s="2668" t="str">
        <f t="shared" si="13"/>
        <v/>
      </c>
      <c r="R113" s="2669" t="str">
        <f t="shared" si="14"/>
        <v/>
      </c>
    </row>
    <row r="114" spans="1:18" ht="12" customHeight="1">
      <c r="A114" s="2581"/>
      <c r="B114" s="2582"/>
      <c r="C114" s="2583"/>
      <c r="D114" s="868"/>
      <c r="E114" s="2668"/>
      <c r="F114" s="2669"/>
      <c r="G114" s="2668"/>
      <c r="H114" s="2669"/>
      <c r="I114" s="869"/>
      <c r="J114" s="870"/>
      <c r="K114" s="2668"/>
      <c r="L114" s="2674" t="str">
        <f t="shared" si="10"/>
        <v/>
      </c>
      <c r="M114" s="2669" t="str">
        <f t="shared" si="11"/>
        <v/>
      </c>
      <c r="N114" s="868"/>
      <c r="O114" s="871"/>
      <c r="P114" s="869" t="str">
        <f t="shared" si="12"/>
        <v/>
      </c>
      <c r="Q114" s="2668" t="str">
        <f t="shared" si="13"/>
        <v/>
      </c>
      <c r="R114" s="2669" t="str">
        <f t="shared" si="14"/>
        <v/>
      </c>
    </row>
    <row r="115" spans="1:18" ht="12" customHeight="1">
      <c r="A115" s="2581"/>
      <c r="B115" s="2582"/>
      <c r="C115" s="2583"/>
      <c r="D115" s="868"/>
      <c r="E115" s="2668"/>
      <c r="F115" s="2669"/>
      <c r="G115" s="2668"/>
      <c r="H115" s="2669"/>
      <c r="I115" s="869"/>
      <c r="J115" s="870"/>
      <c r="K115" s="2668"/>
      <c r="L115" s="2674" t="str">
        <f t="shared" si="10"/>
        <v/>
      </c>
      <c r="M115" s="2669" t="str">
        <f t="shared" si="11"/>
        <v/>
      </c>
      <c r="N115" s="868"/>
      <c r="O115" s="871"/>
      <c r="P115" s="869" t="str">
        <f t="shared" si="12"/>
        <v/>
      </c>
      <c r="Q115" s="2668" t="str">
        <f t="shared" si="13"/>
        <v/>
      </c>
      <c r="R115" s="2669" t="str">
        <f t="shared" si="14"/>
        <v/>
      </c>
    </row>
    <row r="116" spans="1:18" ht="12" customHeight="1">
      <c r="A116" s="2581"/>
      <c r="B116" s="2582"/>
      <c r="C116" s="2583"/>
      <c r="D116" s="868"/>
      <c r="E116" s="2668"/>
      <c r="F116" s="2669"/>
      <c r="G116" s="2668"/>
      <c r="H116" s="2669"/>
      <c r="I116" s="869"/>
      <c r="J116" s="870"/>
      <c r="K116" s="2668"/>
      <c r="L116" s="2674" t="str">
        <f t="shared" si="10"/>
        <v/>
      </c>
      <c r="M116" s="2669" t="str">
        <f t="shared" si="11"/>
        <v/>
      </c>
      <c r="N116" s="868"/>
      <c r="O116" s="871"/>
      <c r="P116" s="869" t="str">
        <f t="shared" si="12"/>
        <v/>
      </c>
      <c r="Q116" s="2668" t="str">
        <f t="shared" si="13"/>
        <v/>
      </c>
      <c r="R116" s="2669" t="str">
        <f t="shared" si="14"/>
        <v/>
      </c>
    </row>
    <row r="117" spans="1:18" ht="12" customHeight="1">
      <c r="A117" s="2581"/>
      <c r="B117" s="2582"/>
      <c r="C117" s="2583"/>
      <c r="D117" s="868"/>
      <c r="E117" s="2668"/>
      <c r="F117" s="2669"/>
      <c r="G117" s="2668"/>
      <c r="H117" s="2669"/>
      <c r="I117" s="869"/>
      <c r="J117" s="870"/>
      <c r="K117" s="2668"/>
      <c r="L117" s="2674" t="str">
        <f t="shared" si="10"/>
        <v/>
      </c>
      <c r="M117" s="2669" t="str">
        <f t="shared" si="11"/>
        <v/>
      </c>
      <c r="N117" s="868"/>
      <c r="O117" s="871"/>
      <c r="P117" s="869" t="str">
        <f t="shared" si="12"/>
        <v/>
      </c>
      <c r="Q117" s="2668" t="str">
        <f t="shared" si="13"/>
        <v/>
      </c>
      <c r="R117" s="2669" t="str">
        <f t="shared" si="14"/>
        <v/>
      </c>
    </row>
    <row r="118" spans="1:18" ht="12" customHeight="1">
      <c r="A118" s="2581"/>
      <c r="B118" s="2582"/>
      <c r="C118" s="2583"/>
      <c r="D118" s="868"/>
      <c r="E118" s="2668"/>
      <c r="F118" s="2669"/>
      <c r="G118" s="2668"/>
      <c r="H118" s="2669"/>
      <c r="I118" s="869"/>
      <c r="J118" s="870"/>
      <c r="K118" s="2668"/>
      <c r="L118" s="2674" t="str">
        <f t="shared" si="10"/>
        <v/>
      </c>
      <c r="M118" s="2669" t="str">
        <f t="shared" si="11"/>
        <v/>
      </c>
      <c r="N118" s="868"/>
      <c r="O118" s="871"/>
      <c r="P118" s="869" t="str">
        <f t="shared" si="12"/>
        <v/>
      </c>
      <c r="Q118" s="2668" t="str">
        <f t="shared" si="13"/>
        <v/>
      </c>
      <c r="R118" s="2669" t="str">
        <f t="shared" si="14"/>
        <v/>
      </c>
    </row>
    <row r="119" spans="1:18" ht="12" customHeight="1">
      <c r="A119" s="2581"/>
      <c r="B119" s="2582"/>
      <c r="C119" s="2583"/>
      <c r="D119" s="868"/>
      <c r="E119" s="2668"/>
      <c r="F119" s="2669"/>
      <c r="G119" s="2668"/>
      <c r="H119" s="2669"/>
      <c r="I119" s="869"/>
      <c r="J119" s="870"/>
      <c r="K119" s="2668"/>
      <c r="L119" s="2674" t="str">
        <f t="shared" si="10"/>
        <v/>
      </c>
      <c r="M119" s="2669" t="str">
        <f t="shared" si="11"/>
        <v/>
      </c>
      <c r="N119" s="868"/>
      <c r="O119" s="871"/>
      <c r="P119" s="869" t="str">
        <f t="shared" si="12"/>
        <v/>
      </c>
      <c r="Q119" s="2668" t="str">
        <f t="shared" si="13"/>
        <v/>
      </c>
      <c r="R119" s="2669" t="str">
        <f t="shared" si="14"/>
        <v/>
      </c>
    </row>
    <row r="120" spans="1:18" ht="12" customHeight="1">
      <c r="A120" s="2581"/>
      <c r="B120" s="2582"/>
      <c r="C120" s="2583"/>
      <c r="D120" s="868"/>
      <c r="E120" s="2668"/>
      <c r="F120" s="2669"/>
      <c r="G120" s="2668"/>
      <c r="H120" s="2669"/>
      <c r="I120" s="869"/>
      <c r="J120" s="870"/>
      <c r="K120" s="2668"/>
      <c r="L120" s="2674" t="str">
        <f t="shared" si="10"/>
        <v/>
      </c>
      <c r="M120" s="2669" t="str">
        <f t="shared" si="11"/>
        <v/>
      </c>
      <c r="N120" s="868"/>
      <c r="O120" s="871"/>
      <c r="P120" s="869" t="str">
        <f t="shared" si="12"/>
        <v/>
      </c>
      <c r="Q120" s="2668" t="str">
        <f t="shared" si="13"/>
        <v/>
      </c>
      <c r="R120" s="2669" t="str">
        <f t="shared" si="14"/>
        <v/>
      </c>
    </row>
    <row r="121" spans="1:18" ht="12" customHeight="1">
      <c r="A121" s="2581"/>
      <c r="B121" s="2582"/>
      <c r="C121" s="2583"/>
      <c r="D121" s="868"/>
      <c r="E121" s="2668"/>
      <c r="F121" s="2669"/>
      <c r="G121" s="2668"/>
      <c r="H121" s="2669"/>
      <c r="I121" s="869"/>
      <c r="J121" s="870"/>
      <c r="K121" s="2668"/>
      <c r="L121" s="2674" t="str">
        <f t="shared" si="10"/>
        <v/>
      </c>
      <c r="M121" s="2669" t="str">
        <f t="shared" si="11"/>
        <v/>
      </c>
      <c r="N121" s="868"/>
      <c r="O121" s="871"/>
      <c r="P121" s="869" t="str">
        <f t="shared" si="12"/>
        <v/>
      </c>
      <c r="Q121" s="2668" t="str">
        <f t="shared" si="13"/>
        <v/>
      </c>
      <c r="R121" s="2669" t="str">
        <f t="shared" si="14"/>
        <v/>
      </c>
    </row>
    <row r="122" spans="1:18" ht="12" customHeight="1">
      <c r="A122" s="2581"/>
      <c r="B122" s="2582"/>
      <c r="C122" s="2583"/>
      <c r="D122" s="868"/>
      <c r="E122" s="2668"/>
      <c r="F122" s="2669"/>
      <c r="G122" s="2668"/>
      <c r="H122" s="2669"/>
      <c r="I122" s="869"/>
      <c r="J122" s="870"/>
      <c r="K122" s="2668"/>
      <c r="L122" s="2674" t="str">
        <f t="shared" si="10"/>
        <v/>
      </c>
      <c r="M122" s="2669" t="str">
        <f t="shared" si="11"/>
        <v/>
      </c>
      <c r="N122" s="868"/>
      <c r="O122" s="871"/>
      <c r="P122" s="869" t="str">
        <f t="shared" si="12"/>
        <v/>
      </c>
      <c r="Q122" s="2668" t="str">
        <f t="shared" si="13"/>
        <v/>
      </c>
      <c r="R122" s="2669" t="str">
        <f t="shared" si="14"/>
        <v/>
      </c>
    </row>
    <row r="123" spans="1:18" ht="12" customHeight="1">
      <c r="A123" s="2581"/>
      <c r="B123" s="2582"/>
      <c r="C123" s="2583"/>
      <c r="D123" s="868"/>
      <c r="E123" s="2668"/>
      <c r="F123" s="2669"/>
      <c r="G123" s="2668"/>
      <c r="H123" s="2669"/>
      <c r="I123" s="869"/>
      <c r="J123" s="870"/>
      <c r="K123" s="2668"/>
      <c r="L123" s="2674" t="str">
        <f t="shared" si="10"/>
        <v/>
      </c>
      <c r="M123" s="2669" t="str">
        <f t="shared" si="11"/>
        <v/>
      </c>
      <c r="N123" s="868"/>
      <c r="O123" s="871"/>
      <c r="P123" s="869" t="str">
        <f t="shared" si="12"/>
        <v/>
      </c>
      <c r="Q123" s="2668" t="str">
        <f t="shared" si="13"/>
        <v/>
      </c>
      <c r="R123" s="2669" t="str">
        <f t="shared" si="14"/>
        <v/>
      </c>
    </row>
    <row r="124" spans="1:18" ht="12" customHeight="1">
      <c r="A124" s="2581"/>
      <c r="B124" s="2582"/>
      <c r="C124" s="2583"/>
      <c r="D124" s="868"/>
      <c r="E124" s="2668"/>
      <c r="F124" s="2669"/>
      <c r="G124" s="2668"/>
      <c r="H124" s="2669"/>
      <c r="I124" s="869"/>
      <c r="J124" s="870"/>
      <c r="K124" s="2668"/>
      <c r="L124" s="2674" t="str">
        <f t="shared" si="10"/>
        <v/>
      </c>
      <c r="M124" s="2669" t="str">
        <f t="shared" si="11"/>
        <v/>
      </c>
      <c r="N124" s="868"/>
      <c r="O124" s="871"/>
      <c r="P124" s="869" t="str">
        <f t="shared" si="12"/>
        <v/>
      </c>
      <c r="Q124" s="2668" t="str">
        <f t="shared" si="13"/>
        <v/>
      </c>
      <c r="R124" s="2669" t="str">
        <f t="shared" si="14"/>
        <v/>
      </c>
    </row>
    <row r="125" spans="1:18" ht="12" customHeight="1">
      <c r="A125" s="2581"/>
      <c r="B125" s="2582"/>
      <c r="C125" s="2583"/>
      <c r="D125" s="868"/>
      <c r="E125" s="2668"/>
      <c r="F125" s="2669"/>
      <c r="G125" s="2668"/>
      <c r="H125" s="2669"/>
      <c r="I125" s="869"/>
      <c r="J125" s="870"/>
      <c r="K125" s="2668"/>
      <c r="L125" s="2674" t="str">
        <f t="shared" si="10"/>
        <v/>
      </c>
      <c r="M125" s="2669" t="str">
        <f t="shared" si="11"/>
        <v/>
      </c>
      <c r="N125" s="868"/>
      <c r="O125" s="871"/>
      <c r="P125" s="869" t="str">
        <f t="shared" si="12"/>
        <v/>
      </c>
      <c r="Q125" s="2668" t="str">
        <f t="shared" si="13"/>
        <v/>
      </c>
      <c r="R125" s="2669" t="str">
        <f t="shared" si="14"/>
        <v/>
      </c>
    </row>
    <row r="126" spans="1:18" ht="12" customHeight="1">
      <c r="A126" s="2581"/>
      <c r="B126" s="2582"/>
      <c r="C126" s="2583"/>
      <c r="D126" s="868"/>
      <c r="E126" s="2668"/>
      <c r="F126" s="2669"/>
      <c r="G126" s="2668"/>
      <c r="H126" s="2669"/>
      <c r="I126" s="869"/>
      <c r="J126" s="870"/>
      <c r="K126" s="2668"/>
      <c r="L126" s="2674" t="str">
        <f t="shared" si="10"/>
        <v/>
      </c>
      <c r="M126" s="2669" t="str">
        <f t="shared" si="11"/>
        <v/>
      </c>
      <c r="N126" s="868"/>
      <c r="O126" s="871"/>
      <c r="P126" s="869" t="str">
        <f t="shared" si="12"/>
        <v/>
      </c>
      <c r="Q126" s="2668" t="str">
        <f t="shared" si="13"/>
        <v/>
      </c>
      <c r="R126" s="2669" t="str">
        <f t="shared" si="14"/>
        <v/>
      </c>
    </row>
    <row r="127" spans="1:18" ht="12" customHeight="1">
      <c r="A127" s="2581"/>
      <c r="B127" s="2582"/>
      <c r="C127" s="2583"/>
      <c r="D127" s="868"/>
      <c r="E127" s="2668"/>
      <c r="F127" s="2669"/>
      <c r="G127" s="2668"/>
      <c r="H127" s="2669"/>
      <c r="I127" s="869"/>
      <c r="J127" s="870"/>
      <c r="K127" s="2668"/>
      <c r="L127" s="2674" t="str">
        <f t="shared" si="10"/>
        <v/>
      </c>
      <c r="M127" s="2669" t="str">
        <f t="shared" si="11"/>
        <v/>
      </c>
      <c r="N127" s="868"/>
      <c r="O127" s="871"/>
      <c r="P127" s="869" t="str">
        <f t="shared" si="12"/>
        <v/>
      </c>
      <c r="Q127" s="2668" t="str">
        <f t="shared" si="13"/>
        <v/>
      </c>
      <c r="R127" s="2669" t="str">
        <f t="shared" si="14"/>
        <v/>
      </c>
    </row>
    <row r="128" spans="1:18" ht="12" customHeight="1">
      <c r="A128" s="2581"/>
      <c r="B128" s="2582"/>
      <c r="C128" s="2583"/>
      <c r="D128" s="868"/>
      <c r="E128" s="2668"/>
      <c r="F128" s="2669"/>
      <c r="G128" s="2668"/>
      <c r="H128" s="2669"/>
      <c r="I128" s="869"/>
      <c r="J128" s="870"/>
      <c r="K128" s="2668"/>
      <c r="L128" s="2674" t="str">
        <f t="shared" si="10"/>
        <v/>
      </c>
      <c r="M128" s="2669" t="str">
        <f t="shared" si="11"/>
        <v/>
      </c>
      <c r="N128" s="868"/>
      <c r="O128" s="871"/>
      <c r="P128" s="869" t="str">
        <f t="shared" si="12"/>
        <v/>
      </c>
      <c r="Q128" s="2668" t="str">
        <f t="shared" si="13"/>
        <v/>
      </c>
      <c r="R128" s="2669" t="str">
        <f t="shared" si="14"/>
        <v/>
      </c>
    </row>
    <row r="129" spans="1:18" ht="12" customHeight="1">
      <c r="A129" s="2581"/>
      <c r="B129" s="2582"/>
      <c r="C129" s="2583"/>
      <c r="D129" s="868"/>
      <c r="E129" s="2668"/>
      <c r="F129" s="2669"/>
      <c r="G129" s="2668"/>
      <c r="H129" s="2669"/>
      <c r="I129" s="869"/>
      <c r="J129" s="870"/>
      <c r="K129" s="2668"/>
      <c r="L129" s="2674" t="str">
        <f t="shared" si="10"/>
        <v/>
      </c>
      <c r="M129" s="2669" t="str">
        <f t="shared" si="11"/>
        <v/>
      </c>
      <c r="N129" s="868"/>
      <c r="O129" s="871"/>
      <c r="P129" s="869" t="str">
        <f t="shared" si="12"/>
        <v/>
      </c>
      <c r="Q129" s="2668" t="str">
        <f t="shared" si="13"/>
        <v/>
      </c>
      <c r="R129" s="2669" t="str">
        <f t="shared" si="14"/>
        <v/>
      </c>
    </row>
    <row r="130" spans="1:18" ht="12" customHeight="1">
      <c r="A130" s="2584"/>
      <c r="B130" s="2585"/>
      <c r="C130" s="2586"/>
      <c r="D130" s="872"/>
      <c r="E130" s="2670"/>
      <c r="F130" s="2671"/>
      <c r="G130" s="2670"/>
      <c r="H130" s="2671"/>
      <c r="I130" s="873"/>
      <c r="J130" s="874"/>
      <c r="K130" s="2670"/>
      <c r="L130" s="2675" t="str">
        <f t="shared" si="10"/>
        <v/>
      </c>
      <c r="M130" s="2671" t="str">
        <f t="shared" si="11"/>
        <v/>
      </c>
      <c r="N130" s="872"/>
      <c r="O130" s="875"/>
      <c r="P130" s="873" t="str">
        <f t="shared" si="12"/>
        <v/>
      </c>
      <c r="Q130" s="2670" t="str">
        <f t="shared" si="13"/>
        <v/>
      </c>
      <c r="R130" s="2671" t="str">
        <f t="shared" si="14"/>
        <v/>
      </c>
    </row>
    <row r="131" spans="1:18" ht="12.6" customHeight="1">
      <c r="A131" s="850" t="s">
        <v>3161</v>
      </c>
      <c r="B131" s="876"/>
      <c r="C131" s="876"/>
      <c r="D131" s="877"/>
      <c r="E131" s="878">
        <f>SUM(E96:E130)</f>
        <v>0</v>
      </c>
      <c r="F131" s="878">
        <f>SUM(F96:F130)</f>
        <v>0</v>
      </c>
      <c r="G131" s="878">
        <f>SUM(G96:G130)</f>
        <v>0</v>
      </c>
      <c r="H131" s="878">
        <f>SUM(H96:H130)</f>
        <v>0</v>
      </c>
      <c r="I131" s="878">
        <f>SUM(I96:I130)</f>
        <v>0</v>
      </c>
      <c r="J131" s="879"/>
      <c r="K131" s="878">
        <f>SUM(K96:K130)</f>
        <v>0</v>
      </c>
      <c r="L131" s="880"/>
      <c r="M131" s="878">
        <f>SUM(M96:M130)</f>
        <v>0</v>
      </c>
      <c r="N131" s="877"/>
      <c r="O131" s="880"/>
      <c r="P131" s="878">
        <f>SUM(P96:P130)</f>
        <v>0</v>
      </c>
      <c r="Q131" s="878">
        <f>SUM(Q96:Q130)</f>
        <v>0</v>
      </c>
      <c r="R131" s="878">
        <f>SUM(R96:R130)</f>
        <v>0</v>
      </c>
    </row>
    <row r="132" spans="1:18" s="846" customFormat="1" ht="12.6" customHeight="1">
      <c r="A132" s="850" t="s">
        <v>3128</v>
      </c>
      <c r="C132" s="2587" t="str">
        <f>C4</f>
        <v>Rehabilitation</v>
      </c>
      <c r="D132" s="2588"/>
      <c r="E132" s="2588"/>
      <c r="F132" s="854"/>
      <c r="G132" s="855"/>
      <c r="H132" s="855"/>
      <c r="I132" s="855"/>
      <c r="L132" s="848"/>
      <c r="M132" s="848"/>
      <c r="N132" s="848"/>
    </row>
    <row r="133" spans="1:18" s="846" customFormat="1" ht="12.6" customHeight="1">
      <c r="A133" s="2625" t="s">
        <v>3129</v>
      </c>
      <c r="B133" s="2625"/>
      <c r="C133" s="2625"/>
      <c r="D133" s="2625"/>
      <c r="E133" s="2625"/>
      <c r="F133" s="2625"/>
      <c r="G133" s="2625"/>
      <c r="H133" s="2625"/>
      <c r="I133" s="2625"/>
      <c r="J133" s="2625"/>
      <c r="K133" s="2625"/>
      <c r="L133" s="2625"/>
      <c r="M133" s="2625"/>
      <c r="N133" s="2625"/>
      <c r="O133" s="2625"/>
      <c r="P133" s="2625"/>
      <c r="Q133" s="2625"/>
      <c r="R133" s="2625"/>
    </row>
    <row r="134" spans="1:18" s="856" customFormat="1" ht="12" customHeight="1">
      <c r="A134" s="2676"/>
      <c r="B134" s="858"/>
      <c r="C134" s="858"/>
      <c r="D134" s="859"/>
      <c r="E134" s="2689" t="s">
        <v>503</v>
      </c>
      <c r="F134" s="2690"/>
      <c r="G134" s="2690"/>
      <c r="H134" s="2691"/>
      <c r="I134" s="2678"/>
      <c r="J134" s="2679"/>
      <c r="K134" s="2687" t="s">
        <v>3135</v>
      </c>
      <c r="L134" s="2687"/>
      <c r="M134" s="2687"/>
      <c r="N134" s="859" t="s">
        <v>861</v>
      </c>
      <c r="O134" s="2677"/>
      <c r="P134" s="2677"/>
      <c r="Q134" s="2683" t="s">
        <v>3131</v>
      </c>
      <c r="R134" s="2684"/>
    </row>
    <row r="135" spans="1:18" s="856" customFormat="1" ht="12" customHeight="1">
      <c r="A135" s="857"/>
      <c r="B135" s="858"/>
      <c r="C135" s="858"/>
      <c r="D135" s="859" t="s">
        <v>496</v>
      </c>
      <c r="E135" s="2692" t="s">
        <v>3132</v>
      </c>
      <c r="F135" s="2693"/>
      <c r="G135" s="2692" t="s">
        <v>1902</v>
      </c>
      <c r="H135" s="2693"/>
      <c r="I135" s="859" t="s">
        <v>3135</v>
      </c>
      <c r="J135" s="2680" t="s">
        <v>3136</v>
      </c>
      <c r="K135" s="2688"/>
      <c r="L135" s="2688"/>
      <c r="M135" s="2688"/>
      <c r="N135" s="859" t="s">
        <v>3137</v>
      </c>
      <c r="O135" s="859" t="s">
        <v>3138</v>
      </c>
      <c r="P135" s="859" t="s">
        <v>3139</v>
      </c>
      <c r="Q135" s="2685"/>
      <c r="R135" s="2686"/>
    </row>
    <row r="136" spans="1:18" ht="11.45" customHeight="1">
      <c r="A136" s="857"/>
      <c r="B136" s="858"/>
      <c r="C136" s="858"/>
      <c r="D136" s="859" t="s">
        <v>3140</v>
      </c>
      <c r="E136" s="2681" t="s">
        <v>152</v>
      </c>
      <c r="F136" s="859" t="s">
        <v>3110</v>
      </c>
      <c r="G136" s="2681" t="s">
        <v>152</v>
      </c>
      <c r="H136" s="859" t="s">
        <v>3110</v>
      </c>
      <c r="I136" s="859" t="s">
        <v>3142</v>
      </c>
      <c r="J136" s="2680"/>
      <c r="K136" s="2672" t="s">
        <v>3143</v>
      </c>
      <c r="L136" s="2672" t="s">
        <v>3144</v>
      </c>
      <c r="M136" s="2672" t="s">
        <v>3145</v>
      </c>
      <c r="N136" s="859" t="s">
        <v>3146</v>
      </c>
      <c r="O136" s="859" t="s">
        <v>3147</v>
      </c>
      <c r="P136" s="859" t="s">
        <v>3147</v>
      </c>
      <c r="Q136" s="859" t="s">
        <v>3135</v>
      </c>
      <c r="R136" s="859" t="s">
        <v>3148</v>
      </c>
    </row>
    <row r="137" spans="1:18" ht="11.45" customHeight="1">
      <c r="A137" s="861" t="s">
        <v>3149</v>
      </c>
      <c r="B137" s="862"/>
      <c r="C137" s="862"/>
      <c r="D137" s="863" t="s">
        <v>3150</v>
      </c>
      <c r="E137" s="863" t="s">
        <v>3151</v>
      </c>
      <c r="F137" s="863" t="s">
        <v>3152</v>
      </c>
      <c r="G137" s="863" t="s">
        <v>3151</v>
      </c>
      <c r="H137" s="863" t="s">
        <v>3152</v>
      </c>
      <c r="I137" s="863" t="s">
        <v>3153</v>
      </c>
      <c r="J137" s="2682" t="s">
        <v>3154</v>
      </c>
      <c r="K137" s="863" t="s">
        <v>3153</v>
      </c>
      <c r="L137" s="863" t="s">
        <v>3155</v>
      </c>
      <c r="M137" s="863" t="s">
        <v>3153</v>
      </c>
      <c r="N137" s="863" t="s">
        <v>3156</v>
      </c>
      <c r="O137" s="863" t="s">
        <v>3157</v>
      </c>
      <c r="P137" s="863" t="s">
        <v>1793</v>
      </c>
      <c r="Q137" s="863" t="s">
        <v>1830</v>
      </c>
      <c r="R137" s="863" t="s">
        <v>1793</v>
      </c>
    </row>
    <row r="138" spans="1:18" ht="12" customHeight="1">
      <c r="A138" s="2598"/>
      <c r="B138" s="2599"/>
      <c r="C138" s="2600"/>
      <c r="D138" s="864"/>
      <c r="E138" s="2666"/>
      <c r="F138" s="2667"/>
      <c r="G138" s="2666"/>
      <c r="H138" s="2667"/>
      <c r="I138" s="865"/>
      <c r="J138" s="866"/>
      <c r="K138" s="2666"/>
      <c r="L138" s="2673" t="str">
        <f>IF(OR(E138="",F138=""),"",MIN(G138/E138,H138/F138))</f>
        <v/>
      </c>
      <c r="M138" s="2667" t="str">
        <f>IF(OR(E138="",F138=""),"",K138*L138)</f>
        <v/>
      </c>
      <c r="N138" s="864"/>
      <c r="O138" s="867"/>
      <c r="P138" s="865" t="str">
        <f>IF(OR(M138="",O138=""),"",M138*O138)</f>
        <v/>
      </c>
      <c r="Q138" s="2666" t="str">
        <f>IF(M138="","",ROUND(M138,0))</f>
        <v/>
      </c>
      <c r="R138" s="2667" t="str">
        <f>IF(P138="","",ROUND(P138,0))</f>
        <v/>
      </c>
    </row>
    <row r="139" spans="1:18" ht="12" customHeight="1">
      <c r="A139" s="2581"/>
      <c r="B139" s="2582"/>
      <c r="C139" s="2583"/>
      <c r="D139" s="868"/>
      <c r="E139" s="2668"/>
      <c r="F139" s="2669"/>
      <c r="G139" s="2668"/>
      <c r="H139" s="2669"/>
      <c r="I139" s="869"/>
      <c r="J139" s="870"/>
      <c r="K139" s="2668"/>
      <c r="L139" s="2674" t="str">
        <f t="shared" ref="L139:L170" si="15">IF(OR(E139="",F139=""),"",MIN(G139/E139,H139/F139))</f>
        <v/>
      </c>
      <c r="M139" s="2669" t="str">
        <f t="shared" ref="M139:M170" si="16">IF(OR(E139="",F139=""),"",K139*L139)</f>
        <v/>
      </c>
      <c r="N139" s="868"/>
      <c r="O139" s="871"/>
      <c r="P139" s="869" t="str">
        <f t="shared" ref="P139:P170" si="17">IF(OR(M139="",O139=""),"",M139*O139)</f>
        <v/>
      </c>
      <c r="Q139" s="2668" t="str">
        <f t="shared" ref="Q139:Q170" si="18">IF(M139="","",ROUND(M139,0))</f>
        <v/>
      </c>
      <c r="R139" s="2669" t="str">
        <f t="shared" ref="R139:R170" si="19">IF(P139="","",ROUND(P139,0))</f>
        <v/>
      </c>
    </row>
    <row r="140" spans="1:18" ht="12" customHeight="1">
      <c r="A140" s="2581"/>
      <c r="B140" s="2582"/>
      <c r="C140" s="2583"/>
      <c r="D140" s="868"/>
      <c r="E140" s="2668"/>
      <c r="F140" s="2669"/>
      <c r="G140" s="2668"/>
      <c r="H140" s="2669"/>
      <c r="I140" s="869"/>
      <c r="J140" s="870"/>
      <c r="K140" s="2668"/>
      <c r="L140" s="2674" t="str">
        <f t="shared" si="15"/>
        <v/>
      </c>
      <c r="M140" s="2669" t="str">
        <f t="shared" si="16"/>
        <v/>
      </c>
      <c r="N140" s="868"/>
      <c r="O140" s="871"/>
      <c r="P140" s="869" t="str">
        <f t="shared" si="17"/>
        <v/>
      </c>
      <c r="Q140" s="2668" t="str">
        <f t="shared" si="18"/>
        <v/>
      </c>
      <c r="R140" s="2669" t="str">
        <f t="shared" si="19"/>
        <v/>
      </c>
    </row>
    <row r="141" spans="1:18" ht="12" customHeight="1">
      <c r="A141" s="2581"/>
      <c r="B141" s="2582"/>
      <c r="C141" s="2583"/>
      <c r="D141" s="868"/>
      <c r="E141" s="2668"/>
      <c r="F141" s="2669"/>
      <c r="G141" s="2668"/>
      <c r="H141" s="2669"/>
      <c r="I141" s="869"/>
      <c r="J141" s="870"/>
      <c r="K141" s="2668"/>
      <c r="L141" s="2674" t="str">
        <f t="shared" si="15"/>
        <v/>
      </c>
      <c r="M141" s="2669" t="str">
        <f t="shared" si="16"/>
        <v/>
      </c>
      <c r="N141" s="868"/>
      <c r="O141" s="871"/>
      <c r="P141" s="869" t="str">
        <f t="shared" si="17"/>
        <v/>
      </c>
      <c r="Q141" s="2668" t="str">
        <f t="shared" si="18"/>
        <v/>
      </c>
      <c r="R141" s="2669" t="str">
        <f t="shared" si="19"/>
        <v/>
      </c>
    </row>
    <row r="142" spans="1:18" ht="12" customHeight="1">
      <c r="A142" s="2581"/>
      <c r="B142" s="2582"/>
      <c r="C142" s="2583"/>
      <c r="D142" s="868"/>
      <c r="E142" s="2668"/>
      <c r="F142" s="2669"/>
      <c r="G142" s="2668"/>
      <c r="H142" s="2669"/>
      <c r="I142" s="869"/>
      <c r="J142" s="870"/>
      <c r="K142" s="2668"/>
      <c r="L142" s="2674" t="str">
        <f t="shared" si="15"/>
        <v/>
      </c>
      <c r="M142" s="2669" t="str">
        <f t="shared" si="16"/>
        <v/>
      </c>
      <c r="N142" s="868"/>
      <c r="O142" s="871"/>
      <c r="P142" s="869" t="str">
        <f t="shared" si="17"/>
        <v/>
      </c>
      <c r="Q142" s="2668" t="str">
        <f t="shared" si="18"/>
        <v/>
      </c>
      <c r="R142" s="2669" t="str">
        <f t="shared" si="19"/>
        <v/>
      </c>
    </row>
    <row r="143" spans="1:18" ht="12" customHeight="1">
      <c r="A143" s="2581"/>
      <c r="B143" s="2582"/>
      <c r="C143" s="2583"/>
      <c r="D143" s="868"/>
      <c r="E143" s="2668"/>
      <c r="F143" s="2669"/>
      <c r="G143" s="2668"/>
      <c r="H143" s="2669"/>
      <c r="I143" s="869"/>
      <c r="J143" s="870"/>
      <c r="K143" s="2668"/>
      <c r="L143" s="2674" t="str">
        <f t="shared" si="15"/>
        <v/>
      </c>
      <c r="M143" s="2669" t="str">
        <f t="shared" si="16"/>
        <v/>
      </c>
      <c r="N143" s="868"/>
      <c r="O143" s="871"/>
      <c r="P143" s="869" t="str">
        <f t="shared" si="17"/>
        <v/>
      </c>
      <c r="Q143" s="2668" t="str">
        <f t="shared" si="18"/>
        <v/>
      </c>
      <c r="R143" s="2669" t="str">
        <f t="shared" si="19"/>
        <v/>
      </c>
    </row>
    <row r="144" spans="1:18" ht="12" customHeight="1">
      <c r="A144" s="2581"/>
      <c r="B144" s="2582"/>
      <c r="C144" s="2583"/>
      <c r="D144" s="868"/>
      <c r="E144" s="2668"/>
      <c r="F144" s="2669"/>
      <c r="G144" s="2668"/>
      <c r="H144" s="2669"/>
      <c r="I144" s="869"/>
      <c r="J144" s="870"/>
      <c r="K144" s="2668"/>
      <c r="L144" s="2674" t="str">
        <f t="shared" si="15"/>
        <v/>
      </c>
      <c r="M144" s="2669" t="str">
        <f t="shared" si="16"/>
        <v/>
      </c>
      <c r="N144" s="868"/>
      <c r="O144" s="871"/>
      <c r="P144" s="869" t="str">
        <f t="shared" si="17"/>
        <v/>
      </c>
      <c r="Q144" s="2668" t="str">
        <f t="shared" si="18"/>
        <v/>
      </c>
      <c r="R144" s="2669" t="str">
        <f t="shared" si="19"/>
        <v/>
      </c>
    </row>
    <row r="145" spans="1:18" ht="12" customHeight="1">
      <c r="A145" s="2581"/>
      <c r="B145" s="2582"/>
      <c r="C145" s="2583"/>
      <c r="D145" s="868"/>
      <c r="E145" s="2668"/>
      <c r="F145" s="2669"/>
      <c r="G145" s="2668"/>
      <c r="H145" s="2669"/>
      <c r="I145" s="869"/>
      <c r="J145" s="870"/>
      <c r="K145" s="2668"/>
      <c r="L145" s="2674" t="str">
        <f t="shared" si="15"/>
        <v/>
      </c>
      <c r="M145" s="2669" t="str">
        <f t="shared" si="16"/>
        <v/>
      </c>
      <c r="N145" s="868"/>
      <c r="O145" s="871"/>
      <c r="P145" s="869" t="str">
        <f t="shared" si="17"/>
        <v/>
      </c>
      <c r="Q145" s="2668" t="str">
        <f t="shared" si="18"/>
        <v/>
      </c>
      <c r="R145" s="2669" t="str">
        <f t="shared" si="19"/>
        <v/>
      </c>
    </row>
    <row r="146" spans="1:18" ht="12" customHeight="1">
      <c r="A146" s="2581"/>
      <c r="B146" s="2582"/>
      <c r="C146" s="2583"/>
      <c r="D146" s="868"/>
      <c r="E146" s="2668"/>
      <c r="F146" s="2669"/>
      <c r="G146" s="2668"/>
      <c r="H146" s="2669"/>
      <c r="I146" s="869"/>
      <c r="J146" s="870"/>
      <c r="K146" s="2668"/>
      <c r="L146" s="2674" t="str">
        <f t="shared" si="15"/>
        <v/>
      </c>
      <c r="M146" s="2669" t="str">
        <f t="shared" si="16"/>
        <v/>
      </c>
      <c r="N146" s="868"/>
      <c r="O146" s="871"/>
      <c r="P146" s="869" t="str">
        <f t="shared" si="17"/>
        <v/>
      </c>
      <c r="Q146" s="2668" t="str">
        <f t="shared" si="18"/>
        <v/>
      </c>
      <c r="R146" s="2669" t="str">
        <f t="shared" si="19"/>
        <v/>
      </c>
    </row>
    <row r="147" spans="1:18" ht="12" customHeight="1">
      <c r="A147" s="2581"/>
      <c r="B147" s="2582"/>
      <c r="C147" s="2583"/>
      <c r="D147" s="868"/>
      <c r="E147" s="2668"/>
      <c r="F147" s="2669"/>
      <c r="G147" s="2668"/>
      <c r="H147" s="2669"/>
      <c r="I147" s="869"/>
      <c r="J147" s="870"/>
      <c r="K147" s="2668"/>
      <c r="L147" s="2674" t="str">
        <f t="shared" si="15"/>
        <v/>
      </c>
      <c r="M147" s="2669" t="str">
        <f t="shared" si="16"/>
        <v/>
      </c>
      <c r="N147" s="868"/>
      <c r="O147" s="871"/>
      <c r="P147" s="869" t="str">
        <f t="shared" si="17"/>
        <v/>
      </c>
      <c r="Q147" s="2668" t="str">
        <f t="shared" si="18"/>
        <v/>
      </c>
      <c r="R147" s="2669" t="str">
        <f t="shared" si="19"/>
        <v/>
      </c>
    </row>
    <row r="148" spans="1:18" ht="12" customHeight="1">
      <c r="A148" s="2581"/>
      <c r="B148" s="2582"/>
      <c r="C148" s="2583"/>
      <c r="D148" s="868"/>
      <c r="E148" s="2668"/>
      <c r="F148" s="2669"/>
      <c r="G148" s="2668"/>
      <c r="H148" s="2669"/>
      <c r="I148" s="869"/>
      <c r="J148" s="870"/>
      <c r="K148" s="2668"/>
      <c r="L148" s="2674" t="str">
        <f t="shared" si="15"/>
        <v/>
      </c>
      <c r="M148" s="2669" t="str">
        <f t="shared" si="16"/>
        <v/>
      </c>
      <c r="N148" s="868"/>
      <c r="O148" s="871"/>
      <c r="P148" s="869" t="str">
        <f t="shared" si="17"/>
        <v/>
      </c>
      <c r="Q148" s="2668" t="str">
        <f t="shared" si="18"/>
        <v/>
      </c>
      <c r="R148" s="2669" t="str">
        <f t="shared" si="19"/>
        <v/>
      </c>
    </row>
    <row r="149" spans="1:18" ht="12" customHeight="1">
      <c r="A149" s="2581"/>
      <c r="B149" s="2582"/>
      <c r="C149" s="2583"/>
      <c r="D149" s="868"/>
      <c r="E149" s="2668"/>
      <c r="F149" s="2669"/>
      <c r="G149" s="2668"/>
      <c r="H149" s="2669"/>
      <c r="I149" s="869"/>
      <c r="J149" s="870"/>
      <c r="K149" s="2668"/>
      <c r="L149" s="2674" t="str">
        <f t="shared" si="15"/>
        <v/>
      </c>
      <c r="M149" s="2669" t="str">
        <f t="shared" si="16"/>
        <v/>
      </c>
      <c r="N149" s="868"/>
      <c r="O149" s="871"/>
      <c r="P149" s="869" t="str">
        <f t="shared" si="17"/>
        <v/>
      </c>
      <c r="Q149" s="2668" t="str">
        <f t="shared" si="18"/>
        <v/>
      </c>
      <c r="R149" s="2669" t="str">
        <f t="shared" si="19"/>
        <v/>
      </c>
    </row>
    <row r="150" spans="1:18" ht="12" customHeight="1">
      <c r="A150" s="2581"/>
      <c r="B150" s="2582"/>
      <c r="C150" s="2583"/>
      <c r="D150" s="868"/>
      <c r="E150" s="2668"/>
      <c r="F150" s="2669"/>
      <c r="G150" s="2668"/>
      <c r="H150" s="2669"/>
      <c r="I150" s="869"/>
      <c r="J150" s="870"/>
      <c r="K150" s="2668"/>
      <c r="L150" s="2674" t="str">
        <f t="shared" si="15"/>
        <v/>
      </c>
      <c r="M150" s="2669" t="str">
        <f t="shared" si="16"/>
        <v/>
      </c>
      <c r="N150" s="868"/>
      <c r="O150" s="871"/>
      <c r="P150" s="869" t="str">
        <f t="shared" si="17"/>
        <v/>
      </c>
      <c r="Q150" s="2668" t="str">
        <f t="shared" si="18"/>
        <v/>
      </c>
      <c r="R150" s="2669" t="str">
        <f t="shared" si="19"/>
        <v/>
      </c>
    </row>
    <row r="151" spans="1:18" ht="12" customHeight="1">
      <c r="A151" s="2581"/>
      <c r="B151" s="2582"/>
      <c r="C151" s="2583"/>
      <c r="D151" s="868"/>
      <c r="E151" s="2668"/>
      <c r="F151" s="2669"/>
      <c r="G151" s="2668"/>
      <c r="H151" s="2669"/>
      <c r="I151" s="869"/>
      <c r="J151" s="870"/>
      <c r="K151" s="2668"/>
      <c r="L151" s="2674" t="str">
        <f t="shared" si="15"/>
        <v/>
      </c>
      <c r="M151" s="2669" t="str">
        <f t="shared" si="16"/>
        <v/>
      </c>
      <c r="N151" s="868"/>
      <c r="O151" s="871"/>
      <c r="P151" s="869" t="str">
        <f t="shared" si="17"/>
        <v/>
      </c>
      <c r="Q151" s="2668" t="str">
        <f t="shared" si="18"/>
        <v/>
      </c>
      <c r="R151" s="2669" t="str">
        <f t="shared" si="19"/>
        <v/>
      </c>
    </row>
    <row r="152" spans="1:18" ht="12" customHeight="1">
      <c r="A152" s="2581"/>
      <c r="B152" s="2582"/>
      <c r="C152" s="2583"/>
      <c r="D152" s="868"/>
      <c r="E152" s="2668"/>
      <c r="F152" s="2669"/>
      <c r="G152" s="2668"/>
      <c r="H152" s="2669"/>
      <c r="I152" s="869"/>
      <c r="J152" s="870"/>
      <c r="K152" s="2668"/>
      <c r="L152" s="2674" t="str">
        <f t="shared" si="15"/>
        <v/>
      </c>
      <c r="M152" s="2669" t="str">
        <f t="shared" si="16"/>
        <v/>
      </c>
      <c r="N152" s="868"/>
      <c r="O152" s="871"/>
      <c r="P152" s="869" t="str">
        <f t="shared" si="17"/>
        <v/>
      </c>
      <c r="Q152" s="2668" t="str">
        <f t="shared" si="18"/>
        <v/>
      </c>
      <c r="R152" s="2669" t="str">
        <f t="shared" si="19"/>
        <v/>
      </c>
    </row>
    <row r="153" spans="1:18" ht="12" customHeight="1">
      <c r="A153" s="2581"/>
      <c r="B153" s="2582"/>
      <c r="C153" s="2583"/>
      <c r="D153" s="868"/>
      <c r="E153" s="2668"/>
      <c r="F153" s="2669"/>
      <c r="G153" s="2668"/>
      <c r="H153" s="2669"/>
      <c r="I153" s="869"/>
      <c r="J153" s="870"/>
      <c r="K153" s="2668"/>
      <c r="L153" s="2674" t="str">
        <f t="shared" si="15"/>
        <v/>
      </c>
      <c r="M153" s="2669" t="str">
        <f t="shared" si="16"/>
        <v/>
      </c>
      <c r="N153" s="868"/>
      <c r="O153" s="871"/>
      <c r="P153" s="869" t="str">
        <f t="shared" si="17"/>
        <v/>
      </c>
      <c r="Q153" s="2668" t="str">
        <f t="shared" si="18"/>
        <v/>
      </c>
      <c r="R153" s="2669" t="str">
        <f t="shared" si="19"/>
        <v/>
      </c>
    </row>
    <row r="154" spans="1:18" ht="12" customHeight="1">
      <c r="A154" s="2581"/>
      <c r="B154" s="2582"/>
      <c r="C154" s="2583"/>
      <c r="D154" s="868"/>
      <c r="E154" s="2668"/>
      <c r="F154" s="2669"/>
      <c r="G154" s="2668"/>
      <c r="H154" s="2669"/>
      <c r="I154" s="869"/>
      <c r="J154" s="870"/>
      <c r="K154" s="2668"/>
      <c r="L154" s="2674" t="str">
        <f t="shared" si="15"/>
        <v/>
      </c>
      <c r="M154" s="2669" t="str">
        <f t="shared" si="16"/>
        <v/>
      </c>
      <c r="N154" s="868"/>
      <c r="O154" s="871"/>
      <c r="P154" s="869" t="str">
        <f t="shared" si="17"/>
        <v/>
      </c>
      <c r="Q154" s="2668" t="str">
        <f t="shared" si="18"/>
        <v/>
      </c>
      <c r="R154" s="2669" t="str">
        <f t="shared" si="19"/>
        <v/>
      </c>
    </row>
    <row r="155" spans="1:18" ht="12" customHeight="1">
      <c r="A155" s="2581"/>
      <c r="B155" s="2582"/>
      <c r="C155" s="2583"/>
      <c r="D155" s="868"/>
      <c r="E155" s="2668"/>
      <c r="F155" s="2669"/>
      <c r="G155" s="2668"/>
      <c r="H155" s="2669"/>
      <c r="I155" s="869"/>
      <c r="J155" s="870"/>
      <c r="K155" s="2668"/>
      <c r="L155" s="2674" t="str">
        <f t="shared" si="15"/>
        <v/>
      </c>
      <c r="M155" s="2669" t="str">
        <f t="shared" si="16"/>
        <v/>
      </c>
      <c r="N155" s="868"/>
      <c r="O155" s="871"/>
      <c r="P155" s="869" t="str">
        <f t="shared" si="17"/>
        <v/>
      </c>
      <c r="Q155" s="2668" t="str">
        <f t="shared" si="18"/>
        <v/>
      </c>
      <c r="R155" s="2669" t="str">
        <f t="shared" si="19"/>
        <v/>
      </c>
    </row>
    <row r="156" spans="1:18" ht="12" customHeight="1">
      <c r="A156" s="2581"/>
      <c r="B156" s="2582"/>
      <c r="C156" s="2583"/>
      <c r="D156" s="868"/>
      <c r="E156" s="2668"/>
      <c r="F156" s="2669"/>
      <c r="G156" s="2668"/>
      <c r="H156" s="2669"/>
      <c r="I156" s="869"/>
      <c r="J156" s="870"/>
      <c r="K156" s="2668"/>
      <c r="L156" s="2674" t="str">
        <f t="shared" si="15"/>
        <v/>
      </c>
      <c r="M156" s="2669" t="str">
        <f t="shared" si="16"/>
        <v/>
      </c>
      <c r="N156" s="868"/>
      <c r="O156" s="871"/>
      <c r="P156" s="869" t="str">
        <f t="shared" si="17"/>
        <v/>
      </c>
      <c r="Q156" s="2668" t="str">
        <f t="shared" si="18"/>
        <v/>
      </c>
      <c r="R156" s="2669" t="str">
        <f t="shared" si="19"/>
        <v/>
      </c>
    </row>
    <row r="157" spans="1:18" ht="12" customHeight="1">
      <c r="A157" s="2581"/>
      <c r="B157" s="2582"/>
      <c r="C157" s="2583"/>
      <c r="D157" s="868"/>
      <c r="E157" s="2668"/>
      <c r="F157" s="2669"/>
      <c r="G157" s="2668"/>
      <c r="H157" s="2669"/>
      <c r="I157" s="869"/>
      <c r="J157" s="870"/>
      <c r="K157" s="2668"/>
      <c r="L157" s="2674" t="str">
        <f t="shared" si="15"/>
        <v/>
      </c>
      <c r="M157" s="2669" t="str">
        <f t="shared" si="16"/>
        <v/>
      </c>
      <c r="N157" s="868"/>
      <c r="O157" s="871"/>
      <c r="P157" s="869" t="str">
        <f t="shared" si="17"/>
        <v/>
      </c>
      <c r="Q157" s="2668" t="str">
        <f t="shared" si="18"/>
        <v/>
      </c>
      <c r="R157" s="2669" t="str">
        <f t="shared" si="19"/>
        <v/>
      </c>
    </row>
    <row r="158" spans="1:18" ht="12" customHeight="1">
      <c r="A158" s="2581"/>
      <c r="B158" s="2582"/>
      <c r="C158" s="2583"/>
      <c r="D158" s="868"/>
      <c r="E158" s="2668"/>
      <c r="F158" s="2669"/>
      <c r="G158" s="2668"/>
      <c r="H158" s="2669"/>
      <c r="I158" s="869"/>
      <c r="J158" s="870"/>
      <c r="K158" s="2668"/>
      <c r="L158" s="2674" t="str">
        <f t="shared" si="15"/>
        <v/>
      </c>
      <c r="M158" s="2669" t="str">
        <f t="shared" si="16"/>
        <v/>
      </c>
      <c r="N158" s="868"/>
      <c r="O158" s="871"/>
      <c r="P158" s="869" t="str">
        <f t="shared" si="17"/>
        <v/>
      </c>
      <c r="Q158" s="2668" t="str">
        <f t="shared" si="18"/>
        <v/>
      </c>
      <c r="R158" s="2669" t="str">
        <f t="shared" si="19"/>
        <v/>
      </c>
    </row>
    <row r="159" spans="1:18" ht="12" customHeight="1">
      <c r="A159" s="2581"/>
      <c r="B159" s="2582"/>
      <c r="C159" s="2583"/>
      <c r="D159" s="868"/>
      <c r="E159" s="2668"/>
      <c r="F159" s="2669"/>
      <c r="G159" s="2668"/>
      <c r="H159" s="2669"/>
      <c r="I159" s="869"/>
      <c r="J159" s="870"/>
      <c r="K159" s="2668"/>
      <c r="L159" s="2674" t="str">
        <f t="shared" si="15"/>
        <v/>
      </c>
      <c r="M159" s="2669" t="str">
        <f t="shared" si="16"/>
        <v/>
      </c>
      <c r="N159" s="868"/>
      <c r="O159" s="871"/>
      <c r="P159" s="869" t="str">
        <f t="shared" si="17"/>
        <v/>
      </c>
      <c r="Q159" s="2668" t="str">
        <f t="shared" si="18"/>
        <v/>
      </c>
      <c r="R159" s="2669" t="str">
        <f t="shared" si="19"/>
        <v/>
      </c>
    </row>
    <row r="160" spans="1:18" ht="12" customHeight="1">
      <c r="A160" s="2581"/>
      <c r="B160" s="2582"/>
      <c r="C160" s="2583"/>
      <c r="D160" s="868"/>
      <c r="E160" s="2668"/>
      <c r="F160" s="2669"/>
      <c r="G160" s="2668"/>
      <c r="H160" s="2669"/>
      <c r="I160" s="869"/>
      <c r="J160" s="870"/>
      <c r="K160" s="2668"/>
      <c r="L160" s="2674" t="str">
        <f t="shared" si="15"/>
        <v/>
      </c>
      <c r="M160" s="2669" t="str">
        <f t="shared" si="16"/>
        <v/>
      </c>
      <c r="N160" s="868"/>
      <c r="O160" s="871"/>
      <c r="P160" s="869" t="str">
        <f t="shared" si="17"/>
        <v/>
      </c>
      <c r="Q160" s="2668" t="str">
        <f t="shared" si="18"/>
        <v/>
      </c>
      <c r="R160" s="2669" t="str">
        <f t="shared" si="19"/>
        <v/>
      </c>
    </row>
    <row r="161" spans="1:22" ht="12" customHeight="1">
      <c r="A161" s="2581"/>
      <c r="B161" s="2582"/>
      <c r="C161" s="2583"/>
      <c r="D161" s="868"/>
      <c r="E161" s="2668"/>
      <c r="F161" s="2669"/>
      <c r="G161" s="2668"/>
      <c r="H161" s="2669"/>
      <c r="I161" s="869"/>
      <c r="J161" s="870"/>
      <c r="K161" s="2668"/>
      <c r="L161" s="2674" t="str">
        <f t="shared" si="15"/>
        <v/>
      </c>
      <c r="M161" s="2669" t="str">
        <f t="shared" si="16"/>
        <v/>
      </c>
      <c r="N161" s="868"/>
      <c r="O161" s="871"/>
      <c r="P161" s="869" t="str">
        <f t="shared" si="17"/>
        <v/>
      </c>
      <c r="Q161" s="2668" t="str">
        <f t="shared" si="18"/>
        <v/>
      </c>
      <c r="R161" s="2669" t="str">
        <f t="shared" si="19"/>
        <v/>
      </c>
    </row>
    <row r="162" spans="1:22" ht="12" customHeight="1">
      <c r="A162" s="2581"/>
      <c r="B162" s="2582"/>
      <c r="C162" s="2583"/>
      <c r="D162" s="868"/>
      <c r="E162" s="2668"/>
      <c r="F162" s="2669"/>
      <c r="G162" s="2668"/>
      <c r="H162" s="2669"/>
      <c r="I162" s="869"/>
      <c r="J162" s="870"/>
      <c r="K162" s="2668"/>
      <c r="L162" s="2674" t="str">
        <f t="shared" si="15"/>
        <v/>
      </c>
      <c r="M162" s="2669" t="str">
        <f t="shared" si="16"/>
        <v/>
      </c>
      <c r="N162" s="868"/>
      <c r="O162" s="871"/>
      <c r="P162" s="869" t="str">
        <f t="shared" si="17"/>
        <v/>
      </c>
      <c r="Q162" s="2668" t="str">
        <f t="shared" si="18"/>
        <v/>
      </c>
      <c r="R162" s="2669" t="str">
        <f t="shared" si="19"/>
        <v/>
      </c>
    </row>
    <row r="163" spans="1:22" ht="12" customHeight="1">
      <c r="A163" s="2581"/>
      <c r="B163" s="2582"/>
      <c r="C163" s="2583"/>
      <c r="D163" s="868"/>
      <c r="E163" s="2668"/>
      <c r="F163" s="2669"/>
      <c r="G163" s="2668"/>
      <c r="H163" s="2669"/>
      <c r="I163" s="869"/>
      <c r="J163" s="870"/>
      <c r="K163" s="2668"/>
      <c r="L163" s="2674" t="str">
        <f t="shared" si="15"/>
        <v/>
      </c>
      <c r="M163" s="2669" t="str">
        <f t="shared" si="16"/>
        <v/>
      </c>
      <c r="N163" s="868"/>
      <c r="O163" s="871"/>
      <c r="P163" s="869" t="str">
        <f t="shared" si="17"/>
        <v/>
      </c>
      <c r="Q163" s="2668" t="str">
        <f t="shared" si="18"/>
        <v/>
      </c>
      <c r="R163" s="2669" t="str">
        <f t="shared" si="19"/>
        <v/>
      </c>
    </row>
    <row r="164" spans="1:22" ht="12" customHeight="1">
      <c r="A164" s="2581"/>
      <c r="B164" s="2582"/>
      <c r="C164" s="2583"/>
      <c r="D164" s="868"/>
      <c r="E164" s="2668"/>
      <c r="F164" s="2669"/>
      <c r="G164" s="2668"/>
      <c r="H164" s="2669"/>
      <c r="I164" s="869"/>
      <c r="J164" s="870"/>
      <c r="K164" s="2668"/>
      <c r="L164" s="2674" t="str">
        <f t="shared" si="15"/>
        <v/>
      </c>
      <c r="M164" s="2669" t="str">
        <f t="shared" si="16"/>
        <v/>
      </c>
      <c r="N164" s="868"/>
      <c r="O164" s="871"/>
      <c r="P164" s="869" t="str">
        <f t="shared" si="17"/>
        <v/>
      </c>
      <c r="Q164" s="2668" t="str">
        <f t="shared" si="18"/>
        <v/>
      </c>
      <c r="R164" s="2669" t="str">
        <f t="shared" si="19"/>
        <v/>
      </c>
    </row>
    <row r="165" spans="1:22" ht="12" customHeight="1">
      <c r="A165" s="2581"/>
      <c r="B165" s="2582"/>
      <c r="C165" s="2583"/>
      <c r="D165" s="868"/>
      <c r="E165" s="2668"/>
      <c r="F165" s="2669"/>
      <c r="G165" s="2668"/>
      <c r="H165" s="2669"/>
      <c r="I165" s="869"/>
      <c r="J165" s="870"/>
      <c r="K165" s="2668"/>
      <c r="L165" s="2674" t="str">
        <f t="shared" si="15"/>
        <v/>
      </c>
      <c r="M165" s="2669" t="str">
        <f t="shared" si="16"/>
        <v/>
      </c>
      <c r="N165" s="868"/>
      <c r="O165" s="871"/>
      <c r="P165" s="869" t="str">
        <f t="shared" si="17"/>
        <v/>
      </c>
      <c r="Q165" s="2668" t="str">
        <f t="shared" si="18"/>
        <v/>
      </c>
      <c r="R165" s="2669" t="str">
        <f t="shared" si="19"/>
        <v/>
      </c>
    </row>
    <row r="166" spans="1:22" ht="12" customHeight="1">
      <c r="A166" s="2581"/>
      <c r="B166" s="2582"/>
      <c r="C166" s="2583"/>
      <c r="D166" s="868"/>
      <c r="E166" s="2668"/>
      <c r="F166" s="2669"/>
      <c r="G166" s="2668"/>
      <c r="H166" s="2669"/>
      <c r="I166" s="869"/>
      <c r="J166" s="870"/>
      <c r="K166" s="2668"/>
      <c r="L166" s="2674" t="str">
        <f t="shared" si="15"/>
        <v/>
      </c>
      <c r="M166" s="2669" t="str">
        <f t="shared" si="16"/>
        <v/>
      </c>
      <c r="N166" s="868"/>
      <c r="O166" s="871"/>
      <c r="P166" s="869" t="str">
        <f t="shared" si="17"/>
        <v/>
      </c>
      <c r="Q166" s="2668" t="str">
        <f t="shared" si="18"/>
        <v/>
      </c>
      <c r="R166" s="2669" t="str">
        <f>IF(P166="","",ROUND(P166,0))</f>
        <v/>
      </c>
    </row>
    <row r="167" spans="1:22" ht="12" customHeight="1">
      <c r="A167" s="2581"/>
      <c r="B167" s="2582"/>
      <c r="C167" s="2583"/>
      <c r="D167" s="868"/>
      <c r="E167" s="2668"/>
      <c r="F167" s="2669"/>
      <c r="G167" s="2668"/>
      <c r="H167" s="2669"/>
      <c r="I167" s="869"/>
      <c r="J167" s="870"/>
      <c r="K167" s="2668"/>
      <c r="L167" s="2674" t="str">
        <f t="shared" si="15"/>
        <v/>
      </c>
      <c r="M167" s="2669" t="str">
        <f t="shared" si="16"/>
        <v/>
      </c>
      <c r="N167" s="868"/>
      <c r="O167" s="871"/>
      <c r="P167" s="869" t="str">
        <f t="shared" si="17"/>
        <v/>
      </c>
      <c r="Q167" s="2668" t="str">
        <f t="shared" si="18"/>
        <v/>
      </c>
      <c r="R167" s="2669" t="str">
        <f t="shared" si="19"/>
        <v/>
      </c>
    </row>
    <row r="168" spans="1:22" ht="12" customHeight="1">
      <c r="A168" s="2581"/>
      <c r="B168" s="2582"/>
      <c r="C168" s="2583"/>
      <c r="D168" s="868"/>
      <c r="E168" s="2668"/>
      <c r="F168" s="2669"/>
      <c r="G168" s="2668"/>
      <c r="H168" s="2669"/>
      <c r="I168" s="869"/>
      <c r="J168" s="870"/>
      <c r="K168" s="2668"/>
      <c r="L168" s="2674" t="str">
        <f t="shared" si="15"/>
        <v/>
      </c>
      <c r="M168" s="2669" t="str">
        <f t="shared" si="16"/>
        <v/>
      </c>
      <c r="N168" s="868"/>
      <c r="O168" s="871"/>
      <c r="P168" s="869" t="str">
        <f t="shared" si="17"/>
        <v/>
      </c>
      <c r="Q168" s="2668" t="str">
        <f t="shared" si="18"/>
        <v/>
      </c>
      <c r="R168" s="2669" t="str">
        <f t="shared" si="19"/>
        <v/>
      </c>
    </row>
    <row r="169" spans="1:22" ht="12" customHeight="1">
      <c r="A169" s="2581"/>
      <c r="B169" s="2582"/>
      <c r="C169" s="2583"/>
      <c r="D169" s="868"/>
      <c r="E169" s="2668"/>
      <c r="F169" s="2669"/>
      <c r="G169" s="2668"/>
      <c r="H169" s="2669"/>
      <c r="I169" s="869"/>
      <c r="J169" s="870"/>
      <c r="K169" s="2668"/>
      <c r="L169" s="2674" t="str">
        <f t="shared" si="15"/>
        <v/>
      </c>
      <c r="M169" s="2669" t="str">
        <f t="shared" si="16"/>
        <v/>
      </c>
      <c r="N169" s="868"/>
      <c r="O169" s="871"/>
      <c r="P169" s="869" t="str">
        <f t="shared" si="17"/>
        <v/>
      </c>
      <c r="Q169" s="2668" t="str">
        <f t="shared" si="18"/>
        <v/>
      </c>
      <c r="R169" s="2669" t="str">
        <f t="shared" si="19"/>
        <v/>
      </c>
    </row>
    <row r="170" spans="1:22" ht="12" customHeight="1">
      <c r="A170" s="2584"/>
      <c r="B170" s="2585"/>
      <c r="C170" s="2586"/>
      <c r="D170" s="872"/>
      <c r="E170" s="2670"/>
      <c r="F170" s="2671"/>
      <c r="G170" s="2670"/>
      <c r="H170" s="2671"/>
      <c r="I170" s="873"/>
      <c r="J170" s="874"/>
      <c r="K170" s="2670"/>
      <c r="L170" s="2675" t="str">
        <f t="shared" si="15"/>
        <v/>
      </c>
      <c r="M170" s="2671" t="str">
        <f t="shared" si="16"/>
        <v/>
      </c>
      <c r="N170" s="872"/>
      <c r="O170" s="875"/>
      <c r="P170" s="873" t="str">
        <f t="shared" si="17"/>
        <v/>
      </c>
      <c r="Q170" s="2670" t="str">
        <f t="shared" si="18"/>
        <v/>
      </c>
      <c r="R170" s="2671" t="str">
        <f t="shared" si="19"/>
        <v/>
      </c>
    </row>
    <row r="171" spans="1:22" ht="12.6" customHeight="1">
      <c r="A171" s="850" t="s">
        <v>3162</v>
      </c>
      <c r="B171" s="876"/>
      <c r="C171" s="876"/>
      <c r="D171" s="877"/>
      <c r="E171" s="878">
        <f>SUM(E138:E170)</f>
        <v>0</v>
      </c>
      <c r="F171" s="878">
        <f>SUM(F138:F170)</f>
        <v>0</v>
      </c>
      <c r="G171" s="878">
        <f>SUM(G138:G170)</f>
        <v>0</v>
      </c>
      <c r="H171" s="878">
        <f>SUM(H138:H170)</f>
        <v>0</v>
      </c>
      <c r="I171" s="878">
        <f>SUM(I138:I170)</f>
        <v>0</v>
      </c>
      <c r="J171" s="879"/>
      <c r="K171" s="878">
        <f>SUM(K138:K170)</f>
        <v>0</v>
      </c>
      <c r="L171" s="880"/>
      <c r="M171" s="878">
        <f>SUM(M138:M170)</f>
        <v>0</v>
      </c>
      <c r="N171" s="877"/>
      <c r="O171" s="880"/>
      <c r="P171" s="878">
        <f>SUM(P138:P170)</f>
        <v>0</v>
      </c>
      <c r="Q171" s="878">
        <f>SUM(Q138:Q170)</f>
        <v>0</v>
      </c>
      <c r="R171" s="878">
        <f>SUM(R138:R170)</f>
        <v>0</v>
      </c>
      <c r="T171" s="882"/>
      <c r="U171" s="882"/>
      <c r="V171" s="882"/>
    </row>
    <row r="172" spans="1:22" ht="12.6" customHeight="1">
      <c r="B172" s="876"/>
      <c r="C172" s="876"/>
      <c r="D172" s="877"/>
      <c r="E172" s="883"/>
      <c r="F172" s="881"/>
      <c r="G172" s="881"/>
      <c r="H172" s="881"/>
      <c r="I172" s="881"/>
      <c r="J172" s="879"/>
      <c r="K172" s="881"/>
      <c r="L172" s="880"/>
      <c r="M172" s="881"/>
      <c r="N172" s="877"/>
      <c r="O172" s="880"/>
      <c r="P172" s="881"/>
      <c r="Q172" s="881"/>
      <c r="R172" s="881"/>
    </row>
    <row r="173" spans="1:22" ht="12.6" customHeight="1">
      <c r="A173" s="884" t="str">
        <f>"GRAND TOTALS - "&amp;C4</f>
        <v>GRAND TOTALS - Rehabilitation</v>
      </c>
      <c r="B173" s="876"/>
      <c r="C173" s="882"/>
      <c r="D173" s="877"/>
      <c r="E173" s="878">
        <f>E45+E89+E131+E171</f>
        <v>0</v>
      </c>
      <c r="F173" s="878">
        <f t="shared" ref="F173:M173" si="20">F45+F89+F131+F171</f>
        <v>0</v>
      </c>
      <c r="G173" s="878">
        <f t="shared" si="20"/>
        <v>0</v>
      </c>
      <c r="H173" s="878">
        <f t="shared" si="20"/>
        <v>0</v>
      </c>
      <c r="I173" s="878">
        <f t="shared" si="20"/>
        <v>0</v>
      </c>
      <c r="J173" s="879"/>
      <c r="K173" s="878">
        <f t="shared" si="20"/>
        <v>0</v>
      </c>
      <c r="L173" s="880"/>
      <c r="M173" s="878">
        <f t="shared" si="20"/>
        <v>0</v>
      </c>
      <c r="N173" s="877"/>
      <c r="O173" s="880"/>
      <c r="P173" s="878">
        <f t="shared" ref="P173:R173" si="21">P45+P89+P131+P171</f>
        <v>0</v>
      </c>
      <c r="Q173" s="878">
        <f t="shared" si="21"/>
        <v>0</v>
      </c>
      <c r="R173" s="878">
        <f t="shared" si="21"/>
        <v>0</v>
      </c>
    </row>
    <row r="174" spans="1:22" ht="3" customHeight="1">
      <c r="A174" s="876"/>
      <c r="B174" s="876"/>
      <c r="C174" s="876"/>
      <c r="D174" s="877"/>
      <c r="E174" s="883"/>
      <c r="F174" s="883"/>
      <c r="G174" s="881"/>
      <c r="H174" s="881"/>
      <c r="I174" s="881"/>
      <c r="J174" s="879"/>
      <c r="K174" s="881"/>
      <c r="L174" s="880"/>
      <c r="M174" s="881"/>
      <c r="N174" s="877"/>
      <c r="O174" s="880"/>
      <c r="P174" s="881"/>
      <c r="Q174" s="881"/>
      <c r="R174" s="881"/>
    </row>
    <row r="175" spans="1:22" ht="13.5" customHeight="1">
      <c r="A175" s="885" t="s">
        <v>687</v>
      </c>
      <c r="B175" s="885" t="s">
        <v>3158</v>
      </c>
      <c r="C175" s="886"/>
      <c r="D175" s="886"/>
      <c r="E175" s="886"/>
      <c r="F175" s="886"/>
      <c r="G175" s="886"/>
      <c r="H175" s="850" t="s">
        <v>3128</v>
      </c>
      <c r="I175" s="846"/>
      <c r="J175" s="2587" t="str">
        <f>C4</f>
        <v>Rehabilitation</v>
      </c>
      <c r="K175" s="2588"/>
      <c r="L175" s="2588"/>
    </row>
    <row r="176" spans="1:22" ht="3.75" customHeight="1">
      <c r="A176" s="886"/>
      <c r="B176" s="887"/>
      <c r="C176" s="886"/>
      <c r="D176" s="886"/>
      <c r="E176" s="886"/>
      <c r="F176" s="886"/>
      <c r="G176" s="886"/>
      <c r="H176" s="886"/>
      <c r="I176" s="886"/>
      <c r="J176" s="886"/>
      <c r="K176" s="886"/>
    </row>
    <row r="177" spans="1:18" ht="102" customHeight="1">
      <c r="A177" s="2589"/>
      <c r="B177" s="2590"/>
      <c r="C177" s="2590"/>
      <c r="D177" s="2590"/>
      <c r="E177" s="2590"/>
      <c r="F177" s="2590"/>
      <c r="G177" s="2590"/>
      <c r="H177" s="2590"/>
      <c r="I177" s="2590"/>
      <c r="J177" s="2590"/>
      <c r="K177" s="2590"/>
      <c r="L177" s="2590"/>
      <c r="M177" s="2590"/>
      <c r="N177" s="2590"/>
      <c r="O177" s="2590"/>
      <c r="P177" s="2590"/>
      <c r="Q177" s="2590"/>
      <c r="R177" s="2591"/>
    </row>
    <row r="178" spans="1:18" ht="102" customHeight="1">
      <c r="A178" s="2592"/>
      <c r="B178" s="2593"/>
      <c r="C178" s="2593"/>
      <c r="D178" s="2593"/>
      <c r="E178" s="2593"/>
      <c r="F178" s="2593"/>
      <c r="G178" s="2593"/>
      <c r="H178" s="2593"/>
      <c r="I178" s="2593"/>
      <c r="J178" s="2593"/>
      <c r="K178" s="2593"/>
      <c r="L178" s="2593"/>
      <c r="M178" s="2593"/>
      <c r="N178" s="2593"/>
      <c r="O178" s="2593"/>
      <c r="P178" s="2593"/>
      <c r="Q178" s="2593"/>
      <c r="R178" s="2594"/>
    </row>
    <row r="179" spans="1:18" ht="102" customHeight="1">
      <c r="A179" s="2592"/>
      <c r="B179" s="2593"/>
      <c r="C179" s="2593"/>
      <c r="D179" s="2593"/>
      <c r="E179" s="2593"/>
      <c r="F179" s="2593"/>
      <c r="G179" s="2593"/>
      <c r="H179" s="2593"/>
      <c r="I179" s="2593"/>
      <c r="J179" s="2593"/>
      <c r="K179" s="2593"/>
      <c r="L179" s="2593"/>
      <c r="M179" s="2593"/>
      <c r="N179" s="2593"/>
      <c r="O179" s="2593"/>
      <c r="P179" s="2593"/>
      <c r="Q179" s="2593"/>
      <c r="R179" s="2594"/>
    </row>
    <row r="180" spans="1:18" ht="102" customHeight="1">
      <c r="A180" s="2595"/>
      <c r="B180" s="2596"/>
      <c r="C180" s="2596"/>
      <c r="D180" s="2596"/>
      <c r="E180" s="2596"/>
      <c r="F180" s="2596"/>
      <c r="G180" s="2596"/>
      <c r="H180" s="2596"/>
      <c r="I180" s="2596"/>
      <c r="J180" s="2596"/>
      <c r="K180" s="2596"/>
      <c r="L180" s="2596"/>
      <c r="M180" s="2596"/>
      <c r="N180" s="2596"/>
      <c r="O180" s="2596"/>
      <c r="P180" s="2596"/>
      <c r="Q180" s="2596"/>
      <c r="R180" s="2597"/>
    </row>
  </sheetData>
  <sheetProtection algorithmName="SHA-512" hashValue="8AMtV71j082W+rLgrK4DRPo2P3kuUwgvVCUI7rqYhFKG6J8wZOHyf5GBvX5Golljdix1MA5Xeef1S0F/kuqGnw==" saltValue="O+uWC4RbFTpNoC+6VmIbxA==" spinCount="100000" sheet="1" objects="1" scenarios="1" formatCells="0" formatColumns="0" formatRows="0"/>
  <mergeCells count="176">
    <mergeCell ref="A1:R1"/>
    <mergeCell ref="C3:D3"/>
    <mergeCell ref="I3:J3"/>
    <mergeCell ref="M3:R3"/>
    <mergeCell ref="C4:E4"/>
    <mergeCell ref="A5:R5"/>
    <mergeCell ref="A14:C14"/>
    <mergeCell ref="A15:C15"/>
    <mergeCell ref="A16:C16"/>
    <mergeCell ref="E6:H6"/>
    <mergeCell ref="K6:M7"/>
    <mergeCell ref="E7:F7"/>
    <mergeCell ref="G7:H7"/>
    <mergeCell ref="A17:C17"/>
    <mergeCell ref="A18:C18"/>
    <mergeCell ref="A19:C19"/>
    <mergeCell ref="Q6:R7"/>
    <mergeCell ref="J7:J8"/>
    <mergeCell ref="A10:C10"/>
    <mergeCell ref="A11:C11"/>
    <mergeCell ref="A12:C12"/>
    <mergeCell ref="A13:C13"/>
    <mergeCell ref="A26:C26"/>
    <mergeCell ref="A27:C27"/>
    <mergeCell ref="A28:C28"/>
    <mergeCell ref="A29:C29"/>
    <mergeCell ref="A30:C30"/>
    <mergeCell ref="A31:C31"/>
    <mergeCell ref="A20:C20"/>
    <mergeCell ref="A21:C21"/>
    <mergeCell ref="A22:C22"/>
    <mergeCell ref="A23:C23"/>
    <mergeCell ref="A24:C24"/>
    <mergeCell ref="A25:C25"/>
    <mergeCell ref="A38:C38"/>
    <mergeCell ref="A39:C39"/>
    <mergeCell ref="A40:C40"/>
    <mergeCell ref="A41:C41"/>
    <mergeCell ref="A42:C42"/>
    <mergeCell ref="A43:C43"/>
    <mergeCell ref="A32:C32"/>
    <mergeCell ref="A33:C33"/>
    <mergeCell ref="A34:C34"/>
    <mergeCell ref="A35:C35"/>
    <mergeCell ref="A36:C36"/>
    <mergeCell ref="A37:C37"/>
    <mergeCell ref="A55:C55"/>
    <mergeCell ref="A56:C56"/>
    <mergeCell ref="A57:C57"/>
    <mergeCell ref="A58:C58"/>
    <mergeCell ref="A59:C59"/>
    <mergeCell ref="A60:C60"/>
    <mergeCell ref="A44:C44"/>
    <mergeCell ref="C48:E48"/>
    <mergeCell ref="A49:R49"/>
    <mergeCell ref="Q50:R51"/>
    <mergeCell ref="J51:J52"/>
    <mergeCell ref="A54:C54"/>
    <mergeCell ref="E50:H50"/>
    <mergeCell ref="K50:M51"/>
    <mergeCell ref="E51:F51"/>
    <mergeCell ref="G51:H51"/>
    <mergeCell ref="A67:C67"/>
    <mergeCell ref="A68:C68"/>
    <mergeCell ref="A69:C69"/>
    <mergeCell ref="A70:C70"/>
    <mergeCell ref="A71:C71"/>
    <mergeCell ref="A72:C72"/>
    <mergeCell ref="A61:C61"/>
    <mergeCell ref="A62:C62"/>
    <mergeCell ref="A63:C63"/>
    <mergeCell ref="A64:C64"/>
    <mergeCell ref="A65:C65"/>
    <mergeCell ref="A66:C66"/>
    <mergeCell ref="A79:C79"/>
    <mergeCell ref="A80:C80"/>
    <mergeCell ref="A81:C81"/>
    <mergeCell ref="A82:C82"/>
    <mergeCell ref="A83:C83"/>
    <mergeCell ref="A84:C84"/>
    <mergeCell ref="A73:C73"/>
    <mergeCell ref="A74:C74"/>
    <mergeCell ref="A75:C75"/>
    <mergeCell ref="A76:C76"/>
    <mergeCell ref="A77:C77"/>
    <mergeCell ref="A78:C78"/>
    <mergeCell ref="Q92:R93"/>
    <mergeCell ref="J93:J94"/>
    <mergeCell ref="A96:C96"/>
    <mergeCell ref="A97:C97"/>
    <mergeCell ref="A98:C98"/>
    <mergeCell ref="A99:C99"/>
    <mergeCell ref="A85:C85"/>
    <mergeCell ref="A86:C86"/>
    <mergeCell ref="A87:C87"/>
    <mergeCell ref="A88:C88"/>
    <mergeCell ref="C90:E90"/>
    <mergeCell ref="A91:R91"/>
    <mergeCell ref="E92:H92"/>
    <mergeCell ref="K92:M93"/>
    <mergeCell ref="E93:F93"/>
    <mergeCell ref="G93:H93"/>
    <mergeCell ref="A106:C106"/>
    <mergeCell ref="A107:C107"/>
    <mergeCell ref="A108:C108"/>
    <mergeCell ref="A109:C109"/>
    <mergeCell ref="A110:C110"/>
    <mergeCell ref="A111:C111"/>
    <mergeCell ref="A100:C100"/>
    <mergeCell ref="A101:C101"/>
    <mergeCell ref="A102:C102"/>
    <mergeCell ref="A103:C103"/>
    <mergeCell ref="A104:C104"/>
    <mergeCell ref="A105:C105"/>
    <mergeCell ref="A118:C118"/>
    <mergeCell ref="A119:C119"/>
    <mergeCell ref="A120:C120"/>
    <mergeCell ref="A121:C121"/>
    <mergeCell ref="A122:C122"/>
    <mergeCell ref="A123:C123"/>
    <mergeCell ref="A112:C112"/>
    <mergeCell ref="A113:C113"/>
    <mergeCell ref="A114:C114"/>
    <mergeCell ref="A115:C115"/>
    <mergeCell ref="A116:C116"/>
    <mergeCell ref="A117:C117"/>
    <mergeCell ref="A130:C130"/>
    <mergeCell ref="C132:E132"/>
    <mergeCell ref="A133:R133"/>
    <mergeCell ref="Q134:R135"/>
    <mergeCell ref="J135:J136"/>
    <mergeCell ref="A138:C138"/>
    <mergeCell ref="A124:C124"/>
    <mergeCell ref="A125:C125"/>
    <mergeCell ref="A126:C126"/>
    <mergeCell ref="A127:C127"/>
    <mergeCell ref="A128:C128"/>
    <mergeCell ref="A129:C129"/>
    <mergeCell ref="E134:H134"/>
    <mergeCell ref="K134:M135"/>
    <mergeCell ref="E135:F135"/>
    <mergeCell ref="G135:H135"/>
    <mergeCell ref="A145:C145"/>
    <mergeCell ref="A146:C146"/>
    <mergeCell ref="A147:C147"/>
    <mergeCell ref="A148:C148"/>
    <mergeCell ref="A149:C149"/>
    <mergeCell ref="A150:C150"/>
    <mergeCell ref="A139:C139"/>
    <mergeCell ref="A140:C140"/>
    <mergeCell ref="A141:C141"/>
    <mergeCell ref="A142:C142"/>
    <mergeCell ref="A143:C143"/>
    <mergeCell ref="A144:C144"/>
    <mergeCell ref="A157:C157"/>
    <mergeCell ref="A158:C158"/>
    <mergeCell ref="A159:C159"/>
    <mergeCell ref="A160:C160"/>
    <mergeCell ref="A161:C161"/>
    <mergeCell ref="A162:C162"/>
    <mergeCell ref="A151:C151"/>
    <mergeCell ref="A152:C152"/>
    <mergeCell ref="A153:C153"/>
    <mergeCell ref="A154:C154"/>
    <mergeCell ref="A155:C155"/>
    <mergeCell ref="A156:C156"/>
    <mergeCell ref="A169:C169"/>
    <mergeCell ref="A170:C170"/>
    <mergeCell ref="J175:L175"/>
    <mergeCell ref="A177:R180"/>
    <mergeCell ref="A163:C163"/>
    <mergeCell ref="A164:C164"/>
    <mergeCell ref="A165:C165"/>
    <mergeCell ref="A166:C166"/>
    <mergeCell ref="A167:C167"/>
    <mergeCell ref="A168:C168"/>
  </mergeCells>
  <dataValidations count="1">
    <dataValidation type="list" allowBlank="1" showInputMessage="1" showErrorMessage="1" sqref="C4:E4" xr:uid="{00000000-0002-0000-1700-000000000000}">
      <formula1>"New Construction, Rehabilitation, Acquisition"</formula1>
    </dataValidation>
  </dataValidations>
  <printOptions horizontalCentered="1"/>
  <pageMargins left="0.25" right="0.25" top="0.5" bottom="0.4" header="0.25" footer="0.25"/>
  <pageSetup orientation="landscape" r:id="rId1"/>
  <headerFooter alignWithMargins="0">
    <oddHeader>&amp;LGeorgia Department of Community Affairs&amp;C&amp;"Arial,Bold" Cost Certification Application&amp;ROffice of Housing Finance</oddHeader>
    <oddFooter>&amp;L&amp;9OHF Cost Certification Application&amp;C&amp;9&amp;A&amp;R&amp;9&amp;P of &amp;N</oddFooter>
  </headerFooter>
  <rowBreaks count="4" manualBreakCount="4">
    <brk id="47" max="16383" man="1"/>
    <brk id="89" max="16383" man="1"/>
    <brk id="131" max="16383" man="1"/>
    <brk id="174"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V180"/>
  <sheetViews>
    <sheetView showGridLines="0" workbookViewId="0">
      <selection activeCell="C3" sqref="C3:D3"/>
    </sheetView>
  </sheetViews>
  <sheetFormatPr defaultColWidth="8.85546875" defaultRowHeight="11.25"/>
  <cols>
    <col min="1" max="1" width="10.28515625" style="860" customWidth="1"/>
    <col min="2" max="4" width="8.85546875" style="860"/>
    <col min="5" max="5" width="4.7109375" style="860" customWidth="1"/>
    <col min="6" max="6" width="7.7109375" style="860" customWidth="1"/>
    <col min="7" max="7" width="4.7109375" style="860" customWidth="1"/>
    <col min="8" max="9" width="7.7109375" style="860" customWidth="1"/>
    <col min="10" max="10" width="4.7109375" style="860" customWidth="1"/>
    <col min="11" max="11" width="7.7109375" style="860" customWidth="1"/>
    <col min="12" max="12" width="6.28515625" style="860" customWidth="1"/>
    <col min="13" max="14" width="7.7109375" style="860" customWidth="1"/>
    <col min="15" max="15" width="4.7109375" style="860" customWidth="1"/>
    <col min="16" max="18" width="7.7109375" style="860" customWidth="1"/>
    <col min="19" max="16384" width="8.85546875" style="860"/>
  </cols>
  <sheetData>
    <row r="1" spans="1:18" s="846" customFormat="1" ht="12.75">
      <c r="A1" s="2601" t="str">
        <f>CONCATENATE("PART EIGHT - BUILDING BY BUILDING CREDIT ALLOCATION - ",$C$4," - ",'Part I-Project Information'!$O$4," ",'Part I-Project Information'!$F$24)</f>
        <v>PART EIGHT - BUILDING BY BUILDING CREDIT ALLOCATION - Acquisition - 20##-### SB OHF Test Villas</v>
      </c>
      <c r="B1" s="2602"/>
      <c r="C1" s="2602"/>
      <c r="D1" s="2602"/>
      <c r="E1" s="2602"/>
      <c r="F1" s="2602"/>
      <c r="G1" s="2602"/>
      <c r="H1" s="2602"/>
      <c r="I1" s="2602"/>
      <c r="J1" s="2602"/>
      <c r="K1" s="2602"/>
      <c r="L1" s="2602"/>
      <c r="M1" s="2602"/>
      <c r="N1" s="2602"/>
      <c r="O1" s="2602"/>
      <c r="P1" s="2602"/>
      <c r="Q1" s="2602"/>
      <c r="R1" s="2602"/>
    </row>
    <row r="2" spans="1:18" s="849" customFormat="1" ht="6" customHeight="1">
      <c r="A2" s="847"/>
      <c r="B2" s="847"/>
      <c r="C2" s="847"/>
      <c r="D2" s="847"/>
      <c r="E2" s="847"/>
      <c r="F2" s="847"/>
      <c r="G2" s="847"/>
      <c r="H2" s="847"/>
      <c r="I2" s="847"/>
      <c r="J2" s="847"/>
      <c r="K2" s="847"/>
      <c r="L2" s="847"/>
      <c r="M2" s="848"/>
      <c r="N2" s="848"/>
    </row>
    <row r="3" spans="1:18" s="846" customFormat="1" ht="12.6" customHeight="1">
      <c r="A3" s="850" t="s">
        <v>3125</v>
      </c>
      <c r="B3" s="851"/>
      <c r="C3" s="2603"/>
      <c r="D3" s="2604"/>
      <c r="F3" s="850" t="s">
        <v>3126</v>
      </c>
      <c r="I3" s="2605"/>
      <c r="J3" s="2606"/>
      <c r="L3" s="852" t="s">
        <v>3788</v>
      </c>
      <c r="M3" s="2329" t="str">
        <f>CONCATENATE('Part I-Project Information'!$F$27,", GA, ",'Part I-Project Information'!$J$28," County")</f>
        <v>Peachtree Corners, GA, Gwinnett County</v>
      </c>
      <c r="N3" s="2330"/>
      <c r="O3" s="2330"/>
      <c r="P3" s="2330"/>
      <c r="Q3" s="2330"/>
      <c r="R3" s="2331"/>
    </row>
    <row r="4" spans="1:18" s="846" customFormat="1" ht="12.6" customHeight="1">
      <c r="A4" s="850" t="s">
        <v>3128</v>
      </c>
      <c r="B4" s="853"/>
      <c r="C4" s="2607" t="s">
        <v>594</v>
      </c>
      <c r="D4" s="2608"/>
      <c r="E4" s="2609"/>
      <c r="F4" s="854" t="str">
        <f>IF(NOT(OR(C4="New Construction",C4="Rehabilitation",C4="Acquisition")),"   &lt;-- PLEASE SELECT TYPE OF ACTIVITY FOR THIS PAGE BEFORE PROCEEDING!","")</f>
        <v/>
      </c>
      <c r="G4" s="855"/>
      <c r="H4" s="855"/>
      <c r="L4" s="848"/>
      <c r="M4" s="848"/>
      <c r="N4" s="848"/>
    </row>
    <row r="5" spans="1:18" s="846" customFormat="1" ht="12.6" customHeight="1">
      <c r="A5" s="2625" t="s">
        <v>3129</v>
      </c>
      <c r="B5" s="2625"/>
      <c r="C5" s="2625"/>
      <c r="D5" s="2625"/>
      <c r="E5" s="2625"/>
      <c r="F5" s="2625"/>
      <c r="G5" s="2625"/>
      <c r="H5" s="2625"/>
      <c r="I5" s="2625"/>
      <c r="J5" s="2625"/>
      <c r="K5" s="2625"/>
      <c r="L5" s="2625"/>
      <c r="M5" s="2625"/>
      <c r="N5" s="2625"/>
      <c r="O5" s="2625"/>
      <c r="P5" s="2625"/>
      <c r="Q5" s="2625"/>
      <c r="R5" s="2625"/>
    </row>
    <row r="6" spans="1:18" s="856" customFormat="1" ht="12" customHeight="1">
      <c r="A6" s="2676"/>
      <c r="B6" s="858"/>
      <c r="C6" s="858"/>
      <c r="D6" s="859"/>
      <c r="E6" s="2689" t="s">
        <v>503</v>
      </c>
      <c r="F6" s="2690"/>
      <c r="G6" s="2690"/>
      <c r="H6" s="2691"/>
      <c r="I6" s="2678"/>
      <c r="J6" s="2679"/>
      <c r="K6" s="2687" t="s">
        <v>3135</v>
      </c>
      <c r="L6" s="2687"/>
      <c r="M6" s="2687"/>
      <c r="N6" s="859" t="s">
        <v>861</v>
      </c>
      <c r="O6" s="2677"/>
      <c r="P6" s="2677"/>
      <c r="Q6" s="2683" t="s">
        <v>3131</v>
      </c>
      <c r="R6" s="2684"/>
    </row>
    <row r="7" spans="1:18" s="856" customFormat="1" ht="12" customHeight="1">
      <c r="A7" s="857"/>
      <c r="B7" s="858"/>
      <c r="C7" s="858"/>
      <c r="D7" s="859" t="s">
        <v>496</v>
      </c>
      <c r="E7" s="2692" t="s">
        <v>3132</v>
      </c>
      <c r="F7" s="2693"/>
      <c r="G7" s="2692" t="s">
        <v>1902</v>
      </c>
      <c r="H7" s="2693"/>
      <c r="I7" s="859" t="s">
        <v>3135</v>
      </c>
      <c r="J7" s="2680" t="s">
        <v>3136</v>
      </c>
      <c r="K7" s="2688"/>
      <c r="L7" s="2688"/>
      <c r="M7" s="2688"/>
      <c r="N7" s="859" t="s">
        <v>3137</v>
      </c>
      <c r="O7" s="859" t="s">
        <v>3138</v>
      </c>
      <c r="P7" s="859" t="s">
        <v>3139</v>
      </c>
      <c r="Q7" s="2685"/>
      <c r="R7" s="2686"/>
    </row>
    <row r="8" spans="1:18" ht="11.45" customHeight="1">
      <c r="A8" s="857"/>
      <c r="B8" s="858"/>
      <c r="C8" s="858"/>
      <c r="D8" s="859" t="s">
        <v>3140</v>
      </c>
      <c r="E8" s="2681" t="s">
        <v>152</v>
      </c>
      <c r="F8" s="859" t="s">
        <v>3110</v>
      </c>
      <c r="G8" s="2681" t="s">
        <v>152</v>
      </c>
      <c r="H8" s="859" t="s">
        <v>3110</v>
      </c>
      <c r="I8" s="859" t="s">
        <v>3142</v>
      </c>
      <c r="J8" s="2680"/>
      <c r="K8" s="2672" t="s">
        <v>3143</v>
      </c>
      <c r="L8" s="2672" t="s">
        <v>3144</v>
      </c>
      <c r="M8" s="2672" t="s">
        <v>3145</v>
      </c>
      <c r="N8" s="859" t="s">
        <v>3146</v>
      </c>
      <c r="O8" s="859" t="s">
        <v>3147</v>
      </c>
      <c r="P8" s="859" t="s">
        <v>3147</v>
      </c>
      <c r="Q8" s="859" t="s">
        <v>3135</v>
      </c>
      <c r="R8" s="859" t="s">
        <v>3148</v>
      </c>
    </row>
    <row r="9" spans="1:18" ht="11.45" customHeight="1">
      <c r="A9" s="861" t="s">
        <v>3149</v>
      </c>
      <c r="B9" s="862"/>
      <c r="C9" s="862"/>
      <c r="D9" s="863" t="s">
        <v>3150</v>
      </c>
      <c r="E9" s="863" t="s">
        <v>3151</v>
      </c>
      <c r="F9" s="863" t="s">
        <v>3152</v>
      </c>
      <c r="G9" s="863" t="s">
        <v>3151</v>
      </c>
      <c r="H9" s="863" t="s">
        <v>3152</v>
      </c>
      <c r="I9" s="863" t="s">
        <v>3153</v>
      </c>
      <c r="J9" s="2682" t="s">
        <v>3154</v>
      </c>
      <c r="K9" s="863" t="s">
        <v>3153</v>
      </c>
      <c r="L9" s="863" t="s">
        <v>3155</v>
      </c>
      <c r="M9" s="863" t="s">
        <v>3153</v>
      </c>
      <c r="N9" s="863" t="s">
        <v>3156</v>
      </c>
      <c r="O9" s="863" t="s">
        <v>3157</v>
      </c>
      <c r="P9" s="863" t="s">
        <v>1793</v>
      </c>
      <c r="Q9" s="863" t="s">
        <v>1830</v>
      </c>
      <c r="R9" s="863" t="s">
        <v>1793</v>
      </c>
    </row>
    <row r="10" spans="1:18" ht="12" customHeight="1">
      <c r="A10" s="2598"/>
      <c r="B10" s="2599"/>
      <c r="C10" s="2600"/>
      <c r="D10" s="864"/>
      <c r="E10" s="2666"/>
      <c r="F10" s="2667"/>
      <c r="G10" s="2666"/>
      <c r="H10" s="2667"/>
      <c r="I10" s="865"/>
      <c r="J10" s="866"/>
      <c r="K10" s="2666"/>
      <c r="L10" s="2673" t="str">
        <f>IF(OR(E10="",F10=""),"",MIN(G10/E10,H10/F10))</f>
        <v/>
      </c>
      <c r="M10" s="2667" t="str">
        <f>IF(OR(E10="",F10=""),"",K10*L10)</f>
        <v/>
      </c>
      <c r="N10" s="864"/>
      <c r="O10" s="867"/>
      <c r="P10" s="865" t="str">
        <f>IF(OR(M10="",O10=""),"",M10*O10)</f>
        <v/>
      </c>
      <c r="Q10" s="2666" t="str">
        <f>IF(M10="","",ROUND(M10,0))</f>
        <v/>
      </c>
      <c r="R10" s="2667" t="str">
        <f>IF(P10="","",ROUND(P10,0))</f>
        <v/>
      </c>
    </row>
    <row r="11" spans="1:18" ht="12" customHeight="1">
      <c r="A11" s="2581"/>
      <c r="B11" s="2582"/>
      <c r="C11" s="2583"/>
      <c r="D11" s="868"/>
      <c r="E11" s="2668"/>
      <c r="F11" s="2669"/>
      <c r="G11" s="2668"/>
      <c r="H11" s="2669"/>
      <c r="I11" s="869"/>
      <c r="J11" s="870"/>
      <c r="K11" s="2668"/>
      <c r="L11" s="2674" t="str">
        <f t="shared" ref="L11:L44" si="0">IF(OR(E11="",F11=""),"",MIN(G11/E11,H11/F11))</f>
        <v/>
      </c>
      <c r="M11" s="2669" t="str">
        <f t="shared" ref="M11:M44" si="1">IF(OR(E11="",F11=""),"",K11*L11)</f>
        <v/>
      </c>
      <c r="N11" s="868"/>
      <c r="O11" s="871"/>
      <c r="P11" s="869" t="str">
        <f t="shared" ref="P11:P44" si="2">IF(OR(M11="",O11=""),"",M11*O11)</f>
        <v/>
      </c>
      <c r="Q11" s="2668" t="str">
        <f t="shared" ref="Q11:Q44" si="3">IF(M11="","",ROUND(M11,0))</f>
        <v/>
      </c>
      <c r="R11" s="2669" t="str">
        <f t="shared" ref="R11:R44" si="4">IF(P11="","",ROUND(P11,0))</f>
        <v/>
      </c>
    </row>
    <row r="12" spans="1:18" ht="12" customHeight="1">
      <c r="A12" s="2581"/>
      <c r="B12" s="2582"/>
      <c r="C12" s="2583"/>
      <c r="D12" s="868"/>
      <c r="E12" s="2668"/>
      <c r="F12" s="2669"/>
      <c r="G12" s="2668"/>
      <c r="H12" s="2669"/>
      <c r="I12" s="869"/>
      <c r="J12" s="870"/>
      <c r="K12" s="2668"/>
      <c r="L12" s="2674" t="str">
        <f t="shared" si="0"/>
        <v/>
      </c>
      <c r="M12" s="2669" t="str">
        <f t="shared" si="1"/>
        <v/>
      </c>
      <c r="N12" s="868"/>
      <c r="O12" s="871"/>
      <c r="P12" s="869" t="str">
        <f t="shared" si="2"/>
        <v/>
      </c>
      <c r="Q12" s="2668" t="str">
        <f t="shared" si="3"/>
        <v/>
      </c>
      <c r="R12" s="2669" t="str">
        <f t="shared" si="4"/>
        <v/>
      </c>
    </row>
    <row r="13" spans="1:18" ht="12" customHeight="1">
      <c r="A13" s="2581"/>
      <c r="B13" s="2582"/>
      <c r="C13" s="2583"/>
      <c r="D13" s="868"/>
      <c r="E13" s="2668"/>
      <c r="F13" s="2669"/>
      <c r="G13" s="2668"/>
      <c r="H13" s="2669"/>
      <c r="I13" s="869"/>
      <c r="J13" s="870"/>
      <c r="K13" s="2668"/>
      <c r="L13" s="2674" t="str">
        <f t="shared" si="0"/>
        <v/>
      </c>
      <c r="M13" s="2669" t="str">
        <f t="shared" si="1"/>
        <v/>
      </c>
      <c r="N13" s="868"/>
      <c r="O13" s="871"/>
      <c r="P13" s="869" t="str">
        <f t="shared" si="2"/>
        <v/>
      </c>
      <c r="Q13" s="2668" t="str">
        <f t="shared" si="3"/>
        <v/>
      </c>
      <c r="R13" s="2669" t="str">
        <f t="shared" si="4"/>
        <v/>
      </c>
    </row>
    <row r="14" spans="1:18" ht="12" customHeight="1">
      <c r="A14" s="2581"/>
      <c r="B14" s="2582"/>
      <c r="C14" s="2583"/>
      <c r="D14" s="868"/>
      <c r="E14" s="2668"/>
      <c r="F14" s="2669"/>
      <c r="G14" s="2668"/>
      <c r="H14" s="2669"/>
      <c r="I14" s="869"/>
      <c r="J14" s="870"/>
      <c r="K14" s="2668"/>
      <c r="L14" s="2674" t="str">
        <f t="shared" si="0"/>
        <v/>
      </c>
      <c r="M14" s="2669" t="str">
        <f t="shared" si="1"/>
        <v/>
      </c>
      <c r="N14" s="868"/>
      <c r="O14" s="871"/>
      <c r="P14" s="869" t="str">
        <f t="shared" si="2"/>
        <v/>
      </c>
      <c r="Q14" s="2668" t="str">
        <f t="shared" si="3"/>
        <v/>
      </c>
      <c r="R14" s="2669" t="str">
        <f t="shared" si="4"/>
        <v/>
      </c>
    </row>
    <row r="15" spans="1:18" ht="12" customHeight="1">
      <c r="A15" s="2581"/>
      <c r="B15" s="2582"/>
      <c r="C15" s="2583"/>
      <c r="D15" s="868"/>
      <c r="E15" s="2668"/>
      <c r="F15" s="2669"/>
      <c r="G15" s="2668"/>
      <c r="H15" s="2669"/>
      <c r="I15" s="869"/>
      <c r="J15" s="870"/>
      <c r="K15" s="2668"/>
      <c r="L15" s="2674" t="str">
        <f t="shared" si="0"/>
        <v/>
      </c>
      <c r="M15" s="2669" t="str">
        <f t="shared" si="1"/>
        <v/>
      </c>
      <c r="N15" s="868"/>
      <c r="O15" s="871"/>
      <c r="P15" s="869" t="str">
        <f t="shared" si="2"/>
        <v/>
      </c>
      <c r="Q15" s="2668" t="str">
        <f t="shared" si="3"/>
        <v/>
      </c>
      <c r="R15" s="2669" t="str">
        <f t="shared" si="4"/>
        <v/>
      </c>
    </row>
    <row r="16" spans="1:18" ht="12" customHeight="1">
      <c r="A16" s="2581"/>
      <c r="B16" s="2582"/>
      <c r="C16" s="2583"/>
      <c r="D16" s="868"/>
      <c r="E16" s="2668"/>
      <c r="F16" s="2669"/>
      <c r="G16" s="2668"/>
      <c r="H16" s="2669"/>
      <c r="I16" s="869"/>
      <c r="J16" s="870"/>
      <c r="K16" s="2668"/>
      <c r="L16" s="2674" t="str">
        <f t="shared" si="0"/>
        <v/>
      </c>
      <c r="M16" s="2669" t="str">
        <f t="shared" si="1"/>
        <v/>
      </c>
      <c r="N16" s="868"/>
      <c r="O16" s="871"/>
      <c r="P16" s="869" t="str">
        <f t="shared" si="2"/>
        <v/>
      </c>
      <c r="Q16" s="2668" t="str">
        <f t="shared" si="3"/>
        <v/>
      </c>
      <c r="R16" s="2669" t="str">
        <f t="shared" si="4"/>
        <v/>
      </c>
    </row>
    <row r="17" spans="1:18" ht="12" customHeight="1">
      <c r="A17" s="2581"/>
      <c r="B17" s="2582"/>
      <c r="C17" s="2583"/>
      <c r="D17" s="868"/>
      <c r="E17" s="2668"/>
      <c r="F17" s="2669"/>
      <c r="G17" s="2668"/>
      <c r="H17" s="2669"/>
      <c r="I17" s="869"/>
      <c r="J17" s="870"/>
      <c r="K17" s="2668"/>
      <c r="L17" s="2674" t="str">
        <f t="shared" si="0"/>
        <v/>
      </c>
      <c r="M17" s="2669" t="str">
        <f t="shared" si="1"/>
        <v/>
      </c>
      <c r="N17" s="868"/>
      <c r="O17" s="871"/>
      <c r="P17" s="869" t="str">
        <f t="shared" si="2"/>
        <v/>
      </c>
      <c r="Q17" s="2668" t="str">
        <f t="shared" si="3"/>
        <v/>
      </c>
      <c r="R17" s="2669" t="str">
        <f t="shared" si="4"/>
        <v/>
      </c>
    </row>
    <row r="18" spans="1:18" ht="12" customHeight="1">
      <c r="A18" s="2581"/>
      <c r="B18" s="2582"/>
      <c r="C18" s="2583"/>
      <c r="D18" s="868"/>
      <c r="E18" s="2668"/>
      <c r="F18" s="2669"/>
      <c r="G18" s="2668"/>
      <c r="H18" s="2669"/>
      <c r="I18" s="869"/>
      <c r="J18" s="870"/>
      <c r="K18" s="2668"/>
      <c r="L18" s="2674" t="str">
        <f t="shared" si="0"/>
        <v/>
      </c>
      <c r="M18" s="2669" t="str">
        <f t="shared" si="1"/>
        <v/>
      </c>
      <c r="N18" s="868"/>
      <c r="O18" s="871"/>
      <c r="P18" s="869" t="str">
        <f t="shared" si="2"/>
        <v/>
      </c>
      <c r="Q18" s="2668" t="str">
        <f t="shared" si="3"/>
        <v/>
      </c>
      <c r="R18" s="2669" t="str">
        <f t="shared" si="4"/>
        <v/>
      </c>
    </row>
    <row r="19" spans="1:18" ht="12" customHeight="1">
      <c r="A19" s="2581"/>
      <c r="B19" s="2582"/>
      <c r="C19" s="2583"/>
      <c r="D19" s="868"/>
      <c r="E19" s="2668"/>
      <c r="F19" s="2669"/>
      <c r="G19" s="2668"/>
      <c r="H19" s="2669"/>
      <c r="I19" s="869"/>
      <c r="J19" s="870"/>
      <c r="K19" s="2668"/>
      <c r="L19" s="2674" t="str">
        <f t="shared" si="0"/>
        <v/>
      </c>
      <c r="M19" s="2669" t="str">
        <f t="shared" si="1"/>
        <v/>
      </c>
      <c r="N19" s="868"/>
      <c r="O19" s="871"/>
      <c r="P19" s="869" t="str">
        <f t="shared" si="2"/>
        <v/>
      </c>
      <c r="Q19" s="2668" t="str">
        <f t="shared" si="3"/>
        <v/>
      </c>
      <c r="R19" s="2669" t="str">
        <f t="shared" si="4"/>
        <v/>
      </c>
    </row>
    <row r="20" spans="1:18" ht="12" customHeight="1">
      <c r="A20" s="2581"/>
      <c r="B20" s="2582"/>
      <c r="C20" s="2583"/>
      <c r="D20" s="868"/>
      <c r="E20" s="2668"/>
      <c r="F20" s="2669"/>
      <c r="G20" s="2668"/>
      <c r="H20" s="2669"/>
      <c r="I20" s="869"/>
      <c r="J20" s="870"/>
      <c r="K20" s="2668"/>
      <c r="L20" s="2674" t="str">
        <f t="shared" si="0"/>
        <v/>
      </c>
      <c r="M20" s="2669" t="str">
        <f t="shared" si="1"/>
        <v/>
      </c>
      <c r="N20" s="868"/>
      <c r="O20" s="871"/>
      <c r="P20" s="869" t="str">
        <f t="shared" si="2"/>
        <v/>
      </c>
      <c r="Q20" s="2668" t="str">
        <f t="shared" si="3"/>
        <v/>
      </c>
      <c r="R20" s="2669" t="str">
        <f t="shared" si="4"/>
        <v/>
      </c>
    </row>
    <row r="21" spans="1:18" ht="12" customHeight="1">
      <c r="A21" s="2581"/>
      <c r="B21" s="2582"/>
      <c r="C21" s="2583"/>
      <c r="D21" s="868"/>
      <c r="E21" s="2668"/>
      <c r="F21" s="2669"/>
      <c r="G21" s="2668"/>
      <c r="H21" s="2669"/>
      <c r="I21" s="869"/>
      <c r="J21" s="870"/>
      <c r="K21" s="2668"/>
      <c r="L21" s="2674" t="str">
        <f t="shared" si="0"/>
        <v/>
      </c>
      <c r="M21" s="2669" t="str">
        <f t="shared" si="1"/>
        <v/>
      </c>
      <c r="N21" s="868"/>
      <c r="O21" s="871"/>
      <c r="P21" s="869" t="str">
        <f t="shared" si="2"/>
        <v/>
      </c>
      <c r="Q21" s="2668" t="str">
        <f t="shared" si="3"/>
        <v/>
      </c>
      <c r="R21" s="2669" t="str">
        <f t="shared" si="4"/>
        <v/>
      </c>
    </row>
    <row r="22" spans="1:18" ht="12" customHeight="1">
      <c r="A22" s="2581"/>
      <c r="B22" s="2582"/>
      <c r="C22" s="2583"/>
      <c r="D22" s="868"/>
      <c r="E22" s="2668"/>
      <c r="F22" s="2669"/>
      <c r="G22" s="2668"/>
      <c r="H22" s="2669"/>
      <c r="I22" s="869"/>
      <c r="J22" s="870"/>
      <c r="K22" s="2668"/>
      <c r="L22" s="2674" t="str">
        <f t="shared" si="0"/>
        <v/>
      </c>
      <c r="M22" s="2669" t="str">
        <f t="shared" si="1"/>
        <v/>
      </c>
      <c r="N22" s="868"/>
      <c r="O22" s="871"/>
      <c r="P22" s="869" t="str">
        <f t="shared" si="2"/>
        <v/>
      </c>
      <c r="Q22" s="2668" t="str">
        <f t="shared" si="3"/>
        <v/>
      </c>
      <c r="R22" s="2669" t="str">
        <f t="shared" si="4"/>
        <v/>
      </c>
    </row>
    <row r="23" spans="1:18" ht="12" customHeight="1">
      <c r="A23" s="2581"/>
      <c r="B23" s="2582"/>
      <c r="C23" s="2583"/>
      <c r="D23" s="868"/>
      <c r="E23" s="2668"/>
      <c r="F23" s="2669"/>
      <c r="G23" s="2668"/>
      <c r="H23" s="2669"/>
      <c r="I23" s="869"/>
      <c r="J23" s="870"/>
      <c r="K23" s="2668"/>
      <c r="L23" s="2674" t="str">
        <f t="shared" si="0"/>
        <v/>
      </c>
      <c r="M23" s="2669" t="str">
        <f t="shared" si="1"/>
        <v/>
      </c>
      <c r="N23" s="868"/>
      <c r="O23" s="871"/>
      <c r="P23" s="869" t="str">
        <f t="shared" si="2"/>
        <v/>
      </c>
      <c r="Q23" s="2668" t="str">
        <f t="shared" si="3"/>
        <v/>
      </c>
      <c r="R23" s="2669" t="str">
        <f t="shared" si="4"/>
        <v/>
      </c>
    </row>
    <row r="24" spans="1:18" ht="12" customHeight="1">
      <c r="A24" s="2581"/>
      <c r="B24" s="2582"/>
      <c r="C24" s="2583"/>
      <c r="D24" s="868"/>
      <c r="E24" s="2668"/>
      <c r="F24" s="2669"/>
      <c r="G24" s="2668"/>
      <c r="H24" s="2669"/>
      <c r="I24" s="869"/>
      <c r="J24" s="870"/>
      <c r="K24" s="2668"/>
      <c r="L24" s="2674" t="str">
        <f t="shared" si="0"/>
        <v/>
      </c>
      <c r="M24" s="2669" t="str">
        <f t="shared" si="1"/>
        <v/>
      </c>
      <c r="N24" s="868"/>
      <c r="O24" s="871"/>
      <c r="P24" s="869" t="str">
        <f t="shared" si="2"/>
        <v/>
      </c>
      <c r="Q24" s="2668" t="str">
        <f t="shared" si="3"/>
        <v/>
      </c>
      <c r="R24" s="2669" t="str">
        <f t="shared" si="4"/>
        <v/>
      </c>
    </row>
    <row r="25" spans="1:18" ht="12" customHeight="1">
      <c r="A25" s="2581"/>
      <c r="B25" s="2582"/>
      <c r="C25" s="2583"/>
      <c r="D25" s="868"/>
      <c r="E25" s="2668"/>
      <c r="F25" s="2669"/>
      <c r="G25" s="2668"/>
      <c r="H25" s="2669"/>
      <c r="I25" s="869"/>
      <c r="J25" s="870"/>
      <c r="K25" s="2668"/>
      <c r="L25" s="2674" t="str">
        <f t="shared" si="0"/>
        <v/>
      </c>
      <c r="M25" s="2669" t="str">
        <f t="shared" si="1"/>
        <v/>
      </c>
      <c r="N25" s="868"/>
      <c r="O25" s="871"/>
      <c r="P25" s="869" t="str">
        <f t="shared" si="2"/>
        <v/>
      </c>
      <c r="Q25" s="2668" t="str">
        <f t="shared" si="3"/>
        <v/>
      </c>
      <c r="R25" s="2669" t="str">
        <f t="shared" si="4"/>
        <v/>
      </c>
    </row>
    <row r="26" spans="1:18" ht="12" customHeight="1">
      <c r="A26" s="2581"/>
      <c r="B26" s="2582"/>
      <c r="C26" s="2583"/>
      <c r="D26" s="868"/>
      <c r="E26" s="2668"/>
      <c r="F26" s="2669"/>
      <c r="G26" s="2668"/>
      <c r="H26" s="2669"/>
      <c r="I26" s="869"/>
      <c r="J26" s="870"/>
      <c r="K26" s="2668"/>
      <c r="L26" s="2674" t="str">
        <f t="shared" si="0"/>
        <v/>
      </c>
      <c r="M26" s="2669" t="str">
        <f t="shared" si="1"/>
        <v/>
      </c>
      <c r="N26" s="868"/>
      <c r="O26" s="871"/>
      <c r="P26" s="869" t="str">
        <f t="shared" si="2"/>
        <v/>
      </c>
      <c r="Q26" s="2668" t="str">
        <f t="shared" si="3"/>
        <v/>
      </c>
      <c r="R26" s="2669" t="str">
        <f t="shared" si="4"/>
        <v/>
      </c>
    </row>
    <row r="27" spans="1:18" ht="12" customHeight="1">
      <c r="A27" s="2581"/>
      <c r="B27" s="2582"/>
      <c r="C27" s="2583"/>
      <c r="D27" s="868"/>
      <c r="E27" s="2668"/>
      <c r="F27" s="2669"/>
      <c r="G27" s="2668"/>
      <c r="H27" s="2669"/>
      <c r="I27" s="869"/>
      <c r="J27" s="870"/>
      <c r="K27" s="2668"/>
      <c r="L27" s="2674" t="str">
        <f t="shared" si="0"/>
        <v/>
      </c>
      <c r="M27" s="2669" t="str">
        <f t="shared" si="1"/>
        <v/>
      </c>
      <c r="N27" s="868"/>
      <c r="O27" s="871"/>
      <c r="P27" s="869" t="str">
        <f t="shared" si="2"/>
        <v/>
      </c>
      <c r="Q27" s="2668" t="str">
        <f t="shared" si="3"/>
        <v/>
      </c>
      <c r="R27" s="2669" t="str">
        <f t="shared" si="4"/>
        <v/>
      </c>
    </row>
    <row r="28" spans="1:18" ht="12" customHeight="1">
      <c r="A28" s="2581"/>
      <c r="B28" s="2582"/>
      <c r="C28" s="2583"/>
      <c r="D28" s="868"/>
      <c r="E28" s="2668"/>
      <c r="F28" s="2669"/>
      <c r="G28" s="2668"/>
      <c r="H28" s="2669"/>
      <c r="I28" s="869"/>
      <c r="J28" s="870"/>
      <c r="K28" s="2668"/>
      <c r="L28" s="2674" t="str">
        <f t="shared" si="0"/>
        <v/>
      </c>
      <c r="M28" s="2669" t="str">
        <f t="shared" si="1"/>
        <v/>
      </c>
      <c r="N28" s="868"/>
      <c r="O28" s="871"/>
      <c r="P28" s="869" t="str">
        <f t="shared" si="2"/>
        <v/>
      </c>
      <c r="Q28" s="2668" t="str">
        <f t="shared" si="3"/>
        <v/>
      </c>
      <c r="R28" s="2669" t="str">
        <f t="shared" si="4"/>
        <v/>
      </c>
    </row>
    <row r="29" spans="1:18" ht="12" customHeight="1">
      <c r="A29" s="2581"/>
      <c r="B29" s="2582"/>
      <c r="C29" s="2583"/>
      <c r="D29" s="868"/>
      <c r="E29" s="2668"/>
      <c r="F29" s="2669"/>
      <c r="G29" s="2668"/>
      <c r="H29" s="2669"/>
      <c r="I29" s="869"/>
      <c r="J29" s="870"/>
      <c r="K29" s="2668"/>
      <c r="L29" s="2674" t="str">
        <f t="shared" si="0"/>
        <v/>
      </c>
      <c r="M29" s="2669" t="str">
        <f t="shared" si="1"/>
        <v/>
      </c>
      <c r="N29" s="868"/>
      <c r="O29" s="871"/>
      <c r="P29" s="869" t="str">
        <f t="shared" si="2"/>
        <v/>
      </c>
      <c r="Q29" s="2668" t="str">
        <f t="shared" si="3"/>
        <v/>
      </c>
      <c r="R29" s="2669" t="str">
        <f t="shared" si="4"/>
        <v/>
      </c>
    </row>
    <row r="30" spans="1:18" ht="12" customHeight="1">
      <c r="A30" s="2581"/>
      <c r="B30" s="2582"/>
      <c r="C30" s="2583"/>
      <c r="D30" s="868"/>
      <c r="E30" s="2668"/>
      <c r="F30" s="2669"/>
      <c r="G30" s="2668"/>
      <c r="H30" s="2669"/>
      <c r="I30" s="869"/>
      <c r="J30" s="870"/>
      <c r="K30" s="2668"/>
      <c r="L30" s="2674" t="str">
        <f t="shared" si="0"/>
        <v/>
      </c>
      <c r="M30" s="2669" t="str">
        <f t="shared" si="1"/>
        <v/>
      </c>
      <c r="N30" s="868"/>
      <c r="O30" s="871"/>
      <c r="P30" s="869" t="str">
        <f t="shared" si="2"/>
        <v/>
      </c>
      <c r="Q30" s="2668" t="str">
        <f t="shared" si="3"/>
        <v/>
      </c>
      <c r="R30" s="2669" t="str">
        <f t="shared" si="4"/>
        <v/>
      </c>
    </row>
    <row r="31" spans="1:18" ht="12" customHeight="1">
      <c r="A31" s="2581"/>
      <c r="B31" s="2582"/>
      <c r="C31" s="2583"/>
      <c r="D31" s="868"/>
      <c r="E31" s="2668"/>
      <c r="F31" s="2669"/>
      <c r="G31" s="2668"/>
      <c r="H31" s="2669"/>
      <c r="I31" s="869"/>
      <c r="J31" s="870"/>
      <c r="K31" s="2668"/>
      <c r="L31" s="2674" t="str">
        <f t="shared" si="0"/>
        <v/>
      </c>
      <c r="M31" s="2669" t="str">
        <f t="shared" si="1"/>
        <v/>
      </c>
      <c r="N31" s="868"/>
      <c r="O31" s="871"/>
      <c r="P31" s="869" t="str">
        <f t="shared" si="2"/>
        <v/>
      </c>
      <c r="Q31" s="2668" t="str">
        <f t="shared" si="3"/>
        <v/>
      </c>
      <c r="R31" s="2669" t="str">
        <f t="shared" si="4"/>
        <v/>
      </c>
    </row>
    <row r="32" spans="1:18" ht="12" customHeight="1">
      <c r="A32" s="2581"/>
      <c r="B32" s="2582"/>
      <c r="C32" s="2583"/>
      <c r="D32" s="868"/>
      <c r="E32" s="2668"/>
      <c r="F32" s="2669"/>
      <c r="G32" s="2668"/>
      <c r="H32" s="2669"/>
      <c r="I32" s="869"/>
      <c r="J32" s="870"/>
      <c r="K32" s="2668"/>
      <c r="L32" s="2674" t="str">
        <f t="shared" si="0"/>
        <v/>
      </c>
      <c r="M32" s="2669" t="str">
        <f t="shared" si="1"/>
        <v/>
      </c>
      <c r="N32" s="868"/>
      <c r="O32" s="871"/>
      <c r="P32" s="869" t="str">
        <f t="shared" si="2"/>
        <v/>
      </c>
      <c r="Q32" s="2668" t="str">
        <f t="shared" si="3"/>
        <v/>
      </c>
      <c r="R32" s="2669" t="str">
        <f t="shared" si="4"/>
        <v/>
      </c>
    </row>
    <row r="33" spans="1:18" ht="12" customHeight="1">
      <c r="A33" s="2581"/>
      <c r="B33" s="2582"/>
      <c r="C33" s="2583"/>
      <c r="D33" s="868"/>
      <c r="E33" s="2668"/>
      <c r="F33" s="2669"/>
      <c r="G33" s="2668"/>
      <c r="H33" s="2669"/>
      <c r="I33" s="869"/>
      <c r="J33" s="870"/>
      <c r="K33" s="2668"/>
      <c r="L33" s="2674" t="str">
        <f t="shared" si="0"/>
        <v/>
      </c>
      <c r="M33" s="2669" t="str">
        <f t="shared" si="1"/>
        <v/>
      </c>
      <c r="N33" s="868"/>
      <c r="O33" s="871"/>
      <c r="P33" s="869" t="str">
        <f t="shared" si="2"/>
        <v/>
      </c>
      <c r="Q33" s="2668" t="str">
        <f t="shared" si="3"/>
        <v/>
      </c>
      <c r="R33" s="2669" t="str">
        <f t="shared" si="4"/>
        <v/>
      </c>
    </row>
    <row r="34" spans="1:18" ht="12" customHeight="1">
      <c r="A34" s="2581"/>
      <c r="B34" s="2582"/>
      <c r="C34" s="2583"/>
      <c r="D34" s="868"/>
      <c r="E34" s="2668"/>
      <c r="F34" s="2669"/>
      <c r="G34" s="2668"/>
      <c r="H34" s="2669"/>
      <c r="I34" s="869"/>
      <c r="J34" s="870"/>
      <c r="K34" s="2668"/>
      <c r="L34" s="2674" t="str">
        <f t="shared" si="0"/>
        <v/>
      </c>
      <c r="M34" s="2669" t="str">
        <f t="shared" si="1"/>
        <v/>
      </c>
      <c r="N34" s="868"/>
      <c r="O34" s="871"/>
      <c r="P34" s="869" t="str">
        <f t="shared" si="2"/>
        <v/>
      </c>
      <c r="Q34" s="2668" t="str">
        <f t="shared" si="3"/>
        <v/>
      </c>
      <c r="R34" s="2669" t="str">
        <f t="shared" si="4"/>
        <v/>
      </c>
    </row>
    <row r="35" spans="1:18" ht="12" customHeight="1">
      <c r="A35" s="2581"/>
      <c r="B35" s="2582"/>
      <c r="C35" s="2583"/>
      <c r="D35" s="868"/>
      <c r="E35" s="2668"/>
      <c r="F35" s="2669"/>
      <c r="G35" s="2668"/>
      <c r="H35" s="2669"/>
      <c r="I35" s="869"/>
      <c r="J35" s="870"/>
      <c r="K35" s="2668"/>
      <c r="L35" s="2674" t="str">
        <f t="shared" si="0"/>
        <v/>
      </c>
      <c r="M35" s="2669" t="str">
        <f t="shared" si="1"/>
        <v/>
      </c>
      <c r="N35" s="868"/>
      <c r="O35" s="871"/>
      <c r="P35" s="869" t="str">
        <f t="shared" si="2"/>
        <v/>
      </c>
      <c r="Q35" s="2668" t="str">
        <f t="shared" si="3"/>
        <v/>
      </c>
      <c r="R35" s="2669" t="str">
        <f t="shared" si="4"/>
        <v/>
      </c>
    </row>
    <row r="36" spans="1:18" ht="12" customHeight="1">
      <c r="A36" s="2581"/>
      <c r="B36" s="2582"/>
      <c r="C36" s="2583"/>
      <c r="D36" s="868"/>
      <c r="E36" s="2668"/>
      <c r="F36" s="2669"/>
      <c r="G36" s="2668"/>
      <c r="H36" s="2669"/>
      <c r="I36" s="869"/>
      <c r="J36" s="870"/>
      <c r="K36" s="2668"/>
      <c r="L36" s="2674" t="str">
        <f t="shared" si="0"/>
        <v/>
      </c>
      <c r="M36" s="2669" t="str">
        <f t="shared" si="1"/>
        <v/>
      </c>
      <c r="N36" s="868"/>
      <c r="O36" s="871"/>
      <c r="P36" s="869" t="str">
        <f t="shared" si="2"/>
        <v/>
      </c>
      <c r="Q36" s="2668" t="str">
        <f t="shared" si="3"/>
        <v/>
      </c>
      <c r="R36" s="2669" t="str">
        <f t="shared" si="4"/>
        <v/>
      </c>
    </row>
    <row r="37" spans="1:18" ht="12" customHeight="1">
      <c r="A37" s="2581"/>
      <c r="B37" s="2582"/>
      <c r="C37" s="2583"/>
      <c r="D37" s="868"/>
      <c r="E37" s="2668"/>
      <c r="F37" s="2669"/>
      <c r="G37" s="2668"/>
      <c r="H37" s="2669"/>
      <c r="I37" s="869"/>
      <c r="J37" s="870"/>
      <c r="K37" s="2668"/>
      <c r="L37" s="2674" t="str">
        <f t="shared" si="0"/>
        <v/>
      </c>
      <c r="M37" s="2669" t="str">
        <f t="shared" si="1"/>
        <v/>
      </c>
      <c r="N37" s="868"/>
      <c r="O37" s="871"/>
      <c r="P37" s="869" t="str">
        <f t="shared" si="2"/>
        <v/>
      </c>
      <c r="Q37" s="2668" t="str">
        <f t="shared" si="3"/>
        <v/>
      </c>
      <c r="R37" s="2669" t="str">
        <f t="shared" si="4"/>
        <v/>
      </c>
    </row>
    <row r="38" spans="1:18" ht="12" customHeight="1">
      <c r="A38" s="2581"/>
      <c r="B38" s="2582"/>
      <c r="C38" s="2583"/>
      <c r="D38" s="868"/>
      <c r="E38" s="2668"/>
      <c r="F38" s="2669"/>
      <c r="G38" s="2668"/>
      <c r="H38" s="2669"/>
      <c r="I38" s="869"/>
      <c r="J38" s="870"/>
      <c r="K38" s="2668"/>
      <c r="L38" s="2674" t="str">
        <f t="shared" si="0"/>
        <v/>
      </c>
      <c r="M38" s="2669" t="str">
        <f t="shared" si="1"/>
        <v/>
      </c>
      <c r="N38" s="868"/>
      <c r="O38" s="871"/>
      <c r="P38" s="869" t="str">
        <f t="shared" si="2"/>
        <v/>
      </c>
      <c r="Q38" s="2668" t="str">
        <f t="shared" si="3"/>
        <v/>
      </c>
      <c r="R38" s="2669" t="str">
        <f t="shared" si="4"/>
        <v/>
      </c>
    </row>
    <row r="39" spans="1:18" ht="12" customHeight="1">
      <c r="A39" s="2581"/>
      <c r="B39" s="2582"/>
      <c r="C39" s="2583"/>
      <c r="D39" s="868"/>
      <c r="E39" s="2668"/>
      <c r="F39" s="2669"/>
      <c r="G39" s="2668"/>
      <c r="H39" s="2669"/>
      <c r="I39" s="869"/>
      <c r="J39" s="870"/>
      <c r="K39" s="2668"/>
      <c r="L39" s="2674" t="str">
        <f t="shared" si="0"/>
        <v/>
      </c>
      <c r="M39" s="2669" t="str">
        <f t="shared" si="1"/>
        <v/>
      </c>
      <c r="N39" s="868"/>
      <c r="O39" s="871"/>
      <c r="P39" s="869" t="str">
        <f t="shared" si="2"/>
        <v/>
      </c>
      <c r="Q39" s="2668" t="str">
        <f t="shared" si="3"/>
        <v/>
      </c>
      <c r="R39" s="2669" t="str">
        <f t="shared" si="4"/>
        <v/>
      </c>
    </row>
    <row r="40" spans="1:18" ht="12" customHeight="1">
      <c r="A40" s="2581"/>
      <c r="B40" s="2582"/>
      <c r="C40" s="2583"/>
      <c r="D40" s="868"/>
      <c r="E40" s="2668"/>
      <c r="F40" s="2669"/>
      <c r="G40" s="2668"/>
      <c r="H40" s="2669"/>
      <c r="I40" s="869"/>
      <c r="J40" s="870"/>
      <c r="K40" s="2668"/>
      <c r="L40" s="2674" t="str">
        <f t="shared" si="0"/>
        <v/>
      </c>
      <c r="M40" s="2669" t="str">
        <f t="shared" si="1"/>
        <v/>
      </c>
      <c r="N40" s="868"/>
      <c r="O40" s="871"/>
      <c r="P40" s="869" t="str">
        <f t="shared" si="2"/>
        <v/>
      </c>
      <c r="Q40" s="2668" t="str">
        <f t="shared" si="3"/>
        <v/>
      </c>
      <c r="R40" s="2669" t="str">
        <f>IF(P40="","",ROUND(P40,0))</f>
        <v/>
      </c>
    </row>
    <row r="41" spans="1:18" ht="12" customHeight="1">
      <c r="A41" s="2581"/>
      <c r="B41" s="2582"/>
      <c r="C41" s="2583"/>
      <c r="D41" s="868"/>
      <c r="E41" s="2668"/>
      <c r="F41" s="2669"/>
      <c r="G41" s="2668"/>
      <c r="H41" s="2669"/>
      <c r="I41" s="869"/>
      <c r="J41" s="870"/>
      <c r="K41" s="2668"/>
      <c r="L41" s="2674" t="str">
        <f t="shared" si="0"/>
        <v/>
      </c>
      <c r="M41" s="2669" t="str">
        <f t="shared" si="1"/>
        <v/>
      </c>
      <c r="N41" s="868"/>
      <c r="O41" s="871"/>
      <c r="P41" s="869" t="str">
        <f t="shared" si="2"/>
        <v/>
      </c>
      <c r="Q41" s="2668" t="str">
        <f t="shared" si="3"/>
        <v/>
      </c>
      <c r="R41" s="2669" t="str">
        <f t="shared" si="4"/>
        <v/>
      </c>
    </row>
    <row r="42" spans="1:18" ht="12" customHeight="1">
      <c r="A42" s="2581"/>
      <c r="B42" s="2582"/>
      <c r="C42" s="2583"/>
      <c r="D42" s="868"/>
      <c r="E42" s="2668"/>
      <c r="F42" s="2669"/>
      <c r="G42" s="2668"/>
      <c r="H42" s="2669"/>
      <c r="I42" s="869"/>
      <c r="J42" s="870"/>
      <c r="K42" s="2668"/>
      <c r="L42" s="2674" t="str">
        <f t="shared" si="0"/>
        <v/>
      </c>
      <c r="M42" s="2669" t="str">
        <f t="shared" si="1"/>
        <v/>
      </c>
      <c r="N42" s="868"/>
      <c r="O42" s="871"/>
      <c r="P42" s="869" t="str">
        <f t="shared" si="2"/>
        <v/>
      </c>
      <c r="Q42" s="2668" t="str">
        <f t="shared" si="3"/>
        <v/>
      </c>
      <c r="R42" s="2669" t="str">
        <f t="shared" si="4"/>
        <v/>
      </c>
    </row>
    <row r="43" spans="1:18" ht="12" customHeight="1">
      <c r="A43" s="2581"/>
      <c r="B43" s="2582"/>
      <c r="C43" s="2583"/>
      <c r="D43" s="868"/>
      <c r="E43" s="2668"/>
      <c r="F43" s="2669"/>
      <c r="G43" s="2668"/>
      <c r="H43" s="2669"/>
      <c r="I43" s="869"/>
      <c r="J43" s="870"/>
      <c r="K43" s="2668"/>
      <c r="L43" s="2674" t="str">
        <f t="shared" si="0"/>
        <v/>
      </c>
      <c r="M43" s="2669" t="str">
        <f t="shared" si="1"/>
        <v/>
      </c>
      <c r="N43" s="868"/>
      <c r="O43" s="871"/>
      <c r="P43" s="869" t="str">
        <f t="shared" si="2"/>
        <v/>
      </c>
      <c r="Q43" s="2668" t="str">
        <f t="shared" si="3"/>
        <v/>
      </c>
      <c r="R43" s="2669" t="str">
        <f t="shared" si="4"/>
        <v/>
      </c>
    </row>
    <row r="44" spans="1:18" ht="12" customHeight="1">
      <c r="A44" s="2584"/>
      <c r="B44" s="2585"/>
      <c r="C44" s="2586"/>
      <c r="D44" s="872"/>
      <c r="E44" s="2670"/>
      <c r="F44" s="2671"/>
      <c r="G44" s="2670"/>
      <c r="H44" s="2671"/>
      <c r="I44" s="873"/>
      <c r="J44" s="874"/>
      <c r="K44" s="2670"/>
      <c r="L44" s="2675" t="str">
        <f t="shared" si="0"/>
        <v/>
      </c>
      <c r="M44" s="2671" t="str">
        <f t="shared" si="1"/>
        <v/>
      </c>
      <c r="N44" s="872"/>
      <c r="O44" s="875"/>
      <c r="P44" s="873" t="str">
        <f t="shared" si="2"/>
        <v/>
      </c>
      <c r="Q44" s="2670" t="str">
        <f t="shared" si="3"/>
        <v/>
      </c>
      <c r="R44" s="2671" t="str">
        <f t="shared" si="4"/>
        <v/>
      </c>
    </row>
    <row r="45" spans="1:18" ht="12.6" customHeight="1">
      <c r="A45" s="850" t="s">
        <v>3159</v>
      </c>
      <c r="B45" s="876"/>
      <c r="C45" s="876"/>
      <c r="D45" s="877"/>
      <c r="E45" s="878">
        <f>SUM(E10:E44)</f>
        <v>0</v>
      </c>
      <c r="F45" s="878">
        <f>SUM(F10:F44)</f>
        <v>0</v>
      </c>
      <c r="G45" s="878">
        <f>SUM(G10:G44)</f>
        <v>0</v>
      </c>
      <c r="H45" s="878">
        <f>SUM(H10:H44)</f>
        <v>0</v>
      </c>
      <c r="I45" s="878">
        <f>SUM(I10:I44)</f>
        <v>0</v>
      </c>
      <c r="J45" s="879"/>
      <c r="K45" s="878">
        <f>SUM(K10:K44)</f>
        <v>0</v>
      </c>
      <c r="L45" s="880"/>
      <c r="M45" s="878">
        <f>SUM(M10:M44)</f>
        <v>0</v>
      </c>
      <c r="N45" s="877"/>
      <c r="O45" s="880"/>
      <c r="P45" s="878">
        <f>SUM(P10:P44)</f>
        <v>0</v>
      </c>
      <c r="Q45" s="878">
        <f>SUM(Q10:Q44)</f>
        <v>0</v>
      </c>
      <c r="R45" s="878">
        <f>SUM(R10:R44)</f>
        <v>0</v>
      </c>
    </row>
    <row r="46" spans="1:18" ht="1.9" customHeight="1">
      <c r="A46" s="876"/>
      <c r="B46" s="876"/>
      <c r="C46" s="876"/>
      <c r="D46" s="877"/>
      <c r="E46" s="881"/>
      <c r="F46" s="881"/>
      <c r="G46" s="881"/>
      <c r="H46" s="881"/>
      <c r="I46" s="881"/>
      <c r="J46" s="879"/>
      <c r="K46" s="881"/>
      <c r="L46" s="880"/>
      <c r="M46" s="881"/>
      <c r="N46" s="880"/>
      <c r="O46" s="877"/>
      <c r="P46" s="881"/>
      <c r="Q46" s="881"/>
      <c r="R46" s="881"/>
    </row>
    <row r="47" spans="1:18" ht="6.75" customHeight="1"/>
    <row r="48" spans="1:18" s="846" customFormat="1" ht="12.6" customHeight="1">
      <c r="A48" s="850" t="s">
        <v>3128</v>
      </c>
      <c r="C48" s="2587" t="str">
        <f>C4</f>
        <v>Acquisition</v>
      </c>
      <c r="D48" s="2588"/>
      <c r="E48" s="2588"/>
      <c r="F48" s="854"/>
      <c r="G48" s="855"/>
      <c r="H48" s="855"/>
      <c r="I48" s="855"/>
      <c r="L48" s="848"/>
      <c r="M48" s="848"/>
      <c r="N48" s="848"/>
    </row>
    <row r="49" spans="1:18" s="846" customFormat="1" ht="12.6" customHeight="1">
      <c r="A49" s="2625" t="s">
        <v>3129</v>
      </c>
      <c r="B49" s="2625"/>
      <c r="C49" s="2625"/>
      <c r="D49" s="2625"/>
      <c r="E49" s="2625"/>
      <c r="F49" s="2625"/>
      <c r="G49" s="2625"/>
      <c r="H49" s="2625"/>
      <c r="I49" s="2625"/>
      <c r="J49" s="2625"/>
      <c r="K49" s="2625"/>
      <c r="L49" s="2625"/>
      <c r="M49" s="2625"/>
      <c r="N49" s="2625"/>
      <c r="O49" s="2625"/>
      <c r="P49" s="2625"/>
      <c r="Q49" s="2625"/>
      <c r="R49" s="2625"/>
    </row>
    <row r="50" spans="1:18" s="856" customFormat="1" ht="12" customHeight="1">
      <c r="A50" s="2676"/>
      <c r="B50" s="858"/>
      <c r="C50" s="858"/>
      <c r="D50" s="859"/>
      <c r="E50" s="2689" t="s">
        <v>503</v>
      </c>
      <c r="F50" s="2690"/>
      <c r="G50" s="2690"/>
      <c r="H50" s="2691"/>
      <c r="I50" s="2678"/>
      <c r="J50" s="2679"/>
      <c r="K50" s="2687" t="s">
        <v>3135</v>
      </c>
      <c r="L50" s="2687"/>
      <c r="M50" s="2687"/>
      <c r="N50" s="859" t="s">
        <v>861</v>
      </c>
      <c r="O50" s="2677"/>
      <c r="P50" s="2677"/>
      <c r="Q50" s="2683" t="s">
        <v>3131</v>
      </c>
      <c r="R50" s="2684"/>
    </row>
    <row r="51" spans="1:18" s="856" customFormat="1" ht="12" customHeight="1">
      <c r="A51" s="857"/>
      <c r="B51" s="858"/>
      <c r="C51" s="858"/>
      <c r="D51" s="859" t="s">
        <v>496</v>
      </c>
      <c r="E51" s="2692" t="s">
        <v>3132</v>
      </c>
      <c r="F51" s="2693"/>
      <c r="G51" s="2692" t="s">
        <v>1902</v>
      </c>
      <c r="H51" s="2693"/>
      <c r="I51" s="859" t="s">
        <v>3135</v>
      </c>
      <c r="J51" s="2680" t="s">
        <v>3136</v>
      </c>
      <c r="K51" s="2688"/>
      <c r="L51" s="2688"/>
      <c r="M51" s="2688"/>
      <c r="N51" s="859" t="s">
        <v>3137</v>
      </c>
      <c r="O51" s="859" t="s">
        <v>3138</v>
      </c>
      <c r="P51" s="859" t="s">
        <v>3139</v>
      </c>
      <c r="Q51" s="2685"/>
      <c r="R51" s="2686"/>
    </row>
    <row r="52" spans="1:18" ht="11.45" customHeight="1">
      <c r="A52" s="857"/>
      <c r="B52" s="858"/>
      <c r="C52" s="858"/>
      <c r="D52" s="859" t="s">
        <v>3140</v>
      </c>
      <c r="E52" s="2681" t="s">
        <v>152</v>
      </c>
      <c r="F52" s="859" t="s">
        <v>3110</v>
      </c>
      <c r="G52" s="2681" t="s">
        <v>152</v>
      </c>
      <c r="H52" s="859" t="s">
        <v>3110</v>
      </c>
      <c r="I52" s="859" t="s">
        <v>3142</v>
      </c>
      <c r="J52" s="2680"/>
      <c r="K52" s="2672" t="s">
        <v>3143</v>
      </c>
      <c r="L52" s="2672" t="s">
        <v>3144</v>
      </c>
      <c r="M52" s="2672" t="s">
        <v>3145</v>
      </c>
      <c r="N52" s="859" t="s">
        <v>3146</v>
      </c>
      <c r="O52" s="859" t="s">
        <v>3147</v>
      </c>
      <c r="P52" s="859" t="s">
        <v>3147</v>
      </c>
      <c r="Q52" s="859" t="s">
        <v>3135</v>
      </c>
      <c r="R52" s="859" t="s">
        <v>3148</v>
      </c>
    </row>
    <row r="53" spans="1:18" ht="11.45" customHeight="1">
      <c r="A53" s="861" t="s">
        <v>3149</v>
      </c>
      <c r="B53" s="862"/>
      <c r="C53" s="862"/>
      <c r="D53" s="863" t="s">
        <v>3150</v>
      </c>
      <c r="E53" s="863" t="s">
        <v>3151</v>
      </c>
      <c r="F53" s="863" t="s">
        <v>3152</v>
      </c>
      <c r="G53" s="863" t="s">
        <v>3151</v>
      </c>
      <c r="H53" s="863" t="s">
        <v>3152</v>
      </c>
      <c r="I53" s="863" t="s">
        <v>3153</v>
      </c>
      <c r="J53" s="2682" t="s">
        <v>3154</v>
      </c>
      <c r="K53" s="863" t="s">
        <v>3153</v>
      </c>
      <c r="L53" s="863" t="s">
        <v>3155</v>
      </c>
      <c r="M53" s="863" t="s">
        <v>3153</v>
      </c>
      <c r="N53" s="863" t="s">
        <v>3156</v>
      </c>
      <c r="O53" s="863" t="s">
        <v>3157</v>
      </c>
      <c r="P53" s="863" t="s">
        <v>1793</v>
      </c>
      <c r="Q53" s="863" t="s">
        <v>1830</v>
      </c>
      <c r="R53" s="863" t="s">
        <v>1793</v>
      </c>
    </row>
    <row r="54" spans="1:18" ht="12" customHeight="1">
      <c r="A54" s="2598"/>
      <c r="B54" s="2599"/>
      <c r="C54" s="2600"/>
      <c r="D54" s="864"/>
      <c r="E54" s="2666"/>
      <c r="F54" s="2667"/>
      <c r="G54" s="2666"/>
      <c r="H54" s="2667"/>
      <c r="I54" s="865"/>
      <c r="J54" s="866"/>
      <c r="K54" s="2666"/>
      <c r="L54" s="2673" t="str">
        <f>IF(OR(E54="",F54=""),"",MIN(G54/E54,H54/F54))</f>
        <v/>
      </c>
      <c r="M54" s="2667" t="str">
        <f>IF(OR(E54="",F54=""),"",K54*L54)</f>
        <v/>
      </c>
      <c r="N54" s="864"/>
      <c r="O54" s="867"/>
      <c r="P54" s="865" t="str">
        <f>IF(OR(M54="",O54=""),"",M54*O54)</f>
        <v/>
      </c>
      <c r="Q54" s="2666" t="str">
        <f>IF(M54="","",ROUND(M54,0))</f>
        <v/>
      </c>
      <c r="R54" s="2667" t="str">
        <f>IF(P54="","",ROUND(P54,0))</f>
        <v/>
      </c>
    </row>
    <row r="55" spans="1:18" ht="12" customHeight="1">
      <c r="A55" s="2581"/>
      <c r="B55" s="2582"/>
      <c r="C55" s="2583"/>
      <c r="D55" s="868"/>
      <c r="E55" s="2668"/>
      <c r="F55" s="2669"/>
      <c r="G55" s="2668"/>
      <c r="H55" s="2669"/>
      <c r="I55" s="869"/>
      <c r="J55" s="870"/>
      <c r="K55" s="2668"/>
      <c r="L55" s="2674" t="str">
        <f t="shared" ref="L55:L88" si="5">IF(OR(E55="",F55=""),"",MIN(G55/E55,H55/F55))</f>
        <v/>
      </c>
      <c r="M55" s="2669" t="str">
        <f t="shared" ref="M55:M88" si="6">IF(OR(E55="",F55=""),"",K55*L55)</f>
        <v/>
      </c>
      <c r="N55" s="868"/>
      <c r="O55" s="871"/>
      <c r="P55" s="869" t="str">
        <f t="shared" ref="P55:P88" si="7">IF(OR(M55="",O55=""),"",M55*O55)</f>
        <v/>
      </c>
      <c r="Q55" s="2668" t="str">
        <f t="shared" ref="Q55:Q88" si="8">IF(M55="","",ROUND(M55,0))</f>
        <v/>
      </c>
      <c r="R55" s="2669" t="str">
        <f t="shared" ref="R55:R88" si="9">IF(P55="","",ROUND(P55,0))</f>
        <v/>
      </c>
    </row>
    <row r="56" spans="1:18" ht="12" customHeight="1">
      <c r="A56" s="2581"/>
      <c r="B56" s="2582"/>
      <c r="C56" s="2583"/>
      <c r="D56" s="868"/>
      <c r="E56" s="2668"/>
      <c r="F56" s="2669"/>
      <c r="G56" s="2668"/>
      <c r="H56" s="2669"/>
      <c r="I56" s="869"/>
      <c r="J56" s="870"/>
      <c r="K56" s="2668"/>
      <c r="L56" s="2674" t="str">
        <f t="shared" si="5"/>
        <v/>
      </c>
      <c r="M56" s="2669" t="str">
        <f t="shared" si="6"/>
        <v/>
      </c>
      <c r="N56" s="868"/>
      <c r="O56" s="871"/>
      <c r="P56" s="869" t="str">
        <f t="shared" si="7"/>
        <v/>
      </c>
      <c r="Q56" s="2668" t="str">
        <f t="shared" si="8"/>
        <v/>
      </c>
      <c r="R56" s="2669" t="str">
        <f t="shared" si="9"/>
        <v/>
      </c>
    </row>
    <row r="57" spans="1:18" ht="12" customHeight="1">
      <c r="A57" s="2581"/>
      <c r="B57" s="2582"/>
      <c r="C57" s="2583"/>
      <c r="D57" s="868"/>
      <c r="E57" s="2668"/>
      <c r="F57" s="2669"/>
      <c r="G57" s="2668"/>
      <c r="H57" s="2669"/>
      <c r="I57" s="869"/>
      <c r="J57" s="870"/>
      <c r="K57" s="2668"/>
      <c r="L57" s="2674" t="str">
        <f t="shared" si="5"/>
        <v/>
      </c>
      <c r="M57" s="2669" t="str">
        <f t="shared" si="6"/>
        <v/>
      </c>
      <c r="N57" s="868"/>
      <c r="O57" s="871"/>
      <c r="P57" s="869" t="str">
        <f t="shared" si="7"/>
        <v/>
      </c>
      <c r="Q57" s="2668" t="str">
        <f t="shared" si="8"/>
        <v/>
      </c>
      <c r="R57" s="2669" t="str">
        <f t="shared" si="9"/>
        <v/>
      </c>
    </row>
    <row r="58" spans="1:18" ht="12" customHeight="1">
      <c r="A58" s="2581"/>
      <c r="B58" s="2582"/>
      <c r="C58" s="2583"/>
      <c r="D58" s="868"/>
      <c r="E58" s="2668"/>
      <c r="F58" s="2669"/>
      <c r="G58" s="2668"/>
      <c r="H58" s="2669"/>
      <c r="I58" s="869"/>
      <c r="J58" s="870"/>
      <c r="K58" s="2668"/>
      <c r="L58" s="2674" t="str">
        <f t="shared" si="5"/>
        <v/>
      </c>
      <c r="M58" s="2669" t="str">
        <f t="shared" si="6"/>
        <v/>
      </c>
      <c r="N58" s="868"/>
      <c r="O58" s="871"/>
      <c r="P58" s="869" t="str">
        <f t="shared" si="7"/>
        <v/>
      </c>
      <c r="Q58" s="2668" t="str">
        <f t="shared" si="8"/>
        <v/>
      </c>
      <c r="R58" s="2669" t="str">
        <f t="shared" si="9"/>
        <v/>
      </c>
    </row>
    <row r="59" spans="1:18" ht="12" customHeight="1">
      <c r="A59" s="2581"/>
      <c r="B59" s="2582"/>
      <c r="C59" s="2583"/>
      <c r="D59" s="868"/>
      <c r="E59" s="2668"/>
      <c r="F59" s="2669"/>
      <c r="G59" s="2668"/>
      <c r="H59" s="2669"/>
      <c r="I59" s="869"/>
      <c r="J59" s="870"/>
      <c r="K59" s="2668"/>
      <c r="L59" s="2674" t="str">
        <f t="shared" si="5"/>
        <v/>
      </c>
      <c r="M59" s="2669" t="str">
        <f t="shared" si="6"/>
        <v/>
      </c>
      <c r="N59" s="868"/>
      <c r="O59" s="871"/>
      <c r="P59" s="869" t="str">
        <f t="shared" si="7"/>
        <v/>
      </c>
      <c r="Q59" s="2668" t="str">
        <f t="shared" si="8"/>
        <v/>
      </c>
      <c r="R59" s="2669" t="str">
        <f t="shared" si="9"/>
        <v/>
      </c>
    </row>
    <row r="60" spans="1:18" ht="12" customHeight="1">
      <c r="A60" s="2581"/>
      <c r="B60" s="2582"/>
      <c r="C60" s="2583"/>
      <c r="D60" s="868"/>
      <c r="E60" s="2668"/>
      <c r="F60" s="2669"/>
      <c r="G60" s="2668"/>
      <c r="H60" s="2669"/>
      <c r="I60" s="869"/>
      <c r="J60" s="870"/>
      <c r="K60" s="2668"/>
      <c r="L60" s="2674" t="str">
        <f t="shared" si="5"/>
        <v/>
      </c>
      <c r="M60" s="2669" t="str">
        <f t="shared" si="6"/>
        <v/>
      </c>
      <c r="N60" s="868"/>
      <c r="O60" s="871"/>
      <c r="P60" s="869" t="str">
        <f t="shared" si="7"/>
        <v/>
      </c>
      <c r="Q60" s="2668" t="str">
        <f t="shared" si="8"/>
        <v/>
      </c>
      <c r="R60" s="2669" t="str">
        <f t="shared" si="9"/>
        <v/>
      </c>
    </row>
    <row r="61" spans="1:18" ht="12" customHeight="1">
      <c r="A61" s="2581"/>
      <c r="B61" s="2582"/>
      <c r="C61" s="2583"/>
      <c r="D61" s="868"/>
      <c r="E61" s="2668"/>
      <c r="F61" s="2669"/>
      <c r="G61" s="2668"/>
      <c r="H61" s="2669"/>
      <c r="I61" s="869"/>
      <c r="J61" s="870"/>
      <c r="K61" s="2668"/>
      <c r="L61" s="2674" t="str">
        <f t="shared" si="5"/>
        <v/>
      </c>
      <c r="M61" s="2669" t="str">
        <f t="shared" si="6"/>
        <v/>
      </c>
      <c r="N61" s="868"/>
      <c r="O61" s="871"/>
      <c r="P61" s="869" t="str">
        <f t="shared" si="7"/>
        <v/>
      </c>
      <c r="Q61" s="2668" t="str">
        <f t="shared" si="8"/>
        <v/>
      </c>
      <c r="R61" s="2669" t="str">
        <f t="shared" si="9"/>
        <v/>
      </c>
    </row>
    <row r="62" spans="1:18" ht="12" customHeight="1">
      <c r="A62" s="2581"/>
      <c r="B62" s="2582"/>
      <c r="C62" s="2583"/>
      <c r="D62" s="868"/>
      <c r="E62" s="2668"/>
      <c r="F62" s="2669"/>
      <c r="G62" s="2668"/>
      <c r="H62" s="2669"/>
      <c r="I62" s="869"/>
      <c r="J62" s="870"/>
      <c r="K62" s="2668"/>
      <c r="L62" s="2674" t="str">
        <f t="shared" si="5"/>
        <v/>
      </c>
      <c r="M62" s="2669" t="str">
        <f t="shared" si="6"/>
        <v/>
      </c>
      <c r="N62" s="868"/>
      <c r="O62" s="871"/>
      <c r="P62" s="869" t="str">
        <f t="shared" si="7"/>
        <v/>
      </c>
      <c r="Q62" s="2668" t="str">
        <f t="shared" si="8"/>
        <v/>
      </c>
      <c r="R62" s="2669" t="str">
        <f t="shared" si="9"/>
        <v/>
      </c>
    </row>
    <row r="63" spans="1:18" ht="12" customHeight="1">
      <c r="A63" s="2581"/>
      <c r="B63" s="2582"/>
      <c r="C63" s="2583"/>
      <c r="D63" s="868"/>
      <c r="E63" s="2668"/>
      <c r="F63" s="2669"/>
      <c r="G63" s="2668"/>
      <c r="H63" s="2669"/>
      <c r="I63" s="869"/>
      <c r="J63" s="870"/>
      <c r="K63" s="2668"/>
      <c r="L63" s="2674" t="str">
        <f t="shared" si="5"/>
        <v/>
      </c>
      <c r="M63" s="2669" t="str">
        <f t="shared" si="6"/>
        <v/>
      </c>
      <c r="N63" s="868"/>
      <c r="O63" s="871"/>
      <c r="P63" s="869" t="str">
        <f t="shared" si="7"/>
        <v/>
      </c>
      <c r="Q63" s="2668" t="str">
        <f t="shared" si="8"/>
        <v/>
      </c>
      <c r="R63" s="2669" t="str">
        <f t="shared" si="9"/>
        <v/>
      </c>
    </row>
    <row r="64" spans="1:18" ht="12" customHeight="1">
      <c r="A64" s="2581"/>
      <c r="B64" s="2582"/>
      <c r="C64" s="2583"/>
      <c r="D64" s="868"/>
      <c r="E64" s="2668"/>
      <c r="F64" s="2669"/>
      <c r="G64" s="2668"/>
      <c r="H64" s="2669"/>
      <c r="I64" s="869"/>
      <c r="J64" s="870"/>
      <c r="K64" s="2668"/>
      <c r="L64" s="2674" t="str">
        <f t="shared" si="5"/>
        <v/>
      </c>
      <c r="M64" s="2669" t="str">
        <f t="shared" si="6"/>
        <v/>
      </c>
      <c r="N64" s="868"/>
      <c r="O64" s="871"/>
      <c r="P64" s="869" t="str">
        <f t="shared" si="7"/>
        <v/>
      </c>
      <c r="Q64" s="2668" t="str">
        <f t="shared" si="8"/>
        <v/>
      </c>
      <c r="R64" s="2669" t="str">
        <f t="shared" si="9"/>
        <v/>
      </c>
    </row>
    <row r="65" spans="1:18" ht="12" customHeight="1">
      <c r="A65" s="2581"/>
      <c r="B65" s="2582"/>
      <c r="C65" s="2583"/>
      <c r="D65" s="868"/>
      <c r="E65" s="2668"/>
      <c r="F65" s="2669"/>
      <c r="G65" s="2668"/>
      <c r="H65" s="2669"/>
      <c r="I65" s="869"/>
      <c r="J65" s="870"/>
      <c r="K65" s="2668"/>
      <c r="L65" s="2674" t="str">
        <f t="shared" si="5"/>
        <v/>
      </c>
      <c r="M65" s="2669" t="str">
        <f t="shared" si="6"/>
        <v/>
      </c>
      <c r="N65" s="868"/>
      <c r="O65" s="871"/>
      <c r="P65" s="869" t="str">
        <f t="shared" si="7"/>
        <v/>
      </c>
      <c r="Q65" s="2668" t="str">
        <f t="shared" si="8"/>
        <v/>
      </c>
      <c r="R65" s="2669" t="str">
        <f t="shared" si="9"/>
        <v/>
      </c>
    </row>
    <row r="66" spans="1:18" ht="12" customHeight="1">
      <c r="A66" s="2581"/>
      <c r="B66" s="2582"/>
      <c r="C66" s="2583"/>
      <c r="D66" s="868"/>
      <c r="E66" s="2668"/>
      <c r="F66" s="2669"/>
      <c r="G66" s="2668"/>
      <c r="H66" s="2669"/>
      <c r="I66" s="869"/>
      <c r="J66" s="870"/>
      <c r="K66" s="2668"/>
      <c r="L66" s="2674" t="str">
        <f t="shared" si="5"/>
        <v/>
      </c>
      <c r="M66" s="2669" t="str">
        <f t="shared" si="6"/>
        <v/>
      </c>
      <c r="N66" s="868"/>
      <c r="O66" s="871"/>
      <c r="P66" s="869" t="str">
        <f t="shared" si="7"/>
        <v/>
      </c>
      <c r="Q66" s="2668" t="str">
        <f t="shared" si="8"/>
        <v/>
      </c>
      <c r="R66" s="2669" t="str">
        <f t="shared" si="9"/>
        <v/>
      </c>
    </row>
    <row r="67" spans="1:18" ht="12" customHeight="1">
      <c r="A67" s="2581"/>
      <c r="B67" s="2582"/>
      <c r="C67" s="2583"/>
      <c r="D67" s="868"/>
      <c r="E67" s="2668"/>
      <c r="F67" s="2669"/>
      <c r="G67" s="2668"/>
      <c r="H67" s="2669"/>
      <c r="I67" s="869"/>
      <c r="J67" s="870"/>
      <c r="K67" s="2668"/>
      <c r="L67" s="2674" t="str">
        <f t="shared" si="5"/>
        <v/>
      </c>
      <c r="M67" s="2669" t="str">
        <f t="shared" si="6"/>
        <v/>
      </c>
      <c r="N67" s="868"/>
      <c r="O67" s="871"/>
      <c r="P67" s="869" t="str">
        <f t="shared" si="7"/>
        <v/>
      </c>
      <c r="Q67" s="2668" t="str">
        <f t="shared" si="8"/>
        <v/>
      </c>
      <c r="R67" s="2669" t="str">
        <f t="shared" si="9"/>
        <v/>
      </c>
    </row>
    <row r="68" spans="1:18" ht="12" customHeight="1">
      <c r="A68" s="2581"/>
      <c r="B68" s="2582"/>
      <c r="C68" s="2583"/>
      <c r="D68" s="868"/>
      <c r="E68" s="2668"/>
      <c r="F68" s="2669"/>
      <c r="G68" s="2668"/>
      <c r="H68" s="2669"/>
      <c r="I68" s="869"/>
      <c r="J68" s="870"/>
      <c r="K68" s="2668"/>
      <c r="L68" s="2674" t="str">
        <f t="shared" si="5"/>
        <v/>
      </c>
      <c r="M68" s="2669" t="str">
        <f t="shared" si="6"/>
        <v/>
      </c>
      <c r="N68" s="868"/>
      <c r="O68" s="871"/>
      <c r="P68" s="869" t="str">
        <f t="shared" si="7"/>
        <v/>
      </c>
      <c r="Q68" s="2668" t="str">
        <f t="shared" si="8"/>
        <v/>
      </c>
      <c r="R68" s="2669" t="str">
        <f t="shared" si="9"/>
        <v/>
      </c>
    </row>
    <row r="69" spans="1:18" ht="12" customHeight="1">
      <c r="A69" s="2581"/>
      <c r="B69" s="2582"/>
      <c r="C69" s="2583"/>
      <c r="D69" s="868"/>
      <c r="E69" s="2668"/>
      <c r="F69" s="2669"/>
      <c r="G69" s="2668"/>
      <c r="H69" s="2669"/>
      <c r="I69" s="869"/>
      <c r="J69" s="870"/>
      <c r="K69" s="2668"/>
      <c r="L69" s="2674" t="str">
        <f t="shared" si="5"/>
        <v/>
      </c>
      <c r="M69" s="2669" t="str">
        <f t="shared" si="6"/>
        <v/>
      </c>
      <c r="N69" s="868"/>
      <c r="O69" s="871"/>
      <c r="P69" s="869" t="str">
        <f t="shared" si="7"/>
        <v/>
      </c>
      <c r="Q69" s="2668" t="str">
        <f t="shared" si="8"/>
        <v/>
      </c>
      <c r="R69" s="2669" t="str">
        <f t="shared" si="9"/>
        <v/>
      </c>
    </row>
    <row r="70" spans="1:18" ht="12" customHeight="1">
      <c r="A70" s="2581"/>
      <c r="B70" s="2582"/>
      <c r="C70" s="2583"/>
      <c r="D70" s="868"/>
      <c r="E70" s="2668"/>
      <c r="F70" s="2669"/>
      <c r="G70" s="2668"/>
      <c r="H70" s="2669"/>
      <c r="I70" s="869"/>
      <c r="J70" s="870"/>
      <c r="K70" s="2668"/>
      <c r="L70" s="2674" t="str">
        <f t="shared" si="5"/>
        <v/>
      </c>
      <c r="M70" s="2669" t="str">
        <f t="shared" si="6"/>
        <v/>
      </c>
      <c r="N70" s="868"/>
      <c r="O70" s="871"/>
      <c r="P70" s="869" t="str">
        <f t="shared" si="7"/>
        <v/>
      </c>
      <c r="Q70" s="2668" t="str">
        <f t="shared" si="8"/>
        <v/>
      </c>
      <c r="R70" s="2669" t="str">
        <f t="shared" si="9"/>
        <v/>
      </c>
    </row>
    <row r="71" spans="1:18" ht="12" customHeight="1">
      <c r="A71" s="2581"/>
      <c r="B71" s="2582"/>
      <c r="C71" s="2583"/>
      <c r="D71" s="868"/>
      <c r="E71" s="2668"/>
      <c r="F71" s="2669"/>
      <c r="G71" s="2668"/>
      <c r="H71" s="2669"/>
      <c r="I71" s="869"/>
      <c r="J71" s="870"/>
      <c r="K71" s="2668"/>
      <c r="L71" s="2674" t="str">
        <f t="shared" si="5"/>
        <v/>
      </c>
      <c r="M71" s="2669" t="str">
        <f t="shared" si="6"/>
        <v/>
      </c>
      <c r="N71" s="868"/>
      <c r="O71" s="871"/>
      <c r="P71" s="869" t="str">
        <f t="shared" si="7"/>
        <v/>
      </c>
      <c r="Q71" s="2668" t="str">
        <f t="shared" si="8"/>
        <v/>
      </c>
      <c r="R71" s="2669" t="str">
        <f t="shared" si="9"/>
        <v/>
      </c>
    </row>
    <row r="72" spans="1:18" ht="12" customHeight="1">
      <c r="A72" s="2581"/>
      <c r="B72" s="2582"/>
      <c r="C72" s="2583"/>
      <c r="D72" s="868"/>
      <c r="E72" s="2668"/>
      <c r="F72" s="2669"/>
      <c r="G72" s="2668"/>
      <c r="H72" s="2669"/>
      <c r="I72" s="869"/>
      <c r="J72" s="870"/>
      <c r="K72" s="2668"/>
      <c r="L72" s="2674" t="str">
        <f t="shared" si="5"/>
        <v/>
      </c>
      <c r="M72" s="2669" t="str">
        <f t="shared" si="6"/>
        <v/>
      </c>
      <c r="N72" s="868"/>
      <c r="O72" s="871"/>
      <c r="P72" s="869" t="str">
        <f t="shared" si="7"/>
        <v/>
      </c>
      <c r="Q72" s="2668" t="str">
        <f t="shared" si="8"/>
        <v/>
      </c>
      <c r="R72" s="2669" t="str">
        <f t="shared" si="9"/>
        <v/>
      </c>
    </row>
    <row r="73" spans="1:18" ht="12" customHeight="1">
      <c r="A73" s="2581"/>
      <c r="B73" s="2582"/>
      <c r="C73" s="2583"/>
      <c r="D73" s="868"/>
      <c r="E73" s="2668"/>
      <c r="F73" s="2669"/>
      <c r="G73" s="2668"/>
      <c r="H73" s="2669"/>
      <c r="I73" s="869"/>
      <c r="J73" s="870"/>
      <c r="K73" s="2668"/>
      <c r="L73" s="2674" t="str">
        <f t="shared" si="5"/>
        <v/>
      </c>
      <c r="M73" s="2669" t="str">
        <f t="shared" si="6"/>
        <v/>
      </c>
      <c r="N73" s="868"/>
      <c r="O73" s="871"/>
      <c r="P73" s="869" t="str">
        <f t="shared" si="7"/>
        <v/>
      </c>
      <c r="Q73" s="2668" t="str">
        <f t="shared" si="8"/>
        <v/>
      </c>
      <c r="R73" s="2669" t="str">
        <f t="shared" si="9"/>
        <v/>
      </c>
    </row>
    <row r="74" spans="1:18" ht="12" customHeight="1">
      <c r="A74" s="2581"/>
      <c r="B74" s="2582"/>
      <c r="C74" s="2583"/>
      <c r="D74" s="868"/>
      <c r="E74" s="2668"/>
      <c r="F74" s="2669"/>
      <c r="G74" s="2668"/>
      <c r="H74" s="2669"/>
      <c r="I74" s="869"/>
      <c r="J74" s="870"/>
      <c r="K74" s="2668"/>
      <c r="L74" s="2674" t="str">
        <f t="shared" si="5"/>
        <v/>
      </c>
      <c r="M74" s="2669" t="str">
        <f t="shared" si="6"/>
        <v/>
      </c>
      <c r="N74" s="868"/>
      <c r="O74" s="871"/>
      <c r="P74" s="869" t="str">
        <f t="shared" si="7"/>
        <v/>
      </c>
      <c r="Q74" s="2668" t="str">
        <f t="shared" si="8"/>
        <v/>
      </c>
      <c r="R74" s="2669" t="str">
        <f t="shared" si="9"/>
        <v/>
      </c>
    </row>
    <row r="75" spans="1:18" ht="12" customHeight="1">
      <c r="A75" s="2581"/>
      <c r="B75" s="2582"/>
      <c r="C75" s="2583"/>
      <c r="D75" s="868"/>
      <c r="E75" s="2668"/>
      <c r="F75" s="2669"/>
      <c r="G75" s="2668"/>
      <c r="H75" s="2669"/>
      <c r="I75" s="869"/>
      <c r="J75" s="870"/>
      <c r="K75" s="2668"/>
      <c r="L75" s="2674" t="str">
        <f t="shared" si="5"/>
        <v/>
      </c>
      <c r="M75" s="2669" t="str">
        <f t="shared" si="6"/>
        <v/>
      </c>
      <c r="N75" s="868"/>
      <c r="O75" s="871"/>
      <c r="P75" s="869" t="str">
        <f t="shared" si="7"/>
        <v/>
      </c>
      <c r="Q75" s="2668" t="str">
        <f t="shared" si="8"/>
        <v/>
      </c>
      <c r="R75" s="2669" t="str">
        <f t="shared" si="9"/>
        <v/>
      </c>
    </row>
    <row r="76" spans="1:18" ht="12" customHeight="1">
      <c r="A76" s="2581"/>
      <c r="B76" s="2582"/>
      <c r="C76" s="2583"/>
      <c r="D76" s="868"/>
      <c r="E76" s="2668"/>
      <c r="F76" s="2669"/>
      <c r="G76" s="2668"/>
      <c r="H76" s="2669"/>
      <c r="I76" s="869"/>
      <c r="J76" s="870"/>
      <c r="K76" s="2668"/>
      <c r="L76" s="2674" t="str">
        <f t="shared" si="5"/>
        <v/>
      </c>
      <c r="M76" s="2669" t="str">
        <f t="shared" si="6"/>
        <v/>
      </c>
      <c r="N76" s="868"/>
      <c r="O76" s="871"/>
      <c r="P76" s="869" t="str">
        <f t="shared" si="7"/>
        <v/>
      </c>
      <c r="Q76" s="2668" t="str">
        <f t="shared" si="8"/>
        <v/>
      </c>
      <c r="R76" s="2669" t="str">
        <f t="shared" si="9"/>
        <v/>
      </c>
    </row>
    <row r="77" spans="1:18" ht="12" customHeight="1">
      <c r="A77" s="2581"/>
      <c r="B77" s="2582"/>
      <c r="C77" s="2583"/>
      <c r="D77" s="868"/>
      <c r="E77" s="2668"/>
      <c r="F77" s="2669"/>
      <c r="G77" s="2668"/>
      <c r="H77" s="2669"/>
      <c r="I77" s="869"/>
      <c r="J77" s="870"/>
      <c r="K77" s="2668"/>
      <c r="L77" s="2674" t="str">
        <f t="shared" si="5"/>
        <v/>
      </c>
      <c r="M77" s="2669" t="str">
        <f t="shared" si="6"/>
        <v/>
      </c>
      <c r="N77" s="868"/>
      <c r="O77" s="871"/>
      <c r="P77" s="869" t="str">
        <f t="shared" si="7"/>
        <v/>
      </c>
      <c r="Q77" s="2668" t="str">
        <f t="shared" si="8"/>
        <v/>
      </c>
      <c r="R77" s="2669" t="str">
        <f t="shared" si="9"/>
        <v/>
      </c>
    </row>
    <row r="78" spans="1:18" ht="12" customHeight="1">
      <c r="A78" s="2581"/>
      <c r="B78" s="2582"/>
      <c r="C78" s="2583"/>
      <c r="D78" s="868"/>
      <c r="E78" s="2668"/>
      <c r="F78" s="2669"/>
      <c r="G78" s="2668"/>
      <c r="H78" s="2669"/>
      <c r="I78" s="869"/>
      <c r="J78" s="870"/>
      <c r="K78" s="2668"/>
      <c r="L78" s="2674" t="str">
        <f t="shared" si="5"/>
        <v/>
      </c>
      <c r="M78" s="2669" t="str">
        <f t="shared" si="6"/>
        <v/>
      </c>
      <c r="N78" s="868"/>
      <c r="O78" s="871"/>
      <c r="P78" s="869" t="str">
        <f t="shared" si="7"/>
        <v/>
      </c>
      <c r="Q78" s="2668" t="str">
        <f t="shared" si="8"/>
        <v/>
      </c>
      <c r="R78" s="2669" t="str">
        <f t="shared" si="9"/>
        <v/>
      </c>
    </row>
    <row r="79" spans="1:18" ht="12" customHeight="1">
      <c r="A79" s="2581"/>
      <c r="B79" s="2582"/>
      <c r="C79" s="2583"/>
      <c r="D79" s="868"/>
      <c r="E79" s="2668"/>
      <c r="F79" s="2669"/>
      <c r="G79" s="2668"/>
      <c r="H79" s="2669"/>
      <c r="I79" s="869"/>
      <c r="J79" s="870"/>
      <c r="K79" s="2668"/>
      <c r="L79" s="2674" t="str">
        <f t="shared" si="5"/>
        <v/>
      </c>
      <c r="M79" s="2669" t="str">
        <f t="shared" si="6"/>
        <v/>
      </c>
      <c r="N79" s="868"/>
      <c r="O79" s="871"/>
      <c r="P79" s="869" t="str">
        <f t="shared" si="7"/>
        <v/>
      </c>
      <c r="Q79" s="2668" t="str">
        <f t="shared" si="8"/>
        <v/>
      </c>
      <c r="R79" s="2669" t="str">
        <f t="shared" si="9"/>
        <v/>
      </c>
    </row>
    <row r="80" spans="1:18" ht="12" customHeight="1">
      <c r="A80" s="2581"/>
      <c r="B80" s="2582"/>
      <c r="C80" s="2583"/>
      <c r="D80" s="868"/>
      <c r="E80" s="2668"/>
      <c r="F80" s="2669"/>
      <c r="G80" s="2668"/>
      <c r="H80" s="2669"/>
      <c r="I80" s="869"/>
      <c r="J80" s="870"/>
      <c r="K80" s="2668"/>
      <c r="L80" s="2674" t="str">
        <f t="shared" si="5"/>
        <v/>
      </c>
      <c r="M80" s="2669" t="str">
        <f t="shared" si="6"/>
        <v/>
      </c>
      <c r="N80" s="868"/>
      <c r="O80" s="871"/>
      <c r="P80" s="869" t="str">
        <f t="shared" si="7"/>
        <v/>
      </c>
      <c r="Q80" s="2668" t="str">
        <f t="shared" si="8"/>
        <v/>
      </c>
      <c r="R80" s="2669" t="str">
        <f t="shared" si="9"/>
        <v/>
      </c>
    </row>
    <row r="81" spans="1:18" ht="12" customHeight="1">
      <c r="A81" s="2581"/>
      <c r="B81" s="2582"/>
      <c r="C81" s="2583"/>
      <c r="D81" s="868"/>
      <c r="E81" s="2668"/>
      <c r="F81" s="2669"/>
      <c r="G81" s="2668"/>
      <c r="H81" s="2669"/>
      <c r="I81" s="869"/>
      <c r="J81" s="870"/>
      <c r="K81" s="2668"/>
      <c r="L81" s="2674" t="str">
        <f t="shared" si="5"/>
        <v/>
      </c>
      <c r="M81" s="2669" t="str">
        <f t="shared" si="6"/>
        <v/>
      </c>
      <c r="N81" s="868"/>
      <c r="O81" s="871"/>
      <c r="P81" s="869" t="str">
        <f t="shared" si="7"/>
        <v/>
      </c>
      <c r="Q81" s="2668" t="str">
        <f t="shared" si="8"/>
        <v/>
      </c>
      <c r="R81" s="2669" t="str">
        <f t="shared" si="9"/>
        <v/>
      </c>
    </row>
    <row r="82" spans="1:18" ht="12" customHeight="1">
      <c r="A82" s="2581"/>
      <c r="B82" s="2582"/>
      <c r="C82" s="2583"/>
      <c r="D82" s="868"/>
      <c r="E82" s="2668"/>
      <c r="F82" s="2669"/>
      <c r="G82" s="2668"/>
      <c r="H82" s="2669"/>
      <c r="I82" s="869"/>
      <c r="J82" s="870"/>
      <c r="K82" s="2668"/>
      <c r="L82" s="2674" t="str">
        <f t="shared" si="5"/>
        <v/>
      </c>
      <c r="M82" s="2669" t="str">
        <f t="shared" si="6"/>
        <v/>
      </c>
      <c r="N82" s="868"/>
      <c r="O82" s="871"/>
      <c r="P82" s="869" t="str">
        <f t="shared" si="7"/>
        <v/>
      </c>
      <c r="Q82" s="2668" t="str">
        <f t="shared" si="8"/>
        <v/>
      </c>
      <c r="R82" s="2669" t="str">
        <f t="shared" si="9"/>
        <v/>
      </c>
    </row>
    <row r="83" spans="1:18" ht="12" customHeight="1">
      <c r="A83" s="2581"/>
      <c r="B83" s="2582"/>
      <c r="C83" s="2583"/>
      <c r="D83" s="868"/>
      <c r="E83" s="2668"/>
      <c r="F83" s="2669"/>
      <c r="G83" s="2668"/>
      <c r="H83" s="2669"/>
      <c r="I83" s="869"/>
      <c r="J83" s="870"/>
      <c r="K83" s="2668"/>
      <c r="L83" s="2674" t="str">
        <f t="shared" si="5"/>
        <v/>
      </c>
      <c r="M83" s="2669" t="str">
        <f t="shared" si="6"/>
        <v/>
      </c>
      <c r="N83" s="868"/>
      <c r="O83" s="871"/>
      <c r="P83" s="869" t="str">
        <f t="shared" si="7"/>
        <v/>
      </c>
      <c r="Q83" s="2668" t="str">
        <f t="shared" si="8"/>
        <v/>
      </c>
      <c r="R83" s="2669" t="str">
        <f t="shared" si="9"/>
        <v/>
      </c>
    </row>
    <row r="84" spans="1:18" ht="12" customHeight="1">
      <c r="A84" s="2581"/>
      <c r="B84" s="2582"/>
      <c r="C84" s="2583"/>
      <c r="D84" s="868"/>
      <c r="E84" s="2668"/>
      <c r="F84" s="2669"/>
      <c r="G84" s="2668"/>
      <c r="H84" s="2669"/>
      <c r="I84" s="869"/>
      <c r="J84" s="870"/>
      <c r="K84" s="2668"/>
      <c r="L84" s="2674" t="str">
        <f t="shared" si="5"/>
        <v/>
      </c>
      <c r="M84" s="2669" t="str">
        <f t="shared" si="6"/>
        <v/>
      </c>
      <c r="N84" s="868"/>
      <c r="O84" s="871"/>
      <c r="P84" s="869" t="str">
        <f t="shared" si="7"/>
        <v/>
      </c>
      <c r="Q84" s="2668" t="str">
        <f t="shared" si="8"/>
        <v/>
      </c>
      <c r="R84" s="2669" t="str">
        <f t="shared" si="9"/>
        <v/>
      </c>
    </row>
    <row r="85" spans="1:18" ht="12" customHeight="1">
      <c r="A85" s="2581"/>
      <c r="B85" s="2582"/>
      <c r="C85" s="2583"/>
      <c r="D85" s="868"/>
      <c r="E85" s="2668"/>
      <c r="F85" s="2669"/>
      <c r="G85" s="2668"/>
      <c r="H85" s="2669"/>
      <c r="I85" s="869"/>
      <c r="J85" s="870"/>
      <c r="K85" s="2668"/>
      <c r="L85" s="2674" t="str">
        <f t="shared" si="5"/>
        <v/>
      </c>
      <c r="M85" s="2669" t="str">
        <f t="shared" si="6"/>
        <v/>
      </c>
      <c r="N85" s="868"/>
      <c r="O85" s="871"/>
      <c r="P85" s="869" t="str">
        <f t="shared" si="7"/>
        <v/>
      </c>
      <c r="Q85" s="2668" t="str">
        <f t="shared" si="8"/>
        <v/>
      </c>
      <c r="R85" s="2669" t="str">
        <f t="shared" si="9"/>
        <v/>
      </c>
    </row>
    <row r="86" spans="1:18" ht="12" customHeight="1">
      <c r="A86" s="2581"/>
      <c r="B86" s="2582"/>
      <c r="C86" s="2583"/>
      <c r="D86" s="868"/>
      <c r="E86" s="2668"/>
      <c r="F86" s="2669"/>
      <c r="G86" s="2668"/>
      <c r="H86" s="2669"/>
      <c r="I86" s="869"/>
      <c r="J86" s="870"/>
      <c r="K86" s="2668"/>
      <c r="L86" s="2674" t="str">
        <f t="shared" si="5"/>
        <v/>
      </c>
      <c r="M86" s="2669" t="str">
        <f t="shared" si="6"/>
        <v/>
      </c>
      <c r="N86" s="868"/>
      <c r="O86" s="871"/>
      <c r="P86" s="869" t="str">
        <f t="shared" si="7"/>
        <v/>
      </c>
      <c r="Q86" s="2668" t="str">
        <f t="shared" si="8"/>
        <v/>
      </c>
      <c r="R86" s="2669" t="str">
        <f t="shared" si="9"/>
        <v/>
      </c>
    </row>
    <row r="87" spans="1:18" ht="12" customHeight="1">
      <c r="A87" s="2581"/>
      <c r="B87" s="2582"/>
      <c r="C87" s="2583"/>
      <c r="D87" s="868"/>
      <c r="E87" s="2668"/>
      <c r="F87" s="2669"/>
      <c r="G87" s="2668"/>
      <c r="H87" s="2669"/>
      <c r="I87" s="869"/>
      <c r="J87" s="870"/>
      <c r="K87" s="2668"/>
      <c r="L87" s="2674" t="str">
        <f t="shared" si="5"/>
        <v/>
      </c>
      <c r="M87" s="2669" t="str">
        <f t="shared" si="6"/>
        <v/>
      </c>
      <c r="N87" s="868"/>
      <c r="O87" s="871"/>
      <c r="P87" s="869" t="str">
        <f t="shared" si="7"/>
        <v/>
      </c>
      <c r="Q87" s="2668" t="str">
        <f t="shared" si="8"/>
        <v/>
      </c>
      <c r="R87" s="2669" t="str">
        <f t="shared" si="9"/>
        <v/>
      </c>
    </row>
    <row r="88" spans="1:18" ht="12" customHeight="1">
      <c r="A88" s="2584"/>
      <c r="B88" s="2585"/>
      <c r="C88" s="2586"/>
      <c r="D88" s="872"/>
      <c r="E88" s="2670"/>
      <c r="F88" s="2671"/>
      <c r="G88" s="2670"/>
      <c r="H88" s="2671"/>
      <c r="I88" s="873"/>
      <c r="J88" s="874"/>
      <c r="K88" s="2670"/>
      <c r="L88" s="2675" t="str">
        <f t="shared" si="5"/>
        <v/>
      </c>
      <c r="M88" s="2671" t="str">
        <f t="shared" si="6"/>
        <v/>
      </c>
      <c r="N88" s="872"/>
      <c r="O88" s="875"/>
      <c r="P88" s="873" t="str">
        <f t="shared" si="7"/>
        <v/>
      </c>
      <c r="Q88" s="2670" t="str">
        <f t="shared" si="8"/>
        <v/>
      </c>
      <c r="R88" s="2671" t="str">
        <f t="shared" si="9"/>
        <v/>
      </c>
    </row>
    <row r="89" spans="1:18" ht="12.6" customHeight="1">
      <c r="A89" s="850" t="s">
        <v>3160</v>
      </c>
      <c r="B89" s="876"/>
      <c r="C89" s="876"/>
      <c r="D89" s="877"/>
      <c r="E89" s="878">
        <f>SUM(E54:E88)</f>
        <v>0</v>
      </c>
      <c r="F89" s="878">
        <f>SUM(F54:F88)</f>
        <v>0</v>
      </c>
      <c r="G89" s="878">
        <f>SUM(G54:G88)</f>
        <v>0</v>
      </c>
      <c r="H89" s="878">
        <f>SUM(H54:H88)</f>
        <v>0</v>
      </c>
      <c r="I89" s="878">
        <f>SUM(I54:I88)</f>
        <v>0</v>
      </c>
      <c r="J89" s="879"/>
      <c r="K89" s="878">
        <f>SUM(K54:K88)</f>
        <v>0</v>
      </c>
      <c r="L89" s="880"/>
      <c r="M89" s="878">
        <f>SUM(M54:M88)</f>
        <v>0</v>
      </c>
      <c r="N89" s="877"/>
      <c r="O89" s="880"/>
      <c r="P89" s="878">
        <f>SUM(P54:P88)</f>
        <v>0</v>
      </c>
      <c r="Q89" s="878">
        <f>SUM(Q54:Q88)</f>
        <v>0</v>
      </c>
      <c r="R89" s="878">
        <f>SUM(R54:R88)</f>
        <v>0</v>
      </c>
    </row>
    <row r="90" spans="1:18" s="846" customFormat="1" ht="12.6" customHeight="1">
      <c r="A90" s="850" t="s">
        <v>3128</v>
      </c>
      <c r="C90" s="2587" t="str">
        <f>C4</f>
        <v>Acquisition</v>
      </c>
      <c r="D90" s="2588"/>
      <c r="E90" s="2588"/>
      <c r="F90" s="854"/>
      <c r="G90" s="855"/>
      <c r="H90" s="855"/>
      <c r="I90" s="855"/>
      <c r="L90" s="848"/>
      <c r="M90" s="848"/>
      <c r="N90" s="848"/>
    </row>
    <row r="91" spans="1:18" s="846" customFormat="1" ht="12.6" customHeight="1">
      <c r="A91" s="2625" t="s">
        <v>3129</v>
      </c>
      <c r="B91" s="2625"/>
      <c r="C91" s="2625"/>
      <c r="D91" s="2625"/>
      <c r="E91" s="2625"/>
      <c r="F91" s="2625"/>
      <c r="G91" s="2625"/>
      <c r="H91" s="2625"/>
      <c r="I91" s="2625"/>
      <c r="J91" s="2625"/>
      <c r="K91" s="2625"/>
      <c r="L91" s="2625"/>
      <c r="M91" s="2625"/>
      <c r="N91" s="2625"/>
      <c r="O91" s="2625"/>
      <c r="P91" s="2625"/>
      <c r="Q91" s="2625"/>
      <c r="R91" s="2625"/>
    </row>
    <row r="92" spans="1:18" s="856" customFormat="1" ht="12" customHeight="1">
      <c r="A92" s="2676"/>
      <c r="B92" s="858"/>
      <c r="C92" s="858"/>
      <c r="D92" s="859"/>
      <c r="E92" s="2689" t="s">
        <v>503</v>
      </c>
      <c r="F92" s="2690"/>
      <c r="G92" s="2690"/>
      <c r="H92" s="2691"/>
      <c r="I92" s="2678"/>
      <c r="J92" s="2679"/>
      <c r="K92" s="2687" t="s">
        <v>3135</v>
      </c>
      <c r="L92" s="2687"/>
      <c r="M92" s="2687"/>
      <c r="N92" s="859" t="s">
        <v>861</v>
      </c>
      <c r="O92" s="2677"/>
      <c r="P92" s="2677"/>
      <c r="Q92" s="2683" t="s">
        <v>3131</v>
      </c>
      <c r="R92" s="2684"/>
    </row>
    <row r="93" spans="1:18" s="856" customFormat="1" ht="12" customHeight="1">
      <c r="A93" s="857"/>
      <c r="B93" s="858"/>
      <c r="C93" s="858"/>
      <c r="D93" s="859" t="s">
        <v>496</v>
      </c>
      <c r="E93" s="2692" t="s">
        <v>3132</v>
      </c>
      <c r="F93" s="2693"/>
      <c r="G93" s="2692" t="s">
        <v>1902</v>
      </c>
      <c r="H93" s="2693"/>
      <c r="I93" s="859" t="s">
        <v>3135</v>
      </c>
      <c r="J93" s="2680" t="s">
        <v>3136</v>
      </c>
      <c r="K93" s="2688"/>
      <c r="L93" s="2688"/>
      <c r="M93" s="2688"/>
      <c r="N93" s="859" t="s">
        <v>3137</v>
      </c>
      <c r="O93" s="859" t="s">
        <v>3138</v>
      </c>
      <c r="P93" s="859" t="s">
        <v>3139</v>
      </c>
      <c r="Q93" s="2685"/>
      <c r="R93" s="2686"/>
    </row>
    <row r="94" spans="1:18" ht="11.45" customHeight="1">
      <c r="A94" s="857"/>
      <c r="B94" s="858"/>
      <c r="C94" s="858"/>
      <c r="D94" s="859" t="s">
        <v>3140</v>
      </c>
      <c r="E94" s="2681" t="s">
        <v>152</v>
      </c>
      <c r="F94" s="859" t="s">
        <v>3110</v>
      </c>
      <c r="G94" s="2681" t="s">
        <v>152</v>
      </c>
      <c r="H94" s="859" t="s">
        <v>3110</v>
      </c>
      <c r="I94" s="859" t="s">
        <v>3142</v>
      </c>
      <c r="J94" s="2680"/>
      <c r="K94" s="2672" t="s">
        <v>3143</v>
      </c>
      <c r="L94" s="2672" t="s">
        <v>3144</v>
      </c>
      <c r="M94" s="2672" t="s">
        <v>3145</v>
      </c>
      <c r="N94" s="859" t="s">
        <v>3146</v>
      </c>
      <c r="O94" s="859" t="s">
        <v>3147</v>
      </c>
      <c r="P94" s="859" t="s">
        <v>3147</v>
      </c>
      <c r="Q94" s="859" t="s">
        <v>3135</v>
      </c>
      <c r="R94" s="859" t="s">
        <v>3148</v>
      </c>
    </row>
    <row r="95" spans="1:18" ht="11.45" customHeight="1">
      <c r="A95" s="861" t="s">
        <v>3149</v>
      </c>
      <c r="B95" s="862"/>
      <c r="C95" s="862"/>
      <c r="D95" s="863" t="s">
        <v>3150</v>
      </c>
      <c r="E95" s="863" t="s">
        <v>3151</v>
      </c>
      <c r="F95" s="863" t="s">
        <v>3152</v>
      </c>
      <c r="G95" s="863" t="s">
        <v>3151</v>
      </c>
      <c r="H95" s="863" t="s">
        <v>3152</v>
      </c>
      <c r="I95" s="863" t="s">
        <v>3153</v>
      </c>
      <c r="J95" s="2682" t="s">
        <v>3154</v>
      </c>
      <c r="K95" s="863" t="s">
        <v>3153</v>
      </c>
      <c r="L95" s="863" t="s">
        <v>3155</v>
      </c>
      <c r="M95" s="863" t="s">
        <v>3153</v>
      </c>
      <c r="N95" s="863" t="s">
        <v>3156</v>
      </c>
      <c r="O95" s="863" t="s">
        <v>3157</v>
      </c>
      <c r="P95" s="863" t="s">
        <v>1793</v>
      </c>
      <c r="Q95" s="863" t="s">
        <v>1830</v>
      </c>
      <c r="R95" s="863" t="s">
        <v>1793</v>
      </c>
    </row>
    <row r="96" spans="1:18" ht="12" customHeight="1">
      <c r="A96" s="2598"/>
      <c r="B96" s="2599"/>
      <c r="C96" s="2600"/>
      <c r="D96" s="864"/>
      <c r="E96" s="2666"/>
      <c r="F96" s="2667"/>
      <c r="G96" s="2666"/>
      <c r="H96" s="2667"/>
      <c r="I96" s="865"/>
      <c r="J96" s="866"/>
      <c r="K96" s="2666"/>
      <c r="L96" s="2673" t="str">
        <f>IF(OR(E96="",F96=""),"",MIN(G96/E96,H96/F96))</f>
        <v/>
      </c>
      <c r="M96" s="2667" t="str">
        <f>IF(OR(E96="",F96=""),"",K96*L96)</f>
        <v/>
      </c>
      <c r="N96" s="864"/>
      <c r="O96" s="867"/>
      <c r="P96" s="865" t="str">
        <f>IF(OR(M96="",O96=""),"",M96*O96)</f>
        <v/>
      </c>
      <c r="Q96" s="2666" t="str">
        <f>IF(M96="","",ROUND(M96,0))</f>
        <v/>
      </c>
      <c r="R96" s="2667" t="str">
        <f>IF(P96="","",ROUND(P96,0))</f>
        <v/>
      </c>
    </row>
    <row r="97" spans="1:18" ht="12" customHeight="1">
      <c r="A97" s="2581"/>
      <c r="B97" s="2582"/>
      <c r="C97" s="2583"/>
      <c r="D97" s="868"/>
      <c r="E97" s="2668"/>
      <c r="F97" s="2669"/>
      <c r="G97" s="2668"/>
      <c r="H97" s="2669"/>
      <c r="I97" s="869"/>
      <c r="J97" s="870"/>
      <c r="K97" s="2668"/>
      <c r="L97" s="2674" t="str">
        <f t="shared" ref="L97:L130" si="10">IF(OR(E97="",F97=""),"",MIN(G97/E97,H97/F97))</f>
        <v/>
      </c>
      <c r="M97" s="2669" t="str">
        <f t="shared" ref="M97:M130" si="11">IF(OR(E97="",F97=""),"",K97*L97)</f>
        <v/>
      </c>
      <c r="N97" s="868"/>
      <c r="O97" s="871"/>
      <c r="P97" s="869" t="str">
        <f t="shared" ref="P97:P130" si="12">IF(OR(M97="",O97=""),"",M97*O97)</f>
        <v/>
      </c>
      <c r="Q97" s="2668" t="str">
        <f t="shared" ref="Q97:Q130" si="13">IF(M97="","",ROUND(M97,0))</f>
        <v/>
      </c>
      <c r="R97" s="2669" t="str">
        <f t="shared" ref="R97:R130" si="14">IF(P97="","",ROUND(P97,0))</f>
        <v/>
      </c>
    </row>
    <row r="98" spans="1:18" ht="12" customHeight="1">
      <c r="A98" s="2581"/>
      <c r="B98" s="2582"/>
      <c r="C98" s="2583"/>
      <c r="D98" s="868"/>
      <c r="E98" s="2668"/>
      <c r="F98" s="2669"/>
      <c r="G98" s="2668"/>
      <c r="H98" s="2669"/>
      <c r="I98" s="869"/>
      <c r="J98" s="870"/>
      <c r="K98" s="2668"/>
      <c r="L98" s="2674" t="str">
        <f t="shared" si="10"/>
        <v/>
      </c>
      <c r="M98" s="2669" t="str">
        <f t="shared" si="11"/>
        <v/>
      </c>
      <c r="N98" s="868"/>
      <c r="O98" s="871"/>
      <c r="P98" s="869" t="str">
        <f t="shared" si="12"/>
        <v/>
      </c>
      <c r="Q98" s="2668" t="str">
        <f t="shared" si="13"/>
        <v/>
      </c>
      <c r="R98" s="2669" t="str">
        <f t="shared" si="14"/>
        <v/>
      </c>
    </row>
    <row r="99" spans="1:18" ht="12" customHeight="1">
      <c r="A99" s="2581"/>
      <c r="B99" s="2582"/>
      <c r="C99" s="2583"/>
      <c r="D99" s="868"/>
      <c r="E99" s="2668"/>
      <c r="F99" s="2669"/>
      <c r="G99" s="2668"/>
      <c r="H99" s="2669"/>
      <c r="I99" s="869"/>
      <c r="J99" s="870"/>
      <c r="K99" s="2668"/>
      <c r="L99" s="2674" t="str">
        <f t="shared" si="10"/>
        <v/>
      </c>
      <c r="M99" s="2669" t="str">
        <f t="shared" si="11"/>
        <v/>
      </c>
      <c r="N99" s="868"/>
      <c r="O99" s="871"/>
      <c r="P99" s="869" t="str">
        <f t="shared" si="12"/>
        <v/>
      </c>
      <c r="Q99" s="2668" t="str">
        <f t="shared" si="13"/>
        <v/>
      </c>
      <c r="R99" s="2669" t="str">
        <f t="shared" si="14"/>
        <v/>
      </c>
    </row>
    <row r="100" spans="1:18" ht="12" customHeight="1">
      <c r="A100" s="2581"/>
      <c r="B100" s="2582"/>
      <c r="C100" s="2583"/>
      <c r="D100" s="868"/>
      <c r="E100" s="2668"/>
      <c r="F100" s="2669"/>
      <c r="G100" s="2668"/>
      <c r="H100" s="2669"/>
      <c r="I100" s="869"/>
      <c r="J100" s="870"/>
      <c r="K100" s="2668"/>
      <c r="L100" s="2674" t="str">
        <f t="shared" si="10"/>
        <v/>
      </c>
      <c r="M100" s="2669" t="str">
        <f t="shared" si="11"/>
        <v/>
      </c>
      <c r="N100" s="868"/>
      <c r="O100" s="871"/>
      <c r="P100" s="869" t="str">
        <f t="shared" si="12"/>
        <v/>
      </c>
      <c r="Q100" s="2668" t="str">
        <f t="shared" si="13"/>
        <v/>
      </c>
      <c r="R100" s="2669" t="str">
        <f t="shared" si="14"/>
        <v/>
      </c>
    </row>
    <row r="101" spans="1:18" ht="12" customHeight="1">
      <c r="A101" s="2581"/>
      <c r="B101" s="2582"/>
      <c r="C101" s="2583"/>
      <c r="D101" s="868"/>
      <c r="E101" s="2668"/>
      <c r="F101" s="2669"/>
      <c r="G101" s="2668"/>
      <c r="H101" s="2669"/>
      <c r="I101" s="869"/>
      <c r="J101" s="870"/>
      <c r="K101" s="2668"/>
      <c r="L101" s="2674" t="str">
        <f t="shared" si="10"/>
        <v/>
      </c>
      <c r="M101" s="2669" t="str">
        <f t="shared" si="11"/>
        <v/>
      </c>
      <c r="N101" s="868"/>
      <c r="O101" s="871"/>
      <c r="P101" s="869" t="str">
        <f t="shared" si="12"/>
        <v/>
      </c>
      <c r="Q101" s="2668" t="str">
        <f t="shared" si="13"/>
        <v/>
      </c>
      <c r="R101" s="2669" t="str">
        <f t="shared" si="14"/>
        <v/>
      </c>
    </row>
    <row r="102" spans="1:18" ht="12" customHeight="1">
      <c r="A102" s="2581"/>
      <c r="B102" s="2582"/>
      <c r="C102" s="2583"/>
      <c r="D102" s="868"/>
      <c r="E102" s="2668"/>
      <c r="F102" s="2669"/>
      <c r="G102" s="2668"/>
      <c r="H102" s="2669"/>
      <c r="I102" s="869"/>
      <c r="J102" s="870"/>
      <c r="K102" s="2668"/>
      <c r="L102" s="2674" t="str">
        <f t="shared" si="10"/>
        <v/>
      </c>
      <c r="M102" s="2669" t="str">
        <f t="shared" si="11"/>
        <v/>
      </c>
      <c r="N102" s="868"/>
      <c r="O102" s="871"/>
      <c r="P102" s="869" t="str">
        <f t="shared" si="12"/>
        <v/>
      </c>
      <c r="Q102" s="2668" t="str">
        <f t="shared" si="13"/>
        <v/>
      </c>
      <c r="R102" s="2669" t="str">
        <f t="shared" si="14"/>
        <v/>
      </c>
    </row>
    <row r="103" spans="1:18" ht="12" customHeight="1">
      <c r="A103" s="2581"/>
      <c r="B103" s="2582"/>
      <c r="C103" s="2583"/>
      <c r="D103" s="868"/>
      <c r="E103" s="2668"/>
      <c r="F103" s="2669"/>
      <c r="G103" s="2668"/>
      <c r="H103" s="2669"/>
      <c r="I103" s="869"/>
      <c r="J103" s="870"/>
      <c r="K103" s="2668"/>
      <c r="L103" s="2674" t="str">
        <f t="shared" si="10"/>
        <v/>
      </c>
      <c r="M103" s="2669" t="str">
        <f t="shared" si="11"/>
        <v/>
      </c>
      <c r="N103" s="868"/>
      <c r="O103" s="871"/>
      <c r="P103" s="869" t="str">
        <f t="shared" si="12"/>
        <v/>
      </c>
      <c r="Q103" s="2668" t="str">
        <f t="shared" si="13"/>
        <v/>
      </c>
      <c r="R103" s="2669" t="str">
        <f t="shared" si="14"/>
        <v/>
      </c>
    </row>
    <row r="104" spans="1:18" ht="12" customHeight="1">
      <c r="A104" s="2581"/>
      <c r="B104" s="2582"/>
      <c r="C104" s="2583"/>
      <c r="D104" s="868"/>
      <c r="E104" s="2668"/>
      <c r="F104" s="2669"/>
      <c r="G104" s="2668"/>
      <c r="H104" s="2669"/>
      <c r="I104" s="869"/>
      <c r="J104" s="870"/>
      <c r="K104" s="2668"/>
      <c r="L104" s="2674" t="str">
        <f t="shared" si="10"/>
        <v/>
      </c>
      <c r="M104" s="2669" t="str">
        <f t="shared" si="11"/>
        <v/>
      </c>
      <c r="N104" s="868"/>
      <c r="O104" s="871"/>
      <c r="P104" s="869" t="str">
        <f t="shared" si="12"/>
        <v/>
      </c>
      <c r="Q104" s="2668" t="str">
        <f t="shared" si="13"/>
        <v/>
      </c>
      <c r="R104" s="2669" t="str">
        <f t="shared" si="14"/>
        <v/>
      </c>
    </row>
    <row r="105" spans="1:18" ht="12" customHeight="1">
      <c r="A105" s="2581"/>
      <c r="B105" s="2582"/>
      <c r="C105" s="2583"/>
      <c r="D105" s="868"/>
      <c r="E105" s="2668"/>
      <c r="F105" s="2669"/>
      <c r="G105" s="2668"/>
      <c r="H105" s="2669"/>
      <c r="I105" s="869"/>
      <c r="J105" s="870"/>
      <c r="K105" s="2668"/>
      <c r="L105" s="2674" t="str">
        <f t="shared" si="10"/>
        <v/>
      </c>
      <c r="M105" s="2669" t="str">
        <f t="shared" si="11"/>
        <v/>
      </c>
      <c r="N105" s="868"/>
      <c r="O105" s="871"/>
      <c r="P105" s="869" t="str">
        <f t="shared" si="12"/>
        <v/>
      </c>
      <c r="Q105" s="2668" t="str">
        <f t="shared" si="13"/>
        <v/>
      </c>
      <c r="R105" s="2669" t="str">
        <f t="shared" si="14"/>
        <v/>
      </c>
    </row>
    <row r="106" spans="1:18" ht="12" customHeight="1">
      <c r="A106" s="2581"/>
      <c r="B106" s="2582"/>
      <c r="C106" s="2583"/>
      <c r="D106" s="868"/>
      <c r="E106" s="2668"/>
      <c r="F106" s="2669"/>
      <c r="G106" s="2668"/>
      <c r="H106" s="2669"/>
      <c r="I106" s="869"/>
      <c r="J106" s="870"/>
      <c r="K106" s="2668"/>
      <c r="L106" s="2674" t="str">
        <f t="shared" si="10"/>
        <v/>
      </c>
      <c r="M106" s="2669" t="str">
        <f t="shared" si="11"/>
        <v/>
      </c>
      <c r="N106" s="868"/>
      <c r="O106" s="871"/>
      <c r="P106" s="869" t="str">
        <f t="shared" si="12"/>
        <v/>
      </c>
      <c r="Q106" s="2668" t="str">
        <f t="shared" si="13"/>
        <v/>
      </c>
      <c r="R106" s="2669" t="str">
        <f t="shared" si="14"/>
        <v/>
      </c>
    </row>
    <row r="107" spans="1:18" ht="12" customHeight="1">
      <c r="A107" s="2581"/>
      <c r="B107" s="2582"/>
      <c r="C107" s="2583"/>
      <c r="D107" s="868"/>
      <c r="E107" s="2668"/>
      <c r="F107" s="2669"/>
      <c r="G107" s="2668"/>
      <c r="H107" s="2669"/>
      <c r="I107" s="869"/>
      <c r="J107" s="870"/>
      <c r="K107" s="2668"/>
      <c r="L107" s="2674" t="str">
        <f t="shared" si="10"/>
        <v/>
      </c>
      <c r="M107" s="2669" t="str">
        <f t="shared" si="11"/>
        <v/>
      </c>
      <c r="N107" s="868"/>
      <c r="O107" s="871"/>
      <c r="P107" s="869" t="str">
        <f t="shared" si="12"/>
        <v/>
      </c>
      <c r="Q107" s="2668" t="str">
        <f t="shared" si="13"/>
        <v/>
      </c>
      <c r="R107" s="2669" t="str">
        <f t="shared" si="14"/>
        <v/>
      </c>
    </row>
    <row r="108" spans="1:18" ht="12" customHeight="1">
      <c r="A108" s="2581"/>
      <c r="B108" s="2582"/>
      <c r="C108" s="2583"/>
      <c r="D108" s="868"/>
      <c r="E108" s="2668"/>
      <c r="F108" s="2669"/>
      <c r="G108" s="2668"/>
      <c r="H108" s="2669"/>
      <c r="I108" s="869"/>
      <c r="J108" s="870"/>
      <c r="K108" s="2668"/>
      <c r="L108" s="2674" t="str">
        <f t="shared" si="10"/>
        <v/>
      </c>
      <c r="M108" s="2669" t="str">
        <f t="shared" si="11"/>
        <v/>
      </c>
      <c r="N108" s="868"/>
      <c r="O108" s="871"/>
      <c r="P108" s="869" t="str">
        <f t="shared" si="12"/>
        <v/>
      </c>
      <c r="Q108" s="2668" t="str">
        <f t="shared" si="13"/>
        <v/>
      </c>
      <c r="R108" s="2669" t="str">
        <f t="shared" si="14"/>
        <v/>
      </c>
    </row>
    <row r="109" spans="1:18" ht="12" customHeight="1">
      <c r="A109" s="2581"/>
      <c r="B109" s="2582"/>
      <c r="C109" s="2583"/>
      <c r="D109" s="868"/>
      <c r="E109" s="2668"/>
      <c r="F109" s="2669"/>
      <c r="G109" s="2668"/>
      <c r="H109" s="2669"/>
      <c r="I109" s="869"/>
      <c r="J109" s="870"/>
      <c r="K109" s="2668"/>
      <c r="L109" s="2674" t="str">
        <f t="shared" si="10"/>
        <v/>
      </c>
      <c r="M109" s="2669" t="str">
        <f t="shared" si="11"/>
        <v/>
      </c>
      <c r="N109" s="868"/>
      <c r="O109" s="871"/>
      <c r="P109" s="869" t="str">
        <f t="shared" si="12"/>
        <v/>
      </c>
      <c r="Q109" s="2668" t="str">
        <f t="shared" si="13"/>
        <v/>
      </c>
      <c r="R109" s="2669" t="str">
        <f t="shared" si="14"/>
        <v/>
      </c>
    </row>
    <row r="110" spans="1:18" ht="12" customHeight="1">
      <c r="A110" s="2581"/>
      <c r="B110" s="2582"/>
      <c r="C110" s="2583"/>
      <c r="D110" s="868"/>
      <c r="E110" s="2668"/>
      <c r="F110" s="2669"/>
      <c r="G110" s="2668"/>
      <c r="H110" s="2669"/>
      <c r="I110" s="869"/>
      <c r="J110" s="870"/>
      <c r="K110" s="2668"/>
      <c r="L110" s="2674" t="str">
        <f t="shared" si="10"/>
        <v/>
      </c>
      <c r="M110" s="2669" t="str">
        <f t="shared" si="11"/>
        <v/>
      </c>
      <c r="N110" s="868"/>
      <c r="O110" s="871"/>
      <c r="P110" s="869" t="str">
        <f t="shared" si="12"/>
        <v/>
      </c>
      <c r="Q110" s="2668" t="str">
        <f t="shared" si="13"/>
        <v/>
      </c>
      <c r="R110" s="2669" t="str">
        <f t="shared" si="14"/>
        <v/>
      </c>
    </row>
    <row r="111" spans="1:18" ht="12" customHeight="1">
      <c r="A111" s="2581"/>
      <c r="B111" s="2582"/>
      <c r="C111" s="2583"/>
      <c r="D111" s="868"/>
      <c r="E111" s="2668"/>
      <c r="F111" s="2669"/>
      <c r="G111" s="2668"/>
      <c r="H111" s="2669"/>
      <c r="I111" s="869"/>
      <c r="J111" s="870"/>
      <c r="K111" s="2668"/>
      <c r="L111" s="2674" t="str">
        <f t="shared" si="10"/>
        <v/>
      </c>
      <c r="M111" s="2669" t="str">
        <f t="shared" si="11"/>
        <v/>
      </c>
      <c r="N111" s="868"/>
      <c r="O111" s="871"/>
      <c r="P111" s="869" t="str">
        <f t="shared" si="12"/>
        <v/>
      </c>
      <c r="Q111" s="2668" t="str">
        <f t="shared" si="13"/>
        <v/>
      </c>
      <c r="R111" s="2669" t="str">
        <f t="shared" si="14"/>
        <v/>
      </c>
    </row>
    <row r="112" spans="1:18" ht="12" customHeight="1">
      <c r="A112" s="2581"/>
      <c r="B112" s="2582"/>
      <c r="C112" s="2583"/>
      <c r="D112" s="868"/>
      <c r="E112" s="2668"/>
      <c r="F112" s="2669"/>
      <c r="G112" s="2668"/>
      <c r="H112" s="2669"/>
      <c r="I112" s="869"/>
      <c r="J112" s="870"/>
      <c r="K112" s="2668"/>
      <c r="L112" s="2674" t="str">
        <f t="shared" si="10"/>
        <v/>
      </c>
      <c r="M112" s="2669" t="str">
        <f t="shared" si="11"/>
        <v/>
      </c>
      <c r="N112" s="868"/>
      <c r="O112" s="871"/>
      <c r="P112" s="869" t="str">
        <f t="shared" si="12"/>
        <v/>
      </c>
      <c r="Q112" s="2668" t="str">
        <f t="shared" si="13"/>
        <v/>
      </c>
      <c r="R112" s="2669" t="str">
        <f t="shared" si="14"/>
        <v/>
      </c>
    </row>
    <row r="113" spans="1:18" ht="12" customHeight="1">
      <c r="A113" s="2581"/>
      <c r="B113" s="2582"/>
      <c r="C113" s="2583"/>
      <c r="D113" s="868"/>
      <c r="E113" s="2668"/>
      <c r="F113" s="2669"/>
      <c r="G113" s="2668"/>
      <c r="H113" s="2669"/>
      <c r="I113" s="869"/>
      <c r="J113" s="870"/>
      <c r="K113" s="2668"/>
      <c r="L113" s="2674" t="str">
        <f t="shared" si="10"/>
        <v/>
      </c>
      <c r="M113" s="2669" t="str">
        <f t="shared" si="11"/>
        <v/>
      </c>
      <c r="N113" s="868"/>
      <c r="O113" s="871"/>
      <c r="P113" s="869" t="str">
        <f t="shared" si="12"/>
        <v/>
      </c>
      <c r="Q113" s="2668" t="str">
        <f t="shared" si="13"/>
        <v/>
      </c>
      <c r="R113" s="2669" t="str">
        <f t="shared" si="14"/>
        <v/>
      </c>
    </row>
    <row r="114" spans="1:18" ht="12" customHeight="1">
      <c r="A114" s="2581"/>
      <c r="B114" s="2582"/>
      <c r="C114" s="2583"/>
      <c r="D114" s="868"/>
      <c r="E114" s="2668"/>
      <c r="F114" s="2669"/>
      <c r="G114" s="2668"/>
      <c r="H114" s="2669"/>
      <c r="I114" s="869"/>
      <c r="J114" s="870"/>
      <c r="K114" s="2668"/>
      <c r="L114" s="2674" t="str">
        <f t="shared" si="10"/>
        <v/>
      </c>
      <c r="M114" s="2669" t="str">
        <f t="shared" si="11"/>
        <v/>
      </c>
      <c r="N114" s="868"/>
      <c r="O114" s="871"/>
      <c r="P114" s="869" t="str">
        <f t="shared" si="12"/>
        <v/>
      </c>
      <c r="Q114" s="2668" t="str">
        <f t="shared" si="13"/>
        <v/>
      </c>
      <c r="R114" s="2669" t="str">
        <f t="shared" si="14"/>
        <v/>
      </c>
    </row>
    <row r="115" spans="1:18" ht="12" customHeight="1">
      <c r="A115" s="2581"/>
      <c r="B115" s="2582"/>
      <c r="C115" s="2583"/>
      <c r="D115" s="868"/>
      <c r="E115" s="2668"/>
      <c r="F115" s="2669"/>
      <c r="G115" s="2668"/>
      <c r="H115" s="2669"/>
      <c r="I115" s="869"/>
      <c r="J115" s="870"/>
      <c r="K115" s="2668"/>
      <c r="L115" s="2674" t="str">
        <f t="shared" si="10"/>
        <v/>
      </c>
      <c r="M115" s="2669" t="str">
        <f t="shared" si="11"/>
        <v/>
      </c>
      <c r="N115" s="868"/>
      <c r="O115" s="871"/>
      <c r="P115" s="869" t="str">
        <f t="shared" si="12"/>
        <v/>
      </c>
      <c r="Q115" s="2668" t="str">
        <f t="shared" si="13"/>
        <v/>
      </c>
      <c r="R115" s="2669" t="str">
        <f t="shared" si="14"/>
        <v/>
      </c>
    </row>
    <row r="116" spans="1:18" ht="12" customHeight="1">
      <c r="A116" s="2581"/>
      <c r="B116" s="2582"/>
      <c r="C116" s="2583"/>
      <c r="D116" s="868"/>
      <c r="E116" s="2668"/>
      <c r="F116" s="2669"/>
      <c r="G116" s="2668"/>
      <c r="H116" s="2669"/>
      <c r="I116" s="869"/>
      <c r="J116" s="870"/>
      <c r="K116" s="2668"/>
      <c r="L116" s="2674" t="str">
        <f t="shared" si="10"/>
        <v/>
      </c>
      <c r="M116" s="2669" t="str">
        <f t="shared" si="11"/>
        <v/>
      </c>
      <c r="N116" s="868"/>
      <c r="O116" s="871"/>
      <c r="P116" s="869" t="str">
        <f t="shared" si="12"/>
        <v/>
      </c>
      <c r="Q116" s="2668" t="str">
        <f t="shared" si="13"/>
        <v/>
      </c>
      <c r="R116" s="2669" t="str">
        <f t="shared" si="14"/>
        <v/>
      </c>
    </row>
    <row r="117" spans="1:18" ht="12" customHeight="1">
      <c r="A117" s="2581"/>
      <c r="B117" s="2582"/>
      <c r="C117" s="2583"/>
      <c r="D117" s="868"/>
      <c r="E117" s="2668"/>
      <c r="F117" s="2669"/>
      <c r="G117" s="2668"/>
      <c r="H117" s="2669"/>
      <c r="I117" s="869"/>
      <c r="J117" s="870"/>
      <c r="K117" s="2668"/>
      <c r="L117" s="2674" t="str">
        <f t="shared" si="10"/>
        <v/>
      </c>
      <c r="M117" s="2669" t="str">
        <f t="shared" si="11"/>
        <v/>
      </c>
      <c r="N117" s="868"/>
      <c r="O117" s="871"/>
      <c r="P117" s="869" t="str">
        <f t="shared" si="12"/>
        <v/>
      </c>
      <c r="Q117" s="2668" t="str">
        <f t="shared" si="13"/>
        <v/>
      </c>
      <c r="R117" s="2669" t="str">
        <f t="shared" si="14"/>
        <v/>
      </c>
    </row>
    <row r="118" spans="1:18" ht="12" customHeight="1">
      <c r="A118" s="2581"/>
      <c r="B118" s="2582"/>
      <c r="C118" s="2583"/>
      <c r="D118" s="868"/>
      <c r="E118" s="2668"/>
      <c r="F118" s="2669"/>
      <c r="G118" s="2668"/>
      <c r="H118" s="2669"/>
      <c r="I118" s="869"/>
      <c r="J118" s="870"/>
      <c r="K118" s="2668"/>
      <c r="L118" s="2674" t="str">
        <f t="shared" si="10"/>
        <v/>
      </c>
      <c r="M118" s="2669" t="str">
        <f t="shared" si="11"/>
        <v/>
      </c>
      <c r="N118" s="868"/>
      <c r="O118" s="871"/>
      <c r="P118" s="869" t="str">
        <f t="shared" si="12"/>
        <v/>
      </c>
      <c r="Q118" s="2668" t="str">
        <f t="shared" si="13"/>
        <v/>
      </c>
      <c r="R118" s="2669" t="str">
        <f t="shared" si="14"/>
        <v/>
      </c>
    </row>
    <row r="119" spans="1:18" ht="12" customHeight="1">
      <c r="A119" s="2581"/>
      <c r="B119" s="2582"/>
      <c r="C119" s="2583"/>
      <c r="D119" s="868"/>
      <c r="E119" s="2668"/>
      <c r="F119" s="2669"/>
      <c r="G119" s="2668"/>
      <c r="H119" s="2669"/>
      <c r="I119" s="869"/>
      <c r="J119" s="870"/>
      <c r="K119" s="2668"/>
      <c r="L119" s="2674" t="str">
        <f t="shared" si="10"/>
        <v/>
      </c>
      <c r="M119" s="2669" t="str">
        <f t="shared" si="11"/>
        <v/>
      </c>
      <c r="N119" s="868"/>
      <c r="O119" s="871"/>
      <c r="P119" s="869" t="str">
        <f t="shared" si="12"/>
        <v/>
      </c>
      <c r="Q119" s="2668" t="str">
        <f t="shared" si="13"/>
        <v/>
      </c>
      <c r="R119" s="2669" t="str">
        <f t="shared" si="14"/>
        <v/>
      </c>
    </row>
    <row r="120" spans="1:18" ht="12" customHeight="1">
      <c r="A120" s="2581"/>
      <c r="B120" s="2582"/>
      <c r="C120" s="2583"/>
      <c r="D120" s="868"/>
      <c r="E120" s="2668"/>
      <c r="F120" s="2669"/>
      <c r="G120" s="2668"/>
      <c r="H120" s="2669"/>
      <c r="I120" s="869"/>
      <c r="J120" s="870"/>
      <c r="K120" s="2668"/>
      <c r="L120" s="2674" t="str">
        <f t="shared" si="10"/>
        <v/>
      </c>
      <c r="M120" s="2669" t="str">
        <f t="shared" si="11"/>
        <v/>
      </c>
      <c r="N120" s="868"/>
      <c r="O120" s="871"/>
      <c r="P120" s="869" t="str">
        <f t="shared" si="12"/>
        <v/>
      </c>
      <c r="Q120" s="2668" t="str">
        <f t="shared" si="13"/>
        <v/>
      </c>
      <c r="R120" s="2669" t="str">
        <f t="shared" si="14"/>
        <v/>
      </c>
    </row>
    <row r="121" spans="1:18" ht="12" customHeight="1">
      <c r="A121" s="2581"/>
      <c r="B121" s="2582"/>
      <c r="C121" s="2583"/>
      <c r="D121" s="868"/>
      <c r="E121" s="2668"/>
      <c r="F121" s="2669"/>
      <c r="G121" s="2668"/>
      <c r="H121" s="2669"/>
      <c r="I121" s="869"/>
      <c r="J121" s="870"/>
      <c r="K121" s="2668"/>
      <c r="L121" s="2674" t="str">
        <f t="shared" si="10"/>
        <v/>
      </c>
      <c r="M121" s="2669" t="str">
        <f t="shared" si="11"/>
        <v/>
      </c>
      <c r="N121" s="868"/>
      <c r="O121" s="871"/>
      <c r="P121" s="869" t="str">
        <f t="shared" si="12"/>
        <v/>
      </c>
      <c r="Q121" s="2668" t="str">
        <f t="shared" si="13"/>
        <v/>
      </c>
      <c r="R121" s="2669" t="str">
        <f t="shared" si="14"/>
        <v/>
      </c>
    </row>
    <row r="122" spans="1:18" ht="12" customHeight="1">
      <c r="A122" s="2581"/>
      <c r="B122" s="2582"/>
      <c r="C122" s="2583"/>
      <c r="D122" s="868"/>
      <c r="E122" s="2668"/>
      <c r="F122" s="2669"/>
      <c r="G122" s="2668"/>
      <c r="H122" s="2669"/>
      <c r="I122" s="869"/>
      <c r="J122" s="870"/>
      <c r="K122" s="2668"/>
      <c r="L122" s="2674" t="str">
        <f t="shared" si="10"/>
        <v/>
      </c>
      <c r="M122" s="2669" t="str">
        <f t="shared" si="11"/>
        <v/>
      </c>
      <c r="N122" s="868"/>
      <c r="O122" s="871"/>
      <c r="P122" s="869" t="str">
        <f t="shared" si="12"/>
        <v/>
      </c>
      <c r="Q122" s="2668" t="str">
        <f t="shared" si="13"/>
        <v/>
      </c>
      <c r="R122" s="2669" t="str">
        <f t="shared" si="14"/>
        <v/>
      </c>
    </row>
    <row r="123" spans="1:18" ht="12" customHeight="1">
      <c r="A123" s="2581"/>
      <c r="B123" s="2582"/>
      <c r="C123" s="2583"/>
      <c r="D123" s="868"/>
      <c r="E123" s="2668"/>
      <c r="F123" s="2669"/>
      <c r="G123" s="2668"/>
      <c r="H123" s="2669"/>
      <c r="I123" s="869"/>
      <c r="J123" s="870"/>
      <c r="K123" s="2668"/>
      <c r="L123" s="2674" t="str">
        <f t="shared" si="10"/>
        <v/>
      </c>
      <c r="M123" s="2669" t="str">
        <f t="shared" si="11"/>
        <v/>
      </c>
      <c r="N123" s="868"/>
      <c r="O123" s="871"/>
      <c r="P123" s="869" t="str">
        <f t="shared" si="12"/>
        <v/>
      </c>
      <c r="Q123" s="2668" t="str">
        <f t="shared" si="13"/>
        <v/>
      </c>
      <c r="R123" s="2669" t="str">
        <f t="shared" si="14"/>
        <v/>
      </c>
    </row>
    <row r="124" spans="1:18" ht="12" customHeight="1">
      <c r="A124" s="2581"/>
      <c r="B124" s="2582"/>
      <c r="C124" s="2583"/>
      <c r="D124" s="868"/>
      <c r="E124" s="2668"/>
      <c r="F124" s="2669"/>
      <c r="G124" s="2668"/>
      <c r="H124" s="2669"/>
      <c r="I124" s="869"/>
      <c r="J124" s="870"/>
      <c r="K124" s="2668"/>
      <c r="L124" s="2674" t="str">
        <f t="shared" si="10"/>
        <v/>
      </c>
      <c r="M124" s="2669" t="str">
        <f t="shared" si="11"/>
        <v/>
      </c>
      <c r="N124" s="868"/>
      <c r="O124" s="871"/>
      <c r="P124" s="869" t="str">
        <f t="shared" si="12"/>
        <v/>
      </c>
      <c r="Q124" s="2668" t="str">
        <f t="shared" si="13"/>
        <v/>
      </c>
      <c r="R124" s="2669" t="str">
        <f t="shared" si="14"/>
        <v/>
      </c>
    </row>
    <row r="125" spans="1:18" ht="12" customHeight="1">
      <c r="A125" s="2581"/>
      <c r="B125" s="2582"/>
      <c r="C125" s="2583"/>
      <c r="D125" s="868"/>
      <c r="E125" s="2668"/>
      <c r="F125" s="2669"/>
      <c r="G125" s="2668"/>
      <c r="H125" s="2669"/>
      <c r="I125" s="869"/>
      <c r="J125" s="870"/>
      <c r="K125" s="2668"/>
      <c r="L125" s="2674" t="str">
        <f t="shared" si="10"/>
        <v/>
      </c>
      <c r="M125" s="2669" t="str">
        <f t="shared" si="11"/>
        <v/>
      </c>
      <c r="N125" s="868"/>
      <c r="O125" s="871"/>
      <c r="P125" s="869" t="str">
        <f t="shared" si="12"/>
        <v/>
      </c>
      <c r="Q125" s="2668" t="str">
        <f t="shared" si="13"/>
        <v/>
      </c>
      <c r="R125" s="2669" t="str">
        <f t="shared" si="14"/>
        <v/>
      </c>
    </row>
    <row r="126" spans="1:18" ht="12" customHeight="1">
      <c r="A126" s="2581"/>
      <c r="B126" s="2582"/>
      <c r="C126" s="2583"/>
      <c r="D126" s="868"/>
      <c r="E126" s="2668"/>
      <c r="F126" s="2669"/>
      <c r="G126" s="2668"/>
      <c r="H126" s="2669"/>
      <c r="I126" s="869"/>
      <c r="J126" s="870"/>
      <c r="K126" s="2668"/>
      <c r="L126" s="2674" t="str">
        <f t="shared" si="10"/>
        <v/>
      </c>
      <c r="M126" s="2669" t="str">
        <f t="shared" si="11"/>
        <v/>
      </c>
      <c r="N126" s="868"/>
      <c r="O126" s="871"/>
      <c r="P126" s="869" t="str">
        <f t="shared" si="12"/>
        <v/>
      </c>
      <c r="Q126" s="2668" t="str">
        <f t="shared" si="13"/>
        <v/>
      </c>
      <c r="R126" s="2669" t="str">
        <f t="shared" si="14"/>
        <v/>
      </c>
    </row>
    <row r="127" spans="1:18" ht="12" customHeight="1">
      <c r="A127" s="2581"/>
      <c r="B127" s="2582"/>
      <c r="C127" s="2583"/>
      <c r="D127" s="868"/>
      <c r="E127" s="2668"/>
      <c r="F127" s="2669"/>
      <c r="G127" s="2668"/>
      <c r="H127" s="2669"/>
      <c r="I127" s="869"/>
      <c r="J127" s="870"/>
      <c r="K127" s="2668"/>
      <c r="L127" s="2674" t="str">
        <f t="shared" si="10"/>
        <v/>
      </c>
      <c r="M127" s="2669" t="str">
        <f t="shared" si="11"/>
        <v/>
      </c>
      <c r="N127" s="868"/>
      <c r="O127" s="871"/>
      <c r="P127" s="869" t="str">
        <f t="shared" si="12"/>
        <v/>
      </c>
      <c r="Q127" s="2668" t="str">
        <f t="shared" si="13"/>
        <v/>
      </c>
      <c r="R127" s="2669" t="str">
        <f t="shared" si="14"/>
        <v/>
      </c>
    </row>
    <row r="128" spans="1:18" ht="12" customHeight="1">
      <c r="A128" s="2581"/>
      <c r="B128" s="2582"/>
      <c r="C128" s="2583"/>
      <c r="D128" s="868"/>
      <c r="E128" s="2668"/>
      <c r="F128" s="2669"/>
      <c r="G128" s="2668"/>
      <c r="H128" s="2669"/>
      <c r="I128" s="869"/>
      <c r="J128" s="870"/>
      <c r="K128" s="2668"/>
      <c r="L128" s="2674" t="str">
        <f t="shared" si="10"/>
        <v/>
      </c>
      <c r="M128" s="2669" t="str">
        <f t="shared" si="11"/>
        <v/>
      </c>
      <c r="N128" s="868"/>
      <c r="O128" s="871"/>
      <c r="P128" s="869" t="str">
        <f t="shared" si="12"/>
        <v/>
      </c>
      <c r="Q128" s="2668" t="str">
        <f t="shared" si="13"/>
        <v/>
      </c>
      <c r="R128" s="2669" t="str">
        <f t="shared" si="14"/>
        <v/>
      </c>
    </row>
    <row r="129" spans="1:18" ht="12" customHeight="1">
      <c r="A129" s="2581"/>
      <c r="B129" s="2582"/>
      <c r="C129" s="2583"/>
      <c r="D129" s="868"/>
      <c r="E129" s="2668"/>
      <c r="F129" s="2669"/>
      <c r="G129" s="2668"/>
      <c r="H129" s="2669"/>
      <c r="I129" s="869"/>
      <c r="J129" s="870"/>
      <c r="K129" s="2668"/>
      <c r="L129" s="2674" t="str">
        <f t="shared" si="10"/>
        <v/>
      </c>
      <c r="M129" s="2669" t="str">
        <f t="shared" si="11"/>
        <v/>
      </c>
      <c r="N129" s="868"/>
      <c r="O129" s="871"/>
      <c r="P129" s="869" t="str">
        <f t="shared" si="12"/>
        <v/>
      </c>
      <c r="Q129" s="2668" t="str">
        <f t="shared" si="13"/>
        <v/>
      </c>
      <c r="R129" s="2669" t="str">
        <f t="shared" si="14"/>
        <v/>
      </c>
    </row>
    <row r="130" spans="1:18" ht="12" customHeight="1">
      <c r="A130" s="2584"/>
      <c r="B130" s="2585"/>
      <c r="C130" s="2586"/>
      <c r="D130" s="872"/>
      <c r="E130" s="2670"/>
      <c r="F130" s="2671"/>
      <c r="G130" s="2670"/>
      <c r="H130" s="2671"/>
      <c r="I130" s="873"/>
      <c r="J130" s="874"/>
      <c r="K130" s="2670"/>
      <c r="L130" s="2675" t="str">
        <f t="shared" si="10"/>
        <v/>
      </c>
      <c r="M130" s="2671" t="str">
        <f t="shared" si="11"/>
        <v/>
      </c>
      <c r="N130" s="872"/>
      <c r="O130" s="875"/>
      <c r="P130" s="873" t="str">
        <f t="shared" si="12"/>
        <v/>
      </c>
      <c r="Q130" s="2670" t="str">
        <f t="shared" si="13"/>
        <v/>
      </c>
      <c r="R130" s="2671" t="str">
        <f t="shared" si="14"/>
        <v/>
      </c>
    </row>
    <row r="131" spans="1:18" ht="12.6" customHeight="1">
      <c r="A131" s="850" t="s">
        <v>3161</v>
      </c>
      <c r="B131" s="876"/>
      <c r="C131" s="876"/>
      <c r="D131" s="877"/>
      <c r="E131" s="878">
        <f>SUM(E96:E130)</f>
        <v>0</v>
      </c>
      <c r="F131" s="878">
        <f>SUM(F96:F130)</f>
        <v>0</v>
      </c>
      <c r="G131" s="878">
        <f>SUM(G96:G130)</f>
        <v>0</v>
      </c>
      <c r="H131" s="878">
        <f>SUM(H96:H130)</f>
        <v>0</v>
      </c>
      <c r="I131" s="878">
        <f>SUM(I96:I130)</f>
        <v>0</v>
      </c>
      <c r="J131" s="879"/>
      <c r="K131" s="878">
        <f>SUM(K96:K130)</f>
        <v>0</v>
      </c>
      <c r="L131" s="880"/>
      <c r="M131" s="878">
        <f>SUM(M96:M130)</f>
        <v>0</v>
      </c>
      <c r="N131" s="877"/>
      <c r="O131" s="880"/>
      <c r="P131" s="878">
        <f>SUM(P96:P130)</f>
        <v>0</v>
      </c>
      <c r="Q131" s="878">
        <f>SUM(Q96:Q130)</f>
        <v>0</v>
      </c>
      <c r="R131" s="878">
        <f>SUM(R96:R130)</f>
        <v>0</v>
      </c>
    </row>
    <row r="132" spans="1:18" s="846" customFormat="1" ht="12.6" customHeight="1">
      <c r="A132" s="850" t="s">
        <v>3128</v>
      </c>
      <c r="C132" s="2587" t="str">
        <f>C4</f>
        <v>Acquisition</v>
      </c>
      <c r="D132" s="2588"/>
      <c r="E132" s="2588"/>
      <c r="F132" s="854"/>
      <c r="G132" s="855"/>
      <c r="H132" s="855"/>
      <c r="I132" s="855"/>
      <c r="L132" s="848"/>
      <c r="M132" s="848"/>
      <c r="N132" s="848"/>
    </row>
    <row r="133" spans="1:18" s="846" customFormat="1" ht="12.6" customHeight="1">
      <c r="A133" s="2625" t="s">
        <v>3129</v>
      </c>
      <c r="B133" s="2625"/>
      <c r="C133" s="2625"/>
      <c r="D133" s="2625"/>
      <c r="E133" s="2625"/>
      <c r="F133" s="2625"/>
      <c r="G133" s="2625"/>
      <c r="H133" s="2625"/>
      <c r="I133" s="2625"/>
      <c r="J133" s="2625"/>
      <c r="K133" s="2625"/>
      <c r="L133" s="2625"/>
      <c r="M133" s="2625"/>
      <c r="N133" s="2625"/>
      <c r="O133" s="2625"/>
      <c r="P133" s="2625"/>
      <c r="Q133" s="2625"/>
      <c r="R133" s="2625"/>
    </row>
    <row r="134" spans="1:18" s="856" customFormat="1" ht="12" customHeight="1">
      <c r="A134" s="2676"/>
      <c r="B134" s="858"/>
      <c r="C134" s="858"/>
      <c r="D134" s="859"/>
      <c r="E134" s="2689" t="s">
        <v>503</v>
      </c>
      <c r="F134" s="2690"/>
      <c r="G134" s="2690"/>
      <c r="H134" s="2691"/>
      <c r="I134" s="2678"/>
      <c r="J134" s="2679"/>
      <c r="K134" s="2687" t="s">
        <v>3135</v>
      </c>
      <c r="L134" s="2687"/>
      <c r="M134" s="2687"/>
      <c r="N134" s="859" t="s">
        <v>861</v>
      </c>
      <c r="O134" s="2677"/>
      <c r="P134" s="2677"/>
      <c r="Q134" s="2683" t="s">
        <v>3131</v>
      </c>
      <c r="R134" s="2684"/>
    </row>
    <row r="135" spans="1:18" s="856" customFormat="1" ht="12" customHeight="1">
      <c r="A135" s="857"/>
      <c r="B135" s="858"/>
      <c r="C135" s="858"/>
      <c r="D135" s="859" t="s">
        <v>496</v>
      </c>
      <c r="E135" s="2692" t="s">
        <v>3132</v>
      </c>
      <c r="F135" s="2693"/>
      <c r="G135" s="2692" t="s">
        <v>1902</v>
      </c>
      <c r="H135" s="2693"/>
      <c r="I135" s="859" t="s">
        <v>3135</v>
      </c>
      <c r="J135" s="2680" t="s">
        <v>3136</v>
      </c>
      <c r="K135" s="2688"/>
      <c r="L135" s="2688"/>
      <c r="M135" s="2688"/>
      <c r="N135" s="859" t="s">
        <v>3137</v>
      </c>
      <c r="O135" s="859" t="s">
        <v>3138</v>
      </c>
      <c r="P135" s="859" t="s">
        <v>3139</v>
      </c>
      <c r="Q135" s="2685"/>
      <c r="R135" s="2686"/>
    </row>
    <row r="136" spans="1:18" ht="11.45" customHeight="1">
      <c r="A136" s="857"/>
      <c r="B136" s="858"/>
      <c r="C136" s="858"/>
      <c r="D136" s="859" t="s">
        <v>3140</v>
      </c>
      <c r="E136" s="2681" t="s">
        <v>152</v>
      </c>
      <c r="F136" s="859" t="s">
        <v>3110</v>
      </c>
      <c r="G136" s="2681" t="s">
        <v>152</v>
      </c>
      <c r="H136" s="859" t="s">
        <v>3110</v>
      </c>
      <c r="I136" s="859" t="s">
        <v>3142</v>
      </c>
      <c r="J136" s="2680"/>
      <c r="K136" s="2672" t="s">
        <v>3143</v>
      </c>
      <c r="L136" s="2672" t="s">
        <v>3144</v>
      </c>
      <c r="M136" s="2672" t="s">
        <v>3145</v>
      </c>
      <c r="N136" s="859" t="s">
        <v>3146</v>
      </c>
      <c r="O136" s="859" t="s">
        <v>3147</v>
      </c>
      <c r="P136" s="859" t="s">
        <v>3147</v>
      </c>
      <c r="Q136" s="859" t="s">
        <v>3135</v>
      </c>
      <c r="R136" s="859" t="s">
        <v>3148</v>
      </c>
    </row>
    <row r="137" spans="1:18" ht="11.45" customHeight="1">
      <c r="A137" s="861" t="s">
        <v>3149</v>
      </c>
      <c r="B137" s="862"/>
      <c r="C137" s="862"/>
      <c r="D137" s="863" t="s">
        <v>3150</v>
      </c>
      <c r="E137" s="863" t="s">
        <v>3151</v>
      </c>
      <c r="F137" s="863" t="s">
        <v>3152</v>
      </c>
      <c r="G137" s="863" t="s">
        <v>3151</v>
      </c>
      <c r="H137" s="863" t="s">
        <v>3152</v>
      </c>
      <c r="I137" s="863" t="s">
        <v>3153</v>
      </c>
      <c r="J137" s="2682" t="s">
        <v>3154</v>
      </c>
      <c r="K137" s="863" t="s">
        <v>3153</v>
      </c>
      <c r="L137" s="863" t="s">
        <v>3155</v>
      </c>
      <c r="M137" s="863" t="s">
        <v>3153</v>
      </c>
      <c r="N137" s="863" t="s">
        <v>3156</v>
      </c>
      <c r="O137" s="863" t="s">
        <v>3157</v>
      </c>
      <c r="P137" s="863" t="s">
        <v>1793</v>
      </c>
      <c r="Q137" s="863" t="s">
        <v>1830</v>
      </c>
      <c r="R137" s="863" t="s">
        <v>1793</v>
      </c>
    </row>
    <row r="138" spans="1:18" ht="12" customHeight="1">
      <c r="A138" s="2598"/>
      <c r="B138" s="2599"/>
      <c r="C138" s="2600"/>
      <c r="D138" s="864"/>
      <c r="E138" s="2666"/>
      <c r="F138" s="2667"/>
      <c r="G138" s="2666"/>
      <c r="H138" s="2667"/>
      <c r="I138" s="865"/>
      <c r="J138" s="866"/>
      <c r="K138" s="2666"/>
      <c r="L138" s="2673" t="str">
        <f>IF(OR(E138="",F138=""),"",MIN(G138/E138,H138/F138))</f>
        <v/>
      </c>
      <c r="M138" s="2667" t="str">
        <f>IF(OR(E138="",F138=""),"",K138*L138)</f>
        <v/>
      </c>
      <c r="N138" s="864"/>
      <c r="O138" s="867"/>
      <c r="P138" s="865" t="str">
        <f>IF(OR(M138="",O138=""),"",M138*O138)</f>
        <v/>
      </c>
      <c r="Q138" s="2666" t="str">
        <f>IF(M138="","",ROUND(M138,0))</f>
        <v/>
      </c>
      <c r="R138" s="2667" t="str">
        <f>IF(P138="","",ROUND(P138,0))</f>
        <v/>
      </c>
    </row>
    <row r="139" spans="1:18" ht="12" customHeight="1">
      <c r="A139" s="2581"/>
      <c r="B139" s="2582"/>
      <c r="C139" s="2583"/>
      <c r="D139" s="868"/>
      <c r="E139" s="2668"/>
      <c r="F139" s="2669"/>
      <c r="G139" s="2668"/>
      <c r="H139" s="2669"/>
      <c r="I139" s="869"/>
      <c r="J139" s="870"/>
      <c r="K139" s="2668"/>
      <c r="L139" s="2674" t="str">
        <f t="shared" ref="L139:L170" si="15">IF(OR(E139="",F139=""),"",MIN(G139/E139,H139/F139))</f>
        <v/>
      </c>
      <c r="M139" s="2669" t="str">
        <f t="shared" ref="M139:M170" si="16">IF(OR(E139="",F139=""),"",K139*L139)</f>
        <v/>
      </c>
      <c r="N139" s="868"/>
      <c r="O139" s="871"/>
      <c r="P139" s="869" t="str">
        <f t="shared" ref="P139:P170" si="17">IF(OR(M139="",O139=""),"",M139*O139)</f>
        <v/>
      </c>
      <c r="Q139" s="2668" t="str">
        <f t="shared" ref="Q139:Q170" si="18">IF(M139="","",ROUND(M139,0))</f>
        <v/>
      </c>
      <c r="R139" s="2669" t="str">
        <f t="shared" ref="R139:R170" si="19">IF(P139="","",ROUND(P139,0))</f>
        <v/>
      </c>
    </row>
    <row r="140" spans="1:18" ht="12" customHeight="1">
      <c r="A140" s="2581"/>
      <c r="B140" s="2582"/>
      <c r="C140" s="2583"/>
      <c r="D140" s="868"/>
      <c r="E140" s="2668"/>
      <c r="F140" s="2669"/>
      <c r="G140" s="2668"/>
      <c r="H140" s="2669"/>
      <c r="I140" s="869"/>
      <c r="J140" s="870"/>
      <c r="K140" s="2668"/>
      <c r="L140" s="2674" t="str">
        <f t="shared" si="15"/>
        <v/>
      </c>
      <c r="M140" s="2669" t="str">
        <f t="shared" si="16"/>
        <v/>
      </c>
      <c r="N140" s="868"/>
      <c r="O140" s="871"/>
      <c r="P140" s="869" t="str">
        <f t="shared" si="17"/>
        <v/>
      </c>
      <c r="Q140" s="2668" t="str">
        <f t="shared" si="18"/>
        <v/>
      </c>
      <c r="R140" s="2669" t="str">
        <f t="shared" si="19"/>
        <v/>
      </c>
    </row>
    <row r="141" spans="1:18" ht="12" customHeight="1">
      <c r="A141" s="2581"/>
      <c r="B141" s="2582"/>
      <c r="C141" s="2583"/>
      <c r="D141" s="868"/>
      <c r="E141" s="2668"/>
      <c r="F141" s="2669"/>
      <c r="G141" s="2668"/>
      <c r="H141" s="2669"/>
      <c r="I141" s="869"/>
      <c r="J141" s="870"/>
      <c r="K141" s="2668"/>
      <c r="L141" s="2674" t="str">
        <f t="shared" si="15"/>
        <v/>
      </c>
      <c r="M141" s="2669" t="str">
        <f t="shared" si="16"/>
        <v/>
      </c>
      <c r="N141" s="868"/>
      <c r="O141" s="871"/>
      <c r="P141" s="869" t="str">
        <f t="shared" si="17"/>
        <v/>
      </c>
      <c r="Q141" s="2668" t="str">
        <f t="shared" si="18"/>
        <v/>
      </c>
      <c r="R141" s="2669" t="str">
        <f t="shared" si="19"/>
        <v/>
      </c>
    </row>
    <row r="142" spans="1:18" ht="12" customHeight="1">
      <c r="A142" s="2581"/>
      <c r="B142" s="2582"/>
      <c r="C142" s="2583"/>
      <c r="D142" s="868"/>
      <c r="E142" s="2668"/>
      <c r="F142" s="2669"/>
      <c r="G142" s="2668"/>
      <c r="H142" s="2669"/>
      <c r="I142" s="869"/>
      <c r="J142" s="870"/>
      <c r="K142" s="2668"/>
      <c r="L142" s="2674" t="str">
        <f t="shared" si="15"/>
        <v/>
      </c>
      <c r="M142" s="2669" t="str">
        <f t="shared" si="16"/>
        <v/>
      </c>
      <c r="N142" s="868"/>
      <c r="O142" s="871"/>
      <c r="P142" s="869" t="str">
        <f t="shared" si="17"/>
        <v/>
      </c>
      <c r="Q142" s="2668" t="str">
        <f t="shared" si="18"/>
        <v/>
      </c>
      <c r="R142" s="2669" t="str">
        <f t="shared" si="19"/>
        <v/>
      </c>
    </row>
    <row r="143" spans="1:18" ht="12" customHeight="1">
      <c r="A143" s="2581"/>
      <c r="B143" s="2582"/>
      <c r="C143" s="2583"/>
      <c r="D143" s="868"/>
      <c r="E143" s="2668"/>
      <c r="F143" s="2669"/>
      <c r="G143" s="2668"/>
      <c r="H143" s="2669"/>
      <c r="I143" s="869"/>
      <c r="J143" s="870"/>
      <c r="K143" s="2668"/>
      <c r="L143" s="2674" t="str">
        <f t="shared" si="15"/>
        <v/>
      </c>
      <c r="M143" s="2669" t="str">
        <f t="shared" si="16"/>
        <v/>
      </c>
      <c r="N143" s="868"/>
      <c r="O143" s="871"/>
      <c r="P143" s="869" t="str">
        <f t="shared" si="17"/>
        <v/>
      </c>
      <c r="Q143" s="2668" t="str">
        <f t="shared" si="18"/>
        <v/>
      </c>
      <c r="R143" s="2669" t="str">
        <f t="shared" si="19"/>
        <v/>
      </c>
    </row>
    <row r="144" spans="1:18" ht="12" customHeight="1">
      <c r="A144" s="2581"/>
      <c r="B144" s="2582"/>
      <c r="C144" s="2583"/>
      <c r="D144" s="868"/>
      <c r="E144" s="2668"/>
      <c r="F144" s="2669"/>
      <c r="G144" s="2668"/>
      <c r="H144" s="2669"/>
      <c r="I144" s="869"/>
      <c r="J144" s="870"/>
      <c r="K144" s="2668"/>
      <c r="L144" s="2674" t="str">
        <f t="shared" si="15"/>
        <v/>
      </c>
      <c r="M144" s="2669" t="str">
        <f t="shared" si="16"/>
        <v/>
      </c>
      <c r="N144" s="868"/>
      <c r="O144" s="871"/>
      <c r="P144" s="869" t="str">
        <f t="shared" si="17"/>
        <v/>
      </c>
      <c r="Q144" s="2668" t="str">
        <f t="shared" si="18"/>
        <v/>
      </c>
      <c r="R144" s="2669" t="str">
        <f t="shared" si="19"/>
        <v/>
      </c>
    </row>
    <row r="145" spans="1:18" ht="12" customHeight="1">
      <c r="A145" s="2581"/>
      <c r="B145" s="2582"/>
      <c r="C145" s="2583"/>
      <c r="D145" s="868"/>
      <c r="E145" s="2668"/>
      <c r="F145" s="2669"/>
      <c r="G145" s="2668"/>
      <c r="H145" s="2669"/>
      <c r="I145" s="869"/>
      <c r="J145" s="870"/>
      <c r="K145" s="2668"/>
      <c r="L145" s="2674" t="str">
        <f t="shared" si="15"/>
        <v/>
      </c>
      <c r="M145" s="2669" t="str">
        <f t="shared" si="16"/>
        <v/>
      </c>
      <c r="N145" s="868"/>
      <c r="O145" s="871"/>
      <c r="P145" s="869" t="str">
        <f t="shared" si="17"/>
        <v/>
      </c>
      <c r="Q145" s="2668" t="str">
        <f t="shared" si="18"/>
        <v/>
      </c>
      <c r="R145" s="2669" t="str">
        <f t="shared" si="19"/>
        <v/>
      </c>
    </row>
    <row r="146" spans="1:18" ht="12" customHeight="1">
      <c r="A146" s="2581"/>
      <c r="B146" s="2582"/>
      <c r="C146" s="2583"/>
      <c r="D146" s="868"/>
      <c r="E146" s="2668"/>
      <c r="F146" s="2669"/>
      <c r="G146" s="2668"/>
      <c r="H146" s="2669"/>
      <c r="I146" s="869"/>
      <c r="J146" s="870"/>
      <c r="K146" s="2668"/>
      <c r="L146" s="2674" t="str">
        <f t="shared" si="15"/>
        <v/>
      </c>
      <c r="M146" s="2669" t="str">
        <f t="shared" si="16"/>
        <v/>
      </c>
      <c r="N146" s="868"/>
      <c r="O146" s="871"/>
      <c r="P146" s="869" t="str">
        <f t="shared" si="17"/>
        <v/>
      </c>
      <c r="Q146" s="2668" t="str">
        <f t="shared" si="18"/>
        <v/>
      </c>
      <c r="R146" s="2669" t="str">
        <f t="shared" si="19"/>
        <v/>
      </c>
    </row>
    <row r="147" spans="1:18" ht="12" customHeight="1">
      <c r="A147" s="2581"/>
      <c r="B147" s="2582"/>
      <c r="C147" s="2583"/>
      <c r="D147" s="868"/>
      <c r="E147" s="2668"/>
      <c r="F147" s="2669"/>
      <c r="G147" s="2668"/>
      <c r="H147" s="2669"/>
      <c r="I147" s="869"/>
      <c r="J147" s="870"/>
      <c r="K147" s="2668"/>
      <c r="L147" s="2674" t="str">
        <f t="shared" si="15"/>
        <v/>
      </c>
      <c r="M147" s="2669" t="str">
        <f t="shared" si="16"/>
        <v/>
      </c>
      <c r="N147" s="868"/>
      <c r="O147" s="871"/>
      <c r="P147" s="869" t="str">
        <f t="shared" si="17"/>
        <v/>
      </c>
      <c r="Q147" s="2668" t="str">
        <f t="shared" si="18"/>
        <v/>
      </c>
      <c r="R147" s="2669" t="str">
        <f t="shared" si="19"/>
        <v/>
      </c>
    </row>
    <row r="148" spans="1:18" ht="12" customHeight="1">
      <c r="A148" s="2581"/>
      <c r="B148" s="2582"/>
      <c r="C148" s="2583"/>
      <c r="D148" s="868"/>
      <c r="E148" s="2668"/>
      <c r="F148" s="2669"/>
      <c r="G148" s="2668"/>
      <c r="H148" s="2669"/>
      <c r="I148" s="869"/>
      <c r="J148" s="870"/>
      <c r="K148" s="2668"/>
      <c r="L148" s="2674" t="str">
        <f t="shared" si="15"/>
        <v/>
      </c>
      <c r="M148" s="2669" t="str">
        <f t="shared" si="16"/>
        <v/>
      </c>
      <c r="N148" s="868"/>
      <c r="O148" s="871"/>
      <c r="P148" s="869" t="str">
        <f t="shared" si="17"/>
        <v/>
      </c>
      <c r="Q148" s="2668" t="str">
        <f t="shared" si="18"/>
        <v/>
      </c>
      <c r="R148" s="2669" t="str">
        <f t="shared" si="19"/>
        <v/>
      </c>
    </row>
    <row r="149" spans="1:18" ht="12" customHeight="1">
      <c r="A149" s="2581"/>
      <c r="B149" s="2582"/>
      <c r="C149" s="2583"/>
      <c r="D149" s="868"/>
      <c r="E149" s="2668"/>
      <c r="F149" s="2669"/>
      <c r="G149" s="2668"/>
      <c r="H149" s="2669"/>
      <c r="I149" s="869"/>
      <c r="J149" s="870"/>
      <c r="K149" s="2668"/>
      <c r="L149" s="2674" t="str">
        <f t="shared" si="15"/>
        <v/>
      </c>
      <c r="M149" s="2669" t="str">
        <f t="shared" si="16"/>
        <v/>
      </c>
      <c r="N149" s="868"/>
      <c r="O149" s="871"/>
      <c r="P149" s="869" t="str">
        <f t="shared" si="17"/>
        <v/>
      </c>
      <c r="Q149" s="2668" t="str">
        <f t="shared" si="18"/>
        <v/>
      </c>
      <c r="R149" s="2669" t="str">
        <f t="shared" si="19"/>
        <v/>
      </c>
    </row>
    <row r="150" spans="1:18" ht="12" customHeight="1">
      <c r="A150" s="2581"/>
      <c r="B150" s="2582"/>
      <c r="C150" s="2583"/>
      <c r="D150" s="868"/>
      <c r="E150" s="2668"/>
      <c r="F150" s="2669"/>
      <c r="G150" s="2668"/>
      <c r="H150" s="2669"/>
      <c r="I150" s="869"/>
      <c r="J150" s="870"/>
      <c r="K150" s="2668"/>
      <c r="L150" s="2674" t="str">
        <f t="shared" si="15"/>
        <v/>
      </c>
      <c r="M150" s="2669" t="str">
        <f t="shared" si="16"/>
        <v/>
      </c>
      <c r="N150" s="868"/>
      <c r="O150" s="871"/>
      <c r="P150" s="869" t="str">
        <f t="shared" si="17"/>
        <v/>
      </c>
      <c r="Q150" s="2668" t="str">
        <f t="shared" si="18"/>
        <v/>
      </c>
      <c r="R150" s="2669" t="str">
        <f t="shared" si="19"/>
        <v/>
      </c>
    </row>
    <row r="151" spans="1:18" ht="12" customHeight="1">
      <c r="A151" s="2581"/>
      <c r="B151" s="2582"/>
      <c r="C151" s="2583"/>
      <c r="D151" s="868"/>
      <c r="E151" s="2668"/>
      <c r="F151" s="2669"/>
      <c r="G151" s="2668"/>
      <c r="H151" s="2669"/>
      <c r="I151" s="869"/>
      <c r="J151" s="870"/>
      <c r="K151" s="2668"/>
      <c r="L151" s="2674" t="str">
        <f t="shared" si="15"/>
        <v/>
      </c>
      <c r="M151" s="2669" t="str">
        <f t="shared" si="16"/>
        <v/>
      </c>
      <c r="N151" s="868"/>
      <c r="O151" s="871"/>
      <c r="P151" s="869" t="str">
        <f t="shared" si="17"/>
        <v/>
      </c>
      <c r="Q151" s="2668" t="str">
        <f t="shared" si="18"/>
        <v/>
      </c>
      <c r="R151" s="2669" t="str">
        <f t="shared" si="19"/>
        <v/>
      </c>
    </row>
    <row r="152" spans="1:18" ht="12" customHeight="1">
      <c r="A152" s="2581"/>
      <c r="B152" s="2582"/>
      <c r="C152" s="2583"/>
      <c r="D152" s="868"/>
      <c r="E152" s="2668"/>
      <c r="F152" s="2669"/>
      <c r="G152" s="2668"/>
      <c r="H152" s="2669"/>
      <c r="I152" s="869"/>
      <c r="J152" s="870"/>
      <c r="K152" s="2668"/>
      <c r="L152" s="2674" t="str">
        <f t="shared" si="15"/>
        <v/>
      </c>
      <c r="M152" s="2669" t="str">
        <f t="shared" si="16"/>
        <v/>
      </c>
      <c r="N152" s="868"/>
      <c r="O152" s="871"/>
      <c r="P152" s="869" t="str">
        <f t="shared" si="17"/>
        <v/>
      </c>
      <c r="Q152" s="2668" t="str">
        <f t="shared" si="18"/>
        <v/>
      </c>
      <c r="R152" s="2669" t="str">
        <f t="shared" si="19"/>
        <v/>
      </c>
    </row>
    <row r="153" spans="1:18" ht="12" customHeight="1">
      <c r="A153" s="2581"/>
      <c r="B153" s="2582"/>
      <c r="C153" s="2583"/>
      <c r="D153" s="868"/>
      <c r="E153" s="2668"/>
      <c r="F153" s="2669"/>
      <c r="G153" s="2668"/>
      <c r="H153" s="2669"/>
      <c r="I153" s="869"/>
      <c r="J153" s="870"/>
      <c r="K153" s="2668"/>
      <c r="L153" s="2674" t="str">
        <f t="shared" si="15"/>
        <v/>
      </c>
      <c r="M153" s="2669" t="str">
        <f t="shared" si="16"/>
        <v/>
      </c>
      <c r="N153" s="868"/>
      <c r="O153" s="871"/>
      <c r="P153" s="869" t="str">
        <f t="shared" si="17"/>
        <v/>
      </c>
      <c r="Q153" s="2668" t="str">
        <f t="shared" si="18"/>
        <v/>
      </c>
      <c r="R153" s="2669" t="str">
        <f t="shared" si="19"/>
        <v/>
      </c>
    </row>
    <row r="154" spans="1:18" ht="12" customHeight="1">
      <c r="A154" s="2581"/>
      <c r="B154" s="2582"/>
      <c r="C154" s="2583"/>
      <c r="D154" s="868"/>
      <c r="E154" s="2668"/>
      <c r="F154" s="2669"/>
      <c r="G154" s="2668"/>
      <c r="H154" s="2669"/>
      <c r="I154" s="869"/>
      <c r="J154" s="870"/>
      <c r="K154" s="2668"/>
      <c r="L154" s="2674" t="str">
        <f t="shared" si="15"/>
        <v/>
      </c>
      <c r="M154" s="2669" t="str">
        <f t="shared" si="16"/>
        <v/>
      </c>
      <c r="N154" s="868"/>
      <c r="O154" s="871"/>
      <c r="P154" s="869" t="str">
        <f t="shared" si="17"/>
        <v/>
      </c>
      <c r="Q154" s="2668" t="str">
        <f t="shared" si="18"/>
        <v/>
      </c>
      <c r="R154" s="2669" t="str">
        <f t="shared" si="19"/>
        <v/>
      </c>
    </row>
    <row r="155" spans="1:18" ht="12" customHeight="1">
      <c r="A155" s="2581"/>
      <c r="B155" s="2582"/>
      <c r="C155" s="2583"/>
      <c r="D155" s="868"/>
      <c r="E155" s="2668"/>
      <c r="F155" s="2669"/>
      <c r="G155" s="2668"/>
      <c r="H155" s="2669"/>
      <c r="I155" s="869"/>
      <c r="J155" s="870"/>
      <c r="K155" s="2668"/>
      <c r="L155" s="2674" t="str">
        <f t="shared" si="15"/>
        <v/>
      </c>
      <c r="M155" s="2669" t="str">
        <f t="shared" si="16"/>
        <v/>
      </c>
      <c r="N155" s="868"/>
      <c r="O155" s="871"/>
      <c r="P155" s="869" t="str">
        <f t="shared" si="17"/>
        <v/>
      </c>
      <c r="Q155" s="2668" t="str">
        <f t="shared" si="18"/>
        <v/>
      </c>
      <c r="R155" s="2669" t="str">
        <f t="shared" si="19"/>
        <v/>
      </c>
    </row>
    <row r="156" spans="1:18" ht="12" customHeight="1">
      <c r="A156" s="2581"/>
      <c r="B156" s="2582"/>
      <c r="C156" s="2583"/>
      <c r="D156" s="868"/>
      <c r="E156" s="2668"/>
      <c r="F156" s="2669"/>
      <c r="G156" s="2668"/>
      <c r="H156" s="2669"/>
      <c r="I156" s="869"/>
      <c r="J156" s="870"/>
      <c r="K156" s="2668"/>
      <c r="L156" s="2674" t="str">
        <f t="shared" si="15"/>
        <v/>
      </c>
      <c r="M156" s="2669" t="str">
        <f t="shared" si="16"/>
        <v/>
      </c>
      <c r="N156" s="868"/>
      <c r="O156" s="871"/>
      <c r="P156" s="869" t="str">
        <f t="shared" si="17"/>
        <v/>
      </c>
      <c r="Q156" s="2668" t="str">
        <f t="shared" si="18"/>
        <v/>
      </c>
      <c r="R156" s="2669" t="str">
        <f t="shared" si="19"/>
        <v/>
      </c>
    </row>
    <row r="157" spans="1:18" ht="12" customHeight="1">
      <c r="A157" s="2581"/>
      <c r="B157" s="2582"/>
      <c r="C157" s="2583"/>
      <c r="D157" s="868"/>
      <c r="E157" s="2668"/>
      <c r="F157" s="2669"/>
      <c r="G157" s="2668"/>
      <c r="H157" s="2669"/>
      <c r="I157" s="869"/>
      <c r="J157" s="870"/>
      <c r="K157" s="2668"/>
      <c r="L157" s="2674" t="str">
        <f t="shared" si="15"/>
        <v/>
      </c>
      <c r="M157" s="2669" t="str">
        <f t="shared" si="16"/>
        <v/>
      </c>
      <c r="N157" s="868"/>
      <c r="O157" s="871"/>
      <c r="P157" s="869" t="str">
        <f t="shared" si="17"/>
        <v/>
      </c>
      <c r="Q157" s="2668" t="str">
        <f t="shared" si="18"/>
        <v/>
      </c>
      <c r="R157" s="2669" t="str">
        <f t="shared" si="19"/>
        <v/>
      </c>
    </row>
    <row r="158" spans="1:18" ht="12" customHeight="1">
      <c r="A158" s="2581"/>
      <c r="B158" s="2582"/>
      <c r="C158" s="2583"/>
      <c r="D158" s="868"/>
      <c r="E158" s="2668"/>
      <c r="F158" s="2669"/>
      <c r="G158" s="2668"/>
      <c r="H158" s="2669"/>
      <c r="I158" s="869"/>
      <c r="J158" s="870"/>
      <c r="K158" s="2668"/>
      <c r="L158" s="2674" t="str">
        <f t="shared" si="15"/>
        <v/>
      </c>
      <c r="M158" s="2669" t="str">
        <f t="shared" si="16"/>
        <v/>
      </c>
      <c r="N158" s="868"/>
      <c r="O158" s="871"/>
      <c r="P158" s="869" t="str">
        <f t="shared" si="17"/>
        <v/>
      </c>
      <c r="Q158" s="2668" t="str">
        <f t="shared" si="18"/>
        <v/>
      </c>
      <c r="R158" s="2669" t="str">
        <f t="shared" si="19"/>
        <v/>
      </c>
    </row>
    <row r="159" spans="1:18" ht="12" customHeight="1">
      <c r="A159" s="2581"/>
      <c r="B159" s="2582"/>
      <c r="C159" s="2583"/>
      <c r="D159" s="868"/>
      <c r="E159" s="2668"/>
      <c r="F159" s="2669"/>
      <c r="G159" s="2668"/>
      <c r="H159" s="2669"/>
      <c r="I159" s="869"/>
      <c r="J159" s="870"/>
      <c r="K159" s="2668"/>
      <c r="L159" s="2674" t="str">
        <f t="shared" si="15"/>
        <v/>
      </c>
      <c r="M159" s="2669" t="str">
        <f t="shared" si="16"/>
        <v/>
      </c>
      <c r="N159" s="868"/>
      <c r="O159" s="871"/>
      <c r="P159" s="869" t="str">
        <f t="shared" si="17"/>
        <v/>
      </c>
      <c r="Q159" s="2668" t="str">
        <f t="shared" si="18"/>
        <v/>
      </c>
      <c r="R159" s="2669" t="str">
        <f t="shared" si="19"/>
        <v/>
      </c>
    </row>
    <row r="160" spans="1:18" ht="12" customHeight="1">
      <c r="A160" s="2581"/>
      <c r="B160" s="2582"/>
      <c r="C160" s="2583"/>
      <c r="D160" s="868"/>
      <c r="E160" s="2668"/>
      <c r="F160" s="2669"/>
      <c r="G160" s="2668"/>
      <c r="H160" s="2669"/>
      <c r="I160" s="869"/>
      <c r="J160" s="870"/>
      <c r="K160" s="2668"/>
      <c r="L160" s="2674" t="str">
        <f t="shared" si="15"/>
        <v/>
      </c>
      <c r="M160" s="2669" t="str">
        <f t="shared" si="16"/>
        <v/>
      </c>
      <c r="N160" s="868"/>
      <c r="O160" s="871"/>
      <c r="P160" s="869" t="str">
        <f t="shared" si="17"/>
        <v/>
      </c>
      <c r="Q160" s="2668" t="str">
        <f t="shared" si="18"/>
        <v/>
      </c>
      <c r="R160" s="2669" t="str">
        <f t="shared" si="19"/>
        <v/>
      </c>
    </row>
    <row r="161" spans="1:22" ht="12" customHeight="1">
      <c r="A161" s="2581"/>
      <c r="B161" s="2582"/>
      <c r="C161" s="2583"/>
      <c r="D161" s="868"/>
      <c r="E161" s="2668"/>
      <c r="F161" s="2669"/>
      <c r="G161" s="2668"/>
      <c r="H161" s="2669"/>
      <c r="I161" s="869"/>
      <c r="J161" s="870"/>
      <c r="K161" s="2668"/>
      <c r="L161" s="2674" t="str">
        <f t="shared" si="15"/>
        <v/>
      </c>
      <c r="M161" s="2669" t="str">
        <f t="shared" si="16"/>
        <v/>
      </c>
      <c r="N161" s="868"/>
      <c r="O161" s="871"/>
      <c r="P161" s="869" t="str">
        <f t="shared" si="17"/>
        <v/>
      </c>
      <c r="Q161" s="2668" t="str">
        <f t="shared" si="18"/>
        <v/>
      </c>
      <c r="R161" s="2669" t="str">
        <f t="shared" si="19"/>
        <v/>
      </c>
    </row>
    <row r="162" spans="1:22" ht="12" customHeight="1">
      <c r="A162" s="2581"/>
      <c r="B162" s="2582"/>
      <c r="C162" s="2583"/>
      <c r="D162" s="868"/>
      <c r="E162" s="2668"/>
      <c r="F162" s="2669"/>
      <c r="G162" s="2668"/>
      <c r="H162" s="2669"/>
      <c r="I162" s="869"/>
      <c r="J162" s="870"/>
      <c r="K162" s="2668"/>
      <c r="L162" s="2674" t="str">
        <f t="shared" si="15"/>
        <v/>
      </c>
      <c r="M162" s="2669" t="str">
        <f t="shared" si="16"/>
        <v/>
      </c>
      <c r="N162" s="868"/>
      <c r="O162" s="871"/>
      <c r="P162" s="869" t="str">
        <f t="shared" si="17"/>
        <v/>
      </c>
      <c r="Q162" s="2668" t="str">
        <f t="shared" si="18"/>
        <v/>
      </c>
      <c r="R162" s="2669" t="str">
        <f t="shared" si="19"/>
        <v/>
      </c>
    </row>
    <row r="163" spans="1:22" ht="12" customHeight="1">
      <c r="A163" s="2581"/>
      <c r="B163" s="2582"/>
      <c r="C163" s="2583"/>
      <c r="D163" s="868"/>
      <c r="E163" s="2668"/>
      <c r="F163" s="2669"/>
      <c r="G163" s="2668"/>
      <c r="H163" s="2669"/>
      <c r="I163" s="869"/>
      <c r="J163" s="870"/>
      <c r="K163" s="2668"/>
      <c r="L163" s="2674" t="str">
        <f t="shared" si="15"/>
        <v/>
      </c>
      <c r="M163" s="2669" t="str">
        <f t="shared" si="16"/>
        <v/>
      </c>
      <c r="N163" s="868"/>
      <c r="O163" s="871"/>
      <c r="P163" s="869" t="str">
        <f t="shared" si="17"/>
        <v/>
      </c>
      <c r="Q163" s="2668" t="str">
        <f t="shared" si="18"/>
        <v/>
      </c>
      <c r="R163" s="2669" t="str">
        <f t="shared" si="19"/>
        <v/>
      </c>
    </row>
    <row r="164" spans="1:22" ht="12" customHeight="1">
      <c r="A164" s="2581"/>
      <c r="B164" s="2582"/>
      <c r="C164" s="2583"/>
      <c r="D164" s="868"/>
      <c r="E164" s="2668"/>
      <c r="F164" s="2669"/>
      <c r="G164" s="2668"/>
      <c r="H164" s="2669"/>
      <c r="I164" s="869"/>
      <c r="J164" s="870"/>
      <c r="K164" s="2668"/>
      <c r="L164" s="2674" t="str">
        <f t="shared" si="15"/>
        <v/>
      </c>
      <c r="M164" s="2669" t="str">
        <f t="shared" si="16"/>
        <v/>
      </c>
      <c r="N164" s="868"/>
      <c r="O164" s="871"/>
      <c r="P164" s="869" t="str">
        <f t="shared" si="17"/>
        <v/>
      </c>
      <c r="Q164" s="2668" t="str">
        <f t="shared" si="18"/>
        <v/>
      </c>
      <c r="R164" s="2669" t="str">
        <f t="shared" si="19"/>
        <v/>
      </c>
    </row>
    <row r="165" spans="1:22" ht="12" customHeight="1">
      <c r="A165" s="2581"/>
      <c r="B165" s="2582"/>
      <c r="C165" s="2583"/>
      <c r="D165" s="868"/>
      <c r="E165" s="2668"/>
      <c r="F165" s="2669"/>
      <c r="G165" s="2668"/>
      <c r="H165" s="2669"/>
      <c r="I165" s="869"/>
      <c r="J165" s="870"/>
      <c r="K165" s="2668"/>
      <c r="L165" s="2674" t="str">
        <f t="shared" si="15"/>
        <v/>
      </c>
      <c r="M165" s="2669" t="str">
        <f t="shared" si="16"/>
        <v/>
      </c>
      <c r="N165" s="868"/>
      <c r="O165" s="871"/>
      <c r="P165" s="869" t="str">
        <f t="shared" si="17"/>
        <v/>
      </c>
      <c r="Q165" s="2668" t="str">
        <f t="shared" si="18"/>
        <v/>
      </c>
      <c r="R165" s="2669" t="str">
        <f t="shared" si="19"/>
        <v/>
      </c>
    </row>
    <row r="166" spans="1:22" ht="12" customHeight="1">
      <c r="A166" s="2581"/>
      <c r="B166" s="2582"/>
      <c r="C166" s="2583"/>
      <c r="D166" s="868"/>
      <c r="E166" s="2668"/>
      <c r="F166" s="2669"/>
      <c r="G166" s="2668"/>
      <c r="H166" s="2669"/>
      <c r="I166" s="869"/>
      <c r="J166" s="870"/>
      <c r="K166" s="2668"/>
      <c r="L166" s="2674" t="str">
        <f t="shared" si="15"/>
        <v/>
      </c>
      <c r="M166" s="2669" t="str">
        <f t="shared" si="16"/>
        <v/>
      </c>
      <c r="N166" s="868"/>
      <c r="O166" s="871"/>
      <c r="P166" s="869" t="str">
        <f t="shared" si="17"/>
        <v/>
      </c>
      <c r="Q166" s="2668" t="str">
        <f t="shared" si="18"/>
        <v/>
      </c>
      <c r="R166" s="2669" t="str">
        <f>IF(P166="","",ROUND(P166,0))</f>
        <v/>
      </c>
    </row>
    <row r="167" spans="1:22" ht="12" customHeight="1">
      <c r="A167" s="2581"/>
      <c r="B167" s="2582"/>
      <c r="C167" s="2583"/>
      <c r="D167" s="868"/>
      <c r="E167" s="2668"/>
      <c r="F167" s="2669"/>
      <c r="G167" s="2668"/>
      <c r="H167" s="2669"/>
      <c r="I167" s="869"/>
      <c r="J167" s="870"/>
      <c r="K167" s="2668"/>
      <c r="L167" s="2674" t="str">
        <f t="shared" si="15"/>
        <v/>
      </c>
      <c r="M167" s="2669" t="str">
        <f t="shared" si="16"/>
        <v/>
      </c>
      <c r="N167" s="868"/>
      <c r="O167" s="871"/>
      <c r="P167" s="869" t="str">
        <f t="shared" si="17"/>
        <v/>
      </c>
      <c r="Q167" s="2668" t="str">
        <f t="shared" si="18"/>
        <v/>
      </c>
      <c r="R167" s="2669" t="str">
        <f t="shared" si="19"/>
        <v/>
      </c>
    </row>
    <row r="168" spans="1:22" ht="12" customHeight="1">
      <c r="A168" s="2581"/>
      <c r="B168" s="2582"/>
      <c r="C168" s="2583"/>
      <c r="D168" s="868"/>
      <c r="E168" s="2668"/>
      <c r="F168" s="2669"/>
      <c r="G168" s="2668"/>
      <c r="H168" s="2669"/>
      <c r="I168" s="869"/>
      <c r="J168" s="870"/>
      <c r="K168" s="2668"/>
      <c r="L168" s="2674" t="str">
        <f t="shared" si="15"/>
        <v/>
      </c>
      <c r="M168" s="2669" t="str">
        <f t="shared" si="16"/>
        <v/>
      </c>
      <c r="N168" s="868"/>
      <c r="O168" s="871"/>
      <c r="P168" s="869" t="str">
        <f t="shared" si="17"/>
        <v/>
      </c>
      <c r="Q168" s="2668" t="str">
        <f t="shared" si="18"/>
        <v/>
      </c>
      <c r="R168" s="2669" t="str">
        <f t="shared" si="19"/>
        <v/>
      </c>
    </row>
    <row r="169" spans="1:22" ht="12" customHeight="1">
      <c r="A169" s="2581"/>
      <c r="B169" s="2582"/>
      <c r="C169" s="2583"/>
      <c r="D169" s="868"/>
      <c r="E169" s="2668"/>
      <c r="F169" s="2669"/>
      <c r="G169" s="2668"/>
      <c r="H169" s="2669"/>
      <c r="I169" s="869"/>
      <c r="J169" s="870"/>
      <c r="K169" s="2668"/>
      <c r="L169" s="2674" t="str">
        <f t="shared" si="15"/>
        <v/>
      </c>
      <c r="M169" s="2669" t="str">
        <f t="shared" si="16"/>
        <v/>
      </c>
      <c r="N169" s="868"/>
      <c r="O169" s="871"/>
      <c r="P169" s="869" t="str">
        <f t="shared" si="17"/>
        <v/>
      </c>
      <c r="Q169" s="2668" t="str">
        <f t="shared" si="18"/>
        <v/>
      </c>
      <c r="R169" s="2669" t="str">
        <f t="shared" si="19"/>
        <v/>
      </c>
    </row>
    <row r="170" spans="1:22" ht="12" customHeight="1">
      <c r="A170" s="2584"/>
      <c r="B170" s="2585"/>
      <c r="C170" s="2586"/>
      <c r="D170" s="872"/>
      <c r="E170" s="2670"/>
      <c r="F170" s="2671"/>
      <c r="G170" s="2670"/>
      <c r="H170" s="2671"/>
      <c r="I170" s="873"/>
      <c r="J170" s="874"/>
      <c r="K170" s="2670"/>
      <c r="L170" s="2675" t="str">
        <f t="shared" si="15"/>
        <v/>
      </c>
      <c r="M170" s="2671" t="str">
        <f t="shared" si="16"/>
        <v/>
      </c>
      <c r="N170" s="872"/>
      <c r="O170" s="875"/>
      <c r="P170" s="873" t="str">
        <f t="shared" si="17"/>
        <v/>
      </c>
      <c r="Q170" s="2670" t="str">
        <f t="shared" si="18"/>
        <v/>
      </c>
      <c r="R170" s="2671" t="str">
        <f t="shared" si="19"/>
        <v/>
      </c>
    </row>
    <row r="171" spans="1:22" ht="12.6" customHeight="1">
      <c r="A171" s="850" t="s">
        <v>3162</v>
      </c>
      <c r="B171" s="876"/>
      <c r="C171" s="876"/>
      <c r="D171" s="877"/>
      <c r="E171" s="878">
        <f>SUM(E138:E170)</f>
        <v>0</v>
      </c>
      <c r="F171" s="878">
        <f>SUM(F138:F170)</f>
        <v>0</v>
      </c>
      <c r="G171" s="878">
        <f>SUM(G138:G170)</f>
        <v>0</v>
      </c>
      <c r="H171" s="878">
        <f>SUM(H138:H170)</f>
        <v>0</v>
      </c>
      <c r="I171" s="878">
        <f>SUM(I138:I170)</f>
        <v>0</v>
      </c>
      <c r="J171" s="879"/>
      <c r="K171" s="878">
        <f>SUM(K138:K170)</f>
        <v>0</v>
      </c>
      <c r="L171" s="880"/>
      <c r="M171" s="878">
        <f>SUM(M138:M170)</f>
        <v>0</v>
      </c>
      <c r="N171" s="877"/>
      <c r="O171" s="880"/>
      <c r="P171" s="878">
        <f>SUM(P138:P170)</f>
        <v>0</v>
      </c>
      <c r="Q171" s="878">
        <f>SUM(Q138:Q170)</f>
        <v>0</v>
      </c>
      <c r="R171" s="878">
        <f>SUM(R138:R170)</f>
        <v>0</v>
      </c>
      <c r="T171" s="882"/>
      <c r="U171" s="882"/>
      <c r="V171" s="882"/>
    </row>
    <row r="172" spans="1:22" ht="12.6" customHeight="1">
      <c r="B172" s="876"/>
      <c r="C172" s="876"/>
      <c r="D172" s="877"/>
      <c r="E172" s="883"/>
      <c r="F172" s="881"/>
      <c r="G172" s="881"/>
      <c r="H172" s="881"/>
      <c r="I172" s="881"/>
      <c r="J172" s="879"/>
      <c r="K172" s="881"/>
      <c r="L172" s="880"/>
      <c r="M172" s="881"/>
      <c r="N172" s="877"/>
      <c r="O172" s="880"/>
      <c r="P172" s="881"/>
      <c r="Q172" s="881"/>
      <c r="R172" s="881"/>
    </row>
    <row r="173" spans="1:22" ht="12.6" customHeight="1">
      <c r="A173" s="884" t="str">
        <f>"GRAND TOTALS - "&amp;C4</f>
        <v>GRAND TOTALS - Acquisition</v>
      </c>
      <c r="B173" s="876"/>
      <c r="C173" s="882"/>
      <c r="D173" s="877"/>
      <c r="E173" s="878">
        <f>E45+E89+E131+E171</f>
        <v>0</v>
      </c>
      <c r="F173" s="878">
        <f t="shared" ref="F173:M173" si="20">F45+F89+F131+F171</f>
        <v>0</v>
      </c>
      <c r="G173" s="878">
        <f t="shared" si="20"/>
        <v>0</v>
      </c>
      <c r="H173" s="878">
        <f t="shared" si="20"/>
        <v>0</v>
      </c>
      <c r="I173" s="878">
        <f t="shared" si="20"/>
        <v>0</v>
      </c>
      <c r="J173" s="879"/>
      <c r="K173" s="878">
        <f t="shared" si="20"/>
        <v>0</v>
      </c>
      <c r="L173" s="880"/>
      <c r="M173" s="878">
        <f t="shared" si="20"/>
        <v>0</v>
      </c>
      <c r="N173" s="877"/>
      <c r="O173" s="880"/>
      <c r="P173" s="878">
        <f t="shared" ref="P173:R173" si="21">P45+P89+P131+P171</f>
        <v>0</v>
      </c>
      <c r="Q173" s="878">
        <f t="shared" si="21"/>
        <v>0</v>
      </c>
      <c r="R173" s="878">
        <f t="shared" si="21"/>
        <v>0</v>
      </c>
    </row>
    <row r="174" spans="1:22" ht="3" customHeight="1">
      <c r="A174" s="876"/>
      <c r="B174" s="876"/>
      <c r="C174" s="876"/>
      <c r="D174" s="877"/>
      <c r="E174" s="883"/>
      <c r="F174" s="883"/>
      <c r="G174" s="881"/>
      <c r="H174" s="881"/>
      <c r="I174" s="881"/>
      <c r="J174" s="879"/>
      <c r="K174" s="881"/>
      <c r="L174" s="880"/>
      <c r="M174" s="881"/>
      <c r="N174" s="877"/>
      <c r="O174" s="880"/>
      <c r="P174" s="881"/>
      <c r="Q174" s="881"/>
      <c r="R174" s="881"/>
    </row>
    <row r="175" spans="1:22" ht="13.5" customHeight="1">
      <c r="A175" s="885" t="s">
        <v>687</v>
      </c>
      <c r="B175" s="885" t="s">
        <v>3158</v>
      </c>
      <c r="C175" s="886"/>
      <c r="D175" s="886"/>
      <c r="E175" s="886"/>
      <c r="F175" s="886"/>
      <c r="G175" s="886"/>
      <c r="H175" s="850" t="s">
        <v>3128</v>
      </c>
      <c r="I175" s="846"/>
      <c r="J175" s="2587" t="str">
        <f>C4</f>
        <v>Acquisition</v>
      </c>
      <c r="K175" s="2588"/>
      <c r="L175" s="2588"/>
    </row>
    <row r="176" spans="1:22" ht="3.75" customHeight="1">
      <c r="A176" s="886"/>
      <c r="B176" s="887"/>
      <c r="C176" s="886"/>
      <c r="D176" s="886"/>
      <c r="E176" s="886"/>
      <c r="F176" s="886"/>
      <c r="G176" s="886"/>
      <c r="H176" s="886"/>
      <c r="I176" s="886"/>
      <c r="J176" s="886"/>
      <c r="K176" s="886"/>
    </row>
    <row r="177" spans="1:18" ht="102" customHeight="1">
      <c r="A177" s="2589"/>
      <c r="B177" s="2590"/>
      <c r="C177" s="2590"/>
      <c r="D177" s="2590"/>
      <c r="E177" s="2590"/>
      <c r="F177" s="2590"/>
      <c r="G177" s="2590"/>
      <c r="H177" s="2590"/>
      <c r="I177" s="2590"/>
      <c r="J177" s="2590"/>
      <c r="K177" s="2590"/>
      <c r="L177" s="2590"/>
      <c r="M177" s="2590"/>
      <c r="N177" s="2590"/>
      <c r="O177" s="2590"/>
      <c r="P177" s="2590"/>
      <c r="Q177" s="2590"/>
      <c r="R177" s="2591"/>
    </row>
    <row r="178" spans="1:18" ht="102" customHeight="1">
      <c r="A178" s="2592"/>
      <c r="B178" s="2593"/>
      <c r="C178" s="2593"/>
      <c r="D178" s="2593"/>
      <c r="E178" s="2593"/>
      <c r="F178" s="2593"/>
      <c r="G178" s="2593"/>
      <c r="H178" s="2593"/>
      <c r="I178" s="2593"/>
      <c r="J178" s="2593"/>
      <c r="K178" s="2593"/>
      <c r="L178" s="2593"/>
      <c r="M178" s="2593"/>
      <c r="N178" s="2593"/>
      <c r="O178" s="2593"/>
      <c r="P178" s="2593"/>
      <c r="Q178" s="2593"/>
      <c r="R178" s="2594"/>
    </row>
    <row r="179" spans="1:18" ht="102" customHeight="1">
      <c r="A179" s="2592"/>
      <c r="B179" s="2593"/>
      <c r="C179" s="2593"/>
      <c r="D179" s="2593"/>
      <c r="E179" s="2593"/>
      <c r="F179" s="2593"/>
      <c r="G179" s="2593"/>
      <c r="H179" s="2593"/>
      <c r="I179" s="2593"/>
      <c r="J179" s="2593"/>
      <c r="K179" s="2593"/>
      <c r="L179" s="2593"/>
      <c r="M179" s="2593"/>
      <c r="N179" s="2593"/>
      <c r="O179" s="2593"/>
      <c r="P179" s="2593"/>
      <c r="Q179" s="2593"/>
      <c r="R179" s="2594"/>
    </row>
    <row r="180" spans="1:18" ht="102" customHeight="1">
      <c r="A180" s="2595"/>
      <c r="B180" s="2596"/>
      <c r="C180" s="2596"/>
      <c r="D180" s="2596"/>
      <c r="E180" s="2596"/>
      <c r="F180" s="2596"/>
      <c r="G180" s="2596"/>
      <c r="H180" s="2596"/>
      <c r="I180" s="2596"/>
      <c r="J180" s="2596"/>
      <c r="K180" s="2596"/>
      <c r="L180" s="2596"/>
      <c r="M180" s="2596"/>
      <c r="N180" s="2596"/>
      <c r="O180" s="2596"/>
      <c r="P180" s="2596"/>
      <c r="Q180" s="2596"/>
      <c r="R180" s="2597"/>
    </row>
  </sheetData>
  <sheetProtection algorithmName="SHA-512" hashValue="qsszpZouSOPgBLz8qoKpPQBLHA4U7vL53IOUl9LAinjr5axMP/Cq8jnu3mg/z3y86uf0HMjO+gCI23yQJUpARA==" saltValue="ElnOLwCYuPUeeJNqZF9HJg==" spinCount="100000" sheet="1" objects="1" scenarios="1" formatCells="0" formatColumns="0" formatRows="0"/>
  <mergeCells count="176">
    <mergeCell ref="A1:R1"/>
    <mergeCell ref="C3:D3"/>
    <mergeCell ref="I3:J3"/>
    <mergeCell ref="M3:R3"/>
    <mergeCell ref="C4:E4"/>
    <mergeCell ref="A5:R5"/>
    <mergeCell ref="A14:C14"/>
    <mergeCell ref="A15:C15"/>
    <mergeCell ref="A16:C16"/>
    <mergeCell ref="E6:H6"/>
    <mergeCell ref="K6:M7"/>
    <mergeCell ref="E7:F7"/>
    <mergeCell ref="G7:H7"/>
    <mergeCell ref="A17:C17"/>
    <mergeCell ref="A18:C18"/>
    <mergeCell ref="A19:C19"/>
    <mergeCell ref="Q6:R7"/>
    <mergeCell ref="J7:J8"/>
    <mergeCell ref="A10:C10"/>
    <mergeCell ref="A11:C11"/>
    <mergeCell ref="A12:C12"/>
    <mergeCell ref="A13:C13"/>
    <mergeCell ref="A26:C26"/>
    <mergeCell ref="A27:C27"/>
    <mergeCell ref="A28:C28"/>
    <mergeCell ref="A29:C29"/>
    <mergeCell ref="A30:C30"/>
    <mergeCell ref="A31:C31"/>
    <mergeCell ref="A20:C20"/>
    <mergeCell ref="A21:C21"/>
    <mergeCell ref="A22:C22"/>
    <mergeCell ref="A23:C23"/>
    <mergeCell ref="A24:C24"/>
    <mergeCell ref="A25:C25"/>
    <mergeCell ref="A38:C38"/>
    <mergeCell ref="A39:C39"/>
    <mergeCell ref="A40:C40"/>
    <mergeCell ref="A41:C41"/>
    <mergeCell ref="A42:C42"/>
    <mergeCell ref="A43:C43"/>
    <mergeCell ref="A32:C32"/>
    <mergeCell ref="A33:C33"/>
    <mergeCell ref="A34:C34"/>
    <mergeCell ref="A35:C35"/>
    <mergeCell ref="A36:C36"/>
    <mergeCell ref="A37:C37"/>
    <mergeCell ref="A55:C55"/>
    <mergeCell ref="A56:C56"/>
    <mergeCell ref="A57:C57"/>
    <mergeCell ref="A58:C58"/>
    <mergeCell ref="A59:C59"/>
    <mergeCell ref="A60:C60"/>
    <mergeCell ref="A44:C44"/>
    <mergeCell ref="C48:E48"/>
    <mergeCell ref="A49:R49"/>
    <mergeCell ref="Q50:R51"/>
    <mergeCell ref="J51:J52"/>
    <mergeCell ref="A54:C54"/>
    <mergeCell ref="E50:H50"/>
    <mergeCell ref="K50:M51"/>
    <mergeCell ref="E51:F51"/>
    <mergeCell ref="G51:H51"/>
    <mergeCell ref="A67:C67"/>
    <mergeCell ref="A68:C68"/>
    <mergeCell ref="A69:C69"/>
    <mergeCell ref="A70:C70"/>
    <mergeCell ref="A71:C71"/>
    <mergeCell ref="A72:C72"/>
    <mergeCell ref="A61:C61"/>
    <mergeCell ref="A62:C62"/>
    <mergeCell ref="A63:C63"/>
    <mergeCell ref="A64:C64"/>
    <mergeCell ref="A65:C65"/>
    <mergeCell ref="A66:C66"/>
    <mergeCell ref="A79:C79"/>
    <mergeCell ref="A80:C80"/>
    <mergeCell ref="A81:C81"/>
    <mergeCell ref="A82:C82"/>
    <mergeCell ref="A83:C83"/>
    <mergeCell ref="A84:C84"/>
    <mergeCell ref="A73:C73"/>
    <mergeCell ref="A74:C74"/>
    <mergeCell ref="A75:C75"/>
    <mergeCell ref="A76:C76"/>
    <mergeCell ref="A77:C77"/>
    <mergeCell ref="A78:C78"/>
    <mergeCell ref="Q92:R93"/>
    <mergeCell ref="J93:J94"/>
    <mergeCell ref="A96:C96"/>
    <mergeCell ref="A97:C97"/>
    <mergeCell ref="A98:C98"/>
    <mergeCell ref="A99:C99"/>
    <mergeCell ref="A85:C85"/>
    <mergeCell ref="A86:C86"/>
    <mergeCell ref="A87:C87"/>
    <mergeCell ref="A88:C88"/>
    <mergeCell ref="C90:E90"/>
    <mergeCell ref="A91:R91"/>
    <mergeCell ref="E92:H92"/>
    <mergeCell ref="K92:M93"/>
    <mergeCell ref="E93:F93"/>
    <mergeCell ref="G93:H93"/>
    <mergeCell ref="A106:C106"/>
    <mergeCell ref="A107:C107"/>
    <mergeCell ref="A108:C108"/>
    <mergeCell ref="A109:C109"/>
    <mergeCell ref="A110:C110"/>
    <mergeCell ref="A111:C111"/>
    <mergeCell ref="A100:C100"/>
    <mergeCell ref="A101:C101"/>
    <mergeCell ref="A102:C102"/>
    <mergeCell ref="A103:C103"/>
    <mergeCell ref="A104:C104"/>
    <mergeCell ref="A105:C105"/>
    <mergeCell ref="A118:C118"/>
    <mergeCell ref="A119:C119"/>
    <mergeCell ref="A120:C120"/>
    <mergeCell ref="A121:C121"/>
    <mergeCell ref="A122:C122"/>
    <mergeCell ref="A123:C123"/>
    <mergeCell ref="A112:C112"/>
    <mergeCell ref="A113:C113"/>
    <mergeCell ref="A114:C114"/>
    <mergeCell ref="A115:C115"/>
    <mergeCell ref="A116:C116"/>
    <mergeCell ref="A117:C117"/>
    <mergeCell ref="A130:C130"/>
    <mergeCell ref="C132:E132"/>
    <mergeCell ref="A133:R133"/>
    <mergeCell ref="Q134:R135"/>
    <mergeCell ref="J135:J136"/>
    <mergeCell ref="A138:C138"/>
    <mergeCell ref="A124:C124"/>
    <mergeCell ref="A125:C125"/>
    <mergeCell ref="A126:C126"/>
    <mergeCell ref="A127:C127"/>
    <mergeCell ref="A128:C128"/>
    <mergeCell ref="A129:C129"/>
    <mergeCell ref="E134:H134"/>
    <mergeCell ref="K134:M135"/>
    <mergeCell ref="E135:F135"/>
    <mergeCell ref="G135:H135"/>
    <mergeCell ref="A145:C145"/>
    <mergeCell ref="A146:C146"/>
    <mergeCell ref="A147:C147"/>
    <mergeCell ref="A148:C148"/>
    <mergeCell ref="A149:C149"/>
    <mergeCell ref="A150:C150"/>
    <mergeCell ref="A139:C139"/>
    <mergeCell ref="A140:C140"/>
    <mergeCell ref="A141:C141"/>
    <mergeCell ref="A142:C142"/>
    <mergeCell ref="A143:C143"/>
    <mergeCell ref="A144:C144"/>
    <mergeCell ref="A157:C157"/>
    <mergeCell ref="A158:C158"/>
    <mergeCell ref="A159:C159"/>
    <mergeCell ref="A160:C160"/>
    <mergeCell ref="A161:C161"/>
    <mergeCell ref="A162:C162"/>
    <mergeCell ref="A151:C151"/>
    <mergeCell ref="A152:C152"/>
    <mergeCell ref="A153:C153"/>
    <mergeCell ref="A154:C154"/>
    <mergeCell ref="A155:C155"/>
    <mergeCell ref="A156:C156"/>
    <mergeCell ref="A169:C169"/>
    <mergeCell ref="A170:C170"/>
    <mergeCell ref="J175:L175"/>
    <mergeCell ref="A177:R180"/>
    <mergeCell ref="A163:C163"/>
    <mergeCell ref="A164:C164"/>
    <mergeCell ref="A165:C165"/>
    <mergeCell ref="A166:C166"/>
    <mergeCell ref="A167:C167"/>
    <mergeCell ref="A168:C168"/>
  </mergeCells>
  <dataValidations count="1">
    <dataValidation type="list" allowBlank="1" showInputMessage="1" showErrorMessage="1" sqref="C4:E4" xr:uid="{00000000-0002-0000-1800-000000000000}">
      <formula1>"New Construction, Rehabilitation, Acquisition"</formula1>
    </dataValidation>
  </dataValidations>
  <printOptions horizontalCentered="1"/>
  <pageMargins left="0.25" right="0.25" top="0.5" bottom="0.4" header="0.25" footer="0.25"/>
  <pageSetup orientation="landscape" r:id="rId1"/>
  <headerFooter alignWithMargins="0">
    <oddHeader>&amp;LGeorgia Department of Community Affairs&amp;C&amp;"Arial,Bold" Cost Certification Application&amp;ROffice of Housing Finance</oddHeader>
    <oddFooter>&amp;L&amp;9OHF Cost Certification Application&amp;C&amp;9&amp;A&amp;R&amp;9&amp;P of &amp;N</oddFooter>
  </headerFooter>
  <rowBreaks count="4" manualBreakCount="4">
    <brk id="47" max="16383" man="1"/>
    <brk id="89" max="16383" man="1"/>
    <brk id="131" max="16383" man="1"/>
    <brk id="174"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V28"/>
  <sheetViews>
    <sheetView showGridLines="0" workbookViewId="0">
      <selection activeCell="Q3" sqref="Q3:R3"/>
    </sheetView>
  </sheetViews>
  <sheetFormatPr defaultColWidth="8.85546875" defaultRowHeight="11.25"/>
  <cols>
    <col min="1" max="1" width="10.28515625" style="860" customWidth="1"/>
    <col min="2" max="4" width="4" style="860" customWidth="1"/>
    <col min="5" max="5" width="7.28515625" style="860" customWidth="1"/>
    <col min="6" max="6" width="10.140625" style="860" customWidth="1"/>
    <col min="7" max="7" width="7.28515625" style="860" customWidth="1"/>
    <col min="8" max="8" width="10.140625" style="860" customWidth="1"/>
    <col min="9" max="9" width="9.7109375" style="860" customWidth="1"/>
    <col min="10" max="10" width="1.7109375" style="860" customWidth="1"/>
    <col min="11" max="11" width="10.140625" style="860" customWidth="1"/>
    <col min="12" max="12" width="1.7109375" style="860" customWidth="1"/>
    <col min="13" max="13" width="10.140625" style="860" customWidth="1"/>
    <col min="14" max="15" width="1.140625" style="860" customWidth="1"/>
    <col min="16" max="18" width="10.140625" style="860" customWidth="1"/>
    <col min="19" max="16384" width="8.85546875" style="860"/>
  </cols>
  <sheetData>
    <row r="1" spans="1:18" s="846" customFormat="1" ht="13.5" customHeight="1">
      <c r="A1" s="2601" t="s">
        <v>3165</v>
      </c>
      <c r="B1" s="2602"/>
      <c r="C1" s="2602"/>
      <c r="D1" s="2602"/>
      <c r="E1" s="2602"/>
      <c r="F1" s="2602"/>
      <c r="G1" s="2602"/>
      <c r="H1" s="2602"/>
      <c r="I1" s="2602"/>
      <c r="J1" s="2602"/>
      <c r="K1" s="2602"/>
      <c r="L1" s="2602"/>
      <c r="M1" s="2602"/>
      <c r="N1" s="2602"/>
      <c r="O1" s="2602"/>
      <c r="P1" s="2602"/>
      <c r="Q1" s="2602"/>
      <c r="R1" s="2602"/>
    </row>
    <row r="2" spans="1:18" s="849" customFormat="1" ht="9" customHeight="1">
      <c r="A2" s="847"/>
      <c r="B2" s="847"/>
      <c r="C2" s="847"/>
      <c r="D2" s="847"/>
      <c r="E2" s="847"/>
      <c r="F2" s="847"/>
      <c r="G2" s="847"/>
      <c r="H2" s="847"/>
      <c r="I2" s="847"/>
      <c r="J2" s="847"/>
      <c r="K2" s="847"/>
      <c r="L2" s="847"/>
      <c r="M2" s="848"/>
      <c r="N2" s="848"/>
    </row>
    <row r="3" spans="1:18" s="1469" customFormat="1" ht="15" customHeight="1">
      <c r="A3" s="1467" t="s">
        <v>3214</v>
      </c>
      <c r="B3" s="1467"/>
      <c r="C3" s="1467"/>
      <c r="D3" s="1467"/>
      <c r="E3" s="2619">
        <f>'Part II-Development Team'!Q5</f>
        <v>0</v>
      </c>
      <c r="F3" s="2619"/>
      <c r="G3" s="2619"/>
      <c r="H3" s="1467" t="s">
        <v>3115</v>
      </c>
      <c r="I3" s="2619" t="str">
        <f>'Part I-Project Information'!F24</f>
        <v>SB OHF Test Villas</v>
      </c>
      <c r="J3" s="2619"/>
      <c r="K3" s="2619"/>
      <c r="L3" s="2619"/>
      <c r="M3" s="2619"/>
      <c r="P3" s="1468" t="s">
        <v>3215</v>
      </c>
      <c r="Q3" s="2626" t="str">
        <f>'Part I-Project Information'!O4</f>
        <v>20##-###</v>
      </c>
      <c r="R3" s="2626"/>
    </row>
    <row r="4" spans="1:18" s="849" customFormat="1" ht="9" customHeight="1">
      <c r="A4" s="847"/>
      <c r="B4" s="847"/>
      <c r="C4" s="847"/>
      <c r="D4" s="847"/>
      <c r="E4" s="847"/>
      <c r="F4" s="847"/>
      <c r="G4" s="847"/>
      <c r="H4" s="847"/>
      <c r="I4" s="847"/>
      <c r="J4" s="847"/>
      <c r="K4" s="847"/>
      <c r="L4" s="847"/>
      <c r="M4" s="848"/>
      <c r="N4" s="848"/>
    </row>
    <row r="5" spans="1:18" s="855" customFormat="1" ht="12.6" customHeight="1">
      <c r="A5" s="2625" t="s">
        <v>3163</v>
      </c>
      <c r="B5" s="2625"/>
      <c r="C5" s="2625"/>
      <c r="D5" s="2625"/>
      <c r="E5" s="2625"/>
      <c r="F5" s="2625"/>
      <c r="G5" s="2625"/>
      <c r="H5" s="2625"/>
      <c r="I5" s="2625"/>
      <c r="J5" s="2625"/>
      <c r="K5" s="2625"/>
      <c r="L5" s="2625"/>
      <c r="M5" s="2625"/>
      <c r="N5" s="2625"/>
      <c r="O5" s="2625"/>
      <c r="P5" s="2625"/>
      <c r="Q5" s="2625"/>
      <c r="R5" s="2625"/>
    </row>
    <row r="6" spans="1:18" s="846" customFormat="1" ht="4.5" customHeight="1">
      <c r="A6" s="848"/>
      <c r="B6" s="848"/>
      <c r="C6" s="848"/>
      <c r="D6" s="848"/>
      <c r="E6" s="848"/>
      <c r="F6" s="848"/>
      <c r="G6" s="848"/>
      <c r="H6" s="848"/>
      <c r="I6" s="848"/>
      <c r="J6" s="848"/>
      <c r="K6" s="848"/>
      <c r="L6" s="848"/>
      <c r="M6" s="848"/>
      <c r="N6" s="848"/>
      <c r="O6" s="848"/>
      <c r="P6" s="848"/>
      <c r="Q6" s="848"/>
      <c r="R6" s="848"/>
    </row>
    <row r="7" spans="1:18" s="856" customFormat="1" ht="12.75" customHeight="1">
      <c r="A7" s="891"/>
      <c r="B7" s="892"/>
      <c r="C7" s="892"/>
      <c r="D7" s="893"/>
      <c r="E7" s="894" t="s">
        <v>503</v>
      </c>
      <c r="F7" s="894" t="s">
        <v>503</v>
      </c>
      <c r="G7" s="894" t="s">
        <v>477</v>
      </c>
      <c r="H7" s="895" t="s">
        <v>3130</v>
      </c>
      <c r="I7" s="896"/>
      <c r="J7" s="897"/>
      <c r="K7" s="896"/>
      <c r="L7" s="898"/>
      <c r="M7" s="899"/>
      <c r="N7" s="900"/>
      <c r="O7" s="901"/>
      <c r="P7" s="899"/>
      <c r="Q7" s="2620" t="s">
        <v>3167</v>
      </c>
      <c r="R7" s="2621"/>
    </row>
    <row r="8" spans="1:18" s="856" customFormat="1" ht="12.75" customHeight="1">
      <c r="A8" s="902"/>
      <c r="B8" s="892"/>
      <c r="C8" s="892"/>
      <c r="D8" s="893"/>
      <c r="E8" s="903" t="s">
        <v>152</v>
      </c>
      <c r="F8" s="904" t="s">
        <v>3132</v>
      </c>
      <c r="G8" s="904" t="s">
        <v>3133</v>
      </c>
      <c r="H8" s="905" t="s">
        <v>3134</v>
      </c>
      <c r="I8" s="904" t="s">
        <v>3135</v>
      </c>
      <c r="J8" s="2624"/>
      <c r="K8" s="904" t="s">
        <v>3135</v>
      </c>
      <c r="L8" s="904"/>
      <c r="M8" s="904" t="s">
        <v>3135</v>
      </c>
      <c r="N8" s="900"/>
      <c r="O8" s="893"/>
      <c r="P8" s="904" t="s">
        <v>3139</v>
      </c>
      <c r="Q8" s="2622"/>
      <c r="R8" s="2623"/>
    </row>
    <row r="9" spans="1:18" ht="12.75" customHeight="1">
      <c r="A9" s="902"/>
      <c r="B9" s="892"/>
      <c r="C9" s="892"/>
      <c r="D9" s="893"/>
      <c r="E9" s="904" t="s">
        <v>3132</v>
      </c>
      <c r="F9" s="905" t="s">
        <v>3110</v>
      </c>
      <c r="G9" s="904" t="s">
        <v>3134</v>
      </c>
      <c r="H9" s="905" t="s">
        <v>3110</v>
      </c>
      <c r="I9" s="904" t="s">
        <v>3142</v>
      </c>
      <c r="J9" s="2624"/>
      <c r="K9" s="904" t="s">
        <v>3143</v>
      </c>
      <c r="L9" s="904"/>
      <c r="M9" s="904" t="s">
        <v>3145</v>
      </c>
      <c r="N9" s="900"/>
      <c r="O9" s="893"/>
      <c r="P9" s="904" t="s">
        <v>3147</v>
      </c>
      <c r="Q9" s="904" t="s">
        <v>3135</v>
      </c>
      <c r="R9" s="904" t="s">
        <v>3148</v>
      </c>
    </row>
    <row r="10" spans="1:18" ht="12.75" customHeight="1">
      <c r="A10" s="906" t="s">
        <v>3164</v>
      </c>
      <c r="B10" s="907"/>
      <c r="C10" s="907"/>
      <c r="D10" s="908"/>
      <c r="E10" s="909" t="s">
        <v>3151</v>
      </c>
      <c r="F10" s="910" t="s">
        <v>3152</v>
      </c>
      <c r="G10" s="909" t="s">
        <v>3151</v>
      </c>
      <c r="H10" s="910" t="s">
        <v>3152</v>
      </c>
      <c r="I10" s="909" t="s">
        <v>3153</v>
      </c>
      <c r="J10" s="911"/>
      <c r="K10" s="909" t="s">
        <v>3153</v>
      </c>
      <c r="L10" s="904"/>
      <c r="M10" s="909" t="s">
        <v>3153</v>
      </c>
      <c r="N10" s="900"/>
      <c r="O10" s="893"/>
      <c r="P10" s="909" t="s">
        <v>1793</v>
      </c>
      <c r="Q10" s="909" t="s">
        <v>1830</v>
      </c>
      <c r="R10" s="909" t="s">
        <v>1793</v>
      </c>
    </row>
    <row r="11" spans="1:18" ht="1.9" customHeight="1">
      <c r="A11" s="876"/>
      <c r="B11" s="876"/>
      <c r="C11" s="876"/>
      <c r="D11" s="877"/>
      <c r="E11" s="881"/>
      <c r="F11" s="881"/>
      <c r="G11" s="881"/>
      <c r="H11" s="881"/>
      <c r="I11" s="881"/>
      <c r="J11" s="879"/>
      <c r="K11" s="881"/>
      <c r="L11" s="880"/>
      <c r="M11" s="881"/>
      <c r="N11" s="880"/>
      <c r="O11" s="877"/>
      <c r="P11" s="881"/>
      <c r="Q11" s="881"/>
      <c r="R11" s="881"/>
    </row>
    <row r="12" spans="1:18" s="846" customFormat="1" ht="3" customHeight="1">
      <c r="A12" s="850"/>
      <c r="C12" s="882"/>
      <c r="D12" s="882"/>
      <c r="E12" s="932"/>
      <c r="F12" s="933"/>
      <c r="G12" s="934"/>
      <c r="H12" s="934"/>
      <c r="I12" s="934"/>
      <c r="J12" s="934"/>
      <c r="K12" s="934"/>
      <c r="L12" s="935"/>
      <c r="M12" s="935"/>
      <c r="N12" s="942"/>
      <c r="O12" s="943"/>
      <c r="P12" s="934"/>
      <c r="Q12" s="934"/>
      <c r="R12" s="934"/>
    </row>
    <row r="13" spans="1:18" ht="18" customHeight="1">
      <c r="A13" s="888" t="str">
        <f>'Part VIII-Bldg Credit Alloc NC'!$C$4</f>
        <v>New Construction</v>
      </c>
      <c r="B13" s="889"/>
      <c r="C13" s="889"/>
      <c r="D13" s="890"/>
      <c r="E13" s="936">
        <f>'Part VIII-Bldg Credit Alloc NC'!E$173</f>
        <v>0</v>
      </c>
      <c r="F13" s="936">
        <f>'Part VIII-Bldg Credit Alloc NC'!F$173</f>
        <v>0</v>
      </c>
      <c r="G13" s="936">
        <f>'Part VIII-Bldg Credit Alloc NC'!G$173</f>
        <v>0</v>
      </c>
      <c r="H13" s="936">
        <f>'Part VIII-Bldg Credit Alloc NC'!H$173</f>
        <v>0</v>
      </c>
      <c r="I13" s="936">
        <f>'Part VIII-Bldg Credit Alloc NC'!I$173</f>
        <v>0</v>
      </c>
      <c r="J13" s="937"/>
      <c r="K13" s="936">
        <f>'Part VIII-Bldg Credit Alloc NC'!K$173</f>
        <v>0</v>
      </c>
      <c r="L13" s="938"/>
      <c r="M13" s="936">
        <f>'Part VIII-Bldg Credit Alloc NC'!M$173</f>
        <v>0</v>
      </c>
      <c r="N13" s="944"/>
      <c r="O13" s="945"/>
      <c r="P13" s="936">
        <f>'Part VIII-Bldg Credit Alloc NC'!P$173</f>
        <v>0</v>
      </c>
      <c r="Q13" s="936">
        <f>'Part VIII-Bldg Credit Alloc NC'!Q$173</f>
        <v>0</v>
      </c>
      <c r="R13" s="936">
        <f>'Part VIII-Bldg Credit Alloc NC'!R$173</f>
        <v>0</v>
      </c>
    </row>
    <row r="14" spans="1:18" s="846" customFormat="1" ht="3" customHeight="1">
      <c r="A14" s="888"/>
      <c r="C14" s="882"/>
      <c r="D14" s="882"/>
      <c r="E14" s="932"/>
      <c r="F14" s="933"/>
      <c r="G14" s="934"/>
      <c r="H14" s="934"/>
      <c r="I14" s="934"/>
      <c r="J14" s="934"/>
      <c r="K14" s="934"/>
      <c r="L14" s="935"/>
      <c r="M14" s="935"/>
      <c r="N14" s="942"/>
      <c r="O14" s="943"/>
      <c r="P14" s="934"/>
      <c r="Q14" s="934"/>
      <c r="R14" s="934"/>
    </row>
    <row r="15" spans="1:18" ht="18" customHeight="1">
      <c r="A15" s="888" t="str">
        <f>'Part VIII-Bldg Credit Alloc SR'!$C$4</f>
        <v>Rehabilitation</v>
      </c>
      <c r="B15" s="889"/>
      <c r="C15" s="889"/>
      <c r="D15" s="890"/>
      <c r="E15" s="936">
        <f>'Part VIII-Bldg Credit Alloc SR'!E$173</f>
        <v>0</v>
      </c>
      <c r="F15" s="936">
        <f>'Part VIII-Bldg Credit Alloc SR'!F$173</f>
        <v>0</v>
      </c>
      <c r="G15" s="936">
        <f>'Part VIII-Bldg Credit Alloc SR'!G$173</f>
        <v>0</v>
      </c>
      <c r="H15" s="936">
        <f>'Part VIII-Bldg Credit Alloc SR'!H$173</f>
        <v>0</v>
      </c>
      <c r="I15" s="936">
        <f>'Part VIII-Bldg Credit Alloc SR'!I$173</f>
        <v>0</v>
      </c>
      <c r="J15" s="937"/>
      <c r="K15" s="936">
        <f>'Part VIII-Bldg Credit Alloc SR'!K$173</f>
        <v>0</v>
      </c>
      <c r="L15" s="938"/>
      <c r="M15" s="936">
        <f>'Part VIII-Bldg Credit Alloc SR'!M$173</f>
        <v>0</v>
      </c>
      <c r="N15" s="944"/>
      <c r="O15" s="945"/>
      <c r="P15" s="936">
        <f>'Part VIII-Bldg Credit Alloc SR'!P$173</f>
        <v>0</v>
      </c>
      <c r="Q15" s="936">
        <f>'Part VIII-Bldg Credit Alloc SR'!Q$173</f>
        <v>0</v>
      </c>
      <c r="R15" s="936">
        <f>'Part VIII-Bldg Credit Alloc SR'!R$173</f>
        <v>0</v>
      </c>
    </row>
    <row r="16" spans="1:18" s="846" customFormat="1" ht="3" customHeight="1">
      <c r="A16" s="888"/>
      <c r="C16" s="882"/>
      <c r="D16" s="882"/>
      <c r="E16" s="932"/>
      <c r="F16" s="933"/>
      <c r="G16" s="934"/>
      <c r="H16" s="934"/>
      <c r="I16" s="934"/>
      <c r="J16" s="934"/>
      <c r="K16" s="934"/>
      <c r="L16" s="935"/>
      <c r="M16" s="935"/>
      <c r="N16" s="942"/>
      <c r="O16" s="943"/>
      <c r="P16" s="934"/>
      <c r="Q16" s="934"/>
      <c r="R16" s="934"/>
    </row>
    <row r="17" spans="1:22" ht="18" customHeight="1">
      <c r="A17" s="888" t="str">
        <f>'Part VIII-Bldg Credit Alloc AR'!$C$4</f>
        <v>Acquisition</v>
      </c>
      <c r="B17" s="889"/>
      <c r="C17" s="889"/>
      <c r="D17" s="890"/>
      <c r="E17" s="936">
        <f>'Part VIII-Bldg Credit Alloc AR'!E$173</f>
        <v>0</v>
      </c>
      <c r="F17" s="936">
        <f>'Part VIII-Bldg Credit Alloc AR'!F$173</f>
        <v>0</v>
      </c>
      <c r="G17" s="936">
        <f>'Part VIII-Bldg Credit Alloc AR'!G$173</f>
        <v>0</v>
      </c>
      <c r="H17" s="936">
        <f>'Part VIII-Bldg Credit Alloc AR'!H$173</f>
        <v>0</v>
      </c>
      <c r="I17" s="936">
        <f>'Part VIII-Bldg Credit Alloc AR'!I$173</f>
        <v>0</v>
      </c>
      <c r="J17" s="937"/>
      <c r="K17" s="936">
        <f>'Part VIII-Bldg Credit Alloc AR'!K$173</f>
        <v>0</v>
      </c>
      <c r="L17" s="938"/>
      <c r="M17" s="936">
        <f>'Part VIII-Bldg Credit Alloc AR'!M$173</f>
        <v>0</v>
      </c>
      <c r="N17" s="944"/>
      <c r="O17" s="945"/>
      <c r="P17" s="936">
        <f>'Part VIII-Bldg Credit Alloc AR'!P$173</f>
        <v>0</v>
      </c>
      <c r="Q17" s="936">
        <f>'Part VIII-Bldg Credit Alloc AR'!Q$173</f>
        <v>0</v>
      </c>
      <c r="R17" s="936">
        <f>'Part VIII-Bldg Credit Alloc AR'!R$173</f>
        <v>0</v>
      </c>
      <c r="T17" s="882"/>
      <c r="U17" s="882"/>
      <c r="V17" s="882"/>
    </row>
    <row r="18" spans="1:22" ht="3" customHeight="1">
      <c r="B18" s="876"/>
      <c r="C18" s="876"/>
      <c r="D18" s="877"/>
      <c r="E18" s="939"/>
      <c r="F18" s="939"/>
      <c r="G18" s="939"/>
      <c r="H18" s="939"/>
      <c r="I18" s="939"/>
      <c r="J18" s="940"/>
      <c r="K18" s="939"/>
      <c r="L18" s="941"/>
      <c r="M18" s="939"/>
      <c r="N18" s="946"/>
      <c r="O18" s="947"/>
      <c r="P18" s="939"/>
      <c r="Q18" s="939"/>
      <c r="R18" s="939"/>
    </row>
    <row r="19" spans="1:22" s="957" customFormat="1" ht="18" customHeight="1">
      <c r="A19" s="949" t="s">
        <v>3166</v>
      </c>
      <c r="B19" s="950"/>
      <c r="C19" s="951"/>
      <c r="D19" s="952"/>
      <c r="E19" s="1477"/>
      <c r="F19" s="1477"/>
      <c r="G19" s="1477"/>
      <c r="H19" s="1478"/>
      <c r="I19" s="953">
        <f t="shared" ref="I19:M19" si="0">SUM(I13:I17)</f>
        <v>0</v>
      </c>
      <c r="J19" s="954"/>
      <c r="K19" s="953">
        <f t="shared" si="0"/>
        <v>0</v>
      </c>
      <c r="L19" s="955"/>
      <c r="M19" s="953">
        <f t="shared" si="0"/>
        <v>0</v>
      </c>
      <c r="N19" s="956"/>
      <c r="O19" s="955"/>
      <c r="P19" s="953">
        <f t="shared" ref="P19:R19" si="1">SUM(P13:P17)</f>
        <v>0</v>
      </c>
      <c r="Q19" s="953">
        <f t="shared" si="1"/>
        <v>0</v>
      </c>
      <c r="R19" s="953">
        <f t="shared" si="1"/>
        <v>0</v>
      </c>
    </row>
    <row r="20" spans="1:22" ht="6" customHeight="1">
      <c r="A20" s="889"/>
      <c r="B20" s="876"/>
      <c r="C20" s="876"/>
      <c r="D20" s="877"/>
      <c r="E20" s="881"/>
      <c r="F20" s="881"/>
      <c r="G20" s="881"/>
      <c r="H20" s="881"/>
      <c r="I20" s="881"/>
      <c r="J20" s="879"/>
      <c r="K20" s="881"/>
      <c r="L20" s="880"/>
      <c r="M20" s="881"/>
      <c r="N20" s="877"/>
      <c r="O20" s="880"/>
      <c r="P20" s="881"/>
      <c r="Q20" s="881"/>
      <c r="R20" s="881"/>
    </row>
    <row r="21" spans="1:22" s="948" customFormat="1" ht="12" customHeight="1">
      <c r="A21" s="1479" t="s">
        <v>3694</v>
      </c>
      <c r="B21" s="1479"/>
      <c r="C21" s="1479"/>
      <c r="D21" s="1480"/>
      <c r="E21" s="1481">
        <f>'Part VI-Revenues &amp; Expenses'!O65</f>
        <v>0</v>
      </c>
      <c r="F21" s="1481">
        <f>'Part VI-Revenues &amp; Expenses'!O165</f>
        <v>0</v>
      </c>
      <c r="G21" s="1481">
        <f>'Part VI-Revenues &amp; Expenses'!O63</f>
        <v>0</v>
      </c>
      <c r="H21" s="1481">
        <f>'Part VI-Revenues &amp; Expenses'!O163</f>
        <v>0</v>
      </c>
      <c r="I21" s="881"/>
      <c r="J21" s="879"/>
      <c r="K21" s="881"/>
      <c r="L21" s="880"/>
      <c r="M21" s="881"/>
      <c r="N21" s="877"/>
      <c r="O21" s="880"/>
      <c r="P21" s="881"/>
      <c r="Q21" s="881"/>
      <c r="R21" s="881"/>
    </row>
    <row r="22" spans="1:22" ht="12" customHeight="1">
      <c r="A22" s="889"/>
      <c r="B22" s="876"/>
      <c r="C22" s="876"/>
      <c r="D22" s="877"/>
      <c r="E22" s="881"/>
      <c r="F22" s="881"/>
      <c r="G22" s="881"/>
      <c r="H22" s="881"/>
      <c r="I22" s="881"/>
      <c r="J22" s="879"/>
      <c r="K22" s="881"/>
      <c r="L22" s="880"/>
      <c r="M22" s="881"/>
      <c r="N22" s="877"/>
      <c r="O22" s="880"/>
      <c r="P22" s="881"/>
      <c r="Q22" s="881"/>
      <c r="R22" s="881"/>
    </row>
    <row r="23" spans="1:22" ht="13.5" customHeight="1">
      <c r="A23" s="885" t="s">
        <v>687</v>
      </c>
      <c r="B23" s="885" t="s">
        <v>3158</v>
      </c>
      <c r="C23" s="886"/>
      <c r="D23" s="886"/>
      <c r="E23" s="886"/>
      <c r="F23" s="886"/>
      <c r="G23" s="886"/>
      <c r="H23" s="850"/>
      <c r="I23" s="846"/>
      <c r="J23" s="2588"/>
      <c r="K23" s="2588"/>
      <c r="L23" s="2588"/>
    </row>
    <row r="24" spans="1:22" ht="3.75" customHeight="1">
      <c r="A24" s="886"/>
      <c r="B24" s="887"/>
      <c r="C24" s="886"/>
      <c r="D24" s="886"/>
      <c r="E24" s="886"/>
      <c r="F24" s="886"/>
      <c r="G24" s="886"/>
      <c r="H24" s="886"/>
      <c r="I24" s="886"/>
      <c r="J24" s="886"/>
      <c r="K24" s="886"/>
    </row>
    <row r="25" spans="1:22" ht="69" customHeight="1">
      <c r="A25" s="2610"/>
      <c r="B25" s="2611"/>
      <c r="C25" s="2611"/>
      <c r="D25" s="2611"/>
      <c r="E25" s="2611"/>
      <c r="F25" s="2611"/>
      <c r="G25" s="2611"/>
      <c r="H25" s="2611"/>
      <c r="I25" s="2611"/>
      <c r="J25" s="2611"/>
      <c r="K25" s="2611"/>
      <c r="L25" s="2611"/>
      <c r="M25" s="2611"/>
      <c r="N25" s="2611"/>
      <c r="O25" s="2611"/>
      <c r="P25" s="2611"/>
      <c r="Q25" s="2611"/>
      <c r="R25" s="2612"/>
    </row>
    <row r="26" spans="1:22" ht="69" customHeight="1">
      <c r="A26" s="2613"/>
      <c r="B26" s="2614"/>
      <c r="C26" s="2614"/>
      <c r="D26" s="2614"/>
      <c r="E26" s="2614"/>
      <c r="F26" s="2614"/>
      <c r="G26" s="2614"/>
      <c r="H26" s="2614"/>
      <c r="I26" s="2614"/>
      <c r="J26" s="2614"/>
      <c r="K26" s="2614"/>
      <c r="L26" s="2614"/>
      <c r="M26" s="2614"/>
      <c r="N26" s="2614"/>
      <c r="O26" s="2614"/>
      <c r="P26" s="2614"/>
      <c r="Q26" s="2614"/>
      <c r="R26" s="2615"/>
    </row>
    <row r="27" spans="1:22" ht="69" customHeight="1">
      <c r="A27" s="2613"/>
      <c r="B27" s="2614"/>
      <c r="C27" s="2614"/>
      <c r="D27" s="2614"/>
      <c r="E27" s="2614"/>
      <c r="F27" s="2614"/>
      <c r="G27" s="2614"/>
      <c r="H27" s="2614"/>
      <c r="I27" s="2614"/>
      <c r="J27" s="2614"/>
      <c r="K27" s="2614"/>
      <c r="L27" s="2614"/>
      <c r="M27" s="2614"/>
      <c r="N27" s="2614"/>
      <c r="O27" s="2614"/>
      <c r="P27" s="2614"/>
      <c r="Q27" s="2614"/>
      <c r="R27" s="2615"/>
    </row>
    <row r="28" spans="1:22" ht="69" customHeight="1">
      <c r="A28" s="2616"/>
      <c r="B28" s="2617"/>
      <c r="C28" s="2617"/>
      <c r="D28" s="2617"/>
      <c r="E28" s="2617"/>
      <c r="F28" s="2617"/>
      <c r="G28" s="2617"/>
      <c r="H28" s="2617"/>
      <c r="I28" s="2617"/>
      <c r="J28" s="2617"/>
      <c r="K28" s="2617"/>
      <c r="L28" s="2617"/>
      <c r="M28" s="2617"/>
      <c r="N28" s="2617"/>
      <c r="O28" s="2617"/>
      <c r="P28" s="2617"/>
      <c r="Q28" s="2617"/>
      <c r="R28" s="2618"/>
    </row>
  </sheetData>
  <sheetProtection algorithmName="SHA-512" hashValue="Q9p9Y+jcO8FmMMvrBQYMivIBn0446T4Yw+AQJyqth03UdjXhXTJmbsDTWYhtqG5R7iriEyZAVZp32/4jjAu5fw==" saltValue="oYOvEcyumuP4QYFxIqua+g==" spinCount="100000" sheet="1" objects="1" scenarios="1" formatColumns="0" formatRows="0"/>
  <mergeCells count="9">
    <mergeCell ref="A25:R28"/>
    <mergeCell ref="I3:M3"/>
    <mergeCell ref="Q7:R8"/>
    <mergeCell ref="J8:J9"/>
    <mergeCell ref="A1:R1"/>
    <mergeCell ref="A5:R5"/>
    <mergeCell ref="E3:G3"/>
    <mergeCell ref="Q3:R3"/>
    <mergeCell ref="J23:L23"/>
  </mergeCells>
  <printOptions horizontalCentered="1"/>
  <pageMargins left="0.25" right="0.25" top="0.5" bottom="0.4" header="0.25" footer="0.25"/>
  <pageSetup orientation="landscape" r:id="rId1"/>
  <headerFooter alignWithMargins="0">
    <oddHeader>&amp;LGeorgia Department of Community Affairs&amp;C&amp;"Arial,Bold" Cost Certification Application&amp;ROffice of Housing Finance</oddHeader>
    <oddFooter>&amp;L&amp;9OHF Cost Certification Application&amp;C&amp;9&amp;A&amp;R&amp;9&amp;P of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M47"/>
  <sheetViews>
    <sheetView showGridLines="0" workbookViewId="0">
      <selection activeCell="A10" sqref="A10:M23"/>
    </sheetView>
  </sheetViews>
  <sheetFormatPr defaultColWidth="9.140625" defaultRowHeight="12.75"/>
  <cols>
    <col min="1" max="1" width="11.7109375" style="845" customWidth="1"/>
    <col min="2" max="5" width="10.7109375" style="845" customWidth="1"/>
    <col min="6" max="9" width="9.140625" style="845"/>
    <col min="10" max="11" width="6.7109375" style="845" customWidth="1"/>
    <col min="12" max="13" width="11" style="845" customWidth="1"/>
    <col min="14" max="16384" width="9.140625" style="845"/>
  </cols>
  <sheetData>
    <row r="1" spans="1:13">
      <c r="A1" s="2601" t="s">
        <v>3211</v>
      </c>
      <c r="B1" s="2602"/>
      <c r="C1" s="2602"/>
      <c r="D1" s="2602"/>
      <c r="E1" s="2602"/>
      <c r="F1" s="2602"/>
      <c r="G1" s="2602"/>
      <c r="H1" s="2602"/>
      <c r="I1" s="2602"/>
      <c r="J1" s="2602"/>
      <c r="K1" s="2602"/>
      <c r="L1" s="2602"/>
      <c r="M1" s="2602"/>
    </row>
    <row r="2" spans="1:13" ht="6" customHeight="1"/>
    <row r="3" spans="1:13" s="843" customFormat="1" ht="12">
      <c r="A3" s="844" t="s">
        <v>3115</v>
      </c>
      <c r="B3" s="2627" t="str">
        <f>'Part I-Project Information'!F24</f>
        <v>SB OHF Test Villas</v>
      </c>
      <c r="C3" s="2627"/>
      <c r="D3" s="2627"/>
      <c r="E3" s="2627"/>
      <c r="F3" s="2627"/>
      <c r="G3" s="2627"/>
      <c r="H3" s="2627"/>
      <c r="I3" s="2627"/>
      <c r="J3" s="912" t="s">
        <v>3116</v>
      </c>
      <c r="K3" s="842"/>
      <c r="L3" s="2628" t="str">
        <f>'Part I-Project Information'!O4</f>
        <v>20##-###</v>
      </c>
      <c r="M3" s="2628"/>
    </row>
    <row r="4" spans="1:13" ht="6" customHeight="1"/>
    <row r="5" spans="1:13">
      <c r="A5" s="845" t="s">
        <v>3168</v>
      </c>
    </row>
    <row r="6" spans="1:13" ht="3" customHeight="1"/>
    <row r="7" spans="1:13">
      <c r="A7" s="913" t="s">
        <v>1106</v>
      </c>
    </row>
    <row r="8" spans="1:13" ht="11.25" customHeight="1">
      <c r="A8" s="2629" t="s">
        <v>3169</v>
      </c>
      <c r="B8" s="2629"/>
      <c r="C8" s="2629"/>
      <c r="D8" s="2629"/>
      <c r="E8" s="2629"/>
      <c r="F8" s="2629"/>
      <c r="G8" s="2629"/>
      <c r="H8" s="2629"/>
      <c r="I8" s="2629"/>
      <c r="J8" s="2629"/>
      <c r="K8" s="2629"/>
      <c r="L8" s="2629"/>
      <c r="M8" s="2629"/>
    </row>
    <row r="9" spans="1:13" ht="11.25" customHeight="1">
      <c r="A9" s="2630"/>
      <c r="B9" s="2630"/>
      <c r="C9" s="2630"/>
      <c r="D9" s="2630"/>
      <c r="E9" s="2630"/>
      <c r="F9" s="2630"/>
      <c r="G9" s="2630"/>
      <c r="H9" s="2630"/>
      <c r="I9" s="2630"/>
      <c r="J9" s="2630"/>
      <c r="K9" s="2630"/>
      <c r="L9" s="2630"/>
      <c r="M9" s="2630"/>
    </row>
    <row r="10" spans="1:13" ht="14.25" customHeight="1">
      <c r="A10" s="2589"/>
      <c r="B10" s="2590"/>
      <c r="C10" s="2590"/>
      <c r="D10" s="2590"/>
      <c r="E10" s="2590"/>
      <c r="F10" s="2590"/>
      <c r="G10" s="2590"/>
      <c r="H10" s="2590"/>
      <c r="I10" s="2590"/>
      <c r="J10" s="2590"/>
      <c r="K10" s="2590"/>
      <c r="L10" s="2590"/>
      <c r="M10" s="2591"/>
    </row>
    <row r="11" spans="1:13" ht="14.25" customHeight="1">
      <c r="A11" s="2592"/>
      <c r="B11" s="2593"/>
      <c r="C11" s="2593"/>
      <c r="D11" s="2593"/>
      <c r="E11" s="2593"/>
      <c r="F11" s="2593"/>
      <c r="G11" s="2593"/>
      <c r="H11" s="2593"/>
      <c r="I11" s="2593"/>
      <c r="J11" s="2593"/>
      <c r="K11" s="2593"/>
      <c r="L11" s="2593"/>
      <c r="M11" s="2594"/>
    </row>
    <row r="12" spans="1:13" ht="14.25" customHeight="1">
      <c r="A12" s="2592"/>
      <c r="B12" s="2593"/>
      <c r="C12" s="2593"/>
      <c r="D12" s="2593"/>
      <c r="E12" s="2593"/>
      <c r="F12" s="2593"/>
      <c r="G12" s="2593"/>
      <c r="H12" s="2593"/>
      <c r="I12" s="2593"/>
      <c r="J12" s="2593"/>
      <c r="K12" s="2593"/>
      <c r="L12" s="2593"/>
      <c r="M12" s="2594"/>
    </row>
    <row r="13" spans="1:13" ht="14.25" customHeight="1">
      <c r="A13" s="2592"/>
      <c r="B13" s="2593"/>
      <c r="C13" s="2593"/>
      <c r="D13" s="2593"/>
      <c r="E13" s="2593"/>
      <c r="F13" s="2593"/>
      <c r="G13" s="2593"/>
      <c r="H13" s="2593"/>
      <c r="I13" s="2593"/>
      <c r="J13" s="2593"/>
      <c r="K13" s="2593"/>
      <c r="L13" s="2593"/>
      <c r="M13" s="2594"/>
    </row>
    <row r="14" spans="1:13" ht="14.25" customHeight="1">
      <c r="A14" s="2592"/>
      <c r="B14" s="2593"/>
      <c r="C14" s="2593"/>
      <c r="D14" s="2593"/>
      <c r="E14" s="2593"/>
      <c r="F14" s="2593"/>
      <c r="G14" s="2593"/>
      <c r="H14" s="2593"/>
      <c r="I14" s="2593"/>
      <c r="J14" s="2593"/>
      <c r="K14" s="2593"/>
      <c r="L14" s="2593"/>
      <c r="M14" s="2594"/>
    </row>
    <row r="15" spans="1:13" ht="14.25" customHeight="1">
      <c r="A15" s="2592"/>
      <c r="B15" s="2593"/>
      <c r="C15" s="2593"/>
      <c r="D15" s="2593"/>
      <c r="E15" s="2593"/>
      <c r="F15" s="2593"/>
      <c r="G15" s="2593"/>
      <c r="H15" s="2593"/>
      <c r="I15" s="2593"/>
      <c r="J15" s="2593"/>
      <c r="K15" s="2593"/>
      <c r="L15" s="2593"/>
      <c r="M15" s="2594"/>
    </row>
    <row r="16" spans="1:13" ht="14.25" customHeight="1">
      <c r="A16" s="2592"/>
      <c r="B16" s="2593"/>
      <c r="C16" s="2593"/>
      <c r="D16" s="2593"/>
      <c r="E16" s="2593"/>
      <c r="F16" s="2593"/>
      <c r="G16" s="2593"/>
      <c r="H16" s="2593"/>
      <c r="I16" s="2593"/>
      <c r="J16" s="2593"/>
      <c r="K16" s="2593"/>
      <c r="L16" s="2593"/>
      <c r="M16" s="2594"/>
    </row>
    <row r="17" spans="1:13" ht="14.25" customHeight="1">
      <c r="A17" s="2592"/>
      <c r="B17" s="2593"/>
      <c r="C17" s="2593"/>
      <c r="D17" s="2593"/>
      <c r="E17" s="2593"/>
      <c r="F17" s="2593"/>
      <c r="G17" s="2593"/>
      <c r="H17" s="2593"/>
      <c r="I17" s="2593"/>
      <c r="J17" s="2593"/>
      <c r="K17" s="2593"/>
      <c r="L17" s="2593"/>
      <c r="M17" s="2594"/>
    </row>
    <row r="18" spans="1:13" ht="14.25" customHeight="1">
      <c r="A18" s="2592"/>
      <c r="B18" s="2593"/>
      <c r="C18" s="2593"/>
      <c r="D18" s="2593"/>
      <c r="E18" s="2593"/>
      <c r="F18" s="2593"/>
      <c r="G18" s="2593"/>
      <c r="H18" s="2593"/>
      <c r="I18" s="2593"/>
      <c r="J18" s="2593"/>
      <c r="K18" s="2593"/>
      <c r="L18" s="2593"/>
      <c r="M18" s="2594"/>
    </row>
    <row r="19" spans="1:13" ht="14.25" customHeight="1">
      <c r="A19" s="2592"/>
      <c r="B19" s="2593"/>
      <c r="C19" s="2593"/>
      <c r="D19" s="2593"/>
      <c r="E19" s="2593"/>
      <c r="F19" s="2593"/>
      <c r="G19" s="2593"/>
      <c r="H19" s="2593"/>
      <c r="I19" s="2593"/>
      <c r="J19" s="2593"/>
      <c r="K19" s="2593"/>
      <c r="L19" s="2593"/>
      <c r="M19" s="2594"/>
    </row>
    <row r="20" spans="1:13" ht="14.25" customHeight="1">
      <c r="A20" s="2592"/>
      <c r="B20" s="2593"/>
      <c r="C20" s="2593"/>
      <c r="D20" s="2593"/>
      <c r="E20" s="2593"/>
      <c r="F20" s="2593"/>
      <c r="G20" s="2593"/>
      <c r="H20" s="2593"/>
      <c r="I20" s="2593"/>
      <c r="J20" s="2593"/>
      <c r="K20" s="2593"/>
      <c r="L20" s="2593"/>
      <c r="M20" s="2594"/>
    </row>
    <row r="21" spans="1:13" ht="14.25" customHeight="1">
      <c r="A21" s="2592"/>
      <c r="B21" s="2593"/>
      <c r="C21" s="2593"/>
      <c r="D21" s="2593"/>
      <c r="E21" s="2593"/>
      <c r="F21" s="2593"/>
      <c r="G21" s="2593"/>
      <c r="H21" s="2593"/>
      <c r="I21" s="2593"/>
      <c r="J21" s="2593"/>
      <c r="K21" s="2593"/>
      <c r="L21" s="2593"/>
      <c r="M21" s="2594"/>
    </row>
    <row r="22" spans="1:13" ht="14.25" customHeight="1">
      <c r="A22" s="2592"/>
      <c r="B22" s="2593"/>
      <c r="C22" s="2593"/>
      <c r="D22" s="2593"/>
      <c r="E22" s="2593"/>
      <c r="F22" s="2593"/>
      <c r="G22" s="2593"/>
      <c r="H22" s="2593"/>
      <c r="I22" s="2593"/>
      <c r="J22" s="2593"/>
      <c r="K22" s="2593"/>
      <c r="L22" s="2593"/>
      <c r="M22" s="2594"/>
    </row>
    <row r="23" spans="1:13" ht="14.25" customHeight="1">
      <c r="A23" s="2595"/>
      <c r="B23" s="2596"/>
      <c r="C23" s="2596"/>
      <c r="D23" s="2596"/>
      <c r="E23" s="2596"/>
      <c r="F23" s="2596"/>
      <c r="G23" s="2596"/>
      <c r="H23" s="2596"/>
      <c r="I23" s="2596"/>
      <c r="J23" s="2596"/>
      <c r="K23" s="2596"/>
      <c r="L23" s="2596"/>
      <c r="M23" s="2597"/>
    </row>
    <row r="24" spans="1:13" ht="3" customHeight="1">
      <c r="A24" s="914"/>
      <c r="B24" s="914"/>
      <c r="C24" s="914"/>
      <c r="D24" s="914"/>
      <c r="E24" s="914"/>
      <c r="F24" s="914"/>
      <c r="G24" s="914"/>
      <c r="H24" s="914"/>
      <c r="I24" s="914"/>
    </row>
    <row r="25" spans="1:13">
      <c r="A25" s="913" t="s">
        <v>3170</v>
      </c>
    </row>
    <row r="26" spans="1:13" ht="11.25" customHeight="1">
      <c r="A26" s="2629" t="s">
        <v>3171</v>
      </c>
      <c r="B26" s="2629"/>
      <c r="C26" s="2629"/>
      <c r="D26" s="2629"/>
      <c r="E26" s="2629"/>
      <c r="F26" s="2629"/>
      <c r="G26" s="2629"/>
      <c r="H26" s="2629"/>
      <c r="I26" s="2629"/>
      <c r="J26" s="2629"/>
      <c r="K26" s="2629"/>
      <c r="L26" s="2629"/>
      <c r="M26" s="2629"/>
    </row>
    <row r="27" spans="1:13" ht="11.25" customHeight="1">
      <c r="A27" s="2630"/>
      <c r="B27" s="2630"/>
      <c r="C27" s="2630"/>
      <c r="D27" s="2630"/>
      <c r="E27" s="2630"/>
      <c r="F27" s="2630"/>
      <c r="G27" s="2630"/>
      <c r="H27" s="2630"/>
      <c r="I27" s="2630"/>
      <c r="J27" s="2630"/>
      <c r="K27" s="2630"/>
      <c r="L27" s="2630"/>
      <c r="M27" s="2630"/>
    </row>
    <row r="28" spans="1:13" ht="14.25" customHeight="1">
      <c r="A28" s="2589"/>
      <c r="B28" s="2590"/>
      <c r="C28" s="2590"/>
      <c r="D28" s="2590"/>
      <c r="E28" s="2590"/>
      <c r="F28" s="2590"/>
      <c r="G28" s="2590"/>
      <c r="H28" s="2590"/>
      <c r="I28" s="2590"/>
      <c r="J28" s="2590"/>
      <c r="K28" s="2590"/>
      <c r="L28" s="2590"/>
      <c r="M28" s="2591"/>
    </row>
    <row r="29" spans="1:13" ht="14.25" customHeight="1">
      <c r="A29" s="2592"/>
      <c r="B29" s="2593"/>
      <c r="C29" s="2593"/>
      <c r="D29" s="2593"/>
      <c r="E29" s="2593"/>
      <c r="F29" s="2593"/>
      <c r="G29" s="2593"/>
      <c r="H29" s="2593"/>
      <c r="I29" s="2593"/>
      <c r="J29" s="2593"/>
      <c r="K29" s="2593"/>
      <c r="L29" s="2593"/>
      <c r="M29" s="2594"/>
    </row>
    <row r="30" spans="1:13" ht="14.25" customHeight="1">
      <c r="A30" s="2592"/>
      <c r="B30" s="2593"/>
      <c r="C30" s="2593"/>
      <c r="D30" s="2593"/>
      <c r="E30" s="2593"/>
      <c r="F30" s="2593"/>
      <c r="G30" s="2593"/>
      <c r="H30" s="2593"/>
      <c r="I30" s="2593"/>
      <c r="J30" s="2593"/>
      <c r="K30" s="2593"/>
      <c r="L30" s="2593"/>
      <c r="M30" s="2594"/>
    </row>
    <row r="31" spans="1:13" ht="14.25" customHeight="1">
      <c r="A31" s="2592"/>
      <c r="B31" s="2593"/>
      <c r="C31" s="2593"/>
      <c r="D31" s="2593"/>
      <c r="E31" s="2593"/>
      <c r="F31" s="2593"/>
      <c r="G31" s="2593"/>
      <c r="H31" s="2593"/>
      <c r="I31" s="2593"/>
      <c r="J31" s="2593"/>
      <c r="K31" s="2593"/>
      <c r="L31" s="2593"/>
      <c r="M31" s="2594"/>
    </row>
    <row r="32" spans="1:13" ht="14.25" customHeight="1">
      <c r="A32" s="2592"/>
      <c r="B32" s="2593"/>
      <c r="C32" s="2593"/>
      <c r="D32" s="2593"/>
      <c r="E32" s="2593"/>
      <c r="F32" s="2593"/>
      <c r="G32" s="2593"/>
      <c r="H32" s="2593"/>
      <c r="I32" s="2593"/>
      <c r="J32" s="2593"/>
      <c r="K32" s="2593"/>
      <c r="L32" s="2593"/>
      <c r="M32" s="2594"/>
    </row>
    <row r="33" spans="1:13" ht="14.25" customHeight="1">
      <c r="A33" s="2592"/>
      <c r="B33" s="2593"/>
      <c r="C33" s="2593"/>
      <c r="D33" s="2593"/>
      <c r="E33" s="2593"/>
      <c r="F33" s="2593"/>
      <c r="G33" s="2593"/>
      <c r="H33" s="2593"/>
      <c r="I33" s="2593"/>
      <c r="J33" s="2593"/>
      <c r="K33" s="2593"/>
      <c r="L33" s="2593"/>
      <c r="M33" s="2594"/>
    </row>
    <row r="34" spans="1:13" ht="14.25" customHeight="1">
      <c r="A34" s="2592"/>
      <c r="B34" s="2593"/>
      <c r="C34" s="2593"/>
      <c r="D34" s="2593"/>
      <c r="E34" s="2593"/>
      <c r="F34" s="2593"/>
      <c r="G34" s="2593"/>
      <c r="H34" s="2593"/>
      <c r="I34" s="2593"/>
      <c r="J34" s="2593"/>
      <c r="K34" s="2593"/>
      <c r="L34" s="2593"/>
      <c r="M34" s="2594"/>
    </row>
    <row r="35" spans="1:13" ht="14.25" customHeight="1">
      <c r="A35" s="2592"/>
      <c r="B35" s="2593"/>
      <c r="C35" s="2593"/>
      <c r="D35" s="2593"/>
      <c r="E35" s="2593"/>
      <c r="F35" s="2593"/>
      <c r="G35" s="2593"/>
      <c r="H35" s="2593"/>
      <c r="I35" s="2593"/>
      <c r="J35" s="2593"/>
      <c r="K35" s="2593"/>
      <c r="L35" s="2593"/>
      <c r="M35" s="2594"/>
    </row>
    <row r="36" spans="1:13" ht="14.25" customHeight="1">
      <c r="A36" s="2592"/>
      <c r="B36" s="2593"/>
      <c r="C36" s="2593"/>
      <c r="D36" s="2593"/>
      <c r="E36" s="2593"/>
      <c r="F36" s="2593"/>
      <c r="G36" s="2593"/>
      <c r="H36" s="2593"/>
      <c r="I36" s="2593"/>
      <c r="J36" s="2593"/>
      <c r="K36" s="2593"/>
      <c r="L36" s="2593"/>
      <c r="M36" s="2594"/>
    </row>
    <row r="37" spans="1:13" ht="14.25" customHeight="1">
      <c r="A37" s="2592"/>
      <c r="B37" s="2593"/>
      <c r="C37" s="2593"/>
      <c r="D37" s="2593"/>
      <c r="E37" s="2593"/>
      <c r="F37" s="2593"/>
      <c r="G37" s="2593"/>
      <c r="H37" s="2593"/>
      <c r="I37" s="2593"/>
      <c r="J37" s="2593"/>
      <c r="K37" s="2593"/>
      <c r="L37" s="2593"/>
      <c r="M37" s="2594"/>
    </row>
    <row r="38" spans="1:13" ht="14.25" customHeight="1">
      <c r="A38" s="2592"/>
      <c r="B38" s="2593"/>
      <c r="C38" s="2593"/>
      <c r="D38" s="2593"/>
      <c r="E38" s="2593"/>
      <c r="F38" s="2593"/>
      <c r="G38" s="2593"/>
      <c r="H38" s="2593"/>
      <c r="I38" s="2593"/>
      <c r="J38" s="2593"/>
      <c r="K38" s="2593"/>
      <c r="L38" s="2593"/>
      <c r="M38" s="2594"/>
    </row>
    <row r="39" spans="1:13" ht="14.25" customHeight="1">
      <c r="A39" s="2592"/>
      <c r="B39" s="2593"/>
      <c r="C39" s="2593"/>
      <c r="D39" s="2593"/>
      <c r="E39" s="2593"/>
      <c r="F39" s="2593"/>
      <c r="G39" s="2593"/>
      <c r="H39" s="2593"/>
      <c r="I39" s="2593"/>
      <c r="J39" s="2593"/>
      <c r="K39" s="2593"/>
      <c r="L39" s="2593"/>
      <c r="M39" s="2594"/>
    </row>
    <row r="40" spans="1:13" ht="14.25" customHeight="1">
      <c r="A40" s="2592"/>
      <c r="B40" s="2593"/>
      <c r="C40" s="2593"/>
      <c r="D40" s="2593"/>
      <c r="E40" s="2593"/>
      <c r="F40" s="2593"/>
      <c r="G40" s="2593"/>
      <c r="H40" s="2593"/>
      <c r="I40" s="2593"/>
      <c r="J40" s="2593"/>
      <c r="K40" s="2593"/>
      <c r="L40" s="2593"/>
      <c r="M40" s="2594"/>
    </row>
    <row r="41" spans="1:13" ht="14.25" customHeight="1">
      <c r="A41" s="2595"/>
      <c r="B41" s="2596"/>
      <c r="C41" s="2596"/>
      <c r="D41" s="2596"/>
      <c r="E41" s="2596"/>
      <c r="F41" s="2596"/>
      <c r="G41" s="2596"/>
      <c r="H41" s="2596"/>
      <c r="I41" s="2596"/>
      <c r="J41" s="2596"/>
      <c r="K41" s="2596"/>
      <c r="L41" s="2596"/>
      <c r="M41" s="2597"/>
    </row>
    <row r="42" spans="1:13">
      <c r="A42" s="914"/>
      <c r="B42" s="914"/>
      <c r="C42" s="914"/>
      <c r="D42" s="914"/>
      <c r="E42" s="914"/>
      <c r="F42" s="914"/>
      <c r="G42" s="914"/>
      <c r="H42" s="914"/>
      <c r="I42" s="914"/>
    </row>
    <row r="43" spans="1:13">
      <c r="A43" s="914"/>
      <c r="B43" s="914"/>
      <c r="C43" s="914"/>
      <c r="D43" s="914"/>
      <c r="E43" s="914"/>
      <c r="F43" s="914"/>
      <c r="G43" s="914"/>
      <c r="H43" s="914"/>
      <c r="I43" s="914"/>
    </row>
    <row r="44" spans="1:13">
      <c r="A44" s="914"/>
      <c r="B44" s="914"/>
      <c r="C44" s="914"/>
      <c r="D44" s="914"/>
      <c r="E44" s="914"/>
      <c r="F44" s="914"/>
      <c r="G44" s="914"/>
      <c r="H44" s="914"/>
      <c r="I44" s="914"/>
    </row>
    <row r="45" spans="1:13">
      <c r="A45" s="914"/>
      <c r="B45" s="914"/>
      <c r="C45" s="914"/>
      <c r="D45" s="914"/>
      <c r="E45" s="914"/>
      <c r="F45" s="914"/>
      <c r="G45" s="914"/>
      <c r="H45" s="914"/>
      <c r="I45" s="914"/>
    </row>
    <row r="46" spans="1:13">
      <c r="A46" s="914"/>
      <c r="B46" s="914"/>
      <c r="C46" s="914"/>
      <c r="D46" s="914"/>
      <c r="E46" s="914"/>
      <c r="F46" s="914"/>
      <c r="G46" s="914"/>
      <c r="H46" s="914"/>
      <c r="I46" s="914"/>
    </row>
    <row r="47" spans="1:13">
      <c r="A47" s="914"/>
      <c r="B47" s="914"/>
      <c r="C47" s="914"/>
      <c r="D47" s="914"/>
      <c r="E47" s="914"/>
      <c r="F47" s="914"/>
      <c r="G47" s="914"/>
      <c r="H47" s="914"/>
      <c r="I47" s="914"/>
    </row>
  </sheetData>
  <sheetProtection algorithmName="SHA-512" hashValue="0wU2gthxuBqkkO47iCx279IFEAhpaKM/mhdR7ZO+5NKjezY28TfPmBDmPjOMAKLUeNKt2+WXsqQoqUPPRKrdAw==" saltValue="incoeG4ApaOKRM+Vt3cXYg==" spinCount="100000" sheet="1" objects="1" scenarios="1"/>
  <mergeCells count="7">
    <mergeCell ref="A28:M41"/>
    <mergeCell ref="A1:M1"/>
    <mergeCell ref="B3:I3"/>
    <mergeCell ref="L3:M3"/>
    <mergeCell ref="A8:M9"/>
    <mergeCell ref="A10:M23"/>
    <mergeCell ref="A26:M27"/>
  </mergeCells>
  <pageMargins left="0.5" right="0.5" top="0.75" bottom="0.5" header="0.5" footer="0.25"/>
  <pageSetup orientation="landscape" r:id="rId1"/>
  <headerFooter alignWithMargins="0">
    <oddHeader>&amp;LGeorgia Department of Community Affairs&amp;C&amp;"Arial,Bold"&amp;11 Cost Certification Application&amp;ROffice of Housing Finance</oddHeader>
    <oddFooter>&amp;L&amp;9OHF Cost Certification Application&amp;C&amp;A&amp;R&amp;9&amp;P of &amp;N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P34"/>
  <sheetViews>
    <sheetView showGridLines="0" workbookViewId="0">
      <selection activeCell="F6" sqref="F6:N6"/>
    </sheetView>
  </sheetViews>
  <sheetFormatPr defaultColWidth="8.85546875" defaultRowHeight="12"/>
  <cols>
    <col min="1" max="1" width="1.7109375" style="846" customWidth="1"/>
    <col min="2" max="2" width="3.28515625" style="846" customWidth="1"/>
    <col min="3" max="16" width="5.7109375" style="846" customWidth="1"/>
    <col min="17" max="16384" width="8.85546875" style="846"/>
  </cols>
  <sheetData>
    <row r="1" spans="1:16" s="855" customFormat="1" ht="15">
      <c r="A1" s="2639" t="s">
        <v>3114</v>
      </c>
      <c r="B1" s="2639"/>
      <c r="C1" s="2639"/>
      <c r="D1" s="2639"/>
      <c r="E1" s="2639"/>
      <c r="F1" s="2639"/>
      <c r="G1" s="2639"/>
      <c r="H1" s="2639"/>
      <c r="I1" s="2639"/>
      <c r="J1" s="2639"/>
      <c r="K1" s="2639"/>
      <c r="L1" s="2639"/>
      <c r="M1" s="2639"/>
      <c r="N1" s="2639"/>
      <c r="O1" s="2639"/>
      <c r="P1" s="2639"/>
    </row>
    <row r="2" spans="1:16" s="855" customFormat="1" ht="14.25">
      <c r="A2" s="2640" t="s">
        <v>3172</v>
      </c>
      <c r="B2" s="2640"/>
      <c r="C2" s="2640"/>
      <c r="D2" s="2640"/>
      <c r="E2" s="2640"/>
      <c r="F2" s="2640"/>
      <c r="G2" s="2640"/>
      <c r="H2" s="2640"/>
      <c r="I2" s="2640"/>
      <c r="J2" s="2640"/>
      <c r="K2" s="2640"/>
      <c r="L2" s="2640"/>
      <c r="M2" s="2640"/>
      <c r="N2" s="2640"/>
      <c r="O2" s="2640"/>
      <c r="P2" s="2640"/>
    </row>
    <row r="3" spans="1:16" s="855" customFormat="1" ht="12.75">
      <c r="A3" s="2641" t="s">
        <v>3173</v>
      </c>
      <c r="B3" s="2641"/>
      <c r="C3" s="2641"/>
      <c r="D3" s="2641"/>
      <c r="E3" s="2641"/>
      <c r="F3" s="2641"/>
      <c r="G3" s="2641"/>
      <c r="H3" s="2641"/>
      <c r="I3" s="2641"/>
      <c r="J3" s="2641"/>
      <c r="K3" s="2641"/>
      <c r="L3" s="2641"/>
      <c r="M3" s="2641"/>
      <c r="N3" s="2641"/>
      <c r="O3" s="2641"/>
      <c r="P3" s="2641"/>
    </row>
    <row r="4" spans="1:16" s="855" customFormat="1">
      <c r="A4" s="2642" t="s">
        <v>3174</v>
      </c>
      <c r="B4" s="2642"/>
      <c r="C4" s="2642"/>
      <c r="D4" s="2642"/>
      <c r="E4" s="2642"/>
      <c r="F4" s="2642"/>
      <c r="G4" s="2642"/>
      <c r="H4" s="2642"/>
      <c r="I4" s="2642"/>
      <c r="J4" s="2642"/>
      <c r="K4" s="2642"/>
      <c r="L4" s="2642"/>
      <c r="M4" s="2642"/>
      <c r="N4" s="2642"/>
      <c r="O4" s="2642"/>
      <c r="P4" s="2642"/>
    </row>
    <row r="5" spans="1:16" s="855" customFormat="1"/>
    <row r="6" spans="1:16" ht="12.75">
      <c r="A6" s="915" t="s">
        <v>3175</v>
      </c>
      <c r="B6" s="915"/>
      <c r="C6" s="915"/>
      <c r="D6" s="915"/>
      <c r="E6" s="915"/>
      <c r="F6" s="2632"/>
      <c r="G6" s="2632"/>
      <c r="H6" s="2632"/>
      <c r="I6" s="2632"/>
      <c r="J6" s="2632"/>
      <c r="K6" s="2632"/>
      <c r="L6" s="2632"/>
      <c r="M6" s="2632"/>
      <c r="N6" s="2632"/>
      <c r="O6" s="915" t="s">
        <v>3176</v>
      </c>
      <c r="P6" s="915"/>
    </row>
    <row r="7" spans="1:16" ht="12.75">
      <c r="A7" s="916" t="s">
        <v>3177</v>
      </c>
      <c r="B7" s="915"/>
      <c r="C7" s="915"/>
      <c r="D7" s="915"/>
      <c r="E7" s="915"/>
      <c r="F7" s="2634"/>
      <c r="G7" s="2634"/>
      <c r="H7" s="2634"/>
      <c r="I7" s="2634"/>
      <c r="J7" s="2634"/>
      <c r="K7" s="915"/>
      <c r="L7" s="915"/>
      <c r="M7" s="915"/>
      <c r="N7" s="915"/>
      <c r="O7" s="915"/>
      <c r="P7" s="915"/>
    </row>
    <row r="8" spans="1:16" ht="12.75">
      <c r="A8" s="915"/>
      <c r="B8" s="915"/>
      <c r="C8" s="915"/>
      <c r="I8" s="915"/>
      <c r="J8" s="915"/>
      <c r="K8" s="915"/>
      <c r="L8" s="915"/>
      <c r="M8" s="915"/>
      <c r="N8" s="915"/>
      <c r="O8" s="915"/>
      <c r="P8" s="915"/>
    </row>
    <row r="9" spans="1:16" ht="12.75">
      <c r="A9" s="915" t="s">
        <v>3178</v>
      </c>
      <c r="B9" s="915"/>
      <c r="C9" s="915"/>
      <c r="E9" s="2637"/>
      <c r="F9" s="2637"/>
      <c r="G9" s="2637"/>
      <c r="H9" s="2637"/>
      <c r="I9" s="2637"/>
      <c r="J9" s="915" t="s">
        <v>3179</v>
      </c>
      <c r="K9" s="915"/>
      <c r="L9" s="915"/>
      <c r="M9" s="915"/>
      <c r="N9" s="915"/>
      <c r="O9" s="915"/>
      <c r="P9" s="915"/>
    </row>
    <row r="10" spans="1:16" ht="25.9" customHeight="1">
      <c r="A10" s="2638" t="s">
        <v>3180</v>
      </c>
      <c r="B10" s="2638"/>
      <c r="C10" s="2638"/>
      <c r="D10" s="2638"/>
      <c r="E10" s="2638"/>
      <c r="F10" s="2638"/>
      <c r="G10" s="2638"/>
      <c r="H10" s="2638"/>
      <c r="I10" s="2638"/>
      <c r="J10" s="2638"/>
      <c r="K10" s="2638"/>
      <c r="L10" s="2638"/>
      <c r="M10" s="2638"/>
      <c r="N10" s="2638"/>
      <c r="O10" s="2638"/>
      <c r="P10" s="2638"/>
    </row>
    <row r="11" spans="1:16" ht="6" customHeight="1">
      <c r="A11" s="917"/>
      <c r="B11" s="917"/>
      <c r="C11" s="917"/>
      <c r="D11" s="917"/>
      <c r="E11" s="917"/>
      <c r="F11" s="917"/>
      <c r="G11" s="917"/>
      <c r="H11" s="915"/>
      <c r="I11" s="915"/>
      <c r="J11" s="915"/>
      <c r="K11" s="915"/>
      <c r="L11" s="915"/>
      <c r="M11" s="915"/>
      <c r="N11" s="915"/>
      <c r="O11" s="915"/>
      <c r="P11" s="915"/>
    </row>
    <row r="12" spans="1:16" ht="55.9" customHeight="1">
      <c r="A12" s="915"/>
      <c r="B12" s="918" t="s">
        <v>3181</v>
      </c>
      <c r="C12" s="2638" t="s">
        <v>3182</v>
      </c>
      <c r="D12" s="2638"/>
      <c r="E12" s="2638"/>
      <c r="F12" s="2638"/>
      <c r="G12" s="2638"/>
      <c r="H12" s="2638"/>
      <c r="I12" s="2638"/>
      <c r="J12" s="2638"/>
      <c r="K12" s="2638"/>
      <c r="L12" s="2638"/>
      <c r="M12" s="2638"/>
      <c r="N12" s="2638"/>
      <c r="O12" s="2638"/>
      <c r="P12" s="2638"/>
    </row>
    <row r="13" spans="1:16" ht="81" customHeight="1">
      <c r="A13" s="915"/>
      <c r="B13" s="918" t="s">
        <v>3183</v>
      </c>
      <c r="C13" s="2638" t="s">
        <v>3184</v>
      </c>
      <c r="D13" s="2638"/>
      <c r="E13" s="2638"/>
      <c r="F13" s="2638"/>
      <c r="G13" s="2638"/>
      <c r="H13" s="2638"/>
      <c r="I13" s="2638"/>
      <c r="J13" s="2638"/>
      <c r="K13" s="2638"/>
      <c r="L13" s="2638"/>
      <c r="M13" s="2638"/>
      <c r="N13" s="2638"/>
      <c r="O13" s="2638"/>
      <c r="P13" s="2638"/>
    </row>
    <row r="14" spans="1:16" ht="12.75">
      <c r="A14" s="915"/>
      <c r="B14" s="919" t="s">
        <v>3185</v>
      </c>
      <c r="C14" s="2638" t="s">
        <v>3186</v>
      </c>
      <c r="D14" s="2638"/>
      <c r="E14" s="2638"/>
      <c r="F14" s="2638"/>
      <c r="G14" s="2638"/>
      <c r="H14" s="2638"/>
      <c r="I14" s="2638"/>
      <c r="J14" s="2638"/>
      <c r="K14" s="2638"/>
      <c r="L14" s="2638"/>
      <c r="M14" s="2638"/>
      <c r="N14" s="2638"/>
      <c r="O14" s="2638"/>
      <c r="P14" s="2638"/>
    </row>
    <row r="15" spans="1:16" ht="6" customHeight="1">
      <c r="A15" s="915"/>
      <c r="B15" s="915"/>
      <c r="C15" s="920"/>
      <c r="D15" s="915"/>
      <c r="E15" s="915"/>
      <c r="F15" s="915"/>
      <c r="G15" s="915"/>
      <c r="H15" s="915"/>
      <c r="I15" s="915"/>
      <c r="J15" s="915"/>
      <c r="K15" s="915"/>
      <c r="L15" s="915"/>
      <c r="M15" s="915"/>
      <c r="N15" s="915"/>
      <c r="O15" s="915"/>
      <c r="P15" s="915"/>
    </row>
    <row r="16" spans="1:16" ht="27" customHeight="1">
      <c r="A16" s="2638" t="s">
        <v>3187</v>
      </c>
      <c r="B16" s="2638"/>
      <c r="C16" s="2638"/>
      <c r="D16" s="2638"/>
      <c r="E16" s="2638"/>
      <c r="F16" s="2638"/>
      <c r="G16" s="2638"/>
      <c r="H16" s="2638"/>
      <c r="I16" s="2638"/>
      <c r="J16" s="2638"/>
      <c r="K16" s="2638"/>
      <c r="L16" s="2638"/>
      <c r="M16" s="2638"/>
      <c r="N16" s="2638"/>
      <c r="O16" s="2638"/>
      <c r="P16" s="2638"/>
    </row>
    <row r="17" spans="1:16" ht="6" customHeight="1">
      <c r="A17" s="915"/>
      <c r="B17" s="915"/>
      <c r="C17" s="920"/>
      <c r="D17" s="915"/>
      <c r="E17" s="915"/>
      <c r="F17" s="915"/>
      <c r="G17" s="915"/>
      <c r="H17" s="915"/>
      <c r="I17" s="915"/>
      <c r="J17" s="915"/>
      <c r="K17" s="915"/>
      <c r="L17" s="915"/>
      <c r="M17" s="915"/>
      <c r="N17" s="915"/>
      <c r="O17" s="915"/>
      <c r="P17" s="915"/>
    </row>
    <row r="18" spans="1:16" ht="28.9" customHeight="1">
      <c r="A18" s="915"/>
      <c r="B18" s="919" t="s">
        <v>3188</v>
      </c>
      <c r="C18" s="2638" t="s">
        <v>3189</v>
      </c>
      <c r="D18" s="2638"/>
      <c r="E18" s="2638"/>
      <c r="F18" s="2638"/>
      <c r="G18" s="2638"/>
      <c r="H18" s="2638"/>
      <c r="I18" s="2638"/>
      <c r="J18" s="2638"/>
      <c r="K18" s="2638"/>
      <c r="L18" s="2638"/>
      <c r="M18" s="2638"/>
      <c r="N18" s="2638"/>
      <c r="O18" s="2638"/>
      <c r="P18" s="2638"/>
    </row>
    <row r="19" spans="1:16" ht="27.6" customHeight="1">
      <c r="A19" s="915"/>
      <c r="B19" s="919" t="s">
        <v>3190</v>
      </c>
      <c r="C19" s="2638" t="s">
        <v>3191</v>
      </c>
      <c r="D19" s="2638"/>
      <c r="E19" s="2638"/>
      <c r="F19" s="2638"/>
      <c r="G19" s="2638"/>
      <c r="H19" s="2638"/>
      <c r="I19" s="2638"/>
      <c r="J19" s="2638"/>
      <c r="K19" s="2638"/>
      <c r="L19" s="2638"/>
      <c r="M19" s="2638"/>
      <c r="N19" s="2638"/>
      <c r="O19" s="2638"/>
      <c r="P19" s="2638"/>
    </row>
    <row r="20" spans="1:16" ht="16.149999999999999" customHeight="1">
      <c r="A20" s="915"/>
      <c r="B20" s="919" t="s">
        <v>3192</v>
      </c>
      <c r="C20" s="2638" t="s">
        <v>3193</v>
      </c>
      <c r="D20" s="2638"/>
      <c r="E20" s="2638"/>
      <c r="F20" s="2638"/>
      <c r="G20" s="2638"/>
      <c r="H20" s="2638"/>
      <c r="I20" s="2638"/>
      <c r="J20" s="2638"/>
      <c r="K20" s="2638"/>
      <c r="L20" s="2638"/>
      <c r="M20" s="2638"/>
      <c r="N20" s="2638"/>
      <c r="O20" s="2638"/>
      <c r="P20" s="2638"/>
    </row>
    <row r="21" spans="1:16" ht="27" customHeight="1">
      <c r="A21" s="915"/>
      <c r="B21" s="919" t="s">
        <v>3194</v>
      </c>
      <c r="C21" s="2638" t="s">
        <v>3195</v>
      </c>
      <c r="D21" s="2638"/>
      <c r="E21" s="2638"/>
      <c r="F21" s="2638"/>
      <c r="G21" s="2638"/>
      <c r="H21" s="2638"/>
      <c r="I21" s="2638"/>
      <c r="J21" s="2638"/>
      <c r="K21" s="2638"/>
      <c r="L21" s="2638"/>
      <c r="M21" s="2638"/>
      <c r="N21" s="2638"/>
      <c r="O21" s="2638"/>
      <c r="P21" s="2638"/>
    </row>
    <row r="22" spans="1:16" ht="6" customHeight="1">
      <c r="A22" s="915"/>
      <c r="B22" s="915"/>
      <c r="C22" s="1462"/>
      <c r="D22" s="915"/>
      <c r="E22" s="915"/>
      <c r="F22" s="915"/>
      <c r="G22" s="915"/>
      <c r="H22" s="915"/>
      <c r="I22" s="915"/>
      <c r="J22" s="915"/>
      <c r="K22" s="915"/>
      <c r="L22" s="915"/>
      <c r="M22" s="915"/>
      <c r="N22" s="915"/>
      <c r="O22" s="915"/>
      <c r="P22" s="915"/>
    </row>
    <row r="23" spans="1:16" ht="67.900000000000006" customHeight="1">
      <c r="A23" s="2638" t="s">
        <v>3196</v>
      </c>
      <c r="B23" s="2638"/>
      <c r="C23" s="2638"/>
      <c r="D23" s="2638"/>
      <c r="E23" s="2638"/>
      <c r="F23" s="2638"/>
      <c r="G23" s="2638"/>
      <c r="H23" s="2638"/>
      <c r="I23" s="2638"/>
      <c r="J23" s="2638"/>
      <c r="K23" s="2638"/>
      <c r="L23" s="2638"/>
      <c r="M23" s="2638"/>
      <c r="N23" s="2638"/>
      <c r="O23" s="2638"/>
      <c r="P23" s="2638"/>
    </row>
    <row r="24" spans="1:16" ht="12.75">
      <c r="A24" s="915"/>
      <c r="B24" s="915"/>
      <c r="C24" s="920"/>
      <c r="D24" s="915"/>
      <c r="E24" s="915"/>
      <c r="F24" s="915"/>
      <c r="G24" s="915"/>
      <c r="H24" s="915"/>
      <c r="I24" s="915"/>
      <c r="J24" s="915"/>
      <c r="K24" s="915"/>
      <c r="L24" s="915"/>
      <c r="M24" s="915"/>
      <c r="N24" s="915"/>
      <c r="O24" s="915"/>
      <c r="P24" s="915"/>
    </row>
    <row r="25" spans="1:16" ht="12.75">
      <c r="A25" s="2632"/>
      <c r="B25" s="2632"/>
      <c r="C25" s="2632"/>
      <c r="D25" s="2632"/>
      <c r="E25" s="2632"/>
      <c r="F25" s="2632"/>
      <c r="G25" s="2632"/>
      <c r="H25" s="2632"/>
      <c r="I25" s="921"/>
      <c r="J25" s="860" t="s">
        <v>3197</v>
      </c>
      <c r="K25" s="2632"/>
      <c r="L25" s="2632"/>
      <c r="M25" s="2632"/>
      <c r="N25" s="2632"/>
      <c r="O25" s="2632"/>
      <c r="P25" s="2632"/>
    </row>
    <row r="26" spans="1:16" ht="12.75">
      <c r="A26" s="860" t="s">
        <v>3198</v>
      </c>
      <c r="B26" s="2633"/>
      <c r="C26" s="2633"/>
      <c r="D26" s="2633"/>
      <c r="E26" s="856" t="s">
        <v>3199</v>
      </c>
      <c r="F26" s="2634"/>
      <c r="G26" s="2634"/>
      <c r="H26" s="2634"/>
      <c r="I26" s="921"/>
      <c r="J26" s="860" t="s">
        <v>3200</v>
      </c>
      <c r="K26" s="2632"/>
      <c r="L26" s="2632"/>
      <c r="M26" s="2632"/>
      <c r="N26" s="2632"/>
      <c r="O26" s="2632"/>
      <c r="P26" s="2632"/>
    </row>
    <row r="27" spans="1:16" ht="12.75">
      <c r="A27" s="915"/>
      <c r="B27" s="2635" t="s">
        <v>3201</v>
      </c>
      <c r="C27" s="2635"/>
      <c r="D27" s="2635"/>
      <c r="E27" s="915"/>
      <c r="F27" s="915"/>
      <c r="G27" s="915"/>
      <c r="H27" s="915"/>
      <c r="I27" s="915"/>
      <c r="J27" s="915"/>
      <c r="K27" s="915"/>
      <c r="L27" s="915"/>
      <c r="M27" s="915"/>
      <c r="N27" s="915"/>
      <c r="O27" s="915"/>
      <c r="P27" s="915"/>
    </row>
    <row r="28" spans="1:16" ht="12.75">
      <c r="A28" s="915"/>
      <c r="B28" s="915"/>
      <c r="C28" s="915"/>
      <c r="D28" s="915"/>
      <c r="E28" s="915"/>
      <c r="F28" s="915"/>
      <c r="G28" s="915"/>
      <c r="H28" s="915"/>
      <c r="I28" s="915"/>
      <c r="J28" s="915"/>
      <c r="K28" s="915"/>
      <c r="L28" s="915"/>
      <c r="M28" s="915"/>
      <c r="N28" s="915"/>
      <c r="O28" s="915"/>
      <c r="P28" s="915"/>
    </row>
    <row r="29" spans="1:16" ht="12.75">
      <c r="A29" s="915"/>
      <c r="B29" s="915"/>
      <c r="C29" s="915"/>
      <c r="D29" s="915"/>
      <c r="E29" s="915"/>
      <c r="F29" s="915"/>
      <c r="G29" s="860" t="s">
        <v>3197</v>
      </c>
      <c r="H29" s="2632"/>
      <c r="I29" s="2632"/>
      <c r="J29" s="2632"/>
      <c r="K29" s="2632"/>
      <c r="L29" s="921"/>
      <c r="M29" s="922" t="s">
        <v>3202</v>
      </c>
      <c r="N29" s="915"/>
      <c r="O29" s="915"/>
      <c r="P29" s="915"/>
    </row>
    <row r="30" spans="1:16" ht="12.75">
      <c r="F30" s="915"/>
      <c r="G30" s="860"/>
      <c r="H30" s="2636" t="s">
        <v>3203</v>
      </c>
      <c r="I30" s="2636"/>
      <c r="J30" s="2636"/>
      <c r="K30" s="2636"/>
      <c r="L30" s="915"/>
      <c r="M30" s="915"/>
      <c r="N30" s="915"/>
      <c r="O30" s="915"/>
      <c r="P30" s="915"/>
    </row>
    <row r="31" spans="1:16" ht="12.75">
      <c r="A31" s="860"/>
      <c r="B31" s="860"/>
      <c r="E31" s="860"/>
      <c r="F31" s="915"/>
      <c r="G31" s="860" t="s">
        <v>3204</v>
      </c>
      <c r="H31" s="2632"/>
      <c r="I31" s="2632"/>
      <c r="J31" s="2632"/>
      <c r="K31" s="2632"/>
      <c r="L31" s="915"/>
      <c r="M31" s="2632"/>
      <c r="N31" s="2632"/>
      <c r="O31" s="2632"/>
      <c r="P31" s="2632"/>
    </row>
    <row r="32" spans="1:16" ht="12.75">
      <c r="A32" s="2631" t="s">
        <v>3205</v>
      </c>
      <c r="B32" s="2631"/>
      <c r="C32" s="2631"/>
      <c r="D32" s="2631"/>
      <c r="E32" s="2631"/>
      <c r="F32" s="915"/>
      <c r="G32" s="860" t="s">
        <v>3206</v>
      </c>
      <c r="H32" s="2632"/>
      <c r="I32" s="2632"/>
      <c r="J32" s="2632"/>
      <c r="K32" s="2632"/>
      <c r="L32" s="915"/>
      <c r="M32" s="2634"/>
      <c r="N32" s="2634"/>
      <c r="O32" s="2634"/>
      <c r="P32" s="2634"/>
    </row>
    <row r="33" spans="1:16" ht="12.75">
      <c r="A33" s="915"/>
      <c r="B33" s="915"/>
      <c r="C33" s="2631" t="s">
        <v>2756</v>
      </c>
      <c r="D33" s="2631"/>
      <c r="E33" s="915"/>
      <c r="F33" s="915"/>
      <c r="G33" s="860" t="s">
        <v>2545</v>
      </c>
      <c r="H33" s="2632"/>
      <c r="I33" s="2632"/>
      <c r="J33" s="2632"/>
      <c r="K33" s="2632"/>
      <c r="L33" s="915"/>
      <c r="M33" s="860" t="s">
        <v>3207</v>
      </c>
      <c r="N33" s="915"/>
      <c r="P33" s="915"/>
    </row>
    <row r="34" spans="1:16" ht="12.75">
      <c r="A34" s="915"/>
      <c r="B34" s="915"/>
      <c r="E34" s="915"/>
      <c r="F34" s="915"/>
      <c r="G34" s="915"/>
      <c r="H34" s="915"/>
      <c r="I34" s="915"/>
      <c r="J34" s="915"/>
      <c r="K34" s="915"/>
      <c r="L34" s="915"/>
      <c r="M34" s="915"/>
      <c r="N34" s="915"/>
      <c r="O34" s="915"/>
      <c r="P34" s="915"/>
    </row>
  </sheetData>
  <sheetProtection algorithmName="SHA-512" hashValue="yyPA9t6WKw3G5moPqVYjeiVMXNY3/QVnMzdqrsIwhx1/qBnCgny7hyt+L5CyK2SLP4SLdVrPva2UyfNhSlXzdw==" saltValue="rqHSVqxMAWwCL7rKdNwmnw==" spinCount="100000" sheet="1" objects="1" scenarios="1"/>
  <mergeCells count="32">
    <mergeCell ref="F7:J7"/>
    <mergeCell ref="A1:P1"/>
    <mergeCell ref="A2:P2"/>
    <mergeCell ref="A3:P3"/>
    <mergeCell ref="A4:P4"/>
    <mergeCell ref="F6:N6"/>
    <mergeCell ref="A25:H25"/>
    <mergeCell ref="K25:P25"/>
    <mergeCell ref="E9:I9"/>
    <mergeCell ref="A10:P10"/>
    <mergeCell ref="C12:P12"/>
    <mergeCell ref="C13:P13"/>
    <mergeCell ref="C14:P14"/>
    <mergeCell ref="A16:P16"/>
    <mergeCell ref="C18:P18"/>
    <mergeCell ref="C19:P19"/>
    <mergeCell ref="C20:P20"/>
    <mergeCell ref="C21:P21"/>
    <mergeCell ref="A23:P23"/>
    <mergeCell ref="C33:D33"/>
    <mergeCell ref="H33:K33"/>
    <mergeCell ref="B26:D26"/>
    <mergeCell ref="F26:H26"/>
    <mergeCell ref="K26:P26"/>
    <mergeCell ref="B27:D27"/>
    <mergeCell ref="H29:K29"/>
    <mergeCell ref="H30:K30"/>
    <mergeCell ref="H31:K31"/>
    <mergeCell ref="M31:P31"/>
    <mergeCell ref="A32:E32"/>
    <mergeCell ref="H32:K32"/>
    <mergeCell ref="M32:P32"/>
  </mergeCells>
  <pageMargins left="0.7" right="0.7" top="0.75" bottom="0.75" header="0.3" footer="0.3"/>
  <pageSetup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M19"/>
  <sheetViews>
    <sheetView showGridLines="0" workbookViewId="0">
      <selection activeCell="J13" sqref="J13:M13"/>
    </sheetView>
  </sheetViews>
  <sheetFormatPr defaultColWidth="9.140625" defaultRowHeight="12.75"/>
  <cols>
    <col min="1" max="1" width="14.42578125" style="845" customWidth="1"/>
    <col min="2" max="9" width="9.140625" style="845"/>
    <col min="10" max="10" width="7.42578125" style="845" customWidth="1"/>
    <col min="11" max="11" width="9.7109375" style="845" customWidth="1"/>
    <col min="12" max="16384" width="9.140625" style="845"/>
  </cols>
  <sheetData>
    <row r="1" spans="1:13" ht="15.75" customHeight="1">
      <c r="A1" s="2646" t="s">
        <v>3212</v>
      </c>
      <c r="B1" s="2647"/>
      <c r="C1" s="2647"/>
      <c r="D1" s="2647"/>
      <c r="E1" s="2647"/>
      <c r="F1" s="2647"/>
      <c r="G1" s="2647"/>
      <c r="H1" s="2647"/>
      <c r="I1" s="2647"/>
      <c r="J1" s="2647"/>
      <c r="K1" s="2647"/>
      <c r="L1" s="2647"/>
      <c r="M1" s="2647"/>
    </row>
    <row r="2" spans="1:13" ht="6" customHeight="1"/>
    <row r="3" spans="1:13" s="930" customFormat="1" ht="18" customHeight="1">
      <c r="A3" s="928" t="s">
        <v>3115</v>
      </c>
      <c r="B3" s="2648" t="str">
        <f>'Part I-Project Information'!F24</f>
        <v>SB OHF Test Villas</v>
      </c>
      <c r="C3" s="2648"/>
      <c r="D3" s="2648"/>
      <c r="E3" s="2648"/>
      <c r="F3" s="2648"/>
      <c r="G3" s="2648"/>
      <c r="H3" s="2648"/>
      <c r="I3" s="2648"/>
      <c r="J3" s="929" t="s">
        <v>3116</v>
      </c>
      <c r="L3" s="2649" t="str">
        <f>'Part I-Project Information'!O4</f>
        <v>20##-###</v>
      </c>
      <c r="M3" s="2649"/>
    </row>
    <row r="4" spans="1:13" ht="6" customHeight="1"/>
    <row r="13" spans="1:13" s="927" customFormat="1" ht="18" customHeight="1">
      <c r="A13" s="925" t="s">
        <v>2969</v>
      </c>
      <c r="B13" s="926" t="s">
        <v>3210</v>
      </c>
      <c r="J13" s="2650"/>
      <c r="K13" s="2651"/>
      <c r="L13" s="2651"/>
      <c r="M13" s="2652"/>
    </row>
    <row r="14" spans="1:13" ht="15">
      <c r="A14" s="924"/>
      <c r="B14" s="923"/>
      <c r="J14" s="923"/>
      <c r="K14" s="923"/>
    </row>
    <row r="15" spans="1:13" ht="15">
      <c r="A15" s="924"/>
      <c r="B15" s="923"/>
      <c r="J15" s="923"/>
      <c r="K15" s="923"/>
    </row>
    <row r="16" spans="1:13" s="927" customFormat="1" ht="18" customHeight="1">
      <c r="A16" s="925" t="s">
        <v>208</v>
      </c>
      <c r="B16" s="926" t="s">
        <v>3209</v>
      </c>
      <c r="J16" s="2650"/>
      <c r="K16" s="2651"/>
      <c r="L16" s="2651"/>
      <c r="M16" s="2652"/>
    </row>
    <row r="17" spans="1:13" ht="15">
      <c r="A17" s="924"/>
      <c r="B17" s="923"/>
      <c r="J17" s="923"/>
      <c r="K17" s="923"/>
    </row>
    <row r="18" spans="1:13" ht="15">
      <c r="A18" s="924"/>
      <c r="B18" s="923"/>
      <c r="J18" s="923"/>
      <c r="K18" s="923"/>
    </row>
    <row r="19" spans="1:13" s="927" customFormat="1" ht="18" customHeight="1">
      <c r="A19" s="925" t="s">
        <v>1297</v>
      </c>
      <c r="B19" s="926" t="s">
        <v>3208</v>
      </c>
      <c r="J19" s="2643">
        <f>IF(OR(J16=0,J16=""),0,J13/J16)</f>
        <v>0</v>
      </c>
      <c r="K19" s="2644"/>
      <c r="L19" s="2644"/>
      <c r="M19" s="2645"/>
    </row>
  </sheetData>
  <sheetProtection algorithmName="SHA-512" hashValue="3RJ1m3nhCo9E8YFJRPrphlM5778cxwW3n4eM31rDzfNxMJ+JDzG4sKkiV2GKUmU042n9/acs2Dy3CV8KpyRVVw==" saltValue="TogAVgNjKq5ke1er2rgx1Q==" spinCount="100000" sheet="1" objects="1" scenarios="1"/>
  <mergeCells count="6">
    <mergeCell ref="J19:M19"/>
    <mergeCell ref="A1:M1"/>
    <mergeCell ref="B3:I3"/>
    <mergeCell ref="L3:M3"/>
    <mergeCell ref="J16:M16"/>
    <mergeCell ref="J13:M13"/>
  </mergeCells>
  <pageMargins left="0.75" right="0.75" top="1" bottom="1" header="0.5" footer="0.5"/>
  <pageSetup orientation="landscape" r:id="rId1"/>
  <headerFooter alignWithMargins="0">
    <oddHeader>&amp;LGeorgia Department of Community Affairs&amp;C&amp;"Arial,Bold"Cost Certification Application&amp;ROffice of Housing Finance</oddHeader>
    <oddFooter>&amp;LOHF Cost Certification Application&amp;C&amp;A&amp;R&amp;P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R792"/>
  <sheetViews>
    <sheetView showGridLines="0" showZeros="0" zoomScaleNormal="100" workbookViewId="0">
      <selection activeCell="F10" sqref="F10:H10"/>
    </sheetView>
  </sheetViews>
  <sheetFormatPr defaultColWidth="9.140625" defaultRowHeight="12" customHeight="1"/>
  <cols>
    <col min="1" max="1" width="3.28515625" style="184" customWidth="1"/>
    <col min="2" max="2" width="2.28515625" style="199" customWidth="1"/>
    <col min="3" max="16" width="8.85546875" style="184" customWidth="1"/>
    <col min="17" max="16384" width="9.140625" style="184"/>
  </cols>
  <sheetData>
    <row r="1" spans="1:16" s="156" customFormat="1" ht="13.9" customHeight="1">
      <c r="A1" s="1911" t="str">
        <f>CONCATENATE("PART ONE - PROJECT INFORMATION"," - ",$O$4," ",$F$24,", ",'Part I-Project Information'!F27,", ",'Part I-Project Information'!J28," County")</f>
        <v>PART ONE - PROJECT INFORMATION - 20##-### SB OHF Test Villas, Peachtree Corners, Gwinnett County</v>
      </c>
      <c r="B1" s="1912"/>
      <c r="C1" s="1912"/>
      <c r="D1" s="1912"/>
      <c r="E1" s="1912"/>
      <c r="F1" s="1912"/>
      <c r="G1" s="1912"/>
      <c r="H1" s="1912"/>
      <c r="I1" s="1912"/>
      <c r="J1" s="1912"/>
      <c r="K1" s="1912"/>
      <c r="L1" s="1912"/>
      <c r="M1" s="1912"/>
      <c r="N1" s="1912"/>
      <c r="O1" s="1912"/>
      <c r="P1" s="1913"/>
    </row>
    <row r="2" spans="1:16" s="156" customFormat="1" ht="9" customHeight="1">
      <c r="A2" s="157"/>
      <c r="B2" s="157"/>
      <c r="C2" s="157"/>
      <c r="D2" s="157"/>
      <c r="E2" s="157"/>
      <c r="F2" s="157"/>
      <c r="G2" s="157"/>
      <c r="H2" s="157"/>
      <c r="I2" s="157"/>
      <c r="J2" s="157"/>
      <c r="K2" s="157"/>
      <c r="L2" s="157"/>
      <c r="M2" s="157"/>
      <c r="N2" s="157"/>
      <c r="O2" s="157"/>
      <c r="P2" s="157"/>
    </row>
    <row r="3" spans="1:16" s="156" customFormat="1" ht="12" customHeight="1" thickBot="1">
      <c r="B3" s="134" t="s">
        <v>2102</v>
      </c>
      <c r="F3" s="158"/>
      <c r="G3" s="136" t="s">
        <v>416</v>
      </c>
      <c r="L3" s="157"/>
      <c r="O3" s="1941" t="s">
        <v>3109</v>
      </c>
      <c r="P3" s="1941"/>
    </row>
    <row r="4" spans="1:16" s="156" customFormat="1" ht="12" customHeight="1" thickBot="1">
      <c r="A4" s="159"/>
      <c r="B4" s="160"/>
      <c r="F4" s="161"/>
      <c r="G4" s="136" t="s">
        <v>417</v>
      </c>
      <c r="H4" s="162"/>
      <c r="I4" s="162"/>
      <c r="J4" s="162"/>
      <c r="O4" s="1915" t="s">
        <v>3682</v>
      </c>
      <c r="P4" s="1916"/>
    </row>
    <row r="5" spans="1:16" s="156" customFormat="1" ht="12" customHeight="1">
      <c r="A5" s="322"/>
      <c r="B5" s="160"/>
      <c r="C5" s="160"/>
      <c r="D5" s="58"/>
      <c r="F5" s="400"/>
      <c r="G5" s="58" t="s">
        <v>2899</v>
      </c>
      <c r="H5" s="441"/>
      <c r="I5" s="441"/>
      <c r="J5" s="441"/>
    </row>
    <row r="6" spans="1:16" s="156" customFormat="1" ht="9" customHeight="1">
      <c r="A6" s="159"/>
      <c r="B6" s="160"/>
      <c r="C6" s="160"/>
      <c r="D6" s="160"/>
      <c r="E6" s="162"/>
      <c r="H6" s="162"/>
      <c r="I6" s="162"/>
      <c r="J6" s="162"/>
      <c r="K6" s="134"/>
      <c r="M6" s="162"/>
    </row>
    <row r="7" spans="1:16" s="156" customFormat="1" ht="13.15" customHeight="1">
      <c r="A7" s="160" t="s">
        <v>572</v>
      </c>
      <c r="B7" s="160" t="s">
        <v>2110</v>
      </c>
      <c r="D7" s="137"/>
      <c r="E7" s="163"/>
      <c r="F7" s="164" t="s">
        <v>1546</v>
      </c>
      <c r="J7" s="1936">
        <f>'Part IV-Uses of Funds'!J169</f>
        <v>0</v>
      </c>
      <c r="K7" s="1937"/>
      <c r="M7" s="337"/>
    </row>
    <row r="8" spans="1:16" s="1" customFormat="1" ht="13.15" customHeight="1">
      <c r="A8" s="2"/>
      <c r="B8" s="2"/>
      <c r="D8" s="7"/>
      <c r="E8" s="268"/>
      <c r="F8" s="156" t="s">
        <v>1187</v>
      </c>
      <c r="J8" s="1888">
        <f>'Part III-Sources of Funds'!H4</f>
        <v>0</v>
      </c>
      <c r="K8" s="1889"/>
      <c r="L8" s="156"/>
      <c r="M8" s="337"/>
      <c r="N8" s="156"/>
      <c r="O8" s="156"/>
      <c r="P8" s="156"/>
    </row>
    <row r="9" spans="1:16" s="156" customFormat="1" ht="4.5" customHeight="1">
      <c r="A9" s="160"/>
      <c r="B9" s="160"/>
      <c r="D9" s="137"/>
      <c r="E9" s="163"/>
      <c r="F9" s="163"/>
      <c r="I9" s="165"/>
      <c r="N9" s="166"/>
    </row>
    <row r="10" spans="1:16" s="156" customFormat="1" ht="13.15" customHeight="1">
      <c r="A10" s="165" t="s">
        <v>685</v>
      </c>
      <c r="B10" s="160" t="s">
        <v>1826</v>
      </c>
      <c r="F10" s="1900" t="s">
        <v>2375</v>
      </c>
      <c r="G10" s="1901"/>
      <c r="H10" s="1902"/>
      <c r="I10" s="312"/>
      <c r="J10" s="362" t="s">
        <v>3216</v>
      </c>
      <c r="K10" s="134"/>
      <c r="M10" s="321"/>
      <c r="O10" s="1938" t="s">
        <v>1595</v>
      </c>
      <c r="P10" s="1939"/>
    </row>
    <row r="11" spans="1:16" s="156" customFormat="1" ht="12.75" customHeight="1">
      <c r="A11" s="322"/>
      <c r="H11" s="321"/>
    </row>
    <row r="12" spans="1:16" s="156" customFormat="1" ht="1.5" customHeight="1">
      <c r="I12" s="54"/>
      <c r="J12" s="54"/>
      <c r="K12" s="54"/>
      <c r="L12" s="54"/>
      <c r="M12" s="54"/>
      <c r="N12" s="54"/>
      <c r="O12" s="54"/>
      <c r="P12" s="54"/>
    </row>
    <row r="13" spans="1:16" s="156" customFormat="1" ht="13.15" customHeight="1">
      <c r="A13" s="165" t="s">
        <v>687</v>
      </c>
      <c r="B13" s="160" t="s">
        <v>1351</v>
      </c>
      <c r="D13" s="164"/>
      <c r="E13" s="163"/>
      <c r="G13" s="167"/>
      <c r="H13" s="167"/>
      <c r="I13" s="167"/>
      <c r="K13" s="166"/>
      <c r="L13" s="166"/>
    </row>
    <row r="14" spans="1:16" s="156" customFormat="1" ht="1.5" customHeight="1">
      <c r="A14" s="165"/>
      <c r="B14" s="163"/>
      <c r="C14" s="160"/>
      <c r="D14" s="164"/>
      <c r="E14" s="163"/>
      <c r="G14" s="167"/>
      <c r="H14" s="167"/>
      <c r="I14" s="167"/>
      <c r="K14" s="166"/>
      <c r="L14" s="166"/>
      <c r="O14" s="157"/>
    </row>
    <row r="15" spans="1:16" s="156" customFormat="1" ht="13.15" customHeight="1">
      <c r="B15" s="156" t="s">
        <v>2044</v>
      </c>
      <c r="F15" s="1897"/>
      <c r="G15" s="1898"/>
      <c r="H15" s="1898"/>
      <c r="I15" s="1898"/>
      <c r="J15" s="1898"/>
      <c r="K15" s="1898"/>
      <c r="L15" s="1899"/>
      <c r="M15" s="155" t="s">
        <v>1782</v>
      </c>
      <c r="N15" s="1928"/>
      <c r="O15" s="1929"/>
      <c r="P15" s="1930"/>
    </row>
    <row r="16" spans="1:16" s="156" customFormat="1" ht="13.15" customHeight="1">
      <c r="B16" s="164" t="s">
        <v>1783</v>
      </c>
      <c r="F16" s="1874"/>
      <c r="G16" s="1875"/>
      <c r="H16" s="1875"/>
      <c r="I16" s="1875"/>
      <c r="J16" s="1875"/>
      <c r="K16" s="1875"/>
      <c r="L16" s="1876"/>
      <c r="M16" s="155" t="s">
        <v>1552</v>
      </c>
      <c r="O16" s="1951"/>
      <c r="P16" s="1952"/>
    </row>
    <row r="17" spans="1:16" s="156" customFormat="1" ht="13.15" customHeight="1">
      <c r="B17" s="164" t="s">
        <v>574</v>
      </c>
      <c r="F17" s="1890"/>
      <c r="G17" s="1891"/>
      <c r="H17" s="1892"/>
      <c r="M17" s="155" t="s">
        <v>1621</v>
      </c>
      <c r="O17" s="1924"/>
      <c r="P17" s="1925"/>
    </row>
    <row r="18" spans="1:16" s="156" customFormat="1" ht="13.15" customHeight="1">
      <c r="B18" s="164" t="s">
        <v>1619</v>
      </c>
      <c r="F18" s="168"/>
      <c r="I18" s="162" t="s">
        <v>1979</v>
      </c>
      <c r="J18" s="1893"/>
      <c r="K18" s="1894"/>
      <c r="M18" s="155" t="s">
        <v>1781</v>
      </c>
      <c r="O18" s="1903"/>
      <c r="P18" s="1905"/>
    </row>
    <row r="19" spans="1:16" s="156" customFormat="1" ht="13.15" customHeight="1">
      <c r="B19" s="164" t="s">
        <v>1551</v>
      </c>
      <c r="F19" s="1933"/>
      <c r="G19" s="1934"/>
      <c r="H19" s="1935"/>
      <c r="I19" s="170" t="s">
        <v>1550</v>
      </c>
      <c r="J19" s="171"/>
      <c r="K19" s="162" t="s">
        <v>1786</v>
      </c>
      <c r="L19" s="1928"/>
      <c r="M19" s="1929"/>
      <c r="N19" s="1929"/>
      <c r="O19" s="1929"/>
      <c r="P19" s="1930"/>
    </row>
    <row r="20" spans="1:16" s="156" customFormat="1" ht="13.15" customHeight="1">
      <c r="A20" s="160"/>
      <c r="B20" s="153" t="s">
        <v>608</v>
      </c>
      <c r="D20" s="163"/>
      <c r="G20" s="163"/>
      <c r="H20" s="163"/>
      <c r="I20" s="167"/>
    </row>
    <row r="21" spans="1:16" s="156" customFormat="1" ht="4.5" customHeight="1">
      <c r="A21" s="159"/>
      <c r="B21" s="159"/>
      <c r="C21" s="172"/>
      <c r="D21" s="169"/>
      <c r="E21" s="169"/>
      <c r="F21" s="169"/>
      <c r="H21" s="162"/>
      <c r="I21" s="169"/>
      <c r="J21" s="172"/>
      <c r="K21" s="169"/>
      <c r="P21" s="173"/>
    </row>
    <row r="22" spans="1:16" s="156" customFormat="1" ht="13.15" customHeight="1">
      <c r="A22" s="165" t="s">
        <v>1614</v>
      </c>
      <c r="B22" s="160" t="s">
        <v>1352</v>
      </c>
      <c r="D22" s="137"/>
      <c r="E22" s="163"/>
      <c r="F22" s="163"/>
      <c r="G22" s="164"/>
      <c r="H22" s="163"/>
      <c r="I22" s="163"/>
      <c r="J22" s="167"/>
      <c r="L22" s="166"/>
      <c r="M22" s="166"/>
    </row>
    <row r="23" spans="1:16" s="156" customFormat="1" ht="1.5" customHeight="1">
      <c r="A23" s="165"/>
      <c r="B23" s="160"/>
      <c r="D23" s="137"/>
      <c r="E23" s="163"/>
      <c r="F23" s="163"/>
      <c r="G23" s="164"/>
      <c r="H23" s="163"/>
      <c r="I23" s="163"/>
      <c r="J23" s="167"/>
      <c r="L23" s="166"/>
    </row>
    <row r="24" spans="1:16" s="156" customFormat="1" ht="13.15" customHeight="1">
      <c r="A24" s="160"/>
      <c r="B24" s="156" t="s">
        <v>573</v>
      </c>
      <c r="D24" s="174"/>
      <c r="F24" s="1917" t="s">
        <v>3787</v>
      </c>
      <c r="G24" s="1918"/>
      <c r="H24" s="1918"/>
      <c r="I24" s="1918"/>
      <c r="J24" s="1918"/>
      <c r="K24" s="1918"/>
      <c r="L24" s="1919"/>
      <c r="M24" s="155" t="s">
        <v>1955</v>
      </c>
      <c r="O24" s="1928"/>
      <c r="P24" s="1930"/>
    </row>
    <row r="25" spans="1:16" s="156" customFormat="1" ht="13.15" customHeight="1">
      <c r="A25" s="175"/>
      <c r="B25" s="156" t="s">
        <v>3218</v>
      </c>
      <c r="D25" s="176"/>
      <c r="F25" s="1841"/>
      <c r="G25" s="1920"/>
      <c r="H25" s="1920"/>
      <c r="I25" s="1920"/>
      <c r="J25" s="1920"/>
      <c r="K25" s="1920"/>
      <c r="L25" s="1921"/>
      <c r="M25" s="155" t="s">
        <v>3219</v>
      </c>
      <c r="O25" s="966"/>
      <c r="P25" s="967"/>
    </row>
    <row r="26" spans="1:16" s="156" customFormat="1" ht="13.15" customHeight="1">
      <c r="A26" s="175"/>
      <c r="B26" s="156" t="s">
        <v>2396</v>
      </c>
      <c r="D26" s="176"/>
      <c r="F26" s="1874"/>
      <c r="G26" s="1875"/>
      <c r="H26" s="1875"/>
      <c r="I26" s="1875"/>
      <c r="J26" s="1875"/>
      <c r="K26" s="1875"/>
      <c r="L26" s="1876"/>
      <c r="M26" s="155" t="s">
        <v>2027</v>
      </c>
      <c r="O26" s="1926"/>
      <c r="P26" s="1927"/>
    </row>
    <row r="27" spans="1:16" s="156" customFormat="1" ht="13.15" customHeight="1">
      <c r="A27" s="159"/>
      <c r="B27" s="156" t="s">
        <v>574</v>
      </c>
      <c r="F27" s="1897" t="s">
        <v>2440</v>
      </c>
      <c r="G27" s="1898"/>
      <c r="H27" s="1899"/>
      <c r="I27" s="182" t="s">
        <v>2348</v>
      </c>
      <c r="J27" s="1922"/>
      <c r="K27" s="1923"/>
      <c r="L27" s="257" t="str">
        <f>IF(AND(NOT(F24=""),NOT(F27="Select from list"),J27=""),"Enter Zip!","")</f>
        <v>Enter Zip!</v>
      </c>
      <c r="M27" s="178" t="s">
        <v>2460</v>
      </c>
      <c r="O27" s="1868"/>
      <c r="P27" s="1869"/>
    </row>
    <row r="28" spans="1:16" s="156" customFormat="1" ht="13.15" customHeight="1">
      <c r="A28" s="159"/>
      <c r="B28" s="384" t="s">
        <v>3107</v>
      </c>
      <c r="D28" s="384"/>
      <c r="F28" s="1874" t="s">
        <v>2382</v>
      </c>
      <c r="G28" s="1875"/>
      <c r="H28" s="1876"/>
      <c r="I28" s="177" t="s">
        <v>575</v>
      </c>
      <c r="J28" s="1931" t="str">
        <f>IF($F$27="","",VLOOKUP($F$27,'DCA Underwriting Assumptions'!$T$158:$U$786,2,FALSE))</f>
        <v>Gwinnett</v>
      </c>
      <c r="K28" s="1932"/>
      <c r="M28" s="155" t="s">
        <v>426</v>
      </c>
      <c r="N28" s="179"/>
      <c r="O28" s="166" t="s">
        <v>427</v>
      </c>
      <c r="P28" s="179"/>
    </row>
    <row r="29" spans="1:16" s="156" customFormat="1" ht="13.15" customHeight="1">
      <c r="A29" s="159"/>
      <c r="B29" s="160"/>
      <c r="C29" s="156" t="s">
        <v>1414</v>
      </c>
      <c r="F29" s="363"/>
      <c r="G29" s="1895" t="s">
        <v>2397</v>
      </c>
      <c r="H29" s="1896"/>
      <c r="I29" s="386" t="str">
        <f>IF($J$28="","",IF(VLOOKUP($J$28,'DCA Underwriting Assumptions'!$G$158:$M$317,7,FALSE)="Rural","Yes",IF(VLOOKUP($J$28,'DCA Underwriting Assumptions'!$G$158:$M$317,7,FALSE)="Urban","No","")))</f>
        <v>No</v>
      </c>
      <c r="J29" s="388" t="s">
        <v>2401</v>
      </c>
      <c r="K29" s="388" t="str">
        <f>IF(OR(F29="Yes",I29="Yes"),"Rural","Urban")</f>
        <v>Urban</v>
      </c>
      <c r="M29" s="381" t="s">
        <v>2320</v>
      </c>
      <c r="N29" s="293" t="str">
        <f>VLOOKUP($J$28,'DCA Underwriting Assumptions'!$G$158:$J$317,4)</f>
        <v>MSA</v>
      </c>
      <c r="O29" s="1877" t="str">
        <f>IF($F$27="","",VLOOKUP($J$28,'DCA Underwriting Assumptions'!$G$158:$L$317,3,FALSE))</f>
        <v>Atlanta-Sandy Springs-Marietta</v>
      </c>
      <c r="P29" s="1878"/>
    </row>
    <row r="30" spans="1:16" s="156" customFormat="1" ht="3" customHeight="1">
      <c r="A30" s="159"/>
      <c r="B30" s="160"/>
      <c r="C30" s="160"/>
      <c r="I30" s="164"/>
      <c r="J30" s="169"/>
      <c r="L30" s="180"/>
      <c r="M30" s="180"/>
      <c r="N30" s="180"/>
      <c r="O30" s="180"/>
      <c r="P30" s="180"/>
    </row>
    <row r="31" spans="1:16" s="156" customFormat="1" ht="13.15" customHeight="1">
      <c r="A31" s="159"/>
      <c r="F31" s="1879" t="s">
        <v>2379</v>
      </c>
      <c r="G31" s="1879"/>
      <c r="H31" s="1914" t="s">
        <v>682</v>
      </c>
      <c r="I31" s="1914"/>
      <c r="J31" s="1914" t="s">
        <v>683</v>
      </c>
      <c r="K31" s="1914"/>
      <c r="L31" s="355" t="s">
        <v>2349</v>
      </c>
    </row>
    <row r="32" spans="1:16" s="156" customFormat="1" ht="13.15" customHeight="1">
      <c r="A32" s="159"/>
      <c r="B32" s="156" t="s">
        <v>2378</v>
      </c>
      <c r="D32" s="160"/>
      <c r="F32" s="1866"/>
      <c r="G32" s="1867"/>
      <c r="H32" s="1866"/>
      <c r="I32" s="1867"/>
      <c r="J32" s="1866"/>
      <c r="K32" s="1867"/>
      <c r="L32" s="351" t="s">
        <v>1185</v>
      </c>
      <c r="N32" s="1870" t="s">
        <v>1186</v>
      </c>
      <c r="O32" s="1870"/>
      <c r="P32" s="1870"/>
    </row>
    <row r="33" spans="1:17" s="156" customFormat="1" ht="12.75" customHeight="1">
      <c r="A33" s="159"/>
      <c r="B33" s="164" t="s">
        <v>684</v>
      </c>
      <c r="F33" s="1872"/>
      <c r="G33" s="1873"/>
      <c r="H33" s="1872"/>
      <c r="I33" s="1873"/>
      <c r="J33" s="1872"/>
      <c r="K33" s="1873"/>
      <c r="L33" s="351" t="s">
        <v>2377</v>
      </c>
      <c r="N33" s="1871" t="s">
        <v>2376</v>
      </c>
      <c r="O33" s="1871"/>
    </row>
    <row r="34" spans="1:17" s="156" customFormat="1" ht="3" customHeight="1">
      <c r="A34" s="159"/>
      <c r="I34" s="180"/>
      <c r="J34" s="180"/>
      <c r="K34" s="180"/>
      <c r="L34" s="348"/>
      <c r="M34" s="169"/>
      <c r="N34" s="169"/>
      <c r="O34" s="169"/>
      <c r="P34" s="169"/>
    </row>
    <row r="35" spans="1:17" s="156" customFormat="1" ht="13.15" customHeight="1">
      <c r="A35" s="159"/>
      <c r="B35" s="160" t="s">
        <v>592</v>
      </c>
      <c r="F35" s="1837"/>
      <c r="G35" s="1838"/>
      <c r="H35" s="1838"/>
      <c r="I35" s="1838"/>
      <c r="J35" s="1839"/>
      <c r="K35" s="1840"/>
      <c r="M35" s="335" t="s">
        <v>2351</v>
      </c>
      <c r="N35" s="1897"/>
      <c r="O35" s="1898"/>
      <c r="P35" s="1899"/>
    </row>
    <row r="36" spans="1:17" s="156" customFormat="1" ht="13.15" customHeight="1">
      <c r="A36" s="159"/>
      <c r="B36" s="156" t="s">
        <v>593</v>
      </c>
      <c r="F36" s="1844"/>
      <c r="G36" s="1845"/>
      <c r="H36" s="1846"/>
      <c r="I36" s="333" t="s">
        <v>1782</v>
      </c>
      <c r="J36" s="1855"/>
      <c r="K36" s="1856"/>
      <c r="L36" s="1857"/>
      <c r="M36" s="164" t="s">
        <v>1620</v>
      </c>
      <c r="N36" s="1948"/>
      <c r="O36" s="1949"/>
      <c r="P36" s="1950"/>
    </row>
    <row r="37" spans="1:17" s="156" customFormat="1" ht="13.15" customHeight="1">
      <c r="A37" s="159"/>
      <c r="B37" s="156" t="s">
        <v>1783</v>
      </c>
      <c r="F37" s="1844"/>
      <c r="G37" s="1845"/>
      <c r="H37" s="1845"/>
      <c r="I37" s="1845"/>
      <c r="J37" s="1849"/>
      <c r="K37" s="1850"/>
      <c r="M37" s="197" t="s">
        <v>574</v>
      </c>
      <c r="N37" s="1874"/>
      <c r="O37" s="1875"/>
      <c r="P37" s="1876"/>
    </row>
    <row r="38" spans="1:17" s="156" customFormat="1" ht="13.15" customHeight="1">
      <c r="A38" s="159"/>
      <c r="B38" s="155" t="s">
        <v>1979</v>
      </c>
      <c r="F38" s="1957"/>
      <c r="G38" s="1958"/>
      <c r="H38" s="170" t="s">
        <v>1784</v>
      </c>
      <c r="I38" s="1851"/>
      <c r="J38" s="1852"/>
      <c r="K38" s="1853"/>
      <c r="M38" s="164" t="s">
        <v>1621</v>
      </c>
      <c r="N38" s="1847"/>
      <c r="O38" s="1848"/>
    </row>
    <row r="39" spans="1:17" s="156" customFormat="1" ht="4.5" customHeight="1">
      <c r="A39" s="159"/>
      <c r="B39" s="159"/>
      <c r="C39" s="181"/>
      <c r="D39" s="182"/>
      <c r="E39" s="182"/>
      <c r="F39" s="162"/>
      <c r="G39" s="162"/>
      <c r="H39" s="162"/>
      <c r="I39" s="162"/>
      <c r="J39" s="182"/>
      <c r="K39" s="162"/>
      <c r="L39" s="162"/>
      <c r="N39" s="169"/>
      <c r="O39" s="169"/>
      <c r="P39" s="173"/>
    </row>
    <row r="40" spans="1:17" s="156" customFormat="1" ht="12" customHeight="1">
      <c r="A40" s="165" t="s">
        <v>1616</v>
      </c>
      <c r="B40" s="160" t="s">
        <v>1353</v>
      </c>
      <c r="F40" s="183"/>
      <c r="I40" s="364"/>
      <c r="J40" s="365"/>
      <c r="K40" s="348"/>
      <c r="L40" s="348"/>
      <c r="M40" s="348"/>
      <c r="N40" s="348"/>
      <c r="O40" s="348"/>
      <c r="P40" s="348"/>
    </row>
    <row r="41" spans="1:17" s="156" customFormat="1" ht="1.5" customHeight="1">
      <c r="A41" s="159"/>
      <c r="B41" s="160"/>
      <c r="C41" s="160"/>
      <c r="I41" s="364"/>
      <c r="J41" s="365"/>
      <c r="K41" s="348"/>
      <c r="L41" s="348"/>
      <c r="M41" s="169"/>
      <c r="N41" s="169"/>
      <c r="O41" s="169"/>
      <c r="P41" s="349"/>
      <c r="Q41" s="349"/>
    </row>
    <row r="42" spans="1:17" s="156" customFormat="1" ht="12.75">
      <c r="A42" s="159"/>
      <c r="B42" s="159" t="s">
        <v>1785</v>
      </c>
      <c r="C42" s="160" t="s">
        <v>667</v>
      </c>
      <c r="I42" s="365"/>
      <c r="J42" s="365"/>
      <c r="K42" s="352"/>
      <c r="L42" s="348"/>
      <c r="M42" s="354"/>
      <c r="N42" s="354"/>
      <c r="O42" s="354"/>
      <c r="P42" s="354"/>
      <c r="Q42" s="350"/>
    </row>
    <row r="43" spans="1:17" ht="13.15" customHeight="1">
      <c r="B43" s="159"/>
      <c r="C43" s="156" t="s">
        <v>2039</v>
      </c>
      <c r="D43" s="156"/>
      <c r="E43" s="156"/>
      <c r="H43" s="1426">
        <f>'Part VI-Revenues &amp; Expenses'!O114</f>
        <v>0</v>
      </c>
      <c r="K43" s="164" t="s">
        <v>343</v>
      </c>
      <c r="L43" s="156"/>
      <c r="P43" s="1426">
        <f>'Part VI-Revenues &amp; Expenses'!O121</f>
        <v>0</v>
      </c>
      <c r="Q43" s="162"/>
    </row>
    <row r="44" spans="1:17" s="156" customFormat="1" ht="12.75">
      <c r="A44" s="159"/>
      <c r="B44" s="159"/>
      <c r="C44" s="185" t="s">
        <v>325</v>
      </c>
      <c r="H44" s="1427">
        <f>'Part VI-Revenues &amp; Expenses'!O120</f>
        <v>0</v>
      </c>
      <c r="K44" s="185" t="s">
        <v>344</v>
      </c>
      <c r="P44" s="1427">
        <f>'Part VI-Revenues &amp; Expenses'!O124</f>
        <v>0</v>
      </c>
    </row>
    <row r="45" spans="1:17" s="156" customFormat="1" ht="13.15" customHeight="1">
      <c r="B45" s="159"/>
      <c r="C45" s="164" t="s">
        <v>324</v>
      </c>
      <c r="D45" s="169"/>
      <c r="H45" s="1428">
        <f>'Part VI-Revenues &amp; Expenses'!O117</f>
        <v>0</v>
      </c>
      <c r="I45" s="324" t="s">
        <v>2464</v>
      </c>
      <c r="K45" s="156" t="s">
        <v>326</v>
      </c>
      <c r="P45" s="1429"/>
      <c r="Q45" s="162"/>
    </row>
    <row r="46" spans="1:17" s="156" customFormat="1" ht="3.6" customHeight="1">
      <c r="A46" s="159"/>
      <c r="P46" s="169"/>
    </row>
    <row r="47" spans="1:17" s="156" customFormat="1" ht="12.75">
      <c r="A47" s="159"/>
      <c r="B47" s="159" t="s">
        <v>1788</v>
      </c>
      <c r="C47" s="160" t="s">
        <v>2040</v>
      </c>
      <c r="H47" s="171"/>
      <c r="K47" s="365"/>
      <c r="L47" s="365"/>
      <c r="M47" s="348"/>
      <c r="N47" s="348"/>
      <c r="O47" s="354"/>
      <c r="P47" s="352"/>
      <c r="Q47" s="349"/>
    </row>
    <row r="48" spans="1:17" s="156" customFormat="1" ht="3" customHeight="1">
      <c r="A48" s="159"/>
      <c r="I48" s="365"/>
      <c r="J48" s="352"/>
      <c r="K48" s="353"/>
      <c r="L48" s="352"/>
      <c r="M48" s="353"/>
      <c r="N48" s="353"/>
      <c r="O48" s="353"/>
      <c r="P48" s="353"/>
      <c r="Q48" s="349"/>
    </row>
    <row r="49" spans="1:19" s="156" customFormat="1" ht="13.15" customHeight="1">
      <c r="A49" s="322"/>
      <c r="B49" s="175" t="s">
        <v>694</v>
      </c>
      <c r="C49" s="174" t="s">
        <v>2021</v>
      </c>
      <c r="D49" s="543"/>
      <c r="I49" s="557" t="s">
        <v>3104</v>
      </c>
      <c r="J49" s="175" t="s">
        <v>1889</v>
      </c>
      <c r="K49" s="186" t="s">
        <v>2045</v>
      </c>
      <c r="M49" s="543"/>
      <c r="N49" s="543"/>
      <c r="O49" s="543"/>
      <c r="P49" s="544"/>
      <c r="Q49" s="544"/>
      <c r="R49" s="544"/>
      <c r="S49" s="543"/>
    </row>
    <row r="50" spans="1:19" s="156" customFormat="1" ht="13.15" customHeight="1">
      <c r="A50" s="322"/>
      <c r="B50" s="542"/>
      <c r="C50" s="172" t="s">
        <v>2022</v>
      </c>
      <c r="D50" s="543"/>
      <c r="E50" s="543"/>
      <c r="H50" s="550">
        <f>SUM(H51:H57)</f>
        <v>0</v>
      </c>
      <c r="I50" s="550">
        <f>SUM(I54:I57)</f>
        <v>0</v>
      </c>
      <c r="J50" s="322"/>
      <c r="K50" s="172" t="s">
        <v>2388</v>
      </c>
      <c r="M50" s="543"/>
      <c r="N50" s="543"/>
      <c r="O50" s="543"/>
      <c r="P50" s="550">
        <f>SUM(P51:P57)</f>
        <v>0</v>
      </c>
    </row>
    <row r="51" spans="1:19" s="156" customFormat="1" ht="13.15" customHeight="1">
      <c r="A51" s="322"/>
      <c r="B51" s="1328"/>
      <c r="C51" s="172"/>
      <c r="D51" s="189" t="s">
        <v>3651</v>
      </c>
      <c r="E51" s="1329"/>
      <c r="H51" s="812">
        <f>'Part VI-Revenues &amp; Expenses'!$O$56</f>
        <v>0</v>
      </c>
      <c r="I51" s="812">
        <f>'Part VI-Revenues &amp; Expenses'!$O$92</f>
        <v>0</v>
      </c>
      <c r="J51" s="322"/>
      <c r="K51" s="172"/>
      <c r="L51" s="189" t="s">
        <v>3651</v>
      </c>
      <c r="M51" s="1329"/>
      <c r="N51" s="1329"/>
      <c r="O51" s="1329"/>
      <c r="P51" s="812">
        <f>'Part VI-Revenues &amp; Expenses'!$O$156</f>
        <v>0</v>
      </c>
    </row>
    <row r="52" spans="1:19" s="156" customFormat="1" ht="13.15" customHeight="1">
      <c r="A52" s="322"/>
      <c r="B52" s="1328"/>
      <c r="C52" s="172"/>
      <c r="D52" s="189" t="s">
        <v>3652</v>
      </c>
      <c r="E52" s="1329"/>
      <c r="H52" s="1433">
        <f>'Part VI-Revenues &amp; Expenses'!$O$57</f>
        <v>0</v>
      </c>
      <c r="I52" s="1433">
        <f>'Part VI-Revenues &amp; Expenses'!$O$93</f>
        <v>0</v>
      </c>
      <c r="J52" s="322"/>
      <c r="K52" s="172"/>
      <c r="L52" s="189" t="s">
        <v>3652</v>
      </c>
      <c r="M52" s="1329"/>
      <c r="N52" s="1329"/>
      <c r="O52" s="1329"/>
      <c r="P52" s="1433">
        <f>'Part VI-Revenues &amp; Expenses'!$O$157</f>
        <v>0</v>
      </c>
    </row>
    <row r="53" spans="1:19" s="156" customFormat="1" ht="13.15" customHeight="1">
      <c r="A53" s="322"/>
      <c r="B53" s="1328"/>
      <c r="C53" s="172"/>
      <c r="D53" s="189" t="s">
        <v>3653</v>
      </c>
      <c r="E53" s="189"/>
      <c r="H53" s="1433">
        <f>'Part VI-Revenues &amp; Expenses'!$O$58</f>
        <v>0</v>
      </c>
      <c r="I53" s="1433">
        <f>'Part VI-Revenues &amp; Expenses'!$O$94</f>
        <v>0</v>
      </c>
      <c r="J53" s="322"/>
      <c r="K53" s="172"/>
      <c r="L53" s="189" t="s">
        <v>3653</v>
      </c>
      <c r="M53" s="1329"/>
      <c r="N53" s="1329"/>
      <c r="O53" s="1329"/>
      <c r="P53" s="1433">
        <f>'Part VI-Revenues &amp; Expenses'!$O$158</f>
        <v>0</v>
      </c>
    </row>
    <row r="54" spans="1:19" s="156" customFormat="1" ht="13.15" customHeight="1">
      <c r="A54" s="322"/>
      <c r="B54" s="1328"/>
      <c r="C54" s="172"/>
      <c r="D54" s="189" t="s">
        <v>3654</v>
      </c>
      <c r="E54" s="1329"/>
      <c r="H54" s="1433">
        <f>'Part VI-Revenues &amp; Expenses'!$O$59</f>
        <v>0</v>
      </c>
      <c r="I54" s="1433">
        <f>'Part VI-Revenues &amp; Expenses'!$O$95</f>
        <v>0</v>
      </c>
      <c r="J54" s="322"/>
      <c r="K54" s="172"/>
      <c r="L54" s="189" t="s">
        <v>3654</v>
      </c>
      <c r="M54" s="1329"/>
      <c r="N54" s="1329"/>
      <c r="O54" s="1329"/>
      <c r="P54" s="1433">
        <f>'Part VI-Revenues &amp; Expenses'!$O$159</f>
        <v>0</v>
      </c>
    </row>
    <row r="55" spans="1:19" s="156" customFormat="1" ht="13.15" customHeight="1">
      <c r="A55" s="322"/>
      <c r="B55" s="1328"/>
      <c r="C55" s="172"/>
      <c r="D55" s="189" t="s">
        <v>3655</v>
      </c>
      <c r="E55" s="189"/>
      <c r="H55" s="1433">
        <f>'Part VI-Revenues &amp; Expenses'!$O$60</f>
        <v>0</v>
      </c>
      <c r="I55" s="1433">
        <f>'Part VI-Revenues &amp; Expenses'!$O$96</f>
        <v>0</v>
      </c>
      <c r="J55" s="322"/>
      <c r="K55" s="172"/>
      <c r="L55" s="189" t="s">
        <v>3655</v>
      </c>
      <c r="M55" s="1329"/>
      <c r="N55" s="1329"/>
      <c r="O55" s="1329"/>
      <c r="P55" s="1433">
        <f>'Part VI-Revenues &amp; Expenses'!$O$160</f>
        <v>0</v>
      </c>
    </row>
    <row r="56" spans="1:19" s="156" customFormat="1" ht="13.15" customHeight="1">
      <c r="A56" s="322"/>
      <c r="B56" s="184"/>
      <c r="D56" s="189" t="s">
        <v>3656</v>
      </c>
      <c r="E56" s="189"/>
      <c r="H56" s="1433">
        <f>'Part VI-Revenues &amp; Expenses'!$O$61</f>
        <v>0</v>
      </c>
      <c r="I56" s="1433">
        <f>'Part VI-Revenues &amp; Expenses'!$O$97</f>
        <v>0</v>
      </c>
      <c r="L56" s="189" t="s">
        <v>3656</v>
      </c>
      <c r="P56" s="1433">
        <f>'Part VI-Revenues &amp; Expenses'!$O$161</f>
        <v>0</v>
      </c>
    </row>
    <row r="57" spans="1:19" s="156" customFormat="1" ht="13.15" customHeight="1">
      <c r="A57" s="159"/>
      <c r="D57" s="189" t="s">
        <v>3657</v>
      </c>
      <c r="E57" s="189"/>
      <c r="H57" s="813">
        <f>'Part VI-Revenues &amp; Expenses'!$O$62</f>
        <v>0</v>
      </c>
      <c r="I57" s="813">
        <f>'Part VI-Revenues &amp; Expenses'!$O$98</f>
        <v>0</v>
      </c>
      <c r="L57" s="189" t="s">
        <v>3657</v>
      </c>
      <c r="P57" s="813">
        <f>'Part VI-Revenues &amp; Expenses'!$O$162</f>
        <v>0</v>
      </c>
    </row>
    <row r="58" spans="1:19" s="156" customFormat="1" ht="13.15" customHeight="1">
      <c r="A58" s="159"/>
      <c r="C58" s="172" t="s">
        <v>234</v>
      </c>
      <c r="D58" s="169"/>
      <c r="E58" s="169"/>
      <c r="H58" s="1434">
        <f>'Part VI-Revenues &amp; Expenses'!$O$64</f>
        <v>0</v>
      </c>
      <c r="J58" s="159"/>
      <c r="K58" s="172" t="s">
        <v>2389</v>
      </c>
      <c r="M58" s="543"/>
      <c r="N58" s="543"/>
      <c r="O58" s="543"/>
      <c r="P58" s="1432">
        <f>'Part VI-Revenues &amp; Expenses'!$O$164</f>
        <v>0</v>
      </c>
    </row>
    <row r="59" spans="1:19" s="156" customFormat="1" ht="13.15" customHeight="1">
      <c r="A59" s="159"/>
      <c r="C59" s="172" t="s">
        <v>2136</v>
      </c>
      <c r="D59" s="169"/>
      <c r="E59" s="169"/>
      <c r="H59" s="812">
        <f>H50+H58</f>
        <v>0</v>
      </c>
      <c r="J59" s="159"/>
      <c r="K59" s="172" t="s">
        <v>2390</v>
      </c>
      <c r="M59" s="169"/>
      <c r="N59" s="169"/>
      <c r="O59" s="169"/>
      <c r="P59" s="812">
        <f>P50+P58</f>
        <v>0</v>
      </c>
    </row>
    <row r="60" spans="1:19" s="156" customFormat="1" ht="13.15" customHeight="1">
      <c r="A60" s="159"/>
      <c r="C60" s="172" t="s">
        <v>2137</v>
      </c>
      <c r="D60" s="169"/>
      <c r="E60" s="169"/>
      <c r="H60" s="813">
        <f>'Part VI-Revenues &amp; Expenses'!$O$66</f>
        <v>0</v>
      </c>
      <c r="J60" s="159"/>
      <c r="K60" s="172" t="s">
        <v>2391</v>
      </c>
      <c r="M60" s="169"/>
      <c r="N60" s="169"/>
      <c r="O60" s="169"/>
      <c r="P60" s="813">
        <f>'Part VI-Revenues &amp; Expenses'!$O$166</f>
        <v>0</v>
      </c>
    </row>
    <row r="61" spans="1:19" s="156" customFormat="1" ht="13.15" customHeight="1">
      <c r="A61" s="159"/>
      <c r="C61" s="172" t="s">
        <v>1615</v>
      </c>
      <c r="D61" s="169"/>
      <c r="E61" s="169"/>
      <c r="H61" s="188">
        <f>+H59+H60</f>
        <v>0</v>
      </c>
      <c r="J61" s="169"/>
      <c r="K61" s="172" t="s">
        <v>1306</v>
      </c>
      <c r="M61" s="169"/>
      <c r="N61" s="169"/>
      <c r="O61" s="169"/>
      <c r="P61" s="550">
        <f>+P59+P60</f>
        <v>0</v>
      </c>
    </row>
    <row r="62" spans="1:19" s="156" customFormat="1" ht="3" customHeight="1">
      <c r="A62" s="159"/>
      <c r="I62" s="162"/>
      <c r="L62" s="162"/>
      <c r="M62" s="162"/>
      <c r="N62" s="169"/>
      <c r="P62" s="173"/>
    </row>
    <row r="63" spans="1:19" s="156" customFormat="1" ht="13.15" customHeight="1">
      <c r="A63" s="159"/>
      <c r="B63" s="159" t="s">
        <v>1563</v>
      </c>
      <c r="C63" s="174" t="s">
        <v>2041</v>
      </c>
      <c r="D63" s="189" t="s">
        <v>1799</v>
      </c>
      <c r="G63" s="169"/>
      <c r="H63" s="190"/>
      <c r="K63" s="172" t="s">
        <v>1046</v>
      </c>
      <c r="O63" s="169"/>
      <c r="P63" s="190"/>
    </row>
    <row r="64" spans="1:19" s="156" customFormat="1" ht="13.15" customHeight="1">
      <c r="A64" s="159"/>
      <c r="B64" s="159"/>
      <c r="D64" s="187" t="s">
        <v>1800</v>
      </c>
      <c r="H64" s="190"/>
      <c r="I64" s="169"/>
      <c r="K64" s="172" t="s">
        <v>233</v>
      </c>
      <c r="O64" s="169"/>
      <c r="P64" s="188">
        <f>+P61+P63</f>
        <v>0</v>
      </c>
    </row>
    <row r="65" spans="1:16" s="156" customFormat="1" ht="13.15" customHeight="1">
      <c r="A65" s="159"/>
      <c r="B65" s="159"/>
      <c r="D65" s="187" t="s">
        <v>1801</v>
      </c>
      <c r="H65" s="188">
        <f>+H63+H64</f>
        <v>0</v>
      </c>
      <c r="I65" s="169"/>
    </row>
    <row r="66" spans="1:16" s="156" customFormat="1" ht="3" customHeight="1">
      <c r="A66" s="159"/>
      <c r="B66" s="159"/>
      <c r="C66" s="169"/>
      <c r="D66" s="169"/>
      <c r="E66" s="169"/>
      <c r="F66" s="169"/>
      <c r="G66" s="162"/>
      <c r="I66" s="172"/>
      <c r="J66" s="169"/>
      <c r="P66" s="173"/>
    </row>
    <row r="67" spans="1:16" s="156" customFormat="1" ht="13.15" customHeight="1">
      <c r="A67" s="159"/>
      <c r="B67" s="159" t="s">
        <v>1564</v>
      </c>
      <c r="C67" s="174" t="s">
        <v>2416</v>
      </c>
      <c r="D67" s="169"/>
      <c r="E67" s="169"/>
      <c r="F67" s="169"/>
      <c r="G67" s="169"/>
      <c r="H67" s="190"/>
    </row>
    <row r="68" spans="1:16" s="156" customFormat="1" ht="6.75" customHeight="1">
      <c r="A68" s="159"/>
      <c r="B68" s="159"/>
      <c r="C68" s="172"/>
      <c r="D68" s="169"/>
      <c r="E68" s="169"/>
      <c r="F68" s="169"/>
      <c r="G68" s="162"/>
      <c r="H68" s="169"/>
      <c r="I68" s="172"/>
      <c r="J68" s="172"/>
      <c r="K68" s="169"/>
      <c r="P68" s="173"/>
    </row>
    <row r="69" spans="1:16" s="156" customFormat="1" ht="13.15" customHeight="1">
      <c r="A69" s="159" t="s">
        <v>494</v>
      </c>
      <c r="B69" s="191" t="s">
        <v>1101</v>
      </c>
      <c r="D69" s="191"/>
      <c r="E69" s="191"/>
      <c r="F69" s="169"/>
      <c r="G69" s="162"/>
      <c r="H69" s="379"/>
      <c r="K69" s="169"/>
    </row>
    <row r="70" spans="1:16" s="156" customFormat="1" ht="3" customHeight="1">
      <c r="A70" s="159"/>
      <c r="C70" s="192"/>
      <c r="D70" s="192"/>
      <c r="E70" s="192"/>
      <c r="F70" s="169"/>
      <c r="G70" s="162"/>
      <c r="K70" s="169"/>
      <c r="P70" s="173"/>
    </row>
    <row r="71" spans="1:16" s="156" customFormat="1" ht="13.15" customHeight="1">
      <c r="A71" s="159"/>
      <c r="B71" s="159" t="s">
        <v>1785</v>
      </c>
      <c r="C71" s="134" t="s">
        <v>2341</v>
      </c>
      <c r="D71" s="192"/>
      <c r="E71" s="192"/>
      <c r="F71" s="169"/>
      <c r="G71" s="162"/>
      <c r="H71" s="1858" t="s">
        <v>1595</v>
      </c>
      <c r="I71" s="1859"/>
      <c r="K71" s="1854" t="s">
        <v>1596</v>
      </c>
      <c r="L71" s="1854"/>
      <c r="N71" s="1928"/>
      <c r="O71" s="1929"/>
      <c r="P71" s="1930"/>
    </row>
    <row r="72" spans="1:16" s="156" customFormat="1" ht="3" customHeight="1">
      <c r="A72" s="322"/>
      <c r="B72" s="322"/>
      <c r="D72" s="409"/>
      <c r="E72" s="409"/>
      <c r="F72" s="409"/>
      <c r="G72" s="409"/>
      <c r="I72" s="411"/>
      <c r="K72" s="410"/>
      <c r="L72" s="410"/>
      <c r="M72" s="411"/>
      <c r="N72" s="412"/>
      <c r="P72" s="173"/>
    </row>
    <row r="73" spans="1:16" s="156" customFormat="1" ht="12.75">
      <c r="A73" s="322"/>
      <c r="B73" s="322"/>
      <c r="E73" s="383"/>
      <c r="K73" s="1863" t="s">
        <v>3658</v>
      </c>
      <c r="L73" s="193" t="s">
        <v>2465</v>
      </c>
      <c r="M73" s="1435"/>
      <c r="N73" s="193" t="s">
        <v>2466</v>
      </c>
      <c r="O73" s="1435"/>
      <c r="P73" s="164" t="s">
        <v>3659</v>
      </c>
    </row>
    <row r="74" spans="1:16" s="156" customFormat="1" ht="12.75">
      <c r="A74" s="322"/>
      <c r="B74" s="322"/>
      <c r="D74" s="1327"/>
      <c r="E74" s="383"/>
      <c r="J74" s="1436"/>
      <c r="K74" s="1863"/>
      <c r="L74" s="176" t="s">
        <v>2467</v>
      </c>
      <c r="M74" s="1437"/>
      <c r="N74" s="176" t="s">
        <v>3660</v>
      </c>
      <c r="O74" s="1437"/>
      <c r="P74" s="1438"/>
    </row>
    <row r="75" spans="1:16" s="156" customFormat="1" ht="12.75">
      <c r="A75" s="322"/>
      <c r="B75" s="322"/>
      <c r="D75" s="1328"/>
      <c r="E75" s="1328"/>
      <c r="F75" s="1328"/>
      <c r="G75" s="1328"/>
      <c r="I75" s="1330"/>
      <c r="K75" s="1327"/>
      <c r="L75" s="1327"/>
      <c r="M75" s="1330"/>
      <c r="N75" s="1329"/>
      <c r="P75" s="173"/>
    </row>
    <row r="76" spans="1:16" s="156" customFormat="1" ht="12.75">
      <c r="A76" s="322"/>
      <c r="B76" s="322" t="s">
        <v>1788</v>
      </c>
      <c r="C76" s="174" t="s">
        <v>1299</v>
      </c>
      <c r="D76" s="1329"/>
      <c r="E76" s="189"/>
      <c r="F76" s="1328" t="s">
        <v>736</v>
      </c>
      <c r="H76" s="1466"/>
      <c r="K76" s="1854" t="s">
        <v>484</v>
      </c>
      <c r="L76" s="1854"/>
      <c r="N76" s="1439">
        <f>IF('Part VI-Revenues &amp; Expenses'!$O$67=0,0,H76/'Part VI-Revenues &amp; Expenses'!$O$67)</f>
        <v>0</v>
      </c>
      <c r="O76" s="176" t="s">
        <v>3661</v>
      </c>
      <c r="P76" s="1440">
        <f>'DCA Underwriting Assumptions'!$Q$139</f>
        <v>0.05</v>
      </c>
    </row>
    <row r="77" spans="1:16" s="156" customFormat="1" ht="12.75">
      <c r="A77" s="322"/>
      <c r="B77" s="322"/>
      <c r="D77" s="1328" t="s">
        <v>2414</v>
      </c>
      <c r="E77" s="1328"/>
      <c r="F77" s="1328" t="s">
        <v>736</v>
      </c>
      <c r="H77" s="1466"/>
      <c r="K77" s="1329" t="s">
        <v>2415</v>
      </c>
      <c r="L77" s="1329"/>
      <c r="N77" s="1439">
        <f>IF(H76=0,0,H77/H76)</f>
        <v>0</v>
      </c>
      <c r="O77" s="176" t="s">
        <v>3661</v>
      </c>
      <c r="P77" s="1440">
        <f>'DCA Underwriting Assumptions'!$Q$140</f>
        <v>0.4</v>
      </c>
    </row>
    <row r="78" spans="1:16" s="156" customFormat="1" ht="12.75">
      <c r="A78" s="322"/>
      <c r="B78" s="322"/>
      <c r="D78" s="1328"/>
      <c r="E78" s="1328"/>
      <c r="F78" s="1328"/>
      <c r="I78" s="1330"/>
      <c r="K78" s="1327"/>
      <c r="L78" s="1327"/>
      <c r="M78" s="1330"/>
      <c r="N78" s="1330"/>
      <c r="P78" s="388"/>
    </row>
    <row r="79" spans="1:16" s="156" customFormat="1" ht="12.75">
      <c r="A79" s="322"/>
      <c r="B79" s="322" t="s">
        <v>694</v>
      </c>
      <c r="C79" s="174" t="s">
        <v>1660</v>
      </c>
      <c r="D79" s="189"/>
      <c r="E79" s="189"/>
      <c r="F79" s="1328" t="s">
        <v>736</v>
      </c>
      <c r="H79" s="1466"/>
      <c r="K79" s="1854" t="s">
        <v>484</v>
      </c>
      <c r="L79" s="1854"/>
      <c r="N79" s="1439">
        <f>IF('Part VI-Revenues &amp; Expenses'!$O$67=0,0,H79/'Part VI-Revenues &amp; Expenses'!$O$67)</f>
        <v>0</v>
      </c>
      <c r="O79" s="176" t="s">
        <v>3661</v>
      </c>
      <c r="P79" s="1440">
        <f>'DCA Underwriting Assumptions'!$Q$141</f>
        <v>0.02</v>
      </c>
    </row>
    <row r="80" spans="1:16" s="156" customFormat="1" ht="6.75" customHeight="1">
      <c r="A80" s="322"/>
      <c r="B80" s="322"/>
      <c r="D80" s="390"/>
      <c r="E80" s="390"/>
      <c r="F80" s="390"/>
      <c r="G80" s="390"/>
      <c r="I80" s="392"/>
      <c r="J80" s="392"/>
      <c r="K80" s="392"/>
      <c r="L80" s="392"/>
      <c r="M80" s="392"/>
      <c r="N80" s="391"/>
      <c r="P80" s="173"/>
    </row>
    <row r="81" spans="1:16" s="156" customFormat="1" ht="13.15" customHeight="1">
      <c r="A81" s="194" t="s">
        <v>715</v>
      </c>
      <c r="B81" s="192" t="s">
        <v>3221</v>
      </c>
      <c r="D81" s="187"/>
      <c r="E81" s="187"/>
      <c r="F81" s="187"/>
      <c r="G81" s="187"/>
      <c r="H81" s="187"/>
      <c r="I81" s="162"/>
      <c r="M81" s="162"/>
      <c r="N81" s="169"/>
      <c r="P81" s="173"/>
    </row>
    <row r="82" spans="1:16" s="156" customFormat="1" ht="3" customHeight="1">
      <c r="A82" s="159"/>
      <c r="B82" s="159"/>
      <c r="C82" s="192"/>
      <c r="D82" s="187"/>
      <c r="E82" s="187"/>
      <c r="F82" s="187"/>
      <c r="L82" s="162"/>
      <c r="M82" s="162"/>
      <c r="N82" s="169"/>
      <c r="P82" s="173"/>
    </row>
    <row r="83" spans="1:16" s="156" customFormat="1" ht="13.15" customHeight="1">
      <c r="A83" s="159"/>
      <c r="B83" s="159" t="s">
        <v>1785</v>
      </c>
      <c r="C83" s="134" t="s">
        <v>2111</v>
      </c>
      <c r="D83" s="187"/>
      <c r="E83" s="187"/>
      <c r="F83" s="187"/>
      <c r="H83" s="1906" t="s">
        <v>3662</v>
      </c>
      <c r="I83" s="1907"/>
      <c r="J83" s="1908"/>
      <c r="M83" s="162"/>
      <c r="N83" s="169"/>
      <c r="P83" s="173"/>
    </row>
    <row r="84" spans="1:16" s="156" customFormat="1" ht="3" customHeight="1">
      <c r="A84" s="159"/>
      <c r="B84" s="159"/>
      <c r="D84" s="187"/>
      <c r="E84" s="187"/>
      <c r="F84" s="187"/>
      <c r="G84" s="187"/>
      <c r="I84" s="162"/>
      <c r="J84" s="162"/>
      <c r="K84" s="162"/>
      <c r="L84" s="162"/>
      <c r="M84" s="162"/>
      <c r="N84" s="169"/>
      <c r="P84" s="173"/>
    </row>
    <row r="85" spans="1:16" s="156" customFormat="1" ht="13.15" customHeight="1">
      <c r="B85" s="159" t="s">
        <v>1788</v>
      </c>
      <c r="C85" s="160" t="s">
        <v>1397</v>
      </c>
      <c r="K85" s="164" t="s">
        <v>808</v>
      </c>
      <c r="N85" s="195"/>
      <c r="P85" s="1441" t="s">
        <v>3663</v>
      </c>
    </row>
    <row r="86" spans="1:16" s="156" customFormat="1" ht="6.75" customHeight="1">
      <c r="A86" s="159"/>
      <c r="B86" s="159"/>
      <c r="C86" s="160"/>
      <c r="D86" s="187"/>
      <c r="E86" s="187"/>
      <c r="F86" s="187"/>
      <c r="G86" s="187"/>
      <c r="I86" s="162"/>
      <c r="J86" s="162"/>
      <c r="K86" s="162"/>
      <c r="L86" s="162"/>
      <c r="M86" s="162"/>
      <c r="N86" s="169"/>
      <c r="P86" s="173"/>
    </row>
    <row r="87" spans="1:16" s="156" customFormat="1" ht="13.15" customHeight="1">
      <c r="A87" s="194" t="s">
        <v>272</v>
      </c>
      <c r="B87" s="192" t="s">
        <v>3220</v>
      </c>
      <c r="D87" s="187"/>
    </row>
    <row r="88" spans="1:16" s="156" customFormat="1" ht="3" customHeight="1">
      <c r="A88" s="159"/>
      <c r="B88" s="159"/>
      <c r="D88" s="187"/>
      <c r="N88" s="169"/>
      <c r="P88" s="173"/>
    </row>
    <row r="89" spans="1:16" s="156" customFormat="1" ht="13.15" customHeight="1">
      <c r="A89" s="194"/>
      <c r="B89" s="317" t="s">
        <v>1785</v>
      </c>
      <c r="C89" s="160" t="s">
        <v>2352</v>
      </c>
      <c r="F89" s="189" t="s">
        <v>2309</v>
      </c>
      <c r="H89" s="1331"/>
      <c r="K89" s="1327" t="s">
        <v>3459</v>
      </c>
      <c r="P89" s="1331"/>
    </row>
    <row r="90" spans="1:16" s="156" customFormat="1" ht="13.15" customHeight="1">
      <c r="A90" s="194"/>
      <c r="B90" s="322"/>
      <c r="C90" s="160"/>
      <c r="F90" s="1328" t="s">
        <v>2971</v>
      </c>
      <c r="H90" s="1333"/>
      <c r="K90" s="1327" t="s">
        <v>3664</v>
      </c>
      <c r="P90" s="1333"/>
    </row>
    <row r="91" spans="1:16" s="156" customFormat="1" ht="3" customHeight="1">
      <c r="A91" s="317"/>
      <c r="B91" s="317"/>
      <c r="C91" s="315"/>
      <c r="F91" s="187"/>
      <c r="H91" s="187"/>
      <c r="J91" s="162"/>
      <c r="K91" s="162"/>
      <c r="L91" s="162"/>
      <c r="M91" s="162"/>
      <c r="N91" s="162"/>
      <c r="P91" s="173"/>
    </row>
    <row r="92" spans="1:16" s="156" customFormat="1" ht="13.15" customHeight="1">
      <c r="A92" s="194"/>
      <c r="B92" s="317" t="s">
        <v>1788</v>
      </c>
      <c r="C92" s="160" t="s">
        <v>2353</v>
      </c>
      <c r="F92" s="314" t="s">
        <v>2334</v>
      </c>
      <c r="H92" s="171"/>
      <c r="J92" s="316"/>
      <c r="K92" s="318" t="s">
        <v>2354</v>
      </c>
      <c r="L92" s="316"/>
      <c r="M92" s="316"/>
      <c r="N92" s="316"/>
      <c r="O92" s="316"/>
    </row>
    <row r="93" spans="1:16" s="156" customFormat="1" ht="6.75" customHeight="1">
      <c r="A93" s="322"/>
      <c r="B93" s="322"/>
      <c r="C93" s="160"/>
      <c r="D93" s="382"/>
      <c r="E93" s="382"/>
      <c r="F93" s="382"/>
      <c r="G93" s="382"/>
      <c r="I93" s="385"/>
      <c r="J93" s="385"/>
      <c r="K93" s="385"/>
      <c r="L93" s="385"/>
      <c r="M93" s="385"/>
      <c r="N93" s="384"/>
      <c r="P93" s="173"/>
    </row>
    <row r="94" spans="1:16" s="156" customFormat="1" ht="13.15" customHeight="1">
      <c r="A94" s="194" t="s">
        <v>401</v>
      </c>
      <c r="B94" s="383" t="s">
        <v>3222</v>
      </c>
      <c r="D94" s="382"/>
      <c r="H94" s="1906" t="s">
        <v>3011</v>
      </c>
      <c r="I94" s="1908"/>
      <c r="J94" s="385"/>
    </row>
    <row r="95" spans="1:16" s="156" customFormat="1" ht="6.75" customHeight="1">
      <c r="A95" s="322"/>
      <c r="D95" s="182"/>
      <c r="E95" s="384"/>
      <c r="I95" s="182"/>
      <c r="J95" s="172"/>
      <c r="K95" s="384"/>
      <c r="P95" s="173"/>
    </row>
    <row r="96" spans="1:16" s="156" customFormat="1" ht="13.15" customHeight="1">
      <c r="A96" s="194" t="s">
        <v>340</v>
      </c>
      <c r="B96" s="186" t="s">
        <v>1100</v>
      </c>
      <c r="D96" s="169"/>
      <c r="E96" s="169"/>
      <c r="F96" s="169"/>
      <c r="G96" s="169"/>
      <c r="H96" s="169"/>
      <c r="I96" s="182"/>
      <c r="J96" s="172"/>
      <c r="K96" s="169"/>
      <c r="P96" s="173"/>
    </row>
    <row r="97" spans="1:16" s="156" customFormat="1" ht="3" customHeight="1">
      <c r="A97" s="194"/>
      <c r="B97" s="159"/>
      <c r="C97" s="186"/>
      <c r="D97" s="169"/>
      <c r="E97" s="169"/>
      <c r="F97" s="169"/>
      <c r="G97" s="169"/>
      <c r="H97" s="169"/>
      <c r="I97" s="182"/>
      <c r="J97" s="172"/>
      <c r="K97" s="169"/>
    </row>
    <row r="98" spans="1:16" s="156" customFormat="1" ht="13.15" customHeight="1">
      <c r="A98" s="159"/>
      <c r="B98" s="159"/>
      <c r="C98" s="172" t="s">
        <v>515</v>
      </c>
      <c r="D98" s="169"/>
      <c r="E98" s="1897"/>
      <c r="F98" s="1898"/>
      <c r="G98" s="1898"/>
      <c r="H98" s="1898"/>
      <c r="I98" s="1898"/>
      <c r="J98" s="1898"/>
      <c r="K98" s="1898"/>
      <c r="L98" s="1899"/>
      <c r="M98" s="1945" t="s">
        <v>516</v>
      </c>
      <c r="N98" s="1945"/>
      <c r="O98" s="1946"/>
      <c r="P98" s="1947"/>
    </row>
    <row r="99" spans="1:16" s="156" customFormat="1" ht="13.15" customHeight="1">
      <c r="C99" s="164" t="s">
        <v>945</v>
      </c>
      <c r="D99" s="176"/>
      <c r="E99" s="1954"/>
      <c r="F99" s="1955"/>
      <c r="G99" s="1955"/>
      <c r="H99" s="1875"/>
      <c r="I99" s="1955"/>
      <c r="J99" s="1875"/>
      <c r="K99" s="1955"/>
      <c r="L99" s="1956"/>
      <c r="M99" s="1945" t="s">
        <v>747</v>
      </c>
      <c r="N99" s="1945"/>
      <c r="O99" s="1909"/>
      <c r="P99" s="1910"/>
    </row>
    <row r="100" spans="1:16" s="156" customFormat="1" ht="13.15" customHeight="1">
      <c r="C100" s="164" t="s">
        <v>574</v>
      </c>
      <c r="E100" s="1841"/>
      <c r="F100" s="1842"/>
      <c r="G100" s="1843"/>
      <c r="H100" s="388" t="s">
        <v>1619</v>
      </c>
      <c r="I100" s="1421"/>
      <c r="J100" s="1443" t="s">
        <v>1979</v>
      </c>
      <c r="K100" s="1962"/>
      <c r="L100" s="1963"/>
      <c r="M100" s="137" t="s">
        <v>3665</v>
      </c>
      <c r="N100" s="137"/>
      <c r="O100" s="1864"/>
      <c r="P100" s="1865"/>
    </row>
    <row r="101" spans="1:16" s="156" customFormat="1" ht="13.15" customHeight="1">
      <c r="C101" s="156" t="s">
        <v>1957</v>
      </c>
      <c r="E101" s="1841"/>
      <c r="F101" s="1842"/>
      <c r="G101" s="1843"/>
      <c r="H101" s="1444" t="s">
        <v>1782</v>
      </c>
      <c r="I101" s="1860"/>
      <c r="J101" s="1861"/>
      <c r="K101" s="1862"/>
      <c r="L101" s="1419" t="s">
        <v>1786</v>
      </c>
      <c r="M101" s="1897"/>
      <c r="N101" s="1942"/>
      <c r="O101" s="1943"/>
      <c r="P101" s="1944"/>
    </row>
    <row r="102" spans="1:16" s="156" customFormat="1" ht="13.15" customHeight="1">
      <c r="C102" s="164" t="s">
        <v>1956</v>
      </c>
      <c r="E102" s="1903"/>
      <c r="F102" s="1904"/>
      <c r="G102" s="1905"/>
      <c r="H102" s="1444" t="s">
        <v>1622</v>
      </c>
      <c r="I102" s="1903"/>
      <c r="J102" s="1953"/>
      <c r="K102" s="388" t="s">
        <v>2351</v>
      </c>
      <c r="L102" s="1959"/>
      <c r="M102" s="1960"/>
      <c r="N102" s="1960"/>
      <c r="O102" s="1960"/>
      <c r="P102" s="1961"/>
    </row>
    <row r="103" spans="1:16" s="156" customFormat="1" ht="3" customHeight="1">
      <c r="A103" s="159"/>
      <c r="B103" s="159"/>
      <c r="G103" s="182"/>
      <c r="H103" s="162"/>
      <c r="I103" s="162"/>
      <c r="M103" s="173"/>
    </row>
    <row r="104" spans="1:16" s="156" customFormat="1" ht="13.15" customHeight="1">
      <c r="A104" s="194" t="s">
        <v>341</v>
      </c>
      <c r="B104" s="191" t="s">
        <v>2146</v>
      </c>
      <c r="D104" s="191"/>
      <c r="E104" s="191"/>
      <c r="F104" s="191"/>
      <c r="H104" s="171"/>
      <c r="M104" s="162"/>
      <c r="N104" s="169"/>
      <c r="O104" s="169"/>
      <c r="P104" s="173"/>
    </row>
    <row r="105" spans="1:16" s="156" customFormat="1" ht="3" customHeight="1">
      <c r="A105" s="194"/>
      <c r="B105" s="159"/>
      <c r="C105" s="192"/>
      <c r="D105" s="192"/>
      <c r="E105" s="192"/>
      <c r="F105" s="192"/>
      <c r="G105" s="162"/>
      <c r="M105" s="162"/>
      <c r="N105" s="169"/>
      <c r="O105" s="169"/>
    </row>
    <row r="106" spans="1:16" s="156" customFormat="1" ht="13.15" customHeight="1">
      <c r="A106" s="159"/>
      <c r="B106" s="159" t="s">
        <v>1785</v>
      </c>
      <c r="C106" s="165" t="s">
        <v>1543</v>
      </c>
      <c r="H106" s="1331"/>
      <c r="M106" s="162"/>
      <c r="N106" s="169"/>
      <c r="O106" s="169"/>
      <c r="P106" s="173"/>
    </row>
    <row r="107" spans="1:16" s="156" customFormat="1" ht="13.15" customHeight="1">
      <c r="A107" s="159"/>
      <c r="B107" s="159"/>
      <c r="C107" s="187" t="s">
        <v>2148</v>
      </c>
      <c r="D107" s="187"/>
      <c r="E107" s="187"/>
      <c r="F107" s="162"/>
      <c r="H107" s="1430"/>
      <c r="K107" s="137" t="s">
        <v>1992</v>
      </c>
      <c r="O107" s="1897" t="s">
        <v>455</v>
      </c>
      <c r="P107" s="1899"/>
    </row>
    <row r="108" spans="1:16" s="156" customFormat="1" ht="13.15" customHeight="1">
      <c r="A108" s="159"/>
      <c r="B108" s="159"/>
      <c r="C108" s="196" t="s">
        <v>1542</v>
      </c>
      <c r="D108" s="164"/>
      <c r="H108" s="1332"/>
      <c r="K108" s="137" t="s">
        <v>1993</v>
      </c>
      <c r="O108" s="1874" t="s">
        <v>455</v>
      </c>
      <c r="P108" s="1876"/>
    </row>
    <row r="109" spans="1:16" s="156" customFormat="1" ht="13.15" customHeight="1">
      <c r="A109" s="159"/>
      <c r="B109" s="159"/>
      <c r="C109" s="187" t="s">
        <v>2149</v>
      </c>
      <c r="D109" s="187"/>
      <c r="E109" s="187"/>
      <c r="F109" s="162"/>
      <c r="H109" s="1430"/>
    </row>
    <row r="110" spans="1:16" s="156" customFormat="1" ht="13.15" customHeight="1">
      <c r="A110" s="159"/>
      <c r="B110" s="159"/>
      <c r="C110" s="187" t="s">
        <v>2147</v>
      </c>
      <c r="F110" s="162"/>
      <c r="H110" s="1425"/>
    </row>
    <row r="111" spans="1:16" s="156" customFormat="1" ht="13.15" customHeight="1">
      <c r="A111" s="159"/>
      <c r="B111" s="159"/>
      <c r="C111" s="187" t="s">
        <v>1929</v>
      </c>
      <c r="D111" s="187"/>
      <c r="E111" s="187"/>
      <c r="F111" s="162"/>
      <c r="H111" s="1886"/>
      <c r="I111" s="1887"/>
      <c r="N111" s="169"/>
      <c r="O111" s="169"/>
      <c r="P111" s="173"/>
    </row>
    <row r="112" spans="1:16" s="156" customFormat="1" ht="3" customHeight="1">
      <c r="A112" s="159"/>
      <c r="B112" s="159"/>
      <c r="C112" s="187"/>
      <c r="D112" s="187"/>
      <c r="E112" s="187"/>
      <c r="F112" s="162"/>
      <c r="N112" s="169"/>
      <c r="O112" s="169"/>
      <c r="P112" s="173"/>
    </row>
    <row r="113" spans="1:44" s="156" customFormat="1" ht="13.15" customHeight="1">
      <c r="A113" s="159"/>
      <c r="B113" s="159" t="s">
        <v>1788</v>
      </c>
      <c r="C113" s="1422" t="s">
        <v>2350</v>
      </c>
      <c r="D113" s="1328"/>
      <c r="E113" s="189" t="s">
        <v>3645</v>
      </c>
      <c r="F113" s="189"/>
      <c r="G113" s="189"/>
      <c r="H113" s="1423"/>
      <c r="K113" s="189" t="s">
        <v>3646</v>
      </c>
      <c r="L113" s="189"/>
      <c r="M113" s="189"/>
      <c r="O113" s="1424"/>
      <c r="P113" s="173"/>
    </row>
    <row r="114" spans="1:44" s="156" customFormat="1" ht="13.15" customHeight="1">
      <c r="A114" s="322"/>
      <c r="B114" s="322"/>
      <c r="C114" s="383"/>
      <c r="D114" s="1328"/>
      <c r="E114" s="189" t="s">
        <v>3647</v>
      </c>
      <c r="F114" s="189"/>
      <c r="G114" s="189"/>
      <c r="H114" s="1425"/>
      <c r="K114" s="189"/>
      <c r="L114" s="189"/>
      <c r="M114" s="189"/>
      <c r="P114" s="173"/>
    </row>
    <row r="115" spans="1:44" s="156" customFormat="1" ht="3" customHeight="1">
      <c r="A115" s="159"/>
      <c r="B115" s="159"/>
      <c r="C115" s="187"/>
      <c r="D115" s="187"/>
      <c r="E115" s="187"/>
      <c r="F115" s="162"/>
      <c r="G115" s="162"/>
      <c r="M115" s="162"/>
      <c r="N115" s="169"/>
      <c r="O115" s="169"/>
      <c r="P115" s="173"/>
    </row>
    <row r="116" spans="1:44" s="156" customFormat="1" ht="13.15" customHeight="1">
      <c r="A116" s="159"/>
      <c r="B116" s="159" t="s">
        <v>694</v>
      </c>
      <c r="C116" s="383" t="s">
        <v>3648</v>
      </c>
      <c r="D116" s="1328"/>
      <c r="E116" s="1328"/>
      <c r="F116" s="1330"/>
      <c r="H116" s="1424"/>
      <c r="N116" s="1329"/>
      <c r="O116" s="1329"/>
      <c r="P116" s="173"/>
    </row>
    <row r="117" spans="1:44" s="156" customFormat="1" ht="6" customHeight="1">
      <c r="A117" s="159"/>
      <c r="B117" s="159"/>
      <c r="C117" s="187"/>
      <c r="D117" s="187"/>
      <c r="E117" s="187"/>
      <c r="F117" s="162"/>
      <c r="G117" s="162"/>
      <c r="H117" s="162"/>
      <c r="I117" s="162"/>
      <c r="J117" s="182"/>
      <c r="K117" s="162"/>
      <c r="L117" s="162"/>
      <c r="N117" s="169"/>
      <c r="O117" s="169"/>
      <c r="P117" s="173"/>
    </row>
    <row r="118" spans="1:44" ht="12" customHeight="1">
      <c r="A118" s="194" t="s">
        <v>342</v>
      </c>
      <c r="C118" s="194" t="s">
        <v>531</v>
      </c>
      <c r="K118" s="194" t="s">
        <v>1998</v>
      </c>
      <c r="L118" s="194" t="s">
        <v>74</v>
      </c>
    </row>
    <row r="119" spans="1:44" ht="106.5" customHeight="1">
      <c r="A119" s="1880"/>
      <c r="B119" s="1881"/>
      <c r="C119" s="1881"/>
      <c r="D119" s="1881"/>
      <c r="E119" s="1881"/>
      <c r="F119" s="1881"/>
      <c r="G119" s="1881"/>
      <c r="H119" s="1881"/>
      <c r="I119" s="1881"/>
      <c r="J119" s="1882"/>
      <c r="K119" s="1883"/>
      <c r="L119" s="1884"/>
      <c r="M119" s="1884"/>
      <c r="N119" s="1884"/>
      <c r="O119" s="1884"/>
      <c r="P119" s="1885"/>
      <c r="Q119" s="1940" t="s">
        <v>2342</v>
      </c>
      <c r="R119" s="1940"/>
      <c r="S119" s="1940"/>
      <c r="T119" s="1940"/>
      <c r="U119" s="1940"/>
    </row>
    <row r="120" spans="1:44" ht="12" customHeight="1">
      <c r="Q120" s="1940"/>
      <c r="R120" s="1940"/>
      <c r="S120" s="1940"/>
      <c r="T120" s="1940"/>
      <c r="U120" s="1940"/>
    </row>
    <row r="127" spans="1:44" s="331" customFormat="1" ht="12" customHeight="1">
      <c r="A127" s="184"/>
      <c r="B127" s="199"/>
      <c r="C127" s="184"/>
      <c r="D127" s="184"/>
      <c r="E127" s="184"/>
      <c r="F127" s="184"/>
      <c r="G127" s="184"/>
      <c r="H127" s="184"/>
      <c r="I127" s="184"/>
      <c r="J127" s="184"/>
      <c r="K127" s="184"/>
      <c r="L127" s="184"/>
      <c r="M127" s="184"/>
      <c r="N127" s="184"/>
      <c r="O127" s="184"/>
      <c r="P127" s="184"/>
      <c r="Q127" s="184"/>
      <c r="X127" s="184"/>
      <c r="Y127" s="184"/>
      <c r="Z127" s="184"/>
      <c r="AA127" s="184"/>
      <c r="AB127" s="184"/>
      <c r="AC127" s="184"/>
      <c r="AD127" s="184"/>
      <c r="AE127" s="184"/>
      <c r="AF127" s="184"/>
      <c r="AG127" s="184"/>
      <c r="AH127" s="184"/>
      <c r="AI127" s="184"/>
      <c r="AJ127" s="184"/>
      <c r="AK127" s="184"/>
      <c r="AL127" s="184"/>
      <c r="AM127" s="184"/>
      <c r="AN127" s="184"/>
      <c r="AO127" s="184"/>
      <c r="AP127" s="184"/>
      <c r="AQ127" s="184"/>
      <c r="AR127" s="184"/>
    </row>
    <row r="128" spans="1:44" s="331" customFormat="1" ht="22.9" customHeight="1">
      <c r="A128" s="184"/>
      <c r="P128" s="277"/>
      <c r="Q128" s="184"/>
      <c r="T128" s="395"/>
      <c r="U128" s="394"/>
      <c r="X128" s="184"/>
      <c r="Y128" s="184"/>
      <c r="Z128" s="184"/>
      <c r="AA128" s="184"/>
      <c r="AB128" s="184"/>
      <c r="AC128" s="184"/>
      <c r="AD128" s="184"/>
      <c r="AE128" s="184"/>
      <c r="AF128" s="184"/>
      <c r="AG128" s="184"/>
      <c r="AH128" s="184"/>
      <c r="AI128" s="184"/>
      <c r="AJ128" s="184"/>
      <c r="AK128" s="184"/>
      <c r="AL128" s="184"/>
      <c r="AM128" s="184"/>
      <c r="AN128" s="184"/>
      <c r="AO128" s="184"/>
      <c r="AP128" s="184"/>
      <c r="AQ128" s="184"/>
      <c r="AR128" s="184"/>
    </row>
    <row r="129" spans="1:44" s="331" customFormat="1" ht="12" customHeight="1">
      <c r="A129" s="184"/>
      <c r="P129" s="150"/>
      <c r="Q129" s="184"/>
      <c r="T129" s="332"/>
      <c r="U129" s="332"/>
      <c r="X129" s="184"/>
      <c r="Y129" s="184"/>
      <c r="Z129" s="184"/>
      <c r="AA129" s="184"/>
      <c r="AB129" s="184"/>
      <c r="AC129" s="184"/>
      <c r="AD129" s="184"/>
      <c r="AE129" s="184"/>
      <c r="AF129" s="184"/>
      <c r="AG129" s="184"/>
      <c r="AH129" s="184"/>
      <c r="AI129" s="184"/>
      <c r="AJ129" s="184"/>
      <c r="AK129" s="184"/>
      <c r="AL129" s="184"/>
      <c r="AM129" s="184"/>
      <c r="AN129" s="184"/>
      <c r="AO129" s="184"/>
      <c r="AP129" s="184"/>
      <c r="AQ129" s="184"/>
      <c r="AR129" s="184"/>
    </row>
    <row r="130" spans="1:44" s="331" customFormat="1" ht="12" customHeight="1">
      <c r="A130" s="184"/>
      <c r="P130" s="150"/>
      <c r="Q130" s="184"/>
      <c r="T130" s="332"/>
      <c r="U130" s="332"/>
      <c r="X130" s="184"/>
      <c r="Y130" s="184"/>
      <c r="Z130" s="184"/>
      <c r="AA130" s="184"/>
      <c r="AB130" s="184"/>
      <c r="AC130" s="184"/>
      <c r="AD130" s="184"/>
      <c r="AE130" s="184"/>
      <c r="AF130" s="184"/>
      <c r="AG130" s="184"/>
      <c r="AH130" s="184"/>
      <c r="AI130" s="184"/>
      <c r="AJ130" s="184"/>
      <c r="AK130" s="184"/>
      <c r="AL130" s="184"/>
      <c r="AM130" s="184"/>
      <c r="AN130" s="184"/>
      <c r="AO130" s="184"/>
      <c r="AP130" s="184"/>
      <c r="AQ130" s="184"/>
      <c r="AR130" s="184"/>
    </row>
    <row r="131" spans="1:44" s="331" customFormat="1" ht="12" customHeight="1">
      <c r="A131" s="184"/>
      <c r="P131" s="150"/>
      <c r="Q131" s="184"/>
      <c r="T131" s="332"/>
      <c r="U131" s="332"/>
      <c r="X131" s="184"/>
      <c r="Y131" s="184"/>
      <c r="Z131" s="184"/>
      <c r="AA131" s="184"/>
      <c r="AB131" s="184"/>
      <c r="AC131" s="184"/>
      <c r="AD131" s="184"/>
      <c r="AE131" s="184"/>
      <c r="AF131" s="184"/>
      <c r="AG131" s="184"/>
      <c r="AH131" s="184"/>
      <c r="AI131" s="184"/>
      <c r="AJ131" s="184"/>
      <c r="AK131" s="184"/>
      <c r="AL131" s="184"/>
      <c r="AM131" s="184"/>
      <c r="AN131" s="184"/>
      <c r="AO131" s="184"/>
      <c r="AP131" s="184"/>
      <c r="AQ131" s="184"/>
      <c r="AR131" s="184"/>
    </row>
    <row r="132" spans="1:44" s="331" customFormat="1" ht="12" customHeight="1">
      <c r="A132" s="184"/>
      <c r="P132" s="150"/>
      <c r="Q132" s="184"/>
      <c r="T132" s="332"/>
      <c r="U132" s="332"/>
      <c r="X132" s="184"/>
      <c r="Y132" s="184"/>
      <c r="Z132" s="184"/>
      <c r="AA132" s="184"/>
      <c r="AB132" s="184"/>
      <c r="AC132" s="184"/>
      <c r="AD132" s="184"/>
      <c r="AE132" s="184"/>
      <c r="AF132" s="184"/>
      <c r="AG132" s="184"/>
      <c r="AH132" s="184"/>
      <c r="AI132" s="184"/>
      <c r="AJ132" s="184"/>
      <c r="AK132" s="184"/>
      <c r="AL132" s="184"/>
      <c r="AM132" s="184"/>
      <c r="AN132" s="184"/>
      <c r="AO132" s="184"/>
      <c r="AP132" s="184"/>
      <c r="AQ132" s="184"/>
      <c r="AR132" s="184"/>
    </row>
    <row r="133" spans="1:44" s="331" customFormat="1" ht="12" customHeight="1">
      <c r="A133" s="184"/>
      <c r="P133" s="150"/>
      <c r="Q133" s="184"/>
      <c r="T133" s="332"/>
      <c r="U133" s="332"/>
      <c r="X133" s="184"/>
      <c r="Y133" s="184"/>
      <c r="Z133" s="184"/>
      <c r="AA133" s="184"/>
      <c r="AB133" s="184"/>
      <c r="AC133" s="184"/>
      <c r="AD133" s="184"/>
      <c r="AE133" s="184"/>
      <c r="AF133" s="184"/>
      <c r="AG133" s="184"/>
      <c r="AH133" s="184"/>
      <c r="AI133" s="184"/>
      <c r="AJ133" s="184"/>
      <c r="AK133" s="184"/>
      <c r="AL133" s="184"/>
      <c r="AM133" s="184"/>
      <c r="AN133" s="184"/>
      <c r="AO133" s="184"/>
      <c r="AP133" s="184"/>
      <c r="AQ133" s="184"/>
      <c r="AR133" s="184"/>
    </row>
    <row r="134" spans="1:44" s="331" customFormat="1" ht="12" customHeight="1">
      <c r="A134" s="184"/>
      <c r="P134" s="150"/>
      <c r="Q134" s="184"/>
      <c r="T134" s="332"/>
      <c r="U134" s="332"/>
      <c r="X134" s="184"/>
      <c r="Y134" s="184"/>
      <c r="Z134" s="184"/>
      <c r="AA134" s="184"/>
      <c r="AB134" s="184"/>
      <c r="AC134" s="184"/>
      <c r="AD134" s="184"/>
      <c r="AE134" s="184"/>
      <c r="AF134" s="184"/>
      <c r="AG134" s="184"/>
      <c r="AH134" s="184"/>
      <c r="AI134" s="184"/>
      <c r="AJ134" s="184"/>
      <c r="AK134" s="184"/>
      <c r="AL134" s="184"/>
      <c r="AM134" s="184"/>
      <c r="AN134" s="184"/>
      <c r="AO134" s="184"/>
      <c r="AP134" s="184"/>
      <c r="AQ134" s="184"/>
      <c r="AR134" s="184"/>
    </row>
    <row r="135" spans="1:44" s="331" customFormat="1" ht="12" customHeight="1">
      <c r="A135" s="184"/>
      <c r="P135" s="150"/>
      <c r="Q135" s="184"/>
      <c r="T135" s="332"/>
      <c r="U135" s="332"/>
      <c r="X135" s="184"/>
      <c r="Y135" s="184"/>
      <c r="Z135" s="184"/>
      <c r="AA135" s="184"/>
      <c r="AB135" s="184"/>
      <c r="AC135" s="184"/>
      <c r="AD135" s="184"/>
      <c r="AE135" s="184"/>
      <c r="AF135" s="184"/>
      <c r="AG135" s="184"/>
      <c r="AH135" s="184"/>
      <c r="AI135" s="184"/>
      <c r="AJ135" s="184"/>
      <c r="AK135" s="184"/>
      <c r="AL135" s="184"/>
      <c r="AM135" s="184"/>
      <c r="AN135" s="184"/>
      <c r="AO135" s="184"/>
      <c r="AP135" s="184"/>
      <c r="AQ135" s="184"/>
      <c r="AR135" s="184"/>
    </row>
    <row r="136" spans="1:44" s="331" customFormat="1" ht="12" customHeight="1">
      <c r="A136" s="184"/>
      <c r="P136" s="150"/>
      <c r="Q136" s="401"/>
      <c r="X136" s="184"/>
      <c r="Y136" s="184"/>
      <c r="Z136" s="184"/>
      <c r="AA136" s="184"/>
      <c r="AB136" s="184"/>
      <c r="AC136" s="184"/>
      <c r="AD136" s="184"/>
      <c r="AE136" s="184"/>
      <c r="AF136" s="184"/>
      <c r="AG136" s="184"/>
      <c r="AH136" s="184"/>
      <c r="AI136" s="184"/>
      <c r="AJ136" s="184"/>
      <c r="AK136" s="184"/>
      <c r="AL136" s="184"/>
      <c r="AM136" s="184"/>
      <c r="AN136" s="184"/>
      <c r="AO136" s="184"/>
      <c r="AP136" s="184"/>
      <c r="AQ136" s="184"/>
      <c r="AR136" s="184"/>
    </row>
    <row r="137" spans="1:44" s="331" customFormat="1" ht="12" customHeight="1">
      <c r="A137" s="184"/>
      <c r="P137" s="150"/>
      <c r="Q137" s="401"/>
      <c r="X137" s="184"/>
      <c r="Y137" s="184"/>
      <c r="Z137" s="184"/>
      <c r="AA137" s="184"/>
      <c r="AB137" s="184"/>
      <c r="AC137" s="184"/>
      <c r="AD137" s="184"/>
      <c r="AE137" s="184"/>
      <c r="AF137" s="184"/>
      <c r="AG137" s="184"/>
      <c r="AH137" s="184"/>
      <c r="AI137" s="184"/>
      <c r="AJ137" s="184"/>
      <c r="AK137" s="184"/>
      <c r="AL137" s="184"/>
      <c r="AM137" s="184"/>
      <c r="AN137" s="184"/>
      <c r="AO137" s="184"/>
      <c r="AP137" s="184"/>
      <c r="AQ137" s="184"/>
      <c r="AR137" s="184"/>
    </row>
    <row r="138" spans="1:44" s="331" customFormat="1" ht="12" customHeight="1">
      <c r="A138" s="184"/>
      <c r="P138" s="150"/>
      <c r="Q138" s="401"/>
      <c r="X138" s="184"/>
      <c r="Y138" s="184"/>
      <c r="Z138" s="184"/>
      <c r="AA138" s="184"/>
      <c r="AB138" s="184"/>
      <c r="AC138" s="184"/>
      <c r="AD138" s="184"/>
      <c r="AE138" s="184"/>
      <c r="AF138" s="184"/>
      <c r="AG138" s="184"/>
      <c r="AH138" s="184"/>
      <c r="AI138" s="184"/>
      <c r="AJ138" s="184"/>
      <c r="AK138" s="184"/>
      <c r="AL138" s="184"/>
      <c r="AM138" s="184"/>
      <c r="AN138" s="184"/>
      <c r="AO138" s="184"/>
      <c r="AP138" s="184"/>
      <c r="AQ138" s="184"/>
      <c r="AR138" s="184"/>
    </row>
    <row r="139" spans="1:44" s="331" customFormat="1" ht="12" customHeight="1">
      <c r="A139" s="184"/>
      <c r="P139" s="150"/>
      <c r="Q139" s="401"/>
      <c r="X139" s="184"/>
      <c r="Y139" s="184"/>
      <c r="Z139" s="184"/>
      <c r="AA139" s="184"/>
      <c r="AB139" s="184"/>
      <c r="AC139" s="184"/>
      <c r="AD139" s="184"/>
      <c r="AE139" s="184"/>
      <c r="AF139" s="184"/>
      <c r="AG139" s="184"/>
      <c r="AH139" s="184"/>
      <c r="AI139" s="184"/>
      <c r="AJ139" s="184"/>
      <c r="AK139" s="184"/>
      <c r="AL139" s="184"/>
      <c r="AM139" s="184"/>
      <c r="AN139" s="184"/>
      <c r="AO139" s="184"/>
      <c r="AP139" s="184"/>
      <c r="AQ139" s="184"/>
      <c r="AR139" s="184"/>
    </row>
    <row r="140" spans="1:44" s="331" customFormat="1" ht="12" customHeight="1">
      <c r="A140" s="184"/>
      <c r="P140" s="150"/>
      <c r="Q140" s="401"/>
      <c r="X140" s="184"/>
      <c r="Y140" s="184"/>
      <c r="Z140" s="184"/>
      <c r="AA140" s="184"/>
      <c r="AB140" s="184"/>
      <c r="AC140" s="184"/>
      <c r="AD140" s="184"/>
      <c r="AE140" s="184"/>
      <c r="AF140" s="184"/>
      <c r="AG140" s="184"/>
      <c r="AH140" s="184"/>
      <c r="AI140" s="184"/>
      <c r="AJ140" s="184"/>
      <c r="AK140" s="184"/>
      <c r="AL140" s="184"/>
      <c r="AM140" s="184"/>
      <c r="AN140" s="184"/>
      <c r="AO140" s="184"/>
      <c r="AP140" s="184"/>
      <c r="AQ140" s="184"/>
      <c r="AR140" s="184"/>
    </row>
    <row r="141" spans="1:44" s="331" customFormat="1" ht="12" customHeight="1">
      <c r="A141" s="184"/>
      <c r="P141" s="150"/>
      <c r="Q141" s="401"/>
      <c r="X141" s="184"/>
      <c r="Y141" s="184"/>
      <c r="Z141" s="184"/>
      <c r="AA141" s="184"/>
      <c r="AB141" s="184"/>
      <c r="AC141" s="184"/>
      <c r="AD141" s="184"/>
      <c r="AE141" s="184"/>
      <c r="AF141" s="184"/>
      <c r="AG141" s="184"/>
      <c r="AH141" s="184"/>
      <c r="AI141" s="184"/>
      <c r="AJ141" s="184"/>
      <c r="AK141" s="184"/>
      <c r="AL141" s="184"/>
      <c r="AM141" s="184"/>
      <c r="AN141" s="184"/>
      <c r="AO141" s="184"/>
      <c r="AP141" s="184"/>
      <c r="AQ141" s="184"/>
      <c r="AR141" s="184"/>
    </row>
    <row r="142" spans="1:44" s="331" customFormat="1" ht="12" customHeight="1">
      <c r="A142" s="184"/>
      <c r="P142" s="150"/>
      <c r="Q142" s="401"/>
      <c r="X142" s="184"/>
      <c r="Y142" s="184"/>
      <c r="Z142" s="184"/>
      <c r="AA142" s="184"/>
      <c r="AB142" s="184"/>
      <c r="AC142" s="184"/>
      <c r="AD142" s="184"/>
      <c r="AE142" s="184"/>
      <c r="AF142" s="184"/>
      <c r="AG142" s="184"/>
      <c r="AH142" s="184"/>
      <c r="AI142" s="184"/>
      <c r="AJ142" s="184"/>
      <c r="AK142" s="184"/>
      <c r="AL142" s="184"/>
      <c r="AM142" s="184"/>
      <c r="AN142" s="184"/>
      <c r="AO142" s="184"/>
      <c r="AP142" s="184"/>
      <c r="AQ142" s="184"/>
      <c r="AR142" s="184"/>
    </row>
    <row r="143" spans="1:44" s="331" customFormat="1" ht="12" customHeight="1">
      <c r="A143" s="184"/>
      <c r="P143" s="150"/>
      <c r="Q143" s="401"/>
      <c r="X143" s="184"/>
      <c r="Y143" s="184"/>
      <c r="Z143" s="184"/>
      <c r="AA143" s="184"/>
      <c r="AB143" s="184"/>
      <c r="AC143" s="184"/>
      <c r="AD143" s="184"/>
      <c r="AE143" s="184"/>
      <c r="AF143" s="184"/>
      <c r="AG143" s="184"/>
      <c r="AH143" s="184"/>
      <c r="AI143" s="184"/>
      <c r="AJ143" s="184"/>
      <c r="AK143" s="184"/>
      <c r="AL143" s="184"/>
      <c r="AM143" s="184"/>
      <c r="AN143" s="184"/>
      <c r="AO143" s="184"/>
      <c r="AP143" s="184"/>
      <c r="AQ143" s="184"/>
      <c r="AR143" s="184"/>
    </row>
    <row r="144" spans="1:44" s="331" customFormat="1" ht="12" customHeight="1">
      <c r="A144" s="184"/>
      <c r="P144" s="150"/>
      <c r="Q144" s="401"/>
      <c r="X144" s="184"/>
      <c r="Y144" s="184"/>
      <c r="Z144" s="184"/>
      <c r="AA144" s="184"/>
      <c r="AB144" s="184"/>
      <c r="AC144" s="184"/>
      <c r="AD144" s="184"/>
      <c r="AE144" s="184"/>
      <c r="AF144" s="184"/>
      <c r="AG144" s="184"/>
      <c r="AH144" s="184"/>
      <c r="AI144" s="184"/>
      <c r="AJ144" s="184"/>
      <c r="AK144" s="184"/>
      <c r="AL144" s="184"/>
      <c r="AM144" s="184"/>
      <c r="AN144" s="184"/>
      <c r="AO144" s="184"/>
      <c r="AP144" s="184"/>
      <c r="AQ144" s="184"/>
      <c r="AR144" s="184"/>
    </row>
    <row r="145" spans="1:44" s="331" customFormat="1" ht="12" customHeight="1">
      <c r="A145" s="184"/>
      <c r="P145" s="150"/>
      <c r="Q145" s="401"/>
      <c r="X145" s="184"/>
      <c r="Y145" s="184"/>
      <c r="Z145" s="184"/>
      <c r="AA145" s="184"/>
      <c r="AB145" s="184"/>
      <c r="AC145" s="184"/>
      <c r="AD145" s="184"/>
      <c r="AE145" s="184"/>
      <c r="AF145" s="184"/>
      <c r="AG145" s="184"/>
      <c r="AH145" s="184"/>
      <c r="AI145" s="184"/>
      <c r="AJ145" s="184"/>
      <c r="AK145" s="184"/>
      <c r="AL145" s="184"/>
      <c r="AM145" s="184"/>
      <c r="AN145" s="184"/>
      <c r="AO145" s="184"/>
      <c r="AP145" s="184"/>
      <c r="AQ145" s="184"/>
      <c r="AR145" s="184"/>
    </row>
    <row r="146" spans="1:44" s="331" customFormat="1" ht="12" customHeight="1">
      <c r="A146" s="184"/>
      <c r="P146" s="150"/>
      <c r="Q146" s="401"/>
      <c r="X146" s="184"/>
      <c r="Y146" s="184"/>
      <c r="Z146" s="184"/>
      <c r="AA146" s="184"/>
      <c r="AB146" s="184"/>
      <c r="AC146" s="184"/>
      <c r="AD146" s="184"/>
      <c r="AE146" s="184"/>
      <c r="AF146" s="184"/>
      <c r="AG146" s="184"/>
      <c r="AH146" s="184"/>
      <c r="AI146" s="184"/>
      <c r="AJ146" s="184"/>
      <c r="AK146" s="184"/>
      <c r="AL146" s="184"/>
      <c r="AM146" s="184"/>
      <c r="AN146" s="184"/>
      <c r="AO146" s="184"/>
      <c r="AP146" s="184"/>
      <c r="AQ146" s="184"/>
      <c r="AR146" s="184"/>
    </row>
    <row r="147" spans="1:44" s="331" customFormat="1" ht="12" customHeight="1">
      <c r="A147" s="184"/>
      <c r="P147" s="150"/>
      <c r="Q147" s="401"/>
      <c r="X147" s="184"/>
      <c r="Y147" s="184"/>
      <c r="Z147" s="184"/>
      <c r="AA147" s="184"/>
      <c r="AB147" s="184"/>
      <c r="AC147" s="184"/>
      <c r="AD147" s="184"/>
      <c r="AE147" s="184"/>
      <c r="AF147" s="184"/>
      <c r="AG147" s="184"/>
      <c r="AH147" s="184"/>
      <c r="AI147" s="184"/>
      <c r="AJ147" s="184"/>
      <c r="AK147" s="184"/>
      <c r="AL147" s="184"/>
      <c r="AM147" s="184"/>
      <c r="AN147" s="184"/>
      <c r="AO147" s="184"/>
      <c r="AP147" s="184"/>
      <c r="AQ147" s="184"/>
      <c r="AR147" s="184"/>
    </row>
    <row r="148" spans="1:44" s="331" customFormat="1" ht="12" customHeight="1">
      <c r="A148" s="184"/>
      <c r="P148" s="150"/>
      <c r="Q148" s="401"/>
      <c r="X148" s="184"/>
      <c r="Y148" s="184"/>
      <c r="Z148" s="184"/>
      <c r="AA148" s="184"/>
      <c r="AB148" s="184"/>
      <c r="AC148" s="184"/>
      <c r="AD148" s="184"/>
      <c r="AE148" s="184"/>
      <c r="AF148" s="184"/>
      <c r="AG148" s="184"/>
      <c r="AH148" s="184"/>
      <c r="AI148" s="184"/>
      <c r="AJ148" s="184"/>
      <c r="AK148" s="184"/>
      <c r="AL148" s="184"/>
      <c r="AM148" s="184"/>
      <c r="AN148" s="184"/>
      <c r="AO148" s="184"/>
      <c r="AP148" s="184"/>
      <c r="AQ148" s="184"/>
      <c r="AR148" s="184"/>
    </row>
    <row r="149" spans="1:44" s="331" customFormat="1" ht="12" customHeight="1">
      <c r="A149" s="184"/>
      <c r="P149" s="150"/>
      <c r="Q149" s="401"/>
      <c r="X149" s="184"/>
      <c r="Y149" s="184"/>
      <c r="Z149" s="184"/>
      <c r="AA149" s="184"/>
      <c r="AB149" s="184"/>
      <c r="AC149" s="184"/>
      <c r="AD149" s="184"/>
      <c r="AE149" s="184"/>
      <c r="AF149" s="184"/>
      <c r="AG149" s="184"/>
      <c r="AH149" s="184"/>
      <c r="AI149" s="184"/>
      <c r="AJ149" s="184"/>
      <c r="AK149" s="184"/>
      <c r="AL149" s="184"/>
      <c r="AM149" s="184"/>
      <c r="AN149" s="184"/>
      <c r="AO149" s="184"/>
      <c r="AP149" s="184"/>
      <c r="AQ149" s="184"/>
      <c r="AR149" s="184"/>
    </row>
    <row r="150" spans="1:44" s="331" customFormat="1" ht="12" customHeight="1">
      <c r="A150" s="184"/>
      <c r="P150" s="150"/>
      <c r="Q150" s="401"/>
      <c r="X150" s="184"/>
      <c r="Y150" s="184"/>
      <c r="Z150" s="184"/>
      <c r="AA150" s="184"/>
      <c r="AB150" s="184"/>
      <c r="AC150" s="184"/>
      <c r="AD150" s="184"/>
      <c r="AE150" s="184"/>
      <c r="AF150" s="184"/>
      <c r="AG150" s="184"/>
      <c r="AH150" s="184"/>
      <c r="AI150" s="184"/>
      <c r="AJ150" s="184"/>
      <c r="AK150" s="184"/>
      <c r="AL150" s="184"/>
      <c r="AM150" s="184"/>
      <c r="AN150" s="184"/>
      <c r="AO150" s="184"/>
      <c r="AP150" s="184"/>
      <c r="AQ150" s="184"/>
      <c r="AR150" s="184"/>
    </row>
    <row r="151" spans="1:44" s="331" customFormat="1" ht="12" customHeight="1">
      <c r="A151" s="184"/>
      <c r="P151" s="150"/>
      <c r="Q151" s="401"/>
      <c r="X151" s="184"/>
      <c r="Y151" s="184"/>
      <c r="Z151" s="184"/>
      <c r="AA151" s="184"/>
      <c r="AB151" s="184"/>
      <c r="AC151" s="184"/>
      <c r="AD151" s="184"/>
      <c r="AE151" s="184"/>
      <c r="AF151" s="184"/>
      <c r="AG151" s="184"/>
      <c r="AH151" s="184"/>
      <c r="AI151" s="184"/>
      <c r="AJ151" s="184"/>
      <c r="AK151" s="184"/>
      <c r="AL151" s="184"/>
      <c r="AM151" s="184"/>
      <c r="AN151" s="184"/>
      <c r="AO151" s="184"/>
      <c r="AP151" s="184"/>
      <c r="AQ151" s="184"/>
      <c r="AR151" s="184"/>
    </row>
    <row r="152" spans="1:44" s="331" customFormat="1" ht="12" customHeight="1">
      <c r="A152" s="184"/>
      <c r="P152" s="150"/>
      <c r="Q152" s="401"/>
      <c r="X152" s="184"/>
      <c r="Y152" s="184"/>
      <c r="Z152" s="184"/>
      <c r="AA152" s="184"/>
      <c r="AB152" s="184"/>
      <c r="AC152" s="184"/>
      <c r="AD152" s="184"/>
      <c r="AE152" s="184"/>
      <c r="AF152" s="184"/>
      <c r="AG152" s="184"/>
      <c r="AH152" s="184"/>
      <c r="AI152" s="184"/>
      <c r="AJ152" s="184"/>
      <c r="AK152" s="184"/>
      <c r="AL152" s="184"/>
      <c r="AM152" s="184"/>
      <c r="AN152" s="184"/>
      <c r="AO152" s="184"/>
      <c r="AP152" s="184"/>
      <c r="AQ152" s="184"/>
      <c r="AR152" s="184"/>
    </row>
    <row r="153" spans="1:44" s="331" customFormat="1" ht="12" customHeight="1">
      <c r="A153" s="184"/>
      <c r="P153" s="150"/>
      <c r="Q153" s="401"/>
      <c r="X153" s="184"/>
      <c r="Y153" s="184"/>
      <c r="Z153" s="184"/>
      <c r="AA153" s="184"/>
      <c r="AB153" s="184"/>
      <c r="AC153" s="184"/>
      <c r="AD153" s="184"/>
      <c r="AE153" s="184"/>
      <c r="AF153" s="184"/>
      <c r="AG153" s="184"/>
      <c r="AH153" s="184"/>
      <c r="AI153" s="184"/>
      <c r="AJ153" s="184"/>
      <c r="AK153" s="184"/>
      <c r="AL153" s="184"/>
      <c r="AM153" s="184"/>
      <c r="AN153" s="184"/>
      <c r="AO153" s="184"/>
      <c r="AP153" s="184"/>
      <c r="AQ153" s="184"/>
      <c r="AR153" s="184"/>
    </row>
    <row r="154" spans="1:44" s="331" customFormat="1" ht="12" customHeight="1">
      <c r="A154" s="184"/>
      <c r="P154" s="150"/>
      <c r="Q154" s="401"/>
      <c r="X154" s="184"/>
      <c r="Y154" s="184"/>
      <c r="Z154" s="184"/>
      <c r="AA154" s="184"/>
      <c r="AB154" s="184"/>
      <c r="AC154" s="184"/>
      <c r="AD154" s="184"/>
      <c r="AE154" s="184"/>
      <c r="AF154" s="184"/>
      <c r="AG154" s="184"/>
      <c r="AH154" s="184"/>
      <c r="AI154" s="184"/>
      <c r="AJ154" s="184"/>
      <c r="AK154" s="184"/>
      <c r="AL154" s="184"/>
      <c r="AM154" s="184"/>
      <c r="AN154" s="184"/>
      <c r="AO154" s="184"/>
      <c r="AP154" s="184"/>
      <c r="AQ154" s="184"/>
      <c r="AR154" s="184"/>
    </row>
    <row r="155" spans="1:44" s="331" customFormat="1" ht="12" customHeight="1">
      <c r="A155" s="184"/>
      <c r="P155" s="402"/>
      <c r="Q155" s="184"/>
      <c r="X155" s="184"/>
      <c r="Y155" s="184"/>
      <c r="Z155" s="184"/>
      <c r="AA155" s="184"/>
      <c r="AB155" s="184"/>
      <c r="AC155" s="184"/>
      <c r="AD155" s="184"/>
      <c r="AE155" s="184"/>
      <c r="AF155" s="184"/>
      <c r="AG155" s="184"/>
      <c r="AH155" s="184"/>
      <c r="AI155" s="184"/>
      <c r="AJ155" s="184"/>
      <c r="AK155" s="184"/>
      <c r="AL155" s="184"/>
      <c r="AM155" s="184"/>
      <c r="AN155" s="184"/>
      <c r="AO155" s="184"/>
      <c r="AP155" s="184"/>
      <c r="AQ155" s="184"/>
      <c r="AR155" s="184"/>
    </row>
    <row r="156" spans="1:44" s="331" customFormat="1" ht="12" customHeight="1">
      <c r="A156" s="184"/>
      <c r="P156" s="150"/>
      <c r="Q156" s="401"/>
      <c r="X156" s="184"/>
      <c r="Y156" s="184"/>
      <c r="Z156" s="184"/>
      <c r="AA156" s="184"/>
      <c r="AB156" s="184"/>
      <c r="AC156" s="184"/>
      <c r="AD156" s="184"/>
      <c r="AE156" s="184"/>
      <c r="AF156" s="184"/>
      <c r="AG156" s="184"/>
      <c r="AH156" s="184"/>
      <c r="AI156" s="184"/>
      <c r="AJ156" s="184"/>
      <c r="AK156" s="184"/>
      <c r="AL156" s="184"/>
      <c r="AM156" s="184"/>
      <c r="AN156" s="184"/>
      <c r="AO156" s="184"/>
      <c r="AP156" s="184"/>
      <c r="AQ156" s="184"/>
      <c r="AR156" s="184"/>
    </row>
    <row r="157" spans="1:44" s="331" customFormat="1" ht="12" customHeight="1">
      <c r="A157" s="184"/>
      <c r="P157" s="150"/>
      <c r="Q157" s="401"/>
      <c r="X157" s="184"/>
      <c r="Y157" s="184"/>
      <c r="Z157" s="184"/>
      <c r="AA157" s="184"/>
      <c r="AB157" s="184"/>
      <c r="AC157" s="184"/>
      <c r="AD157" s="184"/>
      <c r="AE157" s="184"/>
      <c r="AF157" s="184"/>
      <c r="AG157" s="184"/>
      <c r="AH157" s="184"/>
      <c r="AI157" s="184"/>
      <c r="AJ157" s="184"/>
      <c r="AK157" s="184"/>
      <c r="AL157" s="184"/>
      <c r="AM157" s="184"/>
      <c r="AN157" s="184"/>
      <c r="AO157" s="184"/>
      <c r="AP157" s="184"/>
      <c r="AQ157" s="184"/>
      <c r="AR157" s="184"/>
    </row>
    <row r="158" spans="1:44" s="331" customFormat="1" ht="12" customHeight="1">
      <c r="A158" s="184"/>
      <c r="P158" s="150"/>
      <c r="Q158" s="401"/>
      <c r="X158" s="184"/>
      <c r="Y158" s="184"/>
      <c r="Z158" s="184"/>
      <c r="AA158" s="184"/>
      <c r="AB158" s="184"/>
      <c r="AC158" s="184"/>
      <c r="AD158" s="184"/>
      <c r="AE158" s="184"/>
      <c r="AF158" s="184"/>
      <c r="AG158" s="184"/>
      <c r="AH158" s="184"/>
      <c r="AI158" s="184"/>
      <c r="AJ158" s="184"/>
      <c r="AK158" s="184"/>
      <c r="AL158" s="184"/>
      <c r="AM158" s="184"/>
      <c r="AN158" s="184"/>
      <c r="AO158" s="184"/>
      <c r="AP158" s="184"/>
      <c r="AQ158" s="184"/>
      <c r="AR158" s="184"/>
    </row>
    <row r="159" spans="1:44" s="331" customFormat="1" ht="12" customHeight="1">
      <c r="A159" s="184"/>
      <c r="P159" s="402"/>
      <c r="Q159" s="184"/>
      <c r="X159" s="184"/>
      <c r="Y159" s="184"/>
      <c r="Z159" s="184"/>
      <c r="AA159" s="184"/>
      <c r="AB159" s="184"/>
      <c r="AC159" s="184"/>
      <c r="AD159" s="184"/>
      <c r="AE159" s="184"/>
      <c r="AF159" s="184"/>
      <c r="AG159" s="184"/>
      <c r="AH159" s="184"/>
      <c r="AI159" s="184"/>
      <c r="AJ159" s="184"/>
      <c r="AK159" s="184"/>
      <c r="AL159" s="184"/>
      <c r="AM159" s="184"/>
      <c r="AN159" s="184"/>
      <c r="AO159" s="184"/>
      <c r="AP159" s="184"/>
      <c r="AQ159" s="184"/>
      <c r="AR159" s="184"/>
    </row>
    <row r="160" spans="1:44" s="331" customFormat="1" ht="12" customHeight="1">
      <c r="A160" s="184"/>
      <c r="P160" s="150"/>
      <c r="Q160" s="401"/>
      <c r="X160" s="184"/>
      <c r="Y160" s="184"/>
      <c r="Z160" s="184"/>
      <c r="AA160" s="184"/>
      <c r="AB160" s="184"/>
      <c r="AC160" s="184"/>
      <c r="AD160" s="184"/>
      <c r="AE160" s="184"/>
      <c r="AF160" s="184"/>
      <c r="AG160" s="184"/>
      <c r="AH160" s="184"/>
      <c r="AI160" s="184"/>
      <c r="AJ160" s="184"/>
      <c r="AK160" s="184"/>
      <c r="AL160" s="184"/>
      <c r="AM160" s="184"/>
      <c r="AN160" s="184"/>
      <c r="AO160" s="184"/>
      <c r="AP160" s="184"/>
      <c r="AQ160" s="184"/>
      <c r="AR160" s="184"/>
    </row>
    <row r="161" spans="1:44" s="331" customFormat="1" ht="12" customHeight="1">
      <c r="A161" s="184"/>
      <c r="P161" s="150"/>
      <c r="Q161" s="401"/>
      <c r="X161" s="184"/>
      <c r="Y161" s="184"/>
      <c r="Z161" s="184"/>
      <c r="AA161" s="184"/>
      <c r="AB161" s="184"/>
      <c r="AC161" s="184"/>
      <c r="AD161" s="184"/>
      <c r="AE161" s="184"/>
      <c r="AF161" s="184"/>
      <c r="AG161" s="184"/>
      <c r="AH161" s="184"/>
      <c r="AI161" s="184"/>
      <c r="AJ161" s="184"/>
      <c r="AK161" s="184"/>
      <c r="AL161" s="184"/>
      <c r="AM161" s="184"/>
      <c r="AN161" s="184"/>
      <c r="AO161" s="184"/>
      <c r="AP161" s="184"/>
      <c r="AQ161" s="184"/>
      <c r="AR161" s="184"/>
    </row>
    <row r="162" spans="1:44" s="331" customFormat="1" ht="12" customHeight="1">
      <c r="A162" s="184"/>
      <c r="P162" s="150"/>
      <c r="Q162" s="401"/>
      <c r="X162" s="184"/>
      <c r="Y162" s="184"/>
      <c r="Z162" s="184"/>
      <c r="AA162" s="184"/>
      <c r="AB162" s="184"/>
      <c r="AC162" s="184"/>
      <c r="AD162" s="184"/>
      <c r="AE162" s="184"/>
      <c r="AF162" s="184"/>
      <c r="AG162" s="184"/>
      <c r="AH162" s="184"/>
      <c r="AI162" s="184"/>
      <c r="AJ162" s="184"/>
      <c r="AK162" s="184"/>
      <c r="AL162" s="184"/>
      <c r="AM162" s="184"/>
      <c r="AN162" s="184"/>
      <c r="AO162" s="184"/>
      <c r="AP162" s="184"/>
      <c r="AQ162" s="184"/>
      <c r="AR162" s="184"/>
    </row>
    <row r="163" spans="1:44" s="331" customFormat="1" ht="12" customHeight="1">
      <c r="A163" s="184"/>
      <c r="P163" s="150"/>
      <c r="Q163" s="401"/>
      <c r="X163" s="184"/>
      <c r="Y163" s="184"/>
      <c r="Z163" s="184"/>
      <c r="AA163" s="184"/>
      <c r="AB163" s="184"/>
      <c r="AC163" s="184"/>
      <c r="AD163" s="184"/>
      <c r="AE163" s="184"/>
      <c r="AF163" s="184"/>
      <c r="AG163" s="184"/>
      <c r="AH163" s="184"/>
      <c r="AI163" s="184"/>
      <c r="AJ163" s="184"/>
      <c r="AK163" s="184"/>
      <c r="AL163" s="184"/>
      <c r="AM163" s="184"/>
      <c r="AN163" s="184"/>
      <c r="AO163" s="184"/>
      <c r="AP163" s="184"/>
      <c r="AQ163" s="184"/>
      <c r="AR163" s="184"/>
    </row>
    <row r="164" spans="1:44" s="331" customFormat="1" ht="12" customHeight="1">
      <c r="A164" s="184"/>
      <c r="P164" s="150"/>
      <c r="Q164" s="401"/>
      <c r="X164" s="184"/>
      <c r="Y164" s="184"/>
      <c r="Z164" s="184"/>
      <c r="AA164" s="184"/>
      <c r="AB164" s="184"/>
      <c r="AC164" s="184"/>
      <c r="AD164" s="184"/>
      <c r="AE164" s="184"/>
      <c r="AF164" s="184"/>
      <c r="AG164" s="184"/>
      <c r="AH164" s="184"/>
      <c r="AI164" s="184"/>
      <c r="AJ164" s="184"/>
      <c r="AK164" s="184"/>
      <c r="AL164" s="184"/>
      <c r="AM164" s="184"/>
      <c r="AN164" s="184"/>
      <c r="AO164" s="184"/>
      <c r="AP164" s="184"/>
      <c r="AQ164" s="184"/>
      <c r="AR164" s="184"/>
    </row>
    <row r="165" spans="1:44" s="331" customFormat="1" ht="12" customHeight="1">
      <c r="A165" s="184"/>
      <c r="P165" s="150"/>
      <c r="Q165" s="401"/>
      <c r="X165" s="184"/>
      <c r="Y165" s="184"/>
      <c r="Z165" s="184"/>
      <c r="AA165" s="184"/>
      <c r="AB165" s="184"/>
      <c r="AC165" s="184"/>
      <c r="AD165" s="184"/>
      <c r="AE165" s="184"/>
      <c r="AF165" s="184"/>
      <c r="AG165" s="184"/>
      <c r="AH165" s="184"/>
      <c r="AI165" s="184"/>
      <c r="AJ165" s="184"/>
      <c r="AK165" s="184"/>
      <c r="AL165" s="184"/>
      <c r="AM165" s="184"/>
      <c r="AN165" s="184"/>
      <c r="AO165" s="184"/>
      <c r="AP165" s="184"/>
      <c r="AQ165" s="184"/>
      <c r="AR165" s="184"/>
    </row>
    <row r="166" spans="1:44" s="331" customFormat="1" ht="12" customHeight="1">
      <c r="A166" s="184"/>
      <c r="P166" s="150"/>
      <c r="Q166" s="401"/>
      <c r="X166" s="184"/>
      <c r="Y166" s="184"/>
      <c r="Z166" s="184"/>
      <c r="AA166" s="184"/>
      <c r="AB166" s="184"/>
      <c r="AC166" s="184"/>
      <c r="AD166" s="184"/>
      <c r="AE166" s="184"/>
      <c r="AF166" s="184"/>
      <c r="AG166" s="184"/>
      <c r="AH166" s="184"/>
      <c r="AI166" s="184"/>
      <c r="AJ166" s="184"/>
      <c r="AK166" s="184"/>
      <c r="AL166" s="184"/>
      <c r="AM166" s="184"/>
      <c r="AN166" s="184"/>
      <c r="AO166" s="184"/>
      <c r="AP166" s="184"/>
      <c r="AQ166" s="184"/>
      <c r="AR166" s="184"/>
    </row>
    <row r="167" spans="1:44" s="331" customFormat="1" ht="12" customHeight="1">
      <c r="A167" s="184"/>
      <c r="P167" s="150"/>
      <c r="Q167" s="401"/>
      <c r="X167" s="184"/>
      <c r="Y167" s="184"/>
      <c r="Z167" s="184"/>
      <c r="AA167" s="184"/>
      <c r="AB167" s="184"/>
      <c r="AC167" s="184"/>
      <c r="AD167" s="184"/>
      <c r="AE167" s="184"/>
      <c r="AF167" s="184"/>
      <c r="AG167" s="184"/>
      <c r="AH167" s="184"/>
      <c r="AI167" s="184"/>
      <c r="AJ167" s="184"/>
      <c r="AK167" s="184"/>
      <c r="AL167" s="184"/>
      <c r="AM167" s="184"/>
      <c r="AN167" s="184"/>
      <c r="AO167" s="184"/>
      <c r="AP167" s="184"/>
      <c r="AQ167" s="184"/>
      <c r="AR167" s="184"/>
    </row>
    <row r="168" spans="1:44" s="331" customFormat="1" ht="12" customHeight="1">
      <c r="A168" s="184"/>
      <c r="P168" s="150"/>
      <c r="Q168" s="401"/>
      <c r="X168" s="184"/>
      <c r="Y168" s="184"/>
      <c r="Z168" s="184"/>
      <c r="AA168" s="184"/>
      <c r="AB168" s="184"/>
      <c r="AC168" s="184"/>
      <c r="AD168" s="184"/>
      <c r="AE168" s="184"/>
      <c r="AF168" s="184"/>
      <c r="AG168" s="184"/>
      <c r="AH168" s="184"/>
      <c r="AI168" s="184"/>
      <c r="AJ168" s="184"/>
      <c r="AK168" s="184"/>
      <c r="AL168" s="184"/>
      <c r="AM168" s="184"/>
      <c r="AN168" s="184"/>
      <c r="AO168" s="184"/>
      <c r="AP168" s="184"/>
      <c r="AQ168" s="184"/>
      <c r="AR168" s="184"/>
    </row>
    <row r="169" spans="1:44" s="331" customFormat="1" ht="12" customHeight="1">
      <c r="A169" s="184"/>
      <c r="P169" s="150"/>
      <c r="Q169" s="401"/>
      <c r="X169" s="184"/>
      <c r="Y169" s="184"/>
      <c r="Z169" s="184"/>
      <c r="AA169" s="184"/>
      <c r="AB169" s="184"/>
      <c r="AC169" s="184"/>
      <c r="AD169" s="184"/>
      <c r="AE169" s="184"/>
      <c r="AF169" s="184"/>
      <c r="AG169" s="184"/>
      <c r="AH169" s="184"/>
      <c r="AI169" s="184"/>
      <c r="AJ169" s="184"/>
      <c r="AK169" s="184"/>
      <c r="AL169" s="184"/>
      <c r="AM169" s="184"/>
      <c r="AN169" s="184"/>
      <c r="AO169" s="184"/>
      <c r="AP169" s="184"/>
      <c r="AQ169" s="184"/>
      <c r="AR169" s="184"/>
    </row>
    <row r="170" spans="1:44" s="331" customFormat="1" ht="12" customHeight="1">
      <c r="A170" s="184"/>
      <c r="P170" s="150"/>
      <c r="Q170" s="401"/>
      <c r="X170" s="184"/>
      <c r="Y170" s="184"/>
      <c r="Z170" s="184"/>
      <c r="AA170" s="184"/>
      <c r="AB170" s="184"/>
      <c r="AC170" s="184"/>
      <c r="AD170" s="184"/>
      <c r="AE170" s="184"/>
      <c r="AF170" s="184"/>
      <c r="AG170" s="184"/>
      <c r="AH170" s="184"/>
      <c r="AI170" s="184"/>
      <c r="AJ170" s="184"/>
      <c r="AK170" s="184"/>
      <c r="AL170" s="184"/>
      <c r="AM170" s="184"/>
      <c r="AN170" s="184"/>
      <c r="AO170" s="184"/>
      <c r="AP170" s="184"/>
      <c r="AQ170" s="184"/>
      <c r="AR170" s="184"/>
    </row>
    <row r="171" spans="1:44" s="331" customFormat="1" ht="12" customHeight="1">
      <c r="A171" s="184"/>
      <c r="P171" s="150"/>
      <c r="Q171" s="401"/>
      <c r="X171" s="184"/>
      <c r="Y171" s="184"/>
      <c r="Z171" s="184"/>
      <c r="AA171" s="184"/>
      <c r="AB171" s="184"/>
      <c r="AC171" s="184"/>
      <c r="AD171" s="184"/>
      <c r="AE171" s="184"/>
      <c r="AF171" s="184"/>
      <c r="AG171" s="184"/>
      <c r="AH171" s="184"/>
      <c r="AI171" s="184"/>
      <c r="AJ171" s="184"/>
      <c r="AK171" s="184"/>
      <c r="AL171" s="184"/>
      <c r="AM171" s="184"/>
      <c r="AN171" s="184"/>
      <c r="AO171" s="184"/>
      <c r="AP171" s="184"/>
      <c r="AQ171" s="184"/>
      <c r="AR171" s="184"/>
    </row>
    <row r="172" spans="1:44" s="331" customFormat="1" ht="12" customHeight="1">
      <c r="A172" s="184"/>
      <c r="P172" s="150"/>
      <c r="Q172" s="401"/>
      <c r="X172" s="184"/>
      <c r="Y172" s="184"/>
      <c r="Z172" s="184"/>
      <c r="AA172" s="184"/>
      <c r="AB172" s="184"/>
      <c r="AC172" s="184"/>
      <c r="AD172" s="184"/>
      <c r="AE172" s="184"/>
      <c r="AF172" s="184"/>
      <c r="AG172" s="184"/>
      <c r="AH172" s="184"/>
      <c r="AI172" s="184"/>
      <c r="AJ172" s="184"/>
      <c r="AK172" s="184"/>
      <c r="AL172" s="184"/>
      <c r="AM172" s="184"/>
      <c r="AN172" s="184"/>
      <c r="AO172" s="184"/>
      <c r="AP172" s="184"/>
      <c r="AQ172" s="184"/>
      <c r="AR172" s="184"/>
    </row>
    <row r="173" spans="1:44" s="331" customFormat="1" ht="12" customHeight="1">
      <c r="A173" s="184"/>
      <c r="P173" s="403"/>
      <c r="Q173" s="401"/>
      <c r="R173" s="396"/>
      <c r="S173" s="396"/>
      <c r="X173" s="184"/>
      <c r="Y173" s="184"/>
      <c r="Z173" s="184"/>
      <c r="AA173" s="184"/>
      <c r="AB173" s="184"/>
      <c r="AC173" s="184"/>
      <c r="AD173" s="184"/>
      <c r="AE173" s="184"/>
      <c r="AF173" s="184"/>
      <c r="AG173" s="184"/>
      <c r="AH173" s="184"/>
      <c r="AI173" s="184"/>
      <c r="AJ173" s="184"/>
      <c r="AK173" s="184"/>
      <c r="AL173" s="184"/>
      <c r="AM173" s="184"/>
      <c r="AN173" s="184"/>
      <c r="AO173" s="184"/>
      <c r="AP173" s="184"/>
      <c r="AQ173" s="184"/>
      <c r="AR173" s="184"/>
    </row>
    <row r="174" spans="1:44" s="331" customFormat="1" ht="12" customHeight="1">
      <c r="A174" s="184"/>
      <c r="P174" s="150"/>
      <c r="Q174" s="401"/>
      <c r="R174" s="396"/>
      <c r="S174" s="396"/>
      <c r="X174" s="184"/>
      <c r="Y174" s="184"/>
      <c r="Z174" s="184"/>
      <c r="AA174" s="184"/>
      <c r="AB174" s="184"/>
      <c r="AC174" s="184"/>
      <c r="AD174" s="184"/>
      <c r="AE174" s="184"/>
      <c r="AF174" s="184"/>
      <c r="AG174" s="184"/>
      <c r="AH174" s="184"/>
      <c r="AI174" s="184"/>
      <c r="AJ174" s="184"/>
      <c r="AK174" s="184"/>
      <c r="AL174" s="184"/>
      <c r="AM174" s="184"/>
      <c r="AN174" s="184"/>
      <c r="AO174" s="184"/>
      <c r="AP174" s="184"/>
      <c r="AQ174" s="184"/>
      <c r="AR174" s="184"/>
    </row>
    <row r="175" spans="1:44" s="331" customFormat="1" ht="12" customHeight="1">
      <c r="A175" s="184"/>
      <c r="P175" s="150"/>
      <c r="Q175" s="401"/>
      <c r="R175" s="396"/>
      <c r="S175" s="396"/>
      <c r="X175" s="184"/>
      <c r="Y175" s="184"/>
      <c r="Z175" s="184"/>
      <c r="AA175" s="184"/>
      <c r="AB175" s="184"/>
      <c r="AC175" s="184"/>
      <c r="AD175" s="184"/>
      <c r="AE175" s="184"/>
      <c r="AF175" s="184"/>
      <c r="AG175" s="184"/>
      <c r="AH175" s="184"/>
      <c r="AI175" s="184"/>
      <c r="AJ175" s="184"/>
      <c r="AK175" s="184"/>
      <c r="AL175" s="184"/>
      <c r="AM175" s="184"/>
      <c r="AN175" s="184"/>
      <c r="AO175" s="184"/>
      <c r="AP175" s="184"/>
      <c r="AQ175" s="184"/>
      <c r="AR175" s="184"/>
    </row>
    <row r="176" spans="1:44" s="331" customFormat="1" ht="12" customHeight="1">
      <c r="A176" s="184"/>
      <c r="P176" s="150"/>
      <c r="Q176" s="401"/>
      <c r="R176" s="396"/>
      <c r="S176" s="396"/>
      <c r="X176" s="184"/>
      <c r="Y176" s="184"/>
      <c r="Z176" s="184"/>
      <c r="AA176" s="184"/>
      <c r="AB176" s="184"/>
      <c r="AC176" s="184"/>
      <c r="AD176" s="184"/>
      <c r="AE176" s="184"/>
      <c r="AF176" s="184"/>
      <c r="AG176" s="184"/>
      <c r="AH176" s="184"/>
      <c r="AI176" s="184"/>
      <c r="AJ176" s="184"/>
      <c r="AK176" s="184"/>
      <c r="AL176" s="184"/>
      <c r="AM176" s="184"/>
      <c r="AN176" s="184"/>
      <c r="AO176" s="184"/>
      <c r="AP176" s="184"/>
      <c r="AQ176" s="184"/>
      <c r="AR176" s="184"/>
    </row>
    <row r="177" spans="1:44" s="331" customFormat="1" ht="12" customHeight="1">
      <c r="A177" s="184"/>
      <c r="P177" s="150"/>
      <c r="Q177" s="184"/>
      <c r="X177" s="184"/>
      <c r="Y177" s="184"/>
      <c r="Z177" s="184"/>
      <c r="AA177" s="184"/>
      <c r="AB177" s="184"/>
      <c r="AC177" s="184"/>
      <c r="AD177" s="184"/>
      <c r="AE177" s="184"/>
      <c r="AF177" s="184"/>
      <c r="AG177" s="184"/>
      <c r="AH177" s="184"/>
      <c r="AI177" s="184"/>
      <c r="AJ177" s="184"/>
      <c r="AK177" s="184"/>
      <c r="AL177" s="184"/>
      <c r="AM177" s="184"/>
      <c r="AN177" s="184"/>
      <c r="AO177" s="184"/>
      <c r="AP177" s="184"/>
      <c r="AQ177" s="184"/>
      <c r="AR177" s="184"/>
    </row>
    <row r="178" spans="1:44" s="331" customFormat="1" ht="12" customHeight="1">
      <c r="A178" s="184"/>
      <c r="P178" s="402"/>
      <c r="Q178" s="184"/>
      <c r="X178" s="184"/>
      <c r="Y178" s="184"/>
      <c r="Z178" s="184"/>
      <c r="AA178" s="184"/>
      <c r="AB178" s="184"/>
      <c r="AC178" s="184"/>
      <c r="AD178" s="184"/>
      <c r="AE178" s="184"/>
      <c r="AF178" s="184"/>
      <c r="AG178" s="184"/>
      <c r="AH178" s="184"/>
      <c r="AI178" s="184"/>
      <c r="AJ178" s="184"/>
      <c r="AK178" s="184"/>
      <c r="AL178" s="184"/>
      <c r="AM178" s="184"/>
      <c r="AN178" s="184"/>
      <c r="AO178" s="184"/>
      <c r="AP178" s="184"/>
      <c r="AQ178" s="184"/>
      <c r="AR178" s="184"/>
    </row>
    <row r="179" spans="1:44" s="331" customFormat="1" ht="12" customHeight="1">
      <c r="A179" s="184"/>
      <c r="P179" s="150"/>
      <c r="Q179" s="401"/>
      <c r="X179" s="184"/>
      <c r="Y179" s="184"/>
      <c r="Z179" s="184"/>
      <c r="AA179" s="184"/>
      <c r="AB179" s="184"/>
      <c r="AC179" s="184"/>
      <c r="AD179" s="184"/>
      <c r="AE179" s="184"/>
      <c r="AF179" s="184"/>
      <c r="AG179" s="184"/>
      <c r="AH179" s="184"/>
      <c r="AI179" s="184"/>
      <c r="AJ179" s="184"/>
      <c r="AK179" s="184"/>
      <c r="AL179" s="184"/>
      <c r="AM179" s="184"/>
      <c r="AN179" s="184"/>
      <c r="AO179" s="184"/>
      <c r="AP179" s="184"/>
      <c r="AQ179" s="184"/>
      <c r="AR179" s="184"/>
    </row>
    <row r="180" spans="1:44" s="331" customFormat="1" ht="12" customHeight="1">
      <c r="A180" s="184"/>
      <c r="P180" s="150"/>
      <c r="Q180" s="401"/>
      <c r="X180" s="184"/>
      <c r="Y180" s="184"/>
      <c r="Z180" s="184"/>
      <c r="AA180" s="184"/>
      <c r="AB180" s="184"/>
      <c r="AC180" s="184"/>
      <c r="AD180" s="184"/>
      <c r="AE180" s="184"/>
      <c r="AF180" s="184"/>
      <c r="AG180" s="184"/>
      <c r="AH180" s="184"/>
      <c r="AI180" s="184"/>
      <c r="AJ180" s="184"/>
      <c r="AK180" s="184"/>
      <c r="AL180" s="184"/>
      <c r="AM180" s="184"/>
      <c r="AN180" s="184"/>
      <c r="AO180" s="184"/>
      <c r="AP180" s="184"/>
      <c r="AQ180" s="184"/>
      <c r="AR180" s="184"/>
    </row>
    <row r="181" spans="1:44" s="331" customFormat="1" ht="12" customHeight="1">
      <c r="A181" s="184"/>
      <c r="P181" s="403"/>
      <c r="Q181" s="401"/>
      <c r="X181" s="184"/>
      <c r="Y181" s="184"/>
      <c r="Z181" s="184"/>
      <c r="AA181" s="184"/>
      <c r="AB181" s="184"/>
      <c r="AC181" s="184"/>
      <c r="AD181" s="184"/>
      <c r="AE181" s="184"/>
      <c r="AF181" s="184"/>
      <c r="AG181" s="184"/>
      <c r="AH181" s="184"/>
      <c r="AI181" s="184"/>
      <c r="AJ181" s="184"/>
      <c r="AK181" s="184"/>
      <c r="AL181" s="184"/>
      <c r="AM181" s="184"/>
      <c r="AN181" s="184"/>
      <c r="AO181" s="184"/>
      <c r="AP181" s="184"/>
      <c r="AQ181" s="184"/>
      <c r="AR181" s="184"/>
    </row>
    <row r="182" spans="1:44" s="331" customFormat="1" ht="12" customHeight="1">
      <c r="A182" s="184"/>
      <c r="P182" s="150"/>
      <c r="Q182" s="401"/>
      <c r="X182" s="184"/>
      <c r="Y182" s="184"/>
      <c r="Z182" s="184"/>
      <c r="AA182" s="184"/>
      <c r="AB182" s="184"/>
      <c r="AC182" s="184"/>
      <c r="AD182" s="184"/>
      <c r="AE182" s="184"/>
      <c r="AF182" s="184"/>
      <c r="AG182" s="184"/>
      <c r="AH182" s="184"/>
      <c r="AI182" s="184"/>
      <c r="AJ182" s="184"/>
      <c r="AK182" s="184"/>
      <c r="AL182" s="184"/>
      <c r="AM182" s="184"/>
      <c r="AN182" s="184"/>
      <c r="AO182" s="184"/>
      <c r="AP182" s="184"/>
      <c r="AQ182" s="184"/>
      <c r="AR182" s="184"/>
    </row>
    <row r="183" spans="1:44" s="331" customFormat="1" ht="12" customHeight="1">
      <c r="A183" s="184"/>
      <c r="P183" s="150"/>
      <c r="Q183" s="401"/>
      <c r="X183" s="184"/>
      <c r="Y183" s="184"/>
      <c r="Z183" s="184"/>
      <c r="AA183" s="184"/>
      <c r="AB183" s="184"/>
      <c r="AC183" s="184"/>
      <c r="AD183" s="184"/>
      <c r="AE183" s="184"/>
      <c r="AF183" s="184"/>
      <c r="AG183" s="184"/>
      <c r="AH183" s="184"/>
      <c r="AI183" s="184"/>
      <c r="AJ183" s="184"/>
      <c r="AK183" s="184"/>
      <c r="AL183" s="184"/>
      <c r="AM183" s="184"/>
      <c r="AN183" s="184"/>
      <c r="AO183" s="184"/>
      <c r="AP183" s="184"/>
      <c r="AQ183" s="184"/>
      <c r="AR183" s="184"/>
    </row>
    <row r="184" spans="1:44" s="331" customFormat="1" ht="12" customHeight="1">
      <c r="A184" s="184"/>
      <c r="P184" s="150"/>
      <c r="Q184" s="401"/>
      <c r="X184" s="184"/>
      <c r="Y184" s="184"/>
      <c r="Z184" s="184"/>
      <c r="AA184" s="184"/>
      <c r="AB184" s="184"/>
      <c r="AC184" s="184"/>
      <c r="AD184" s="184"/>
      <c r="AE184" s="184"/>
      <c r="AF184" s="184"/>
      <c r="AG184" s="184"/>
      <c r="AH184" s="184"/>
      <c r="AI184" s="184"/>
      <c r="AJ184" s="184"/>
      <c r="AK184" s="184"/>
      <c r="AL184" s="184"/>
      <c r="AM184" s="184"/>
      <c r="AN184" s="184"/>
      <c r="AO184" s="184"/>
      <c r="AP184" s="184"/>
      <c r="AQ184" s="184"/>
      <c r="AR184" s="184"/>
    </row>
    <row r="185" spans="1:44" s="331" customFormat="1" ht="12" customHeight="1">
      <c r="A185" s="184"/>
      <c r="P185" s="150"/>
      <c r="Q185" s="401"/>
      <c r="X185" s="184"/>
      <c r="Y185" s="184"/>
      <c r="Z185" s="184"/>
      <c r="AA185" s="184"/>
      <c r="AB185" s="184"/>
      <c r="AC185" s="184"/>
      <c r="AD185" s="184"/>
      <c r="AE185" s="184"/>
      <c r="AF185" s="184"/>
      <c r="AG185" s="184"/>
      <c r="AH185" s="184"/>
      <c r="AI185" s="184"/>
      <c r="AJ185" s="184"/>
      <c r="AK185" s="184"/>
      <c r="AL185" s="184"/>
      <c r="AM185" s="184"/>
      <c r="AN185" s="184"/>
      <c r="AO185" s="184"/>
      <c r="AP185" s="184"/>
      <c r="AQ185" s="184"/>
      <c r="AR185" s="184"/>
    </row>
    <row r="186" spans="1:44" s="331" customFormat="1" ht="12" customHeight="1">
      <c r="A186" s="184"/>
      <c r="P186" s="150"/>
      <c r="Q186" s="401"/>
      <c r="X186" s="184"/>
      <c r="Y186" s="184"/>
      <c r="Z186" s="184"/>
      <c r="AA186" s="184"/>
      <c r="AB186" s="184"/>
      <c r="AC186" s="184"/>
      <c r="AD186" s="184"/>
      <c r="AE186" s="184"/>
      <c r="AF186" s="184"/>
      <c r="AG186" s="184"/>
      <c r="AH186" s="184"/>
      <c r="AI186" s="184"/>
      <c r="AJ186" s="184"/>
      <c r="AK186" s="184"/>
      <c r="AL186" s="184"/>
      <c r="AM186" s="184"/>
      <c r="AN186" s="184"/>
      <c r="AO186" s="184"/>
      <c r="AP186" s="184"/>
      <c r="AQ186" s="184"/>
      <c r="AR186" s="184"/>
    </row>
    <row r="187" spans="1:44" s="331" customFormat="1" ht="12" customHeight="1">
      <c r="A187" s="184"/>
      <c r="P187" s="150"/>
      <c r="Q187" s="401"/>
      <c r="X187" s="184"/>
      <c r="Y187" s="184"/>
      <c r="Z187" s="184"/>
      <c r="AA187" s="184"/>
      <c r="AB187" s="184"/>
      <c r="AC187" s="184"/>
      <c r="AD187" s="184"/>
      <c r="AE187" s="184"/>
      <c r="AF187" s="184"/>
      <c r="AG187" s="184"/>
      <c r="AH187" s="184"/>
      <c r="AI187" s="184"/>
      <c r="AJ187" s="184"/>
      <c r="AK187" s="184"/>
      <c r="AL187" s="184"/>
      <c r="AM187" s="184"/>
      <c r="AN187" s="184"/>
      <c r="AO187" s="184"/>
      <c r="AP187" s="184"/>
      <c r="AQ187" s="184"/>
      <c r="AR187" s="184"/>
    </row>
    <row r="188" spans="1:44" s="331" customFormat="1" ht="12" customHeight="1">
      <c r="A188" s="184"/>
      <c r="P188" s="150"/>
      <c r="Q188" s="401"/>
      <c r="X188" s="184"/>
      <c r="Y188" s="184"/>
      <c r="Z188" s="184"/>
      <c r="AA188" s="184"/>
      <c r="AB188" s="184"/>
      <c r="AC188" s="184"/>
      <c r="AD188" s="184"/>
      <c r="AE188" s="184"/>
      <c r="AF188" s="184"/>
      <c r="AG188" s="184"/>
      <c r="AH188" s="184"/>
      <c r="AI188" s="184"/>
      <c r="AJ188" s="184"/>
      <c r="AK188" s="184"/>
      <c r="AL188" s="184"/>
      <c r="AM188" s="184"/>
      <c r="AN188" s="184"/>
      <c r="AO188" s="184"/>
      <c r="AP188" s="184"/>
      <c r="AQ188" s="184"/>
      <c r="AR188" s="184"/>
    </row>
    <row r="189" spans="1:44" s="331" customFormat="1" ht="12" customHeight="1">
      <c r="A189" s="184"/>
      <c r="P189" s="403"/>
      <c r="Q189" s="401"/>
      <c r="X189" s="184"/>
      <c r="Y189" s="184"/>
      <c r="Z189" s="184"/>
      <c r="AA189" s="184"/>
      <c r="AB189" s="184"/>
      <c r="AC189" s="184"/>
      <c r="AD189" s="184"/>
      <c r="AE189" s="184"/>
      <c r="AF189" s="184"/>
      <c r="AG189" s="184"/>
      <c r="AH189" s="184"/>
      <c r="AI189" s="184"/>
      <c r="AJ189" s="184"/>
      <c r="AK189" s="184"/>
      <c r="AL189" s="184"/>
      <c r="AM189" s="184"/>
      <c r="AN189" s="184"/>
      <c r="AO189" s="184"/>
      <c r="AP189" s="184"/>
      <c r="AQ189" s="184"/>
      <c r="AR189" s="184"/>
    </row>
    <row r="190" spans="1:44" s="331" customFormat="1" ht="12" customHeight="1">
      <c r="A190" s="184"/>
      <c r="P190" s="150"/>
      <c r="Q190" s="401"/>
      <c r="X190" s="184"/>
      <c r="Y190" s="184"/>
      <c r="Z190" s="184"/>
      <c r="AA190" s="184"/>
      <c r="AB190" s="184"/>
      <c r="AC190" s="184"/>
      <c r="AD190" s="184"/>
      <c r="AE190" s="184"/>
      <c r="AF190" s="184"/>
      <c r="AG190" s="184"/>
      <c r="AH190" s="184"/>
      <c r="AI190" s="184"/>
      <c r="AJ190" s="184"/>
      <c r="AK190" s="184"/>
      <c r="AL190" s="184"/>
      <c r="AM190" s="184"/>
      <c r="AN190" s="184"/>
      <c r="AO190" s="184"/>
      <c r="AP190" s="184"/>
      <c r="AQ190" s="184"/>
      <c r="AR190" s="184"/>
    </row>
    <row r="191" spans="1:44" s="331" customFormat="1" ht="12" customHeight="1">
      <c r="A191" s="184"/>
      <c r="P191" s="150"/>
      <c r="Q191" s="401"/>
      <c r="X191" s="184"/>
      <c r="Y191" s="184"/>
      <c r="Z191" s="184"/>
      <c r="AA191" s="184"/>
      <c r="AB191" s="184"/>
      <c r="AC191" s="184"/>
      <c r="AD191" s="184"/>
      <c r="AE191" s="184"/>
      <c r="AF191" s="184"/>
      <c r="AG191" s="184"/>
      <c r="AH191" s="184"/>
      <c r="AI191" s="184"/>
      <c r="AJ191" s="184"/>
      <c r="AK191" s="184"/>
      <c r="AL191" s="184"/>
      <c r="AM191" s="184"/>
      <c r="AN191" s="184"/>
      <c r="AO191" s="184"/>
      <c r="AP191" s="184"/>
      <c r="AQ191" s="184"/>
      <c r="AR191" s="184"/>
    </row>
    <row r="192" spans="1:44" s="331" customFormat="1" ht="12" customHeight="1">
      <c r="A192" s="184"/>
      <c r="P192" s="150"/>
      <c r="Q192" s="401"/>
      <c r="X192" s="184"/>
      <c r="Y192" s="184"/>
      <c r="Z192" s="184"/>
      <c r="AA192" s="184"/>
      <c r="AB192" s="184"/>
      <c r="AC192" s="184"/>
      <c r="AD192" s="184"/>
      <c r="AE192" s="184"/>
      <c r="AF192" s="184"/>
      <c r="AG192" s="184"/>
      <c r="AH192" s="184"/>
      <c r="AI192" s="184"/>
      <c r="AJ192" s="184"/>
      <c r="AK192" s="184"/>
      <c r="AL192" s="184"/>
      <c r="AM192" s="184"/>
      <c r="AN192" s="184"/>
      <c r="AO192" s="184"/>
      <c r="AP192" s="184"/>
      <c r="AQ192" s="184"/>
      <c r="AR192" s="184"/>
    </row>
    <row r="193" spans="1:44" s="331" customFormat="1" ht="12" customHeight="1">
      <c r="A193" s="184"/>
      <c r="P193" s="150"/>
      <c r="Q193" s="401"/>
      <c r="X193" s="184"/>
      <c r="Y193" s="184"/>
      <c r="Z193" s="184"/>
      <c r="AA193" s="184"/>
      <c r="AB193" s="184"/>
      <c r="AC193" s="184"/>
      <c r="AD193" s="184"/>
      <c r="AE193" s="184"/>
      <c r="AF193" s="184"/>
      <c r="AG193" s="184"/>
      <c r="AH193" s="184"/>
      <c r="AI193" s="184"/>
      <c r="AJ193" s="184"/>
      <c r="AK193" s="184"/>
      <c r="AL193" s="184"/>
      <c r="AM193" s="184"/>
      <c r="AN193" s="184"/>
      <c r="AO193" s="184"/>
      <c r="AP193" s="184"/>
      <c r="AQ193" s="184"/>
      <c r="AR193" s="184"/>
    </row>
    <row r="194" spans="1:44" s="331" customFormat="1" ht="12" customHeight="1">
      <c r="A194" s="184"/>
      <c r="P194" s="150"/>
      <c r="Q194" s="401"/>
      <c r="X194" s="184"/>
      <c r="Y194" s="184"/>
      <c r="Z194" s="184"/>
      <c r="AA194" s="184"/>
      <c r="AB194" s="184"/>
      <c r="AC194" s="184"/>
      <c r="AD194" s="184"/>
      <c r="AE194" s="184"/>
      <c r="AF194" s="184"/>
      <c r="AG194" s="184"/>
      <c r="AH194" s="184"/>
      <c r="AI194" s="184"/>
      <c r="AJ194" s="184"/>
      <c r="AK194" s="184"/>
      <c r="AL194" s="184"/>
      <c r="AM194" s="184"/>
      <c r="AN194" s="184"/>
      <c r="AO194" s="184"/>
      <c r="AP194" s="184"/>
      <c r="AQ194" s="184"/>
      <c r="AR194" s="184"/>
    </row>
    <row r="195" spans="1:44" s="331" customFormat="1" ht="12" customHeight="1">
      <c r="A195" s="184"/>
      <c r="P195" s="150"/>
      <c r="Q195" s="401"/>
      <c r="X195" s="184"/>
      <c r="Y195" s="184"/>
      <c r="Z195" s="184"/>
      <c r="AA195" s="184"/>
      <c r="AB195" s="184"/>
      <c r="AC195" s="184"/>
      <c r="AD195" s="184"/>
      <c r="AE195" s="184"/>
      <c r="AF195" s="184"/>
      <c r="AG195" s="184"/>
      <c r="AH195" s="184"/>
      <c r="AI195" s="184"/>
      <c r="AJ195" s="184"/>
      <c r="AK195" s="184"/>
      <c r="AL195" s="184"/>
      <c r="AM195" s="184"/>
      <c r="AN195" s="184"/>
      <c r="AO195" s="184"/>
      <c r="AP195" s="184"/>
      <c r="AQ195" s="184"/>
      <c r="AR195" s="184"/>
    </row>
    <row r="196" spans="1:44" s="331" customFormat="1" ht="12" customHeight="1">
      <c r="A196" s="184"/>
      <c r="P196" s="150"/>
      <c r="Q196" s="401"/>
      <c r="X196" s="184"/>
      <c r="Y196" s="184"/>
      <c r="Z196" s="184"/>
      <c r="AA196" s="184"/>
      <c r="AB196" s="184"/>
      <c r="AC196" s="184"/>
      <c r="AD196" s="184"/>
      <c r="AE196" s="184"/>
      <c r="AF196" s="184"/>
      <c r="AG196" s="184"/>
      <c r="AH196" s="184"/>
      <c r="AI196" s="184"/>
      <c r="AJ196" s="184"/>
      <c r="AK196" s="184"/>
      <c r="AL196" s="184"/>
      <c r="AM196" s="184"/>
      <c r="AN196" s="184"/>
      <c r="AO196" s="184"/>
      <c r="AP196" s="184"/>
      <c r="AQ196" s="184"/>
      <c r="AR196" s="184"/>
    </row>
    <row r="197" spans="1:44" s="331" customFormat="1" ht="12" customHeight="1">
      <c r="A197" s="184"/>
      <c r="P197" s="150"/>
      <c r="Q197" s="401"/>
      <c r="X197" s="184"/>
      <c r="Y197" s="184"/>
      <c r="Z197" s="184"/>
      <c r="AA197" s="184"/>
      <c r="AB197" s="184"/>
      <c r="AC197" s="184"/>
      <c r="AD197" s="184"/>
      <c r="AE197" s="184"/>
      <c r="AF197" s="184"/>
      <c r="AG197" s="184"/>
      <c r="AH197" s="184"/>
      <c r="AI197" s="184"/>
      <c r="AJ197" s="184"/>
      <c r="AK197" s="184"/>
      <c r="AL197" s="184"/>
      <c r="AM197" s="184"/>
      <c r="AN197" s="184"/>
      <c r="AO197" s="184"/>
      <c r="AP197" s="184"/>
      <c r="AQ197" s="184"/>
      <c r="AR197" s="184"/>
    </row>
    <row r="198" spans="1:44" s="331" customFormat="1" ht="12" customHeight="1">
      <c r="A198" s="184"/>
      <c r="P198" s="150"/>
      <c r="Q198" s="401"/>
      <c r="X198" s="184"/>
      <c r="Y198" s="184"/>
      <c r="Z198" s="184"/>
      <c r="AA198" s="184"/>
      <c r="AB198" s="184"/>
      <c r="AC198" s="184"/>
      <c r="AD198" s="184"/>
      <c r="AE198" s="184"/>
      <c r="AF198" s="184"/>
      <c r="AG198" s="184"/>
      <c r="AH198" s="184"/>
      <c r="AI198" s="184"/>
      <c r="AJ198" s="184"/>
      <c r="AK198" s="184"/>
      <c r="AL198" s="184"/>
      <c r="AM198" s="184"/>
      <c r="AN198" s="184"/>
      <c r="AO198" s="184"/>
      <c r="AP198" s="184"/>
      <c r="AQ198" s="184"/>
      <c r="AR198" s="184"/>
    </row>
    <row r="199" spans="1:44" s="331" customFormat="1" ht="12" customHeight="1">
      <c r="A199" s="184"/>
      <c r="P199" s="150"/>
      <c r="Q199" s="401"/>
      <c r="X199" s="184"/>
      <c r="Y199" s="184"/>
      <c r="Z199" s="184"/>
      <c r="AA199" s="184"/>
      <c r="AB199" s="184"/>
      <c r="AC199" s="184"/>
      <c r="AD199" s="184"/>
      <c r="AE199" s="184"/>
      <c r="AF199" s="184"/>
      <c r="AG199" s="184"/>
      <c r="AH199" s="184"/>
      <c r="AI199" s="184"/>
      <c r="AJ199" s="184"/>
      <c r="AK199" s="184"/>
      <c r="AL199" s="184"/>
      <c r="AM199" s="184"/>
      <c r="AN199" s="184"/>
      <c r="AO199" s="184"/>
      <c r="AP199" s="184"/>
      <c r="AQ199" s="184"/>
      <c r="AR199" s="184"/>
    </row>
    <row r="200" spans="1:44" s="331" customFormat="1" ht="12" customHeight="1">
      <c r="A200" s="184"/>
      <c r="P200" s="150"/>
      <c r="Q200" s="401"/>
      <c r="X200" s="184"/>
      <c r="Y200" s="184"/>
      <c r="Z200" s="184"/>
      <c r="AA200" s="184"/>
      <c r="AB200" s="184"/>
      <c r="AC200" s="184"/>
      <c r="AD200" s="184"/>
      <c r="AE200" s="184"/>
      <c r="AF200" s="184"/>
      <c r="AG200" s="184"/>
      <c r="AH200" s="184"/>
      <c r="AI200" s="184"/>
      <c r="AJ200" s="184"/>
      <c r="AK200" s="184"/>
      <c r="AL200" s="184"/>
      <c r="AM200" s="184"/>
      <c r="AN200" s="184"/>
      <c r="AO200" s="184"/>
      <c r="AP200" s="184"/>
      <c r="AQ200" s="184"/>
      <c r="AR200" s="184"/>
    </row>
    <row r="201" spans="1:44" s="331" customFormat="1" ht="12" customHeight="1">
      <c r="A201" s="184"/>
      <c r="P201" s="150"/>
      <c r="Q201" s="401"/>
      <c r="X201" s="184"/>
      <c r="Y201" s="184"/>
      <c r="Z201" s="184"/>
      <c r="AA201" s="184"/>
      <c r="AB201" s="184"/>
      <c r="AC201" s="184"/>
      <c r="AD201" s="184"/>
      <c r="AE201" s="184"/>
      <c r="AF201" s="184"/>
      <c r="AG201" s="184"/>
      <c r="AH201" s="184"/>
      <c r="AI201" s="184"/>
      <c r="AJ201" s="184"/>
      <c r="AK201" s="184"/>
      <c r="AL201" s="184"/>
      <c r="AM201" s="184"/>
      <c r="AN201" s="184"/>
      <c r="AO201" s="184"/>
      <c r="AP201" s="184"/>
      <c r="AQ201" s="184"/>
      <c r="AR201" s="184"/>
    </row>
    <row r="202" spans="1:44" s="331" customFormat="1" ht="12" customHeight="1">
      <c r="A202" s="184"/>
      <c r="P202" s="150"/>
      <c r="Q202" s="401"/>
      <c r="X202" s="184"/>
      <c r="Y202" s="184"/>
      <c r="Z202" s="184"/>
      <c r="AA202" s="184"/>
      <c r="AB202" s="184"/>
      <c r="AC202" s="184"/>
      <c r="AD202" s="184"/>
      <c r="AE202" s="184"/>
      <c r="AF202" s="184"/>
      <c r="AG202" s="184"/>
      <c r="AH202" s="184"/>
      <c r="AI202" s="184"/>
      <c r="AJ202" s="184"/>
      <c r="AK202" s="184"/>
      <c r="AL202" s="184"/>
      <c r="AM202" s="184"/>
      <c r="AN202" s="184"/>
      <c r="AO202" s="184"/>
      <c r="AP202" s="184"/>
      <c r="AQ202" s="184"/>
      <c r="AR202" s="184"/>
    </row>
    <row r="203" spans="1:44" s="331" customFormat="1" ht="12" customHeight="1">
      <c r="A203" s="184"/>
      <c r="P203" s="150"/>
      <c r="Q203" s="401"/>
      <c r="X203" s="184"/>
      <c r="Y203" s="184"/>
      <c r="Z203" s="184"/>
      <c r="AA203" s="184"/>
      <c r="AB203" s="184"/>
      <c r="AC203" s="184"/>
      <c r="AD203" s="184"/>
      <c r="AE203" s="184"/>
      <c r="AF203" s="184"/>
      <c r="AG203" s="184"/>
      <c r="AH203" s="184"/>
      <c r="AI203" s="184"/>
      <c r="AJ203" s="184"/>
      <c r="AK203" s="184"/>
      <c r="AL203" s="184"/>
      <c r="AM203" s="184"/>
      <c r="AN203" s="184"/>
      <c r="AO203" s="184"/>
      <c r="AP203" s="184"/>
      <c r="AQ203" s="184"/>
      <c r="AR203" s="184"/>
    </row>
    <row r="204" spans="1:44" s="331" customFormat="1" ht="12" customHeight="1">
      <c r="A204" s="184"/>
      <c r="P204" s="399"/>
      <c r="Q204" s="401"/>
      <c r="X204" s="184"/>
      <c r="Y204" s="184"/>
      <c r="Z204" s="184"/>
      <c r="AA204" s="184"/>
      <c r="AB204" s="184"/>
      <c r="AC204" s="184"/>
      <c r="AD204" s="184"/>
      <c r="AE204" s="184"/>
      <c r="AF204" s="184"/>
      <c r="AG204" s="184"/>
      <c r="AH204" s="184"/>
      <c r="AI204" s="184"/>
      <c r="AJ204" s="184"/>
      <c r="AK204" s="184"/>
      <c r="AL204" s="184"/>
      <c r="AM204" s="184"/>
      <c r="AN204" s="184"/>
      <c r="AO204" s="184"/>
      <c r="AP204" s="184"/>
      <c r="AQ204" s="184"/>
      <c r="AR204" s="184"/>
    </row>
    <row r="205" spans="1:44" s="331" customFormat="1" ht="12" customHeight="1">
      <c r="A205" s="184"/>
      <c r="P205" s="150"/>
      <c r="Q205" s="401"/>
      <c r="X205" s="184"/>
      <c r="Y205" s="184"/>
      <c r="Z205" s="184"/>
      <c r="AA205" s="184"/>
      <c r="AB205" s="184"/>
      <c r="AC205" s="184"/>
      <c r="AD205" s="184"/>
      <c r="AE205" s="184"/>
      <c r="AF205" s="184"/>
      <c r="AG205" s="184"/>
      <c r="AH205" s="184"/>
      <c r="AI205" s="184"/>
      <c r="AJ205" s="184"/>
      <c r="AK205" s="184"/>
      <c r="AL205" s="184"/>
      <c r="AM205" s="184"/>
      <c r="AN205" s="184"/>
      <c r="AO205" s="184"/>
      <c r="AP205" s="184"/>
      <c r="AQ205" s="184"/>
      <c r="AR205" s="184"/>
    </row>
    <row r="206" spans="1:44" s="331" customFormat="1" ht="12" customHeight="1">
      <c r="A206" s="184"/>
      <c r="P206" s="150"/>
      <c r="Q206" s="401"/>
      <c r="X206" s="184"/>
      <c r="Y206" s="184"/>
      <c r="Z206" s="184"/>
      <c r="AA206" s="184"/>
      <c r="AB206" s="184"/>
      <c r="AC206" s="184"/>
      <c r="AD206" s="184"/>
      <c r="AE206" s="184"/>
      <c r="AF206" s="184"/>
      <c r="AG206" s="184"/>
      <c r="AH206" s="184"/>
      <c r="AI206" s="184"/>
      <c r="AJ206" s="184"/>
      <c r="AK206" s="184"/>
      <c r="AL206" s="184"/>
      <c r="AM206" s="184"/>
      <c r="AN206" s="184"/>
      <c r="AO206" s="184"/>
      <c r="AP206" s="184"/>
      <c r="AQ206" s="184"/>
      <c r="AR206" s="184"/>
    </row>
    <row r="207" spans="1:44" s="331" customFormat="1" ht="12" customHeight="1">
      <c r="A207" s="184"/>
      <c r="P207" s="150"/>
      <c r="Q207" s="401"/>
      <c r="X207" s="184"/>
      <c r="Y207" s="184"/>
      <c r="Z207" s="184"/>
      <c r="AA207" s="184"/>
      <c r="AB207" s="184"/>
      <c r="AC207" s="184"/>
      <c r="AD207" s="184"/>
      <c r="AE207" s="184"/>
      <c r="AF207" s="184"/>
      <c r="AG207" s="184"/>
      <c r="AH207" s="184"/>
      <c r="AI207" s="184"/>
      <c r="AJ207" s="184"/>
      <c r="AK207" s="184"/>
      <c r="AL207" s="184"/>
      <c r="AM207" s="184"/>
      <c r="AN207" s="184"/>
      <c r="AO207" s="184"/>
      <c r="AP207" s="184"/>
      <c r="AQ207" s="184"/>
      <c r="AR207" s="184"/>
    </row>
    <row r="208" spans="1:44" s="331" customFormat="1" ht="12" customHeight="1">
      <c r="A208" s="184"/>
      <c r="P208" s="150"/>
      <c r="Q208" s="401"/>
      <c r="X208" s="184"/>
      <c r="Y208" s="184"/>
      <c r="Z208" s="184"/>
      <c r="AA208" s="184"/>
      <c r="AB208" s="184"/>
      <c r="AC208" s="184"/>
      <c r="AD208" s="184"/>
      <c r="AE208" s="184"/>
      <c r="AF208" s="184"/>
      <c r="AG208" s="184"/>
      <c r="AH208" s="184"/>
      <c r="AI208" s="184"/>
      <c r="AJ208" s="184"/>
      <c r="AK208" s="184"/>
      <c r="AL208" s="184"/>
      <c r="AM208" s="184"/>
      <c r="AN208" s="184"/>
      <c r="AO208" s="184"/>
      <c r="AP208" s="184"/>
      <c r="AQ208" s="184"/>
      <c r="AR208" s="184"/>
    </row>
    <row r="209" spans="1:44" s="331" customFormat="1" ht="12" customHeight="1">
      <c r="A209" s="184"/>
      <c r="P209" s="150"/>
      <c r="Q209" s="401"/>
      <c r="X209" s="184"/>
      <c r="Y209" s="184"/>
      <c r="Z209" s="184"/>
      <c r="AA209" s="184"/>
      <c r="AB209" s="184"/>
      <c r="AC209" s="184"/>
      <c r="AD209" s="184"/>
      <c r="AE209" s="184"/>
      <c r="AF209" s="184"/>
      <c r="AG209" s="184"/>
      <c r="AH209" s="184"/>
      <c r="AI209" s="184"/>
      <c r="AJ209" s="184"/>
      <c r="AK209" s="184"/>
      <c r="AL209" s="184"/>
      <c r="AM209" s="184"/>
      <c r="AN209" s="184"/>
      <c r="AO209" s="184"/>
      <c r="AP209" s="184"/>
      <c r="AQ209" s="184"/>
      <c r="AR209" s="184"/>
    </row>
    <row r="210" spans="1:44" s="331" customFormat="1" ht="12" customHeight="1">
      <c r="A210" s="184"/>
      <c r="P210" s="150"/>
      <c r="Q210" s="401"/>
      <c r="X210" s="184"/>
      <c r="Y210" s="184"/>
      <c r="Z210" s="184"/>
      <c r="AA210" s="184"/>
      <c r="AB210" s="184"/>
      <c r="AC210" s="184"/>
      <c r="AD210" s="184"/>
      <c r="AE210" s="184"/>
      <c r="AF210" s="184"/>
      <c r="AG210" s="184"/>
      <c r="AH210" s="184"/>
      <c r="AI210" s="184"/>
      <c r="AJ210" s="184"/>
      <c r="AK210" s="184"/>
      <c r="AL210" s="184"/>
      <c r="AM210" s="184"/>
      <c r="AN210" s="184"/>
      <c r="AO210" s="184"/>
      <c r="AP210" s="184"/>
      <c r="AQ210" s="184"/>
      <c r="AR210" s="184"/>
    </row>
    <row r="211" spans="1:44" s="331" customFormat="1" ht="12" customHeight="1">
      <c r="A211" s="184"/>
      <c r="P211" s="150"/>
      <c r="Q211" s="401"/>
      <c r="X211" s="184"/>
      <c r="Y211" s="184"/>
      <c r="Z211" s="184"/>
      <c r="AA211" s="184"/>
      <c r="AB211" s="184"/>
      <c r="AC211" s="184"/>
      <c r="AD211" s="184"/>
      <c r="AE211" s="184"/>
      <c r="AF211" s="184"/>
      <c r="AG211" s="184"/>
      <c r="AH211" s="184"/>
      <c r="AI211" s="184"/>
      <c r="AJ211" s="184"/>
      <c r="AK211" s="184"/>
      <c r="AL211" s="184"/>
      <c r="AM211" s="184"/>
      <c r="AN211" s="184"/>
      <c r="AO211" s="184"/>
      <c r="AP211" s="184"/>
      <c r="AQ211" s="184"/>
      <c r="AR211" s="184"/>
    </row>
    <row r="212" spans="1:44" s="331" customFormat="1" ht="12" customHeight="1">
      <c r="A212" s="184"/>
      <c r="P212" s="150"/>
      <c r="Q212" s="401"/>
      <c r="X212" s="184"/>
      <c r="Y212" s="184"/>
      <c r="Z212" s="184"/>
      <c r="AA212" s="184"/>
      <c r="AB212" s="184"/>
      <c r="AC212" s="184"/>
      <c r="AD212" s="184"/>
      <c r="AE212" s="184"/>
      <c r="AF212" s="184"/>
      <c r="AG212" s="184"/>
      <c r="AH212" s="184"/>
      <c r="AI212" s="184"/>
      <c r="AJ212" s="184"/>
      <c r="AK212" s="184"/>
      <c r="AL212" s="184"/>
      <c r="AM212" s="184"/>
      <c r="AN212" s="184"/>
      <c r="AO212" s="184"/>
      <c r="AP212" s="184"/>
      <c r="AQ212" s="184"/>
      <c r="AR212" s="184"/>
    </row>
    <row r="213" spans="1:44" s="331" customFormat="1" ht="12" customHeight="1">
      <c r="A213" s="184"/>
      <c r="P213" s="150"/>
      <c r="Q213" s="401"/>
      <c r="X213" s="184"/>
      <c r="Y213" s="184"/>
      <c r="Z213" s="184"/>
      <c r="AA213" s="184"/>
      <c r="AB213" s="184"/>
      <c r="AC213" s="184"/>
      <c r="AD213" s="184"/>
      <c r="AE213" s="184"/>
      <c r="AF213" s="184"/>
      <c r="AG213" s="184"/>
      <c r="AH213" s="184"/>
      <c r="AI213" s="184"/>
      <c r="AJ213" s="184"/>
      <c r="AK213" s="184"/>
      <c r="AL213" s="184"/>
      <c r="AM213" s="184"/>
      <c r="AN213" s="184"/>
      <c r="AO213" s="184"/>
      <c r="AP213" s="184"/>
      <c r="AQ213" s="184"/>
      <c r="AR213" s="184"/>
    </row>
    <row r="214" spans="1:44" s="331" customFormat="1" ht="12" customHeight="1">
      <c r="A214" s="184"/>
      <c r="P214" s="150"/>
      <c r="Q214" s="401"/>
      <c r="X214" s="184"/>
      <c r="Y214" s="184"/>
      <c r="Z214" s="184"/>
      <c r="AA214" s="184"/>
      <c r="AB214" s="184"/>
      <c r="AC214" s="184"/>
      <c r="AD214" s="184"/>
      <c r="AE214" s="184"/>
      <c r="AF214" s="184"/>
      <c r="AG214" s="184"/>
      <c r="AH214" s="184"/>
      <c r="AI214" s="184"/>
      <c r="AJ214" s="184"/>
      <c r="AK214" s="184"/>
      <c r="AL214" s="184"/>
      <c r="AM214" s="184"/>
      <c r="AN214" s="184"/>
      <c r="AO214" s="184"/>
      <c r="AP214" s="184"/>
      <c r="AQ214" s="184"/>
      <c r="AR214" s="184"/>
    </row>
    <row r="215" spans="1:44" s="331" customFormat="1" ht="12" customHeight="1">
      <c r="A215" s="184"/>
      <c r="P215" s="150"/>
      <c r="Q215" s="401"/>
      <c r="X215" s="184"/>
      <c r="Y215" s="184"/>
      <c r="Z215" s="184"/>
      <c r="AA215" s="184"/>
      <c r="AB215" s="184"/>
      <c r="AC215" s="184"/>
      <c r="AD215" s="184"/>
      <c r="AE215" s="184"/>
      <c r="AF215" s="184"/>
      <c r="AG215" s="184"/>
      <c r="AH215" s="184"/>
      <c r="AI215" s="184"/>
      <c r="AJ215" s="184"/>
      <c r="AK215" s="184"/>
      <c r="AL215" s="184"/>
      <c r="AM215" s="184"/>
      <c r="AN215" s="184"/>
      <c r="AO215" s="184"/>
      <c r="AP215" s="184"/>
      <c r="AQ215" s="184"/>
      <c r="AR215" s="184"/>
    </row>
    <row r="216" spans="1:44" s="331" customFormat="1" ht="12" customHeight="1">
      <c r="A216" s="184"/>
      <c r="P216" s="150"/>
      <c r="Q216" s="401"/>
      <c r="X216" s="184"/>
      <c r="Y216" s="184"/>
      <c r="Z216" s="184"/>
      <c r="AA216" s="184"/>
      <c r="AB216" s="184"/>
      <c r="AC216" s="184"/>
      <c r="AD216" s="184"/>
      <c r="AE216" s="184"/>
      <c r="AF216" s="184"/>
      <c r="AG216" s="184"/>
      <c r="AH216" s="184"/>
      <c r="AI216" s="184"/>
      <c r="AJ216" s="184"/>
      <c r="AK216" s="184"/>
      <c r="AL216" s="184"/>
      <c r="AM216" s="184"/>
      <c r="AN216" s="184"/>
      <c r="AO216" s="184"/>
      <c r="AP216" s="184"/>
      <c r="AQ216" s="184"/>
      <c r="AR216" s="184"/>
    </row>
    <row r="217" spans="1:44" s="331" customFormat="1" ht="12" customHeight="1">
      <c r="A217" s="184"/>
      <c r="P217" s="150"/>
      <c r="Q217" s="401"/>
      <c r="X217" s="184"/>
      <c r="Y217" s="184"/>
      <c r="Z217" s="184"/>
      <c r="AA217" s="184"/>
      <c r="AB217" s="184"/>
      <c r="AC217" s="184"/>
      <c r="AD217" s="184"/>
      <c r="AE217" s="184"/>
      <c r="AF217" s="184"/>
      <c r="AG217" s="184"/>
      <c r="AH217" s="184"/>
      <c r="AI217" s="184"/>
      <c r="AJ217" s="184"/>
      <c r="AK217" s="184"/>
      <c r="AL217" s="184"/>
      <c r="AM217" s="184"/>
      <c r="AN217" s="184"/>
      <c r="AO217" s="184"/>
      <c r="AP217" s="184"/>
      <c r="AQ217" s="184"/>
      <c r="AR217" s="184"/>
    </row>
    <row r="218" spans="1:44" s="331" customFormat="1" ht="12" customHeight="1">
      <c r="A218" s="184"/>
      <c r="P218" s="150"/>
      <c r="Q218" s="401"/>
      <c r="X218" s="184"/>
      <c r="Y218" s="184"/>
      <c r="Z218" s="184"/>
      <c r="AA218" s="184"/>
      <c r="AB218" s="184"/>
      <c r="AC218" s="184"/>
      <c r="AD218" s="184"/>
      <c r="AE218" s="184"/>
      <c r="AF218" s="184"/>
      <c r="AG218" s="184"/>
      <c r="AH218" s="184"/>
      <c r="AI218" s="184"/>
      <c r="AJ218" s="184"/>
      <c r="AK218" s="184"/>
      <c r="AL218" s="184"/>
      <c r="AM218" s="184"/>
      <c r="AN218" s="184"/>
      <c r="AO218" s="184"/>
      <c r="AP218" s="184"/>
      <c r="AQ218" s="184"/>
      <c r="AR218" s="184"/>
    </row>
    <row r="219" spans="1:44" s="331" customFormat="1" ht="12" customHeight="1">
      <c r="A219" s="184"/>
      <c r="P219" s="150"/>
      <c r="Q219" s="401"/>
      <c r="X219" s="184"/>
      <c r="Y219" s="184"/>
      <c r="Z219" s="184"/>
      <c r="AA219" s="184"/>
      <c r="AB219" s="184"/>
      <c r="AC219" s="184"/>
      <c r="AD219" s="184"/>
      <c r="AE219" s="184"/>
      <c r="AF219" s="184"/>
      <c r="AG219" s="184"/>
      <c r="AH219" s="184"/>
      <c r="AI219" s="184"/>
      <c r="AJ219" s="184"/>
      <c r="AK219" s="184"/>
      <c r="AL219" s="184"/>
      <c r="AM219" s="184"/>
      <c r="AN219" s="184"/>
      <c r="AO219" s="184"/>
      <c r="AP219" s="184"/>
      <c r="AQ219" s="184"/>
      <c r="AR219" s="184"/>
    </row>
    <row r="220" spans="1:44" s="331" customFormat="1" ht="12" customHeight="1">
      <c r="A220" s="184"/>
      <c r="P220" s="150"/>
      <c r="Q220" s="401"/>
      <c r="X220" s="184"/>
      <c r="Y220" s="184"/>
      <c r="Z220" s="184"/>
      <c r="AA220" s="184"/>
      <c r="AB220" s="184"/>
      <c r="AC220" s="184"/>
      <c r="AD220" s="184"/>
      <c r="AE220" s="184"/>
      <c r="AF220" s="184"/>
      <c r="AG220" s="184"/>
      <c r="AH220" s="184"/>
      <c r="AI220" s="184"/>
      <c r="AJ220" s="184"/>
      <c r="AK220" s="184"/>
      <c r="AL220" s="184"/>
      <c r="AM220" s="184"/>
      <c r="AN220" s="184"/>
      <c r="AO220" s="184"/>
      <c r="AP220" s="184"/>
      <c r="AQ220" s="184"/>
      <c r="AR220" s="184"/>
    </row>
    <row r="221" spans="1:44" s="331" customFormat="1" ht="12" customHeight="1">
      <c r="A221" s="184"/>
      <c r="P221" s="150"/>
      <c r="Q221" s="401"/>
      <c r="X221" s="184"/>
      <c r="Y221" s="184"/>
      <c r="Z221" s="184"/>
      <c r="AA221" s="184"/>
      <c r="AB221" s="184"/>
      <c r="AC221" s="184"/>
      <c r="AD221" s="184"/>
      <c r="AE221" s="184"/>
      <c r="AF221" s="184"/>
      <c r="AG221" s="184"/>
      <c r="AH221" s="184"/>
      <c r="AI221" s="184"/>
      <c r="AJ221" s="184"/>
      <c r="AK221" s="184"/>
      <c r="AL221" s="184"/>
      <c r="AM221" s="184"/>
      <c r="AN221" s="184"/>
      <c r="AO221" s="184"/>
      <c r="AP221" s="184"/>
      <c r="AQ221" s="184"/>
      <c r="AR221" s="184"/>
    </row>
    <row r="222" spans="1:44" s="331" customFormat="1" ht="12" customHeight="1">
      <c r="A222" s="184"/>
      <c r="P222" s="150"/>
      <c r="Q222" s="401"/>
      <c r="X222" s="184"/>
      <c r="Y222" s="184"/>
      <c r="Z222" s="184"/>
      <c r="AA222" s="184"/>
      <c r="AB222" s="184"/>
      <c r="AC222" s="184"/>
      <c r="AD222" s="184"/>
      <c r="AE222" s="184"/>
      <c r="AF222" s="184"/>
      <c r="AG222" s="184"/>
      <c r="AH222" s="184"/>
      <c r="AI222" s="184"/>
      <c r="AJ222" s="184"/>
      <c r="AK222" s="184"/>
      <c r="AL222" s="184"/>
      <c r="AM222" s="184"/>
      <c r="AN222" s="184"/>
      <c r="AO222" s="184"/>
      <c r="AP222" s="184"/>
      <c r="AQ222" s="184"/>
      <c r="AR222" s="184"/>
    </row>
    <row r="223" spans="1:44" s="331" customFormat="1" ht="12" customHeight="1">
      <c r="A223" s="184"/>
      <c r="P223" s="150"/>
      <c r="Q223" s="401"/>
      <c r="X223" s="184"/>
      <c r="Y223" s="184"/>
      <c r="Z223" s="184"/>
      <c r="AA223" s="184"/>
      <c r="AB223" s="184"/>
      <c r="AC223" s="184"/>
      <c r="AD223" s="184"/>
      <c r="AE223" s="184"/>
      <c r="AF223" s="184"/>
      <c r="AG223" s="184"/>
      <c r="AH223" s="184"/>
      <c r="AI223" s="184"/>
      <c r="AJ223" s="184"/>
      <c r="AK223" s="184"/>
      <c r="AL223" s="184"/>
      <c r="AM223" s="184"/>
      <c r="AN223" s="184"/>
      <c r="AO223" s="184"/>
      <c r="AP223" s="184"/>
      <c r="AQ223" s="184"/>
      <c r="AR223" s="184"/>
    </row>
    <row r="224" spans="1:44" s="331" customFormat="1" ht="12" customHeight="1">
      <c r="A224" s="184"/>
      <c r="P224" s="150"/>
      <c r="Q224" s="401"/>
      <c r="X224" s="184"/>
      <c r="Y224" s="184"/>
      <c r="Z224" s="184"/>
      <c r="AA224" s="184"/>
      <c r="AB224" s="184"/>
      <c r="AC224" s="184"/>
      <c r="AD224" s="184"/>
      <c r="AE224" s="184"/>
      <c r="AF224" s="184"/>
      <c r="AG224" s="184"/>
      <c r="AH224" s="184"/>
      <c r="AI224" s="184"/>
      <c r="AJ224" s="184"/>
      <c r="AK224" s="184"/>
      <c r="AL224" s="184"/>
      <c r="AM224" s="184"/>
      <c r="AN224" s="184"/>
      <c r="AO224" s="184"/>
      <c r="AP224" s="184"/>
      <c r="AQ224" s="184"/>
      <c r="AR224" s="184"/>
    </row>
    <row r="225" spans="1:44" s="331" customFormat="1" ht="12" customHeight="1">
      <c r="A225" s="184"/>
      <c r="P225" s="150"/>
      <c r="Q225" s="401"/>
      <c r="X225" s="184"/>
      <c r="Y225" s="184"/>
      <c r="Z225" s="184"/>
      <c r="AA225" s="184"/>
      <c r="AB225" s="184"/>
      <c r="AC225" s="184"/>
      <c r="AD225" s="184"/>
      <c r="AE225" s="184"/>
      <c r="AF225" s="184"/>
      <c r="AG225" s="184"/>
      <c r="AH225" s="184"/>
      <c r="AI225" s="184"/>
      <c r="AJ225" s="184"/>
      <c r="AK225" s="184"/>
      <c r="AL225" s="184"/>
      <c r="AM225" s="184"/>
      <c r="AN225" s="184"/>
      <c r="AO225" s="184"/>
      <c r="AP225" s="184"/>
      <c r="AQ225" s="184"/>
      <c r="AR225" s="184"/>
    </row>
    <row r="226" spans="1:44" s="331" customFormat="1" ht="12" customHeight="1">
      <c r="A226" s="184"/>
      <c r="P226" s="150"/>
      <c r="Q226" s="401"/>
      <c r="X226" s="184"/>
      <c r="Y226" s="184"/>
      <c r="Z226" s="184"/>
      <c r="AA226" s="184"/>
      <c r="AB226" s="184"/>
      <c r="AC226" s="184"/>
      <c r="AD226" s="184"/>
      <c r="AE226" s="184"/>
      <c r="AF226" s="184"/>
      <c r="AG226" s="184"/>
      <c r="AH226" s="184"/>
      <c r="AI226" s="184"/>
      <c r="AJ226" s="184"/>
      <c r="AK226" s="184"/>
      <c r="AL226" s="184"/>
      <c r="AM226" s="184"/>
      <c r="AN226" s="184"/>
      <c r="AO226" s="184"/>
      <c r="AP226" s="184"/>
      <c r="AQ226" s="184"/>
      <c r="AR226" s="184"/>
    </row>
    <row r="227" spans="1:44" s="331" customFormat="1" ht="12" customHeight="1">
      <c r="A227" s="184"/>
      <c r="P227" s="150"/>
      <c r="Q227" s="401"/>
      <c r="X227" s="184"/>
      <c r="Y227" s="184"/>
      <c r="Z227" s="184"/>
      <c r="AA227" s="184"/>
      <c r="AB227" s="184"/>
      <c r="AC227" s="184"/>
      <c r="AD227" s="184"/>
      <c r="AE227" s="184"/>
      <c r="AF227" s="184"/>
      <c r="AG227" s="184"/>
      <c r="AH227" s="184"/>
      <c r="AI227" s="184"/>
      <c r="AJ227" s="184"/>
      <c r="AK227" s="184"/>
      <c r="AL227" s="184"/>
      <c r="AM227" s="184"/>
      <c r="AN227" s="184"/>
      <c r="AO227" s="184"/>
      <c r="AP227" s="184"/>
      <c r="AQ227" s="184"/>
      <c r="AR227" s="184"/>
    </row>
    <row r="228" spans="1:44" s="331" customFormat="1" ht="12" customHeight="1">
      <c r="A228" s="184"/>
      <c r="P228" s="150"/>
      <c r="Q228" s="401"/>
      <c r="X228" s="184"/>
      <c r="Y228" s="184"/>
      <c r="Z228" s="184"/>
      <c r="AA228" s="184"/>
      <c r="AB228" s="184"/>
      <c r="AC228" s="184"/>
      <c r="AD228" s="184"/>
      <c r="AE228" s="184"/>
      <c r="AF228" s="184"/>
      <c r="AG228" s="184"/>
      <c r="AH228" s="184"/>
      <c r="AI228" s="184"/>
      <c r="AJ228" s="184"/>
      <c r="AK228" s="184"/>
      <c r="AL228" s="184"/>
      <c r="AM228" s="184"/>
      <c r="AN228" s="184"/>
      <c r="AO228" s="184"/>
      <c r="AP228" s="184"/>
      <c r="AQ228" s="184"/>
      <c r="AR228" s="184"/>
    </row>
    <row r="229" spans="1:44" s="331" customFormat="1" ht="12" customHeight="1">
      <c r="A229" s="184"/>
      <c r="P229" s="150"/>
      <c r="Q229" s="401"/>
      <c r="X229" s="184"/>
      <c r="Y229" s="184"/>
      <c r="Z229" s="184"/>
      <c r="AA229" s="184"/>
      <c r="AB229" s="184"/>
      <c r="AC229" s="184"/>
      <c r="AD229" s="184"/>
      <c r="AE229" s="184"/>
      <c r="AF229" s="184"/>
      <c r="AG229" s="184"/>
      <c r="AH229" s="184"/>
      <c r="AI229" s="184"/>
      <c r="AJ229" s="184"/>
      <c r="AK229" s="184"/>
      <c r="AL229" s="184"/>
      <c r="AM229" s="184"/>
      <c r="AN229" s="184"/>
      <c r="AO229" s="184"/>
      <c r="AP229" s="184"/>
      <c r="AQ229" s="184"/>
      <c r="AR229" s="184"/>
    </row>
    <row r="230" spans="1:44" s="331" customFormat="1" ht="12" customHeight="1">
      <c r="A230" s="184"/>
      <c r="P230" s="150"/>
      <c r="Q230" s="401"/>
      <c r="X230" s="184"/>
      <c r="Y230" s="184"/>
      <c r="Z230" s="184"/>
      <c r="AA230" s="184"/>
      <c r="AB230" s="184"/>
      <c r="AC230" s="184"/>
      <c r="AD230" s="184"/>
      <c r="AE230" s="184"/>
      <c r="AF230" s="184"/>
      <c r="AG230" s="184"/>
      <c r="AH230" s="184"/>
      <c r="AI230" s="184"/>
      <c r="AJ230" s="184"/>
      <c r="AK230" s="184"/>
      <c r="AL230" s="184"/>
      <c r="AM230" s="184"/>
      <c r="AN230" s="184"/>
      <c r="AO230" s="184"/>
      <c r="AP230" s="184"/>
      <c r="AQ230" s="184"/>
      <c r="AR230" s="184"/>
    </row>
    <row r="231" spans="1:44" s="331" customFormat="1" ht="12" customHeight="1">
      <c r="A231" s="184"/>
      <c r="P231" s="403"/>
      <c r="Q231" s="401"/>
      <c r="X231" s="184"/>
      <c r="Y231" s="184"/>
      <c r="Z231" s="184"/>
      <c r="AA231" s="184"/>
      <c r="AB231" s="184"/>
      <c r="AC231" s="184"/>
      <c r="AD231" s="184"/>
      <c r="AE231" s="184"/>
      <c r="AF231" s="184"/>
      <c r="AG231" s="184"/>
      <c r="AH231" s="184"/>
      <c r="AI231" s="184"/>
      <c r="AJ231" s="184"/>
      <c r="AK231" s="184"/>
      <c r="AL231" s="184"/>
      <c r="AM231" s="184"/>
      <c r="AN231" s="184"/>
      <c r="AO231" s="184"/>
      <c r="AP231" s="184"/>
      <c r="AQ231" s="184"/>
      <c r="AR231" s="184"/>
    </row>
    <row r="232" spans="1:44" s="331" customFormat="1" ht="12" customHeight="1">
      <c r="A232" s="184"/>
      <c r="P232" s="150"/>
      <c r="Q232" s="401"/>
      <c r="X232" s="184"/>
      <c r="Y232" s="184"/>
      <c r="Z232" s="184"/>
      <c r="AA232" s="184"/>
      <c r="AB232" s="184"/>
      <c r="AC232" s="184"/>
      <c r="AD232" s="184"/>
      <c r="AE232" s="184"/>
      <c r="AF232" s="184"/>
      <c r="AG232" s="184"/>
      <c r="AH232" s="184"/>
      <c r="AI232" s="184"/>
      <c r="AJ232" s="184"/>
      <c r="AK232" s="184"/>
      <c r="AL232" s="184"/>
      <c r="AM232" s="184"/>
      <c r="AN232" s="184"/>
      <c r="AO232" s="184"/>
      <c r="AP232" s="184"/>
      <c r="AQ232" s="184"/>
      <c r="AR232" s="184"/>
    </row>
    <row r="233" spans="1:44" s="331" customFormat="1" ht="12" customHeight="1">
      <c r="A233" s="184"/>
      <c r="P233" s="150"/>
      <c r="Q233" s="401"/>
      <c r="X233" s="184"/>
      <c r="Y233" s="184"/>
      <c r="Z233" s="184"/>
      <c r="AA233" s="184"/>
      <c r="AB233" s="184"/>
      <c r="AC233" s="184"/>
      <c r="AD233" s="184"/>
      <c r="AE233" s="184"/>
      <c r="AF233" s="184"/>
      <c r="AG233" s="184"/>
      <c r="AH233" s="184"/>
      <c r="AI233" s="184"/>
      <c r="AJ233" s="184"/>
      <c r="AK233" s="184"/>
      <c r="AL233" s="184"/>
      <c r="AM233" s="184"/>
      <c r="AN233" s="184"/>
      <c r="AO233" s="184"/>
      <c r="AP233" s="184"/>
      <c r="AQ233" s="184"/>
      <c r="AR233" s="184"/>
    </row>
    <row r="234" spans="1:44" s="331" customFormat="1" ht="12" customHeight="1">
      <c r="A234" s="184"/>
      <c r="P234" s="150"/>
      <c r="Q234" s="401"/>
      <c r="X234" s="184"/>
      <c r="Y234" s="184"/>
      <c r="Z234" s="184"/>
      <c r="AA234" s="184"/>
      <c r="AB234" s="184"/>
      <c r="AC234" s="184"/>
      <c r="AD234" s="184"/>
      <c r="AE234" s="184"/>
      <c r="AF234" s="184"/>
      <c r="AG234" s="184"/>
      <c r="AH234" s="184"/>
      <c r="AI234" s="184"/>
      <c r="AJ234" s="184"/>
      <c r="AK234" s="184"/>
      <c r="AL234" s="184"/>
      <c r="AM234" s="184"/>
      <c r="AN234" s="184"/>
      <c r="AO234" s="184"/>
      <c r="AP234" s="184"/>
      <c r="AQ234" s="184"/>
      <c r="AR234" s="184"/>
    </row>
    <row r="235" spans="1:44" s="331" customFormat="1" ht="12" customHeight="1">
      <c r="A235" s="184"/>
      <c r="P235" s="150"/>
      <c r="Q235" s="401"/>
      <c r="X235" s="184"/>
      <c r="Y235" s="184"/>
      <c r="Z235" s="184"/>
      <c r="AA235" s="184"/>
      <c r="AB235" s="184"/>
      <c r="AC235" s="184"/>
      <c r="AD235" s="184"/>
      <c r="AE235" s="184"/>
      <c r="AF235" s="184"/>
      <c r="AG235" s="184"/>
      <c r="AH235" s="184"/>
      <c r="AI235" s="184"/>
      <c r="AJ235" s="184"/>
      <c r="AK235" s="184"/>
      <c r="AL235" s="184"/>
      <c r="AM235" s="184"/>
      <c r="AN235" s="184"/>
      <c r="AO235" s="184"/>
      <c r="AP235" s="184"/>
      <c r="AQ235" s="184"/>
      <c r="AR235" s="184"/>
    </row>
    <row r="236" spans="1:44" s="331" customFormat="1" ht="12" customHeight="1">
      <c r="A236" s="184"/>
      <c r="P236" s="150"/>
      <c r="Q236" s="401"/>
      <c r="X236" s="184"/>
      <c r="Y236" s="184"/>
      <c r="Z236" s="184"/>
      <c r="AA236" s="184"/>
      <c r="AB236" s="184"/>
      <c r="AC236" s="184"/>
      <c r="AD236" s="184"/>
      <c r="AE236" s="184"/>
      <c r="AF236" s="184"/>
      <c r="AG236" s="184"/>
      <c r="AH236" s="184"/>
      <c r="AI236" s="184"/>
      <c r="AJ236" s="184"/>
      <c r="AK236" s="184"/>
      <c r="AL236" s="184"/>
      <c r="AM236" s="184"/>
      <c r="AN236" s="184"/>
      <c r="AO236" s="184"/>
      <c r="AP236" s="184"/>
      <c r="AQ236" s="184"/>
      <c r="AR236" s="184"/>
    </row>
    <row r="237" spans="1:44" s="331" customFormat="1" ht="12" customHeight="1">
      <c r="A237" s="184"/>
      <c r="P237" s="150"/>
      <c r="Q237" s="401"/>
      <c r="X237" s="184"/>
      <c r="Y237" s="184"/>
      <c r="Z237" s="184"/>
      <c r="AA237" s="184"/>
      <c r="AB237" s="184"/>
      <c r="AC237" s="184"/>
      <c r="AD237" s="184"/>
      <c r="AE237" s="184"/>
      <c r="AF237" s="184"/>
      <c r="AG237" s="184"/>
      <c r="AH237" s="184"/>
      <c r="AI237" s="184"/>
      <c r="AJ237" s="184"/>
      <c r="AK237" s="184"/>
      <c r="AL237" s="184"/>
      <c r="AM237" s="184"/>
      <c r="AN237" s="184"/>
      <c r="AO237" s="184"/>
      <c r="AP237" s="184"/>
      <c r="AQ237" s="184"/>
      <c r="AR237" s="184"/>
    </row>
    <row r="238" spans="1:44" s="331" customFormat="1" ht="12" customHeight="1">
      <c r="A238" s="184"/>
      <c r="P238" s="150"/>
      <c r="Q238" s="401"/>
      <c r="X238" s="184"/>
      <c r="Y238" s="184"/>
      <c r="Z238" s="184"/>
      <c r="AA238" s="184"/>
      <c r="AB238" s="184"/>
      <c r="AC238" s="184"/>
      <c r="AD238" s="184"/>
      <c r="AE238" s="184"/>
      <c r="AF238" s="184"/>
      <c r="AG238" s="184"/>
      <c r="AH238" s="184"/>
      <c r="AI238" s="184"/>
      <c r="AJ238" s="184"/>
      <c r="AK238" s="184"/>
      <c r="AL238" s="184"/>
      <c r="AM238" s="184"/>
      <c r="AN238" s="184"/>
      <c r="AO238" s="184"/>
      <c r="AP238" s="184"/>
      <c r="AQ238" s="184"/>
      <c r="AR238" s="184"/>
    </row>
    <row r="239" spans="1:44" s="331" customFormat="1" ht="12" customHeight="1">
      <c r="A239" s="184"/>
      <c r="P239" s="150"/>
      <c r="Q239" s="401"/>
      <c r="X239" s="184"/>
      <c r="Y239" s="184"/>
      <c r="Z239" s="184"/>
      <c r="AA239" s="184"/>
      <c r="AB239" s="184"/>
      <c r="AC239" s="184"/>
      <c r="AD239" s="184"/>
      <c r="AE239" s="184"/>
      <c r="AF239" s="184"/>
      <c r="AG239" s="184"/>
      <c r="AH239" s="184"/>
      <c r="AI239" s="184"/>
      <c r="AJ239" s="184"/>
      <c r="AK239" s="184"/>
      <c r="AL239" s="184"/>
      <c r="AM239" s="184"/>
      <c r="AN239" s="184"/>
      <c r="AO239" s="184"/>
      <c r="AP239" s="184"/>
      <c r="AQ239" s="184"/>
      <c r="AR239" s="184"/>
    </row>
    <row r="240" spans="1:44" s="331" customFormat="1" ht="12" customHeight="1">
      <c r="A240" s="184"/>
      <c r="P240" s="150"/>
      <c r="Q240" s="401"/>
      <c r="X240" s="184"/>
      <c r="Y240" s="184"/>
      <c r="Z240" s="184"/>
      <c r="AA240" s="184"/>
      <c r="AB240" s="184"/>
      <c r="AC240" s="184"/>
      <c r="AD240" s="184"/>
      <c r="AE240" s="184"/>
      <c r="AF240" s="184"/>
      <c r="AG240" s="184"/>
      <c r="AH240" s="184"/>
      <c r="AI240" s="184"/>
      <c r="AJ240" s="184"/>
      <c r="AK240" s="184"/>
      <c r="AL240" s="184"/>
      <c r="AM240" s="184"/>
      <c r="AN240" s="184"/>
      <c r="AO240" s="184"/>
      <c r="AP240" s="184"/>
      <c r="AQ240" s="184"/>
      <c r="AR240" s="184"/>
    </row>
    <row r="241" spans="1:44" s="331" customFormat="1" ht="12" customHeight="1">
      <c r="A241" s="184"/>
      <c r="P241" s="150"/>
      <c r="Q241" s="401"/>
      <c r="X241" s="184"/>
      <c r="Y241" s="184"/>
      <c r="Z241" s="184"/>
      <c r="AA241" s="184"/>
      <c r="AB241" s="184"/>
      <c r="AC241" s="184"/>
      <c r="AD241" s="184"/>
      <c r="AE241" s="184"/>
      <c r="AF241" s="184"/>
      <c r="AG241" s="184"/>
      <c r="AH241" s="184"/>
      <c r="AI241" s="184"/>
      <c r="AJ241" s="184"/>
      <c r="AK241" s="184"/>
      <c r="AL241" s="184"/>
      <c r="AM241" s="184"/>
      <c r="AN241" s="184"/>
      <c r="AO241" s="184"/>
      <c r="AP241" s="184"/>
      <c r="AQ241" s="184"/>
      <c r="AR241" s="184"/>
    </row>
    <row r="242" spans="1:44" s="331" customFormat="1" ht="12" customHeight="1">
      <c r="A242" s="184"/>
      <c r="P242" s="150"/>
      <c r="Q242" s="184"/>
      <c r="X242" s="184"/>
      <c r="Y242" s="184"/>
      <c r="Z242" s="184"/>
      <c r="AA242" s="184"/>
      <c r="AB242" s="184"/>
      <c r="AC242" s="184"/>
      <c r="AD242" s="184"/>
      <c r="AE242" s="184"/>
      <c r="AF242" s="184"/>
      <c r="AG242" s="184"/>
      <c r="AH242" s="184"/>
      <c r="AI242" s="184"/>
      <c r="AJ242" s="184"/>
      <c r="AK242" s="184"/>
      <c r="AL242" s="184"/>
      <c r="AM242" s="184"/>
      <c r="AN242" s="184"/>
      <c r="AO242" s="184"/>
      <c r="AP242" s="184"/>
      <c r="AQ242" s="184"/>
      <c r="AR242" s="184"/>
    </row>
    <row r="243" spans="1:44" s="331" customFormat="1" ht="12" customHeight="1">
      <c r="A243" s="184"/>
      <c r="P243" s="150"/>
      <c r="Q243" s="401"/>
      <c r="X243" s="184"/>
      <c r="Y243" s="184"/>
      <c r="Z243" s="184"/>
      <c r="AA243" s="184"/>
      <c r="AB243" s="184"/>
      <c r="AC243" s="184"/>
      <c r="AD243" s="184"/>
      <c r="AE243" s="184"/>
      <c r="AF243" s="184"/>
      <c r="AG243" s="184"/>
      <c r="AH243" s="184"/>
      <c r="AI243" s="184"/>
      <c r="AJ243" s="184"/>
      <c r="AK243" s="184"/>
      <c r="AL243" s="184"/>
      <c r="AM243" s="184"/>
      <c r="AN243" s="184"/>
      <c r="AO243" s="184"/>
      <c r="AP243" s="184"/>
      <c r="AQ243" s="184"/>
      <c r="AR243" s="184"/>
    </row>
    <row r="244" spans="1:44" s="331" customFormat="1" ht="12" customHeight="1">
      <c r="A244" s="184"/>
      <c r="P244" s="150"/>
      <c r="Q244" s="401"/>
      <c r="X244" s="184"/>
      <c r="Y244" s="184"/>
      <c r="Z244" s="184"/>
      <c r="AA244" s="184"/>
      <c r="AB244" s="184"/>
      <c r="AC244" s="184"/>
      <c r="AD244" s="184"/>
      <c r="AE244" s="184"/>
      <c r="AF244" s="184"/>
      <c r="AG244" s="184"/>
      <c r="AH244" s="184"/>
      <c r="AI244" s="184"/>
      <c r="AJ244" s="184"/>
      <c r="AK244" s="184"/>
      <c r="AL244" s="184"/>
      <c r="AM244" s="184"/>
      <c r="AN244" s="184"/>
      <c r="AO244" s="184"/>
      <c r="AP244" s="184"/>
      <c r="AQ244" s="184"/>
      <c r="AR244" s="184"/>
    </row>
    <row r="245" spans="1:44" s="331" customFormat="1" ht="12" customHeight="1">
      <c r="A245" s="184"/>
      <c r="P245" s="150"/>
      <c r="Q245" s="401"/>
      <c r="X245" s="184"/>
      <c r="Y245" s="184"/>
      <c r="Z245" s="184"/>
      <c r="AA245" s="184"/>
      <c r="AB245" s="184"/>
      <c r="AC245" s="184"/>
      <c r="AD245" s="184"/>
      <c r="AE245" s="184"/>
      <c r="AF245" s="184"/>
      <c r="AG245" s="184"/>
      <c r="AH245" s="184"/>
      <c r="AI245" s="184"/>
      <c r="AJ245" s="184"/>
      <c r="AK245" s="184"/>
      <c r="AL245" s="184"/>
      <c r="AM245" s="184"/>
      <c r="AN245" s="184"/>
      <c r="AO245" s="184"/>
      <c r="AP245" s="184"/>
      <c r="AQ245" s="184"/>
      <c r="AR245" s="184"/>
    </row>
    <row r="246" spans="1:44" s="331" customFormat="1" ht="12" customHeight="1">
      <c r="A246" s="184"/>
      <c r="P246" s="402"/>
      <c r="Q246" s="184"/>
      <c r="X246" s="184"/>
      <c r="Y246" s="184"/>
      <c r="Z246" s="184"/>
      <c r="AA246" s="184"/>
      <c r="AB246" s="184"/>
      <c r="AC246" s="184"/>
      <c r="AD246" s="184"/>
      <c r="AE246" s="184"/>
      <c r="AF246" s="184"/>
      <c r="AG246" s="184"/>
      <c r="AH246" s="184"/>
      <c r="AI246" s="184"/>
      <c r="AJ246" s="184"/>
      <c r="AK246" s="184"/>
      <c r="AL246" s="184"/>
      <c r="AM246" s="184"/>
      <c r="AN246" s="184"/>
      <c r="AO246" s="184"/>
      <c r="AP246" s="184"/>
      <c r="AQ246" s="184"/>
      <c r="AR246" s="184"/>
    </row>
    <row r="247" spans="1:44" s="331" customFormat="1" ht="12" customHeight="1">
      <c r="A247" s="184"/>
      <c r="P247" s="150"/>
      <c r="Q247" s="401"/>
      <c r="X247" s="184"/>
      <c r="Y247" s="184"/>
      <c r="Z247" s="184"/>
      <c r="AA247" s="184"/>
      <c r="AB247" s="184"/>
      <c r="AC247" s="184"/>
      <c r="AD247" s="184"/>
      <c r="AE247" s="184"/>
      <c r="AF247" s="184"/>
      <c r="AG247" s="184"/>
      <c r="AH247" s="184"/>
      <c r="AI247" s="184"/>
      <c r="AJ247" s="184"/>
      <c r="AK247" s="184"/>
      <c r="AL247" s="184"/>
      <c r="AM247" s="184"/>
      <c r="AN247" s="184"/>
      <c r="AO247" s="184"/>
      <c r="AP247" s="184"/>
      <c r="AQ247" s="184"/>
      <c r="AR247" s="184"/>
    </row>
    <row r="248" spans="1:44" s="331" customFormat="1" ht="12" customHeight="1">
      <c r="A248" s="184"/>
      <c r="P248" s="150"/>
      <c r="Q248" s="401"/>
      <c r="X248" s="184"/>
      <c r="Y248" s="184"/>
      <c r="Z248" s="184"/>
      <c r="AA248" s="184"/>
      <c r="AB248" s="184"/>
      <c r="AC248" s="184"/>
      <c r="AD248" s="184"/>
      <c r="AE248" s="184"/>
      <c r="AF248" s="184"/>
      <c r="AG248" s="184"/>
      <c r="AH248" s="184"/>
      <c r="AI248" s="184"/>
      <c r="AJ248" s="184"/>
      <c r="AK248" s="184"/>
      <c r="AL248" s="184"/>
      <c r="AM248" s="184"/>
      <c r="AN248" s="184"/>
      <c r="AO248" s="184"/>
      <c r="AP248" s="184"/>
      <c r="AQ248" s="184"/>
      <c r="AR248" s="184"/>
    </row>
    <row r="249" spans="1:44" s="331" customFormat="1" ht="12" customHeight="1">
      <c r="A249" s="184"/>
      <c r="P249" s="150"/>
      <c r="Q249" s="401"/>
      <c r="X249" s="184"/>
      <c r="Y249" s="184"/>
      <c r="Z249" s="184"/>
      <c r="AA249" s="184"/>
      <c r="AB249" s="184"/>
      <c r="AC249" s="184"/>
      <c r="AD249" s="184"/>
      <c r="AE249" s="184"/>
      <c r="AF249" s="184"/>
      <c r="AG249" s="184"/>
      <c r="AH249" s="184"/>
      <c r="AI249" s="184"/>
      <c r="AJ249" s="184"/>
      <c r="AK249" s="184"/>
      <c r="AL249" s="184"/>
      <c r="AM249" s="184"/>
      <c r="AN249" s="184"/>
      <c r="AO249" s="184"/>
      <c r="AP249" s="184"/>
      <c r="AQ249" s="184"/>
      <c r="AR249" s="184"/>
    </row>
    <row r="250" spans="1:44" s="331" customFormat="1" ht="12" customHeight="1">
      <c r="A250" s="184"/>
      <c r="P250" s="402"/>
      <c r="Q250" s="184"/>
      <c r="X250" s="184"/>
      <c r="Y250" s="184"/>
      <c r="Z250" s="184"/>
      <c r="AA250" s="184"/>
      <c r="AB250" s="184"/>
      <c r="AC250" s="184"/>
      <c r="AD250" s="184"/>
      <c r="AE250" s="184"/>
      <c r="AF250" s="184"/>
      <c r="AG250" s="184"/>
      <c r="AH250" s="184"/>
      <c r="AI250" s="184"/>
      <c r="AJ250" s="184"/>
      <c r="AK250" s="184"/>
      <c r="AL250" s="184"/>
      <c r="AM250" s="184"/>
      <c r="AN250" s="184"/>
      <c r="AO250" s="184"/>
      <c r="AP250" s="184"/>
      <c r="AQ250" s="184"/>
      <c r="AR250" s="184"/>
    </row>
    <row r="251" spans="1:44" s="331" customFormat="1" ht="12" customHeight="1">
      <c r="A251" s="184"/>
      <c r="P251" s="150"/>
      <c r="Q251" s="401"/>
      <c r="X251" s="184"/>
      <c r="Y251" s="184"/>
      <c r="Z251" s="184"/>
      <c r="AA251" s="184"/>
      <c r="AB251" s="184"/>
      <c r="AC251" s="184"/>
      <c r="AD251" s="184"/>
      <c r="AE251" s="184"/>
      <c r="AF251" s="184"/>
      <c r="AG251" s="184"/>
      <c r="AH251" s="184"/>
      <c r="AI251" s="184"/>
      <c r="AJ251" s="184"/>
      <c r="AK251" s="184"/>
      <c r="AL251" s="184"/>
      <c r="AM251" s="184"/>
      <c r="AN251" s="184"/>
      <c r="AO251" s="184"/>
      <c r="AP251" s="184"/>
      <c r="AQ251" s="184"/>
      <c r="AR251" s="184"/>
    </row>
    <row r="252" spans="1:44" s="331" customFormat="1" ht="12" customHeight="1">
      <c r="A252" s="184"/>
      <c r="P252" s="150"/>
      <c r="Q252" s="401"/>
      <c r="X252" s="184"/>
      <c r="Y252" s="184"/>
      <c r="Z252" s="184"/>
      <c r="AA252" s="184"/>
      <c r="AB252" s="184"/>
      <c r="AC252" s="184"/>
      <c r="AD252" s="184"/>
      <c r="AE252" s="184"/>
      <c r="AF252" s="184"/>
      <c r="AG252" s="184"/>
      <c r="AH252" s="184"/>
      <c r="AI252" s="184"/>
      <c r="AJ252" s="184"/>
      <c r="AK252" s="184"/>
      <c r="AL252" s="184"/>
      <c r="AM252" s="184"/>
      <c r="AN252" s="184"/>
      <c r="AO252" s="184"/>
      <c r="AP252" s="184"/>
      <c r="AQ252" s="184"/>
      <c r="AR252" s="184"/>
    </row>
    <row r="253" spans="1:44" s="331" customFormat="1" ht="12" customHeight="1">
      <c r="A253" s="184"/>
      <c r="P253" s="150"/>
      <c r="Q253" s="184"/>
      <c r="X253" s="184"/>
      <c r="Y253" s="184"/>
      <c r="Z253" s="184"/>
      <c r="AA253" s="184"/>
      <c r="AB253" s="184"/>
      <c r="AC253" s="184"/>
      <c r="AD253" s="184"/>
      <c r="AE253" s="184"/>
      <c r="AF253" s="184"/>
      <c r="AG253" s="184"/>
      <c r="AH253" s="184"/>
      <c r="AI253" s="184"/>
      <c r="AJ253" s="184"/>
      <c r="AK253" s="184"/>
      <c r="AL253" s="184"/>
      <c r="AM253" s="184"/>
      <c r="AN253" s="184"/>
      <c r="AO253" s="184"/>
      <c r="AP253" s="184"/>
      <c r="AQ253" s="184"/>
      <c r="AR253" s="184"/>
    </row>
    <row r="254" spans="1:44" s="331" customFormat="1" ht="12" customHeight="1">
      <c r="A254" s="184"/>
      <c r="P254" s="403"/>
      <c r="Q254" s="184"/>
      <c r="X254" s="184"/>
      <c r="Y254" s="184"/>
      <c r="Z254" s="184"/>
      <c r="AA254" s="184"/>
      <c r="AB254" s="184"/>
      <c r="AC254" s="184"/>
      <c r="AD254" s="184"/>
      <c r="AE254" s="184"/>
      <c r="AF254" s="184"/>
      <c r="AG254" s="184"/>
      <c r="AH254" s="184"/>
      <c r="AI254" s="184"/>
      <c r="AJ254" s="184"/>
      <c r="AK254" s="184"/>
      <c r="AL254" s="184"/>
      <c r="AM254" s="184"/>
      <c r="AN254" s="184"/>
      <c r="AO254" s="184"/>
      <c r="AP254" s="184"/>
      <c r="AQ254" s="184"/>
      <c r="AR254" s="184"/>
    </row>
    <row r="255" spans="1:44" s="331" customFormat="1" ht="12" customHeight="1">
      <c r="A255" s="184"/>
      <c r="P255" s="150"/>
      <c r="Q255" s="401"/>
      <c r="X255" s="184"/>
      <c r="Y255" s="184"/>
      <c r="Z255" s="184"/>
      <c r="AA255" s="184"/>
      <c r="AB255" s="184"/>
      <c r="AC255" s="184"/>
      <c r="AD255" s="184"/>
      <c r="AE255" s="184"/>
      <c r="AF255" s="184"/>
      <c r="AG255" s="184"/>
      <c r="AH255" s="184"/>
      <c r="AI255" s="184"/>
      <c r="AJ255" s="184"/>
      <c r="AK255" s="184"/>
      <c r="AL255" s="184"/>
      <c r="AM255" s="184"/>
      <c r="AN255" s="184"/>
      <c r="AO255" s="184"/>
      <c r="AP255" s="184"/>
      <c r="AQ255" s="184"/>
      <c r="AR255" s="184"/>
    </row>
    <row r="256" spans="1:44" s="331" customFormat="1" ht="12" customHeight="1">
      <c r="A256" s="184"/>
      <c r="P256" s="150"/>
      <c r="Q256" s="401"/>
      <c r="X256" s="184"/>
      <c r="Y256" s="184"/>
      <c r="Z256" s="184"/>
      <c r="AA256" s="184"/>
      <c r="AB256" s="184"/>
      <c r="AC256" s="184"/>
      <c r="AD256" s="184"/>
      <c r="AE256" s="184"/>
      <c r="AF256" s="184"/>
      <c r="AG256" s="184"/>
      <c r="AH256" s="184"/>
      <c r="AI256" s="184"/>
      <c r="AJ256" s="184"/>
      <c r="AK256" s="184"/>
      <c r="AL256" s="184"/>
      <c r="AM256" s="184"/>
      <c r="AN256" s="184"/>
      <c r="AO256" s="184"/>
      <c r="AP256" s="184"/>
      <c r="AQ256" s="184"/>
      <c r="AR256" s="184"/>
    </row>
    <row r="257" spans="1:44" s="331" customFormat="1" ht="12" customHeight="1">
      <c r="A257" s="184"/>
      <c r="P257" s="150"/>
      <c r="Q257" s="401"/>
      <c r="X257" s="184"/>
      <c r="Y257" s="184"/>
      <c r="Z257" s="184"/>
      <c r="AA257" s="184"/>
      <c r="AB257" s="184"/>
      <c r="AC257" s="184"/>
      <c r="AD257" s="184"/>
      <c r="AE257" s="184"/>
      <c r="AF257" s="184"/>
      <c r="AG257" s="184"/>
      <c r="AH257" s="184"/>
      <c r="AI257" s="184"/>
      <c r="AJ257" s="184"/>
      <c r="AK257" s="184"/>
      <c r="AL257" s="184"/>
      <c r="AM257" s="184"/>
      <c r="AN257" s="184"/>
      <c r="AO257" s="184"/>
      <c r="AP257" s="184"/>
      <c r="AQ257" s="184"/>
      <c r="AR257" s="184"/>
    </row>
    <row r="258" spans="1:44" s="331" customFormat="1" ht="12" customHeight="1">
      <c r="A258" s="184"/>
      <c r="P258" s="402"/>
      <c r="Q258" s="184"/>
      <c r="X258" s="184"/>
      <c r="Y258" s="184"/>
      <c r="Z258" s="184"/>
      <c r="AA258" s="184"/>
      <c r="AB258" s="184"/>
      <c r="AC258" s="184"/>
      <c r="AD258" s="184"/>
      <c r="AE258" s="184"/>
      <c r="AF258" s="184"/>
      <c r="AG258" s="184"/>
      <c r="AH258" s="184"/>
      <c r="AI258" s="184"/>
      <c r="AJ258" s="184"/>
      <c r="AK258" s="184"/>
      <c r="AL258" s="184"/>
      <c r="AM258" s="184"/>
      <c r="AN258" s="184"/>
      <c r="AO258" s="184"/>
      <c r="AP258" s="184"/>
      <c r="AQ258" s="184"/>
      <c r="AR258" s="184"/>
    </row>
    <row r="259" spans="1:44" s="331" customFormat="1" ht="12" customHeight="1">
      <c r="A259" s="184"/>
      <c r="P259" s="150"/>
      <c r="Q259" s="401"/>
      <c r="X259" s="184"/>
      <c r="Y259" s="184"/>
      <c r="Z259" s="184"/>
      <c r="AA259" s="184"/>
      <c r="AB259" s="184"/>
      <c r="AC259" s="184"/>
      <c r="AD259" s="184"/>
      <c r="AE259" s="184"/>
      <c r="AF259" s="184"/>
      <c r="AG259" s="184"/>
      <c r="AH259" s="184"/>
      <c r="AI259" s="184"/>
      <c r="AJ259" s="184"/>
      <c r="AK259" s="184"/>
      <c r="AL259" s="184"/>
      <c r="AM259" s="184"/>
      <c r="AN259" s="184"/>
      <c r="AO259" s="184"/>
      <c r="AP259" s="184"/>
      <c r="AQ259" s="184"/>
      <c r="AR259" s="184"/>
    </row>
    <row r="260" spans="1:44" s="331" customFormat="1" ht="12" customHeight="1">
      <c r="A260" s="184"/>
      <c r="P260" s="403"/>
      <c r="Q260" s="401"/>
      <c r="X260" s="184"/>
      <c r="Y260" s="184"/>
      <c r="Z260" s="184"/>
      <c r="AA260" s="184"/>
      <c r="AB260" s="184"/>
      <c r="AC260" s="184"/>
      <c r="AD260" s="184"/>
      <c r="AE260" s="184"/>
      <c r="AF260" s="184"/>
      <c r="AG260" s="184"/>
      <c r="AH260" s="184"/>
      <c r="AI260" s="184"/>
      <c r="AJ260" s="184"/>
      <c r="AK260" s="184"/>
      <c r="AL260" s="184"/>
      <c r="AM260" s="184"/>
      <c r="AN260" s="184"/>
      <c r="AO260" s="184"/>
      <c r="AP260" s="184"/>
      <c r="AQ260" s="184"/>
      <c r="AR260" s="184"/>
    </row>
    <row r="261" spans="1:44" s="331" customFormat="1" ht="12" customHeight="1">
      <c r="A261" s="184"/>
      <c r="P261" s="150"/>
      <c r="Q261" s="184"/>
      <c r="X261" s="184"/>
      <c r="Y261" s="184"/>
      <c r="Z261" s="184"/>
      <c r="AA261" s="184"/>
      <c r="AB261" s="184"/>
      <c r="AC261" s="184"/>
      <c r="AD261" s="184"/>
      <c r="AE261" s="184"/>
      <c r="AF261" s="184"/>
      <c r="AG261" s="184"/>
      <c r="AH261" s="184"/>
      <c r="AI261" s="184"/>
      <c r="AJ261" s="184"/>
      <c r="AK261" s="184"/>
      <c r="AL261" s="184"/>
      <c r="AM261" s="184"/>
      <c r="AN261" s="184"/>
      <c r="AO261" s="184"/>
      <c r="AP261" s="184"/>
      <c r="AQ261" s="184"/>
      <c r="AR261" s="184"/>
    </row>
    <row r="262" spans="1:44" s="331" customFormat="1" ht="12" customHeight="1">
      <c r="A262" s="184"/>
      <c r="P262" s="150"/>
      <c r="Q262" s="401"/>
      <c r="X262" s="184"/>
      <c r="Y262" s="184"/>
      <c r="Z262" s="184"/>
      <c r="AA262" s="184"/>
      <c r="AB262" s="184"/>
      <c r="AC262" s="184"/>
      <c r="AD262" s="184"/>
      <c r="AE262" s="184"/>
      <c r="AF262" s="184"/>
      <c r="AG262" s="184"/>
      <c r="AH262" s="184"/>
      <c r="AI262" s="184"/>
      <c r="AJ262" s="184"/>
      <c r="AK262" s="184"/>
      <c r="AL262" s="184"/>
      <c r="AM262" s="184"/>
      <c r="AN262" s="184"/>
      <c r="AO262" s="184"/>
      <c r="AP262" s="184"/>
      <c r="AQ262" s="184"/>
      <c r="AR262" s="184"/>
    </row>
    <row r="263" spans="1:44" s="331" customFormat="1" ht="12" customHeight="1">
      <c r="A263" s="184"/>
      <c r="P263" s="150"/>
      <c r="Q263" s="401"/>
      <c r="X263" s="184"/>
      <c r="Y263" s="184"/>
      <c r="Z263" s="184"/>
      <c r="AA263" s="184"/>
      <c r="AB263" s="184"/>
      <c r="AC263" s="184"/>
      <c r="AD263" s="184"/>
      <c r="AE263" s="184"/>
      <c r="AF263" s="184"/>
      <c r="AG263" s="184"/>
      <c r="AH263" s="184"/>
      <c r="AI263" s="184"/>
      <c r="AJ263" s="184"/>
      <c r="AK263" s="184"/>
      <c r="AL263" s="184"/>
      <c r="AM263" s="184"/>
      <c r="AN263" s="184"/>
      <c r="AO263" s="184"/>
      <c r="AP263" s="184"/>
      <c r="AQ263" s="184"/>
      <c r="AR263" s="184"/>
    </row>
    <row r="264" spans="1:44" s="331" customFormat="1" ht="12" customHeight="1">
      <c r="A264" s="184"/>
      <c r="P264" s="150"/>
      <c r="Q264" s="401"/>
      <c r="X264" s="184"/>
      <c r="Y264" s="184"/>
      <c r="Z264" s="184"/>
      <c r="AA264" s="184"/>
      <c r="AB264" s="184"/>
      <c r="AC264" s="184"/>
      <c r="AD264" s="184"/>
      <c r="AE264" s="184"/>
      <c r="AF264" s="184"/>
      <c r="AG264" s="184"/>
      <c r="AH264" s="184"/>
      <c r="AI264" s="184"/>
      <c r="AJ264" s="184"/>
      <c r="AK264" s="184"/>
      <c r="AL264" s="184"/>
      <c r="AM264" s="184"/>
      <c r="AN264" s="184"/>
      <c r="AO264" s="184"/>
      <c r="AP264" s="184"/>
      <c r="AQ264" s="184"/>
      <c r="AR264" s="184"/>
    </row>
    <row r="265" spans="1:44" s="331" customFormat="1" ht="12" customHeight="1">
      <c r="A265" s="184"/>
      <c r="P265" s="150"/>
      <c r="Q265" s="184"/>
      <c r="X265" s="184"/>
      <c r="Y265" s="184"/>
      <c r="Z265" s="184"/>
      <c r="AA265" s="184"/>
      <c r="AB265" s="184"/>
      <c r="AC265" s="184"/>
      <c r="AD265" s="184"/>
      <c r="AE265" s="184"/>
      <c r="AF265" s="184"/>
      <c r="AG265" s="184"/>
      <c r="AH265" s="184"/>
      <c r="AI265" s="184"/>
      <c r="AJ265" s="184"/>
      <c r="AK265" s="184"/>
      <c r="AL265" s="184"/>
      <c r="AM265" s="184"/>
      <c r="AN265" s="184"/>
      <c r="AO265" s="184"/>
      <c r="AP265" s="184"/>
      <c r="AQ265" s="184"/>
      <c r="AR265" s="184"/>
    </row>
    <row r="266" spans="1:44" s="331" customFormat="1" ht="12" customHeight="1">
      <c r="A266" s="184"/>
      <c r="P266" s="402"/>
      <c r="Q266" s="401"/>
      <c r="X266" s="184"/>
      <c r="Y266" s="184"/>
      <c r="Z266" s="184"/>
      <c r="AA266" s="184"/>
      <c r="AB266" s="184"/>
      <c r="AC266" s="184"/>
      <c r="AD266" s="184"/>
      <c r="AE266" s="184"/>
      <c r="AF266" s="184"/>
      <c r="AG266" s="184"/>
      <c r="AH266" s="184"/>
      <c r="AI266" s="184"/>
      <c r="AJ266" s="184"/>
      <c r="AK266" s="184"/>
      <c r="AL266" s="184"/>
      <c r="AM266" s="184"/>
      <c r="AN266" s="184"/>
      <c r="AO266" s="184"/>
      <c r="AP266" s="184"/>
      <c r="AQ266" s="184"/>
      <c r="AR266" s="184"/>
    </row>
    <row r="267" spans="1:44" s="331" customFormat="1" ht="12" customHeight="1">
      <c r="A267" s="184"/>
      <c r="P267" s="150"/>
      <c r="Q267" s="401"/>
      <c r="X267" s="184"/>
      <c r="Y267" s="184"/>
      <c r="Z267" s="184"/>
      <c r="AA267" s="184"/>
      <c r="AB267" s="184"/>
      <c r="AC267" s="184"/>
      <c r="AD267" s="184"/>
      <c r="AE267" s="184"/>
      <c r="AF267" s="184"/>
      <c r="AG267" s="184"/>
      <c r="AH267" s="184"/>
      <c r="AI267" s="184"/>
      <c r="AJ267" s="184"/>
      <c r="AK267" s="184"/>
      <c r="AL267" s="184"/>
      <c r="AM267" s="184"/>
      <c r="AN267" s="184"/>
      <c r="AO267" s="184"/>
      <c r="AP267" s="184"/>
      <c r="AQ267" s="184"/>
      <c r="AR267" s="184"/>
    </row>
    <row r="268" spans="1:44" s="331" customFormat="1" ht="12" customHeight="1">
      <c r="A268" s="184"/>
      <c r="P268" s="150"/>
      <c r="Q268" s="401"/>
      <c r="X268" s="184"/>
      <c r="Y268" s="184"/>
      <c r="Z268" s="184"/>
      <c r="AA268" s="184"/>
      <c r="AB268" s="184"/>
      <c r="AC268" s="184"/>
      <c r="AD268" s="184"/>
      <c r="AE268" s="184"/>
      <c r="AF268" s="184"/>
      <c r="AG268" s="184"/>
      <c r="AH268" s="184"/>
      <c r="AI268" s="184"/>
      <c r="AJ268" s="184"/>
      <c r="AK268" s="184"/>
      <c r="AL268" s="184"/>
      <c r="AM268" s="184"/>
      <c r="AN268" s="184"/>
      <c r="AO268" s="184"/>
      <c r="AP268" s="184"/>
      <c r="AQ268" s="184"/>
      <c r="AR268" s="184"/>
    </row>
    <row r="269" spans="1:44" s="331" customFormat="1" ht="12" customHeight="1">
      <c r="A269" s="184"/>
      <c r="P269" s="150"/>
      <c r="Q269" s="401"/>
      <c r="X269" s="184"/>
      <c r="Y269" s="184"/>
      <c r="Z269" s="184"/>
      <c r="AA269" s="184"/>
      <c r="AB269" s="184"/>
      <c r="AC269" s="184"/>
      <c r="AD269" s="184"/>
      <c r="AE269" s="184"/>
      <c r="AF269" s="184"/>
      <c r="AG269" s="184"/>
      <c r="AH269" s="184"/>
      <c r="AI269" s="184"/>
      <c r="AJ269" s="184"/>
      <c r="AK269" s="184"/>
      <c r="AL269" s="184"/>
      <c r="AM269" s="184"/>
      <c r="AN269" s="184"/>
      <c r="AO269" s="184"/>
      <c r="AP269" s="184"/>
      <c r="AQ269" s="184"/>
      <c r="AR269" s="184"/>
    </row>
    <row r="270" spans="1:44" s="331" customFormat="1" ht="12" customHeight="1">
      <c r="A270" s="184"/>
      <c r="P270" s="150"/>
      <c r="Q270" s="401"/>
      <c r="X270" s="184"/>
      <c r="Y270" s="184"/>
      <c r="Z270" s="184"/>
      <c r="AA270" s="184"/>
      <c r="AB270" s="184"/>
      <c r="AC270" s="184"/>
      <c r="AD270" s="184"/>
      <c r="AE270" s="184"/>
      <c r="AF270" s="184"/>
      <c r="AG270" s="184"/>
      <c r="AH270" s="184"/>
      <c r="AI270" s="184"/>
      <c r="AJ270" s="184"/>
      <c r="AK270" s="184"/>
      <c r="AL270" s="184"/>
      <c r="AM270" s="184"/>
      <c r="AN270" s="184"/>
      <c r="AO270" s="184"/>
      <c r="AP270" s="184"/>
      <c r="AQ270" s="184"/>
      <c r="AR270" s="184"/>
    </row>
    <row r="271" spans="1:44" s="331" customFormat="1" ht="12" customHeight="1">
      <c r="A271" s="184"/>
      <c r="P271" s="150"/>
      <c r="Q271" s="401"/>
      <c r="X271" s="184"/>
      <c r="Y271" s="184"/>
      <c r="Z271" s="184"/>
      <c r="AA271" s="184"/>
      <c r="AB271" s="184"/>
      <c r="AC271" s="184"/>
      <c r="AD271" s="184"/>
      <c r="AE271" s="184"/>
      <c r="AF271" s="184"/>
      <c r="AG271" s="184"/>
      <c r="AH271" s="184"/>
      <c r="AI271" s="184"/>
      <c r="AJ271" s="184"/>
      <c r="AK271" s="184"/>
      <c r="AL271" s="184"/>
      <c r="AM271" s="184"/>
      <c r="AN271" s="184"/>
      <c r="AO271" s="184"/>
      <c r="AP271" s="184"/>
      <c r="AQ271" s="184"/>
      <c r="AR271" s="184"/>
    </row>
    <row r="272" spans="1:44" s="331" customFormat="1" ht="12" customHeight="1">
      <c r="A272" s="184"/>
      <c r="P272" s="150"/>
      <c r="Q272" s="401"/>
      <c r="X272" s="184"/>
      <c r="Y272" s="184"/>
      <c r="Z272" s="184"/>
      <c r="AA272" s="184"/>
      <c r="AB272" s="184"/>
      <c r="AC272" s="184"/>
      <c r="AD272" s="184"/>
      <c r="AE272" s="184"/>
      <c r="AF272" s="184"/>
      <c r="AG272" s="184"/>
      <c r="AH272" s="184"/>
      <c r="AI272" s="184"/>
      <c r="AJ272" s="184"/>
      <c r="AK272" s="184"/>
      <c r="AL272" s="184"/>
      <c r="AM272" s="184"/>
      <c r="AN272" s="184"/>
      <c r="AO272" s="184"/>
      <c r="AP272" s="184"/>
      <c r="AQ272" s="184"/>
      <c r="AR272" s="184"/>
    </row>
    <row r="273" spans="1:44" s="331" customFormat="1" ht="12" customHeight="1">
      <c r="A273" s="184"/>
      <c r="P273" s="150"/>
      <c r="Q273" s="401"/>
      <c r="X273" s="184"/>
      <c r="Y273" s="184"/>
      <c r="Z273" s="184"/>
      <c r="AA273" s="184"/>
      <c r="AB273" s="184"/>
      <c r="AC273" s="184"/>
      <c r="AD273" s="184"/>
      <c r="AE273" s="184"/>
      <c r="AF273" s="184"/>
      <c r="AG273" s="184"/>
      <c r="AH273" s="184"/>
      <c r="AI273" s="184"/>
      <c r="AJ273" s="184"/>
      <c r="AK273" s="184"/>
      <c r="AL273" s="184"/>
      <c r="AM273" s="184"/>
      <c r="AN273" s="184"/>
      <c r="AO273" s="184"/>
      <c r="AP273" s="184"/>
      <c r="AQ273" s="184"/>
      <c r="AR273" s="184"/>
    </row>
    <row r="274" spans="1:44" s="331" customFormat="1" ht="12" customHeight="1">
      <c r="A274" s="184"/>
      <c r="P274" s="150"/>
      <c r="Q274" s="401"/>
      <c r="X274" s="184"/>
      <c r="Y274" s="184"/>
      <c r="Z274" s="184"/>
      <c r="AA274" s="184"/>
      <c r="AB274" s="184"/>
      <c r="AC274" s="184"/>
      <c r="AD274" s="184"/>
      <c r="AE274" s="184"/>
      <c r="AF274" s="184"/>
      <c r="AG274" s="184"/>
      <c r="AH274" s="184"/>
      <c r="AI274" s="184"/>
      <c r="AJ274" s="184"/>
      <c r="AK274" s="184"/>
      <c r="AL274" s="184"/>
      <c r="AM274" s="184"/>
      <c r="AN274" s="184"/>
      <c r="AO274" s="184"/>
      <c r="AP274" s="184"/>
      <c r="AQ274" s="184"/>
      <c r="AR274" s="184"/>
    </row>
    <row r="275" spans="1:44" s="331" customFormat="1" ht="12" customHeight="1">
      <c r="A275" s="184"/>
      <c r="P275" s="150"/>
      <c r="Q275" s="401"/>
      <c r="X275" s="184"/>
      <c r="Y275" s="184"/>
      <c r="Z275" s="184"/>
      <c r="AA275" s="184"/>
      <c r="AB275" s="184"/>
      <c r="AC275" s="184"/>
      <c r="AD275" s="184"/>
      <c r="AE275" s="184"/>
      <c r="AF275" s="184"/>
      <c r="AG275" s="184"/>
      <c r="AH275" s="184"/>
      <c r="AI275" s="184"/>
      <c r="AJ275" s="184"/>
      <c r="AK275" s="184"/>
      <c r="AL275" s="184"/>
      <c r="AM275" s="184"/>
      <c r="AN275" s="184"/>
      <c r="AO275" s="184"/>
      <c r="AP275" s="184"/>
      <c r="AQ275" s="184"/>
      <c r="AR275" s="184"/>
    </row>
    <row r="276" spans="1:44" s="331" customFormat="1" ht="12" customHeight="1">
      <c r="A276" s="184"/>
      <c r="P276" s="150"/>
      <c r="Q276" s="401"/>
      <c r="X276" s="184"/>
      <c r="Y276" s="184"/>
      <c r="Z276" s="184"/>
      <c r="AA276" s="184"/>
      <c r="AB276" s="184"/>
      <c r="AC276" s="184"/>
      <c r="AD276" s="184"/>
      <c r="AE276" s="184"/>
      <c r="AF276" s="184"/>
      <c r="AG276" s="184"/>
      <c r="AH276" s="184"/>
      <c r="AI276" s="184"/>
      <c r="AJ276" s="184"/>
      <c r="AK276" s="184"/>
      <c r="AL276" s="184"/>
      <c r="AM276" s="184"/>
      <c r="AN276" s="184"/>
      <c r="AO276" s="184"/>
      <c r="AP276" s="184"/>
      <c r="AQ276" s="184"/>
      <c r="AR276" s="184"/>
    </row>
    <row r="277" spans="1:44" s="331" customFormat="1" ht="12" customHeight="1">
      <c r="A277" s="184"/>
      <c r="P277" s="150"/>
      <c r="Q277" s="401"/>
      <c r="X277" s="184"/>
      <c r="Y277" s="184"/>
      <c r="Z277" s="184"/>
      <c r="AA277" s="184"/>
      <c r="AB277" s="184"/>
      <c r="AC277" s="184"/>
      <c r="AD277" s="184"/>
      <c r="AE277" s="184"/>
      <c r="AF277" s="184"/>
      <c r="AG277" s="184"/>
      <c r="AH277" s="184"/>
      <c r="AI277" s="184"/>
      <c r="AJ277" s="184"/>
      <c r="AK277" s="184"/>
      <c r="AL277" s="184"/>
      <c r="AM277" s="184"/>
      <c r="AN277" s="184"/>
      <c r="AO277" s="184"/>
      <c r="AP277" s="184"/>
      <c r="AQ277" s="184"/>
      <c r="AR277" s="184"/>
    </row>
    <row r="278" spans="1:44" s="331" customFormat="1" ht="12" customHeight="1">
      <c r="A278" s="184"/>
      <c r="P278" s="150"/>
      <c r="Q278" s="401"/>
      <c r="X278" s="184"/>
      <c r="Y278" s="184"/>
      <c r="Z278" s="184"/>
      <c r="AA278" s="184"/>
      <c r="AB278" s="184"/>
      <c r="AC278" s="184"/>
      <c r="AD278" s="184"/>
      <c r="AE278" s="184"/>
      <c r="AF278" s="184"/>
      <c r="AG278" s="184"/>
      <c r="AH278" s="184"/>
      <c r="AI278" s="184"/>
      <c r="AJ278" s="184"/>
      <c r="AK278" s="184"/>
      <c r="AL278" s="184"/>
      <c r="AM278" s="184"/>
      <c r="AN278" s="184"/>
      <c r="AO278" s="184"/>
      <c r="AP278" s="184"/>
      <c r="AQ278" s="184"/>
      <c r="AR278" s="184"/>
    </row>
    <row r="279" spans="1:44" s="331" customFormat="1" ht="12" customHeight="1">
      <c r="A279" s="184"/>
      <c r="P279" s="150"/>
      <c r="Q279" s="401"/>
      <c r="X279" s="184"/>
      <c r="Y279" s="184"/>
      <c r="Z279" s="184"/>
      <c r="AA279" s="184"/>
      <c r="AB279" s="184"/>
      <c r="AC279" s="184"/>
      <c r="AD279" s="184"/>
      <c r="AE279" s="184"/>
      <c r="AF279" s="184"/>
      <c r="AG279" s="184"/>
      <c r="AH279" s="184"/>
      <c r="AI279" s="184"/>
      <c r="AJ279" s="184"/>
      <c r="AK279" s="184"/>
      <c r="AL279" s="184"/>
      <c r="AM279" s="184"/>
      <c r="AN279" s="184"/>
      <c r="AO279" s="184"/>
      <c r="AP279" s="184"/>
      <c r="AQ279" s="184"/>
      <c r="AR279" s="184"/>
    </row>
    <row r="280" spans="1:44" s="331" customFormat="1" ht="12" customHeight="1">
      <c r="A280" s="184"/>
      <c r="P280" s="150"/>
      <c r="Q280" s="401"/>
      <c r="X280" s="184"/>
      <c r="Y280" s="184"/>
      <c r="Z280" s="184"/>
      <c r="AA280" s="184"/>
      <c r="AB280" s="184"/>
      <c r="AC280" s="184"/>
      <c r="AD280" s="184"/>
      <c r="AE280" s="184"/>
      <c r="AF280" s="184"/>
      <c r="AG280" s="184"/>
      <c r="AH280" s="184"/>
      <c r="AI280" s="184"/>
      <c r="AJ280" s="184"/>
      <c r="AK280" s="184"/>
      <c r="AL280" s="184"/>
      <c r="AM280" s="184"/>
      <c r="AN280" s="184"/>
      <c r="AO280" s="184"/>
      <c r="AP280" s="184"/>
      <c r="AQ280" s="184"/>
      <c r="AR280" s="184"/>
    </row>
    <row r="281" spans="1:44" s="331" customFormat="1" ht="12" customHeight="1">
      <c r="A281" s="184"/>
      <c r="P281" s="150"/>
      <c r="Q281" s="401"/>
      <c r="X281" s="184"/>
      <c r="Y281" s="184"/>
      <c r="Z281" s="184"/>
      <c r="AA281" s="184"/>
      <c r="AB281" s="184"/>
      <c r="AC281" s="184"/>
      <c r="AD281" s="184"/>
      <c r="AE281" s="184"/>
      <c r="AF281" s="184"/>
      <c r="AG281" s="184"/>
      <c r="AH281" s="184"/>
      <c r="AI281" s="184"/>
      <c r="AJ281" s="184"/>
      <c r="AK281" s="184"/>
      <c r="AL281" s="184"/>
      <c r="AM281" s="184"/>
      <c r="AN281" s="184"/>
      <c r="AO281" s="184"/>
      <c r="AP281" s="184"/>
      <c r="AQ281" s="184"/>
      <c r="AR281" s="184"/>
    </row>
    <row r="282" spans="1:44" s="331" customFormat="1" ht="12" customHeight="1">
      <c r="A282" s="184"/>
      <c r="P282" s="150"/>
      <c r="Q282" s="401"/>
      <c r="X282" s="184"/>
      <c r="Y282" s="184"/>
      <c r="Z282" s="184"/>
      <c r="AA282" s="184"/>
      <c r="AB282" s="184"/>
      <c r="AC282" s="184"/>
      <c r="AD282" s="184"/>
      <c r="AE282" s="184"/>
      <c r="AF282" s="184"/>
      <c r="AG282" s="184"/>
      <c r="AH282" s="184"/>
      <c r="AI282" s="184"/>
      <c r="AJ282" s="184"/>
      <c r="AK282" s="184"/>
      <c r="AL282" s="184"/>
      <c r="AM282" s="184"/>
      <c r="AN282" s="184"/>
      <c r="AO282" s="184"/>
      <c r="AP282" s="184"/>
      <c r="AQ282" s="184"/>
      <c r="AR282" s="184"/>
    </row>
    <row r="283" spans="1:44" s="331" customFormat="1" ht="12" customHeight="1">
      <c r="A283" s="184"/>
      <c r="P283" s="150"/>
      <c r="Q283" s="401"/>
      <c r="X283" s="184"/>
      <c r="Y283" s="184"/>
      <c r="Z283" s="184"/>
      <c r="AA283" s="184"/>
      <c r="AB283" s="184"/>
      <c r="AC283" s="184"/>
      <c r="AD283" s="184"/>
      <c r="AE283" s="184"/>
      <c r="AF283" s="184"/>
      <c r="AG283" s="184"/>
      <c r="AH283" s="184"/>
      <c r="AI283" s="184"/>
      <c r="AJ283" s="184"/>
      <c r="AK283" s="184"/>
      <c r="AL283" s="184"/>
      <c r="AM283" s="184"/>
      <c r="AN283" s="184"/>
      <c r="AO283" s="184"/>
      <c r="AP283" s="184"/>
      <c r="AQ283" s="184"/>
      <c r="AR283" s="184"/>
    </row>
    <row r="284" spans="1:44" s="331" customFormat="1" ht="12" customHeight="1">
      <c r="A284" s="184"/>
      <c r="P284" s="403"/>
      <c r="Q284" s="401"/>
      <c r="X284" s="184"/>
      <c r="Y284" s="184"/>
      <c r="Z284" s="184"/>
      <c r="AA284" s="184"/>
      <c r="AB284" s="184"/>
      <c r="AC284" s="184"/>
      <c r="AD284" s="184"/>
      <c r="AE284" s="184"/>
      <c r="AF284" s="184"/>
      <c r="AG284" s="184"/>
      <c r="AH284" s="184"/>
      <c r="AI284" s="184"/>
      <c r="AJ284" s="184"/>
      <c r="AK284" s="184"/>
      <c r="AL284" s="184"/>
      <c r="AM284" s="184"/>
      <c r="AN284" s="184"/>
      <c r="AO284" s="184"/>
      <c r="AP284" s="184"/>
      <c r="AQ284" s="184"/>
      <c r="AR284" s="184"/>
    </row>
    <row r="285" spans="1:44" s="331" customFormat="1" ht="12" customHeight="1">
      <c r="A285" s="184"/>
      <c r="P285" s="150"/>
      <c r="Q285" s="401"/>
      <c r="X285" s="184"/>
      <c r="Y285" s="184"/>
      <c r="Z285" s="184"/>
      <c r="AA285" s="184"/>
      <c r="AB285" s="184"/>
      <c r="AC285" s="184"/>
      <c r="AD285" s="184"/>
      <c r="AE285" s="184"/>
      <c r="AF285" s="184"/>
      <c r="AG285" s="184"/>
      <c r="AH285" s="184"/>
      <c r="AI285" s="184"/>
      <c r="AJ285" s="184"/>
      <c r="AK285" s="184"/>
      <c r="AL285" s="184"/>
      <c r="AM285" s="184"/>
      <c r="AN285" s="184"/>
      <c r="AO285" s="184"/>
      <c r="AP285" s="184"/>
      <c r="AQ285" s="184"/>
      <c r="AR285" s="184"/>
    </row>
    <row r="286" spans="1:44" s="331" customFormat="1" ht="12" customHeight="1">
      <c r="A286" s="184"/>
      <c r="P286" s="150"/>
      <c r="Q286" s="401"/>
      <c r="R286" s="396"/>
      <c r="S286" s="396"/>
      <c r="X286" s="184"/>
      <c r="Y286" s="184"/>
      <c r="Z286" s="184"/>
      <c r="AA286" s="184"/>
      <c r="AB286" s="184"/>
      <c r="AC286" s="184"/>
      <c r="AD286" s="184"/>
      <c r="AE286" s="184"/>
      <c r="AF286" s="184"/>
      <c r="AG286" s="184"/>
      <c r="AH286" s="184"/>
      <c r="AI286" s="184"/>
      <c r="AJ286" s="184"/>
      <c r="AK286" s="184"/>
      <c r="AL286" s="184"/>
      <c r="AM286" s="184"/>
      <c r="AN286" s="184"/>
      <c r="AO286" s="184"/>
      <c r="AP286" s="184"/>
      <c r="AQ286" s="184"/>
      <c r="AR286" s="184"/>
    </row>
    <row r="287" spans="1:44" s="331" customFormat="1" ht="12" customHeight="1">
      <c r="A287" s="184"/>
      <c r="P287" s="150"/>
      <c r="Q287" s="401"/>
      <c r="R287" s="396"/>
      <c r="S287" s="396"/>
      <c r="X287" s="184"/>
      <c r="Y287" s="184"/>
      <c r="Z287" s="184"/>
      <c r="AA287" s="184"/>
      <c r="AB287" s="184"/>
      <c r="AC287" s="184"/>
      <c r="AD287" s="184"/>
      <c r="AE287" s="184"/>
      <c r="AF287" s="184"/>
      <c r="AG287" s="184"/>
      <c r="AH287" s="184"/>
      <c r="AI287" s="184"/>
      <c r="AJ287" s="184"/>
      <c r="AK287" s="184"/>
      <c r="AL287" s="184"/>
      <c r="AM287" s="184"/>
      <c r="AN287" s="184"/>
      <c r="AO287" s="184"/>
      <c r="AP287" s="184"/>
      <c r="AQ287" s="184"/>
      <c r="AR287" s="184"/>
    </row>
    <row r="288" spans="1:44" s="331" customFormat="1" ht="12" customHeight="1">
      <c r="A288" s="184"/>
      <c r="P288" s="150"/>
      <c r="Q288" s="401"/>
      <c r="R288" s="396"/>
      <c r="S288" s="396"/>
      <c r="X288" s="184"/>
      <c r="Y288" s="184"/>
      <c r="Z288" s="184"/>
      <c r="AA288" s="184"/>
      <c r="AB288" s="184"/>
      <c r="AC288" s="184"/>
      <c r="AD288" s="184"/>
      <c r="AE288" s="184"/>
      <c r="AF288" s="184"/>
      <c r="AG288" s="184"/>
      <c r="AH288" s="184"/>
      <c r="AI288" s="184"/>
      <c r="AJ288" s="184"/>
      <c r="AK288" s="184"/>
      <c r="AL288" s="184"/>
      <c r="AM288" s="184"/>
      <c r="AN288" s="184"/>
      <c r="AO288" s="184"/>
      <c r="AP288" s="184"/>
      <c r="AQ288" s="184"/>
      <c r="AR288" s="184"/>
    </row>
    <row r="289" spans="1:44" s="331" customFormat="1" ht="12" customHeight="1">
      <c r="A289" s="184"/>
      <c r="P289" s="150"/>
      <c r="Q289" s="184"/>
      <c r="R289" s="396"/>
      <c r="S289" s="396"/>
      <c r="X289" s="184"/>
      <c r="Y289" s="184"/>
      <c r="Z289" s="184"/>
      <c r="AA289" s="184"/>
      <c r="AB289" s="184"/>
      <c r="AC289" s="184"/>
      <c r="AD289" s="184"/>
      <c r="AE289" s="184"/>
      <c r="AF289" s="184"/>
      <c r="AG289" s="184"/>
      <c r="AH289" s="184"/>
      <c r="AI289" s="184"/>
      <c r="AJ289" s="184"/>
      <c r="AK289" s="184"/>
      <c r="AL289" s="184"/>
      <c r="AM289" s="184"/>
      <c r="AN289" s="184"/>
      <c r="AO289" s="184"/>
      <c r="AP289" s="184"/>
      <c r="AQ289" s="184"/>
      <c r="AR289" s="184"/>
    </row>
    <row r="290" spans="1:44" s="331" customFormat="1" ht="12" customHeight="1">
      <c r="A290" s="184"/>
      <c r="P290" s="403"/>
      <c r="Q290" s="184"/>
      <c r="R290" s="396"/>
      <c r="S290" s="396"/>
      <c r="X290" s="184"/>
      <c r="Y290" s="184"/>
      <c r="Z290" s="184"/>
      <c r="AA290" s="184"/>
      <c r="AB290" s="184"/>
      <c r="AC290" s="184"/>
      <c r="AD290" s="184"/>
      <c r="AE290" s="184"/>
      <c r="AF290" s="184"/>
      <c r="AG290" s="184"/>
      <c r="AH290" s="184"/>
      <c r="AI290" s="184"/>
      <c r="AJ290" s="184"/>
      <c r="AK290" s="184"/>
      <c r="AL290" s="184"/>
      <c r="AM290" s="184"/>
      <c r="AN290" s="184"/>
      <c r="AO290" s="184"/>
      <c r="AP290" s="184"/>
      <c r="AQ290" s="184"/>
      <c r="AR290" s="184"/>
    </row>
    <row r="291" spans="1:44" s="331" customFormat="1" ht="12" customHeight="1">
      <c r="A291" s="184"/>
      <c r="P291" s="150"/>
      <c r="R291" s="396"/>
      <c r="S291" s="396"/>
      <c r="X291" s="184"/>
      <c r="Y291" s="184"/>
      <c r="Z291" s="184"/>
      <c r="AA291" s="184"/>
      <c r="AB291" s="184"/>
      <c r="AC291" s="184"/>
      <c r="AD291" s="184"/>
      <c r="AE291" s="184"/>
      <c r="AF291" s="184"/>
      <c r="AG291" s="184"/>
      <c r="AH291" s="184"/>
      <c r="AI291" s="184"/>
      <c r="AJ291" s="184"/>
      <c r="AK291" s="184"/>
      <c r="AL291" s="184"/>
      <c r="AM291" s="184"/>
      <c r="AN291" s="184"/>
      <c r="AO291" s="184"/>
      <c r="AP291" s="184"/>
      <c r="AQ291" s="184"/>
      <c r="AR291" s="184"/>
    </row>
    <row r="292" spans="1:44" s="331" customFormat="1" ht="12" customHeight="1">
      <c r="A292" s="184"/>
      <c r="P292" s="150"/>
      <c r="R292" s="396"/>
      <c r="S292" s="396"/>
      <c r="X292" s="184"/>
      <c r="Y292" s="184"/>
      <c r="Z292" s="184"/>
      <c r="AA292" s="184"/>
      <c r="AB292" s="184"/>
      <c r="AC292" s="184"/>
      <c r="AD292" s="184"/>
      <c r="AE292" s="184"/>
      <c r="AF292" s="184"/>
      <c r="AG292" s="184"/>
      <c r="AH292" s="184"/>
      <c r="AI292" s="184"/>
      <c r="AJ292" s="184"/>
      <c r="AK292" s="184"/>
      <c r="AL292" s="184"/>
      <c r="AM292" s="184"/>
      <c r="AN292" s="184"/>
      <c r="AO292" s="184"/>
      <c r="AP292" s="184"/>
      <c r="AQ292" s="184"/>
      <c r="AR292" s="184"/>
    </row>
    <row r="293" spans="1:44" s="331" customFormat="1" ht="12" customHeight="1">
      <c r="A293" s="184"/>
      <c r="P293" s="150"/>
      <c r="X293" s="184"/>
      <c r="Y293" s="184"/>
      <c r="Z293" s="184"/>
      <c r="AA293" s="184"/>
      <c r="AB293" s="184"/>
      <c r="AC293" s="184"/>
      <c r="AD293" s="184"/>
      <c r="AE293" s="184"/>
      <c r="AF293" s="184"/>
      <c r="AG293" s="184"/>
      <c r="AH293" s="184"/>
      <c r="AI293" s="184"/>
      <c r="AJ293" s="184"/>
      <c r="AK293" s="184"/>
      <c r="AL293" s="184"/>
      <c r="AM293" s="184"/>
      <c r="AN293" s="184"/>
      <c r="AO293" s="184"/>
      <c r="AP293" s="184"/>
      <c r="AQ293" s="184"/>
      <c r="AR293" s="184"/>
    </row>
    <row r="294" spans="1:44" s="331" customFormat="1" ht="12" customHeight="1">
      <c r="A294" s="184"/>
      <c r="P294" s="150"/>
      <c r="X294" s="184"/>
      <c r="Y294" s="184"/>
      <c r="Z294" s="184"/>
      <c r="AA294" s="184"/>
      <c r="AB294" s="184"/>
      <c r="AC294" s="184"/>
      <c r="AD294" s="184"/>
      <c r="AE294" s="184"/>
      <c r="AF294" s="184"/>
      <c r="AG294" s="184"/>
      <c r="AH294" s="184"/>
      <c r="AI294" s="184"/>
      <c r="AJ294" s="184"/>
      <c r="AK294" s="184"/>
      <c r="AL294" s="184"/>
      <c r="AM294" s="184"/>
      <c r="AN294" s="184"/>
      <c r="AO294" s="184"/>
      <c r="AP294" s="184"/>
      <c r="AQ294" s="184"/>
      <c r="AR294" s="184"/>
    </row>
    <row r="295" spans="1:44" s="331" customFormat="1" ht="12" customHeight="1">
      <c r="A295" s="184"/>
      <c r="P295" s="150"/>
      <c r="X295" s="184"/>
      <c r="Y295" s="184"/>
      <c r="Z295" s="184"/>
      <c r="AA295" s="184"/>
      <c r="AB295" s="184"/>
      <c r="AC295" s="184"/>
      <c r="AD295" s="184"/>
      <c r="AE295" s="184"/>
      <c r="AF295" s="184"/>
      <c r="AG295" s="184"/>
      <c r="AH295" s="184"/>
      <c r="AI295" s="184"/>
      <c r="AJ295" s="184"/>
      <c r="AK295" s="184"/>
      <c r="AL295" s="184"/>
      <c r="AM295" s="184"/>
      <c r="AN295" s="184"/>
      <c r="AO295" s="184"/>
      <c r="AP295" s="184"/>
      <c r="AQ295" s="184"/>
      <c r="AR295" s="184"/>
    </row>
    <row r="296" spans="1:44" s="331" customFormat="1" ht="12" customHeight="1">
      <c r="A296" s="184"/>
      <c r="P296" s="150"/>
      <c r="X296" s="184"/>
      <c r="Y296" s="184"/>
      <c r="Z296" s="184"/>
      <c r="AA296" s="184"/>
      <c r="AB296" s="184"/>
      <c r="AC296" s="184"/>
      <c r="AD296" s="184"/>
      <c r="AE296" s="184"/>
      <c r="AF296" s="184"/>
      <c r="AG296" s="184"/>
      <c r="AH296" s="184"/>
      <c r="AI296" s="184"/>
      <c r="AJ296" s="184"/>
      <c r="AK296" s="184"/>
      <c r="AL296" s="184"/>
      <c r="AM296" s="184"/>
      <c r="AN296" s="184"/>
      <c r="AO296" s="184"/>
      <c r="AP296" s="184"/>
      <c r="AQ296" s="184"/>
      <c r="AR296" s="184"/>
    </row>
    <row r="297" spans="1:44" s="331" customFormat="1" ht="12" customHeight="1">
      <c r="A297" s="184"/>
      <c r="P297" s="403"/>
      <c r="X297" s="184"/>
      <c r="Y297" s="184"/>
      <c r="Z297" s="184"/>
      <c r="AA297" s="184"/>
      <c r="AB297" s="184"/>
      <c r="AC297" s="184"/>
      <c r="AD297" s="184"/>
      <c r="AE297" s="184"/>
      <c r="AF297" s="184"/>
      <c r="AG297" s="184"/>
      <c r="AH297" s="184"/>
      <c r="AI297" s="184"/>
      <c r="AJ297" s="184"/>
      <c r="AK297" s="184"/>
      <c r="AL297" s="184"/>
      <c r="AM297" s="184"/>
      <c r="AN297" s="184"/>
      <c r="AO297" s="184"/>
      <c r="AP297" s="184"/>
      <c r="AQ297" s="184"/>
      <c r="AR297" s="184"/>
    </row>
    <row r="298" spans="1:44" s="331" customFormat="1" ht="12" customHeight="1">
      <c r="A298" s="184"/>
      <c r="P298" s="150"/>
      <c r="X298" s="184"/>
      <c r="Y298" s="184"/>
      <c r="Z298" s="184"/>
      <c r="AA298" s="184"/>
      <c r="AB298" s="184"/>
      <c r="AC298" s="184"/>
      <c r="AD298" s="184"/>
      <c r="AE298" s="184"/>
      <c r="AF298" s="184"/>
      <c r="AG298" s="184"/>
      <c r="AH298" s="184"/>
      <c r="AI298" s="184"/>
      <c r="AJ298" s="184"/>
      <c r="AK298" s="184"/>
      <c r="AL298" s="184"/>
      <c r="AM298" s="184"/>
      <c r="AN298" s="184"/>
      <c r="AO298" s="184"/>
      <c r="AP298" s="184"/>
      <c r="AQ298" s="184"/>
      <c r="AR298" s="184"/>
    </row>
    <row r="299" spans="1:44" s="331" customFormat="1" ht="12" customHeight="1">
      <c r="A299" s="184"/>
      <c r="P299" s="150"/>
      <c r="X299" s="184"/>
      <c r="Y299" s="184"/>
      <c r="Z299" s="184"/>
      <c r="AA299" s="184"/>
      <c r="AB299" s="184"/>
      <c r="AC299" s="184"/>
      <c r="AD299" s="184"/>
      <c r="AE299" s="184"/>
      <c r="AF299" s="184"/>
      <c r="AG299" s="184"/>
      <c r="AH299" s="184"/>
      <c r="AI299" s="184"/>
      <c r="AJ299" s="184"/>
      <c r="AK299" s="184"/>
      <c r="AL299" s="184"/>
      <c r="AM299" s="184"/>
      <c r="AN299" s="184"/>
      <c r="AO299" s="184"/>
      <c r="AP299" s="184"/>
      <c r="AQ299" s="184"/>
      <c r="AR299" s="184"/>
    </row>
    <row r="300" spans="1:44" s="331" customFormat="1" ht="12" customHeight="1">
      <c r="A300" s="184"/>
      <c r="P300" s="150"/>
      <c r="X300" s="184"/>
      <c r="Y300" s="184"/>
      <c r="Z300" s="184"/>
      <c r="AA300" s="184"/>
      <c r="AB300" s="184"/>
      <c r="AC300" s="184"/>
      <c r="AD300" s="184"/>
      <c r="AE300" s="184"/>
      <c r="AF300" s="184"/>
      <c r="AG300" s="184"/>
      <c r="AH300" s="184"/>
      <c r="AI300" s="184"/>
      <c r="AJ300" s="184"/>
      <c r="AK300" s="184"/>
      <c r="AL300" s="184"/>
      <c r="AM300" s="184"/>
      <c r="AN300" s="184"/>
      <c r="AO300" s="184"/>
      <c r="AP300" s="184"/>
      <c r="AQ300" s="184"/>
      <c r="AR300" s="184"/>
    </row>
    <row r="301" spans="1:44" s="331" customFormat="1" ht="12" customHeight="1">
      <c r="A301" s="184"/>
      <c r="P301" s="150"/>
      <c r="X301" s="184"/>
      <c r="Y301" s="184"/>
      <c r="Z301" s="184"/>
      <c r="AA301" s="184"/>
      <c r="AB301" s="184"/>
      <c r="AC301" s="184"/>
      <c r="AD301" s="184"/>
      <c r="AE301" s="184"/>
      <c r="AF301" s="184"/>
      <c r="AG301" s="184"/>
      <c r="AH301" s="184"/>
      <c r="AI301" s="184"/>
      <c r="AJ301" s="184"/>
      <c r="AK301" s="184"/>
      <c r="AL301" s="184"/>
      <c r="AM301" s="184"/>
      <c r="AN301" s="184"/>
      <c r="AO301" s="184"/>
      <c r="AP301" s="184"/>
      <c r="AQ301" s="184"/>
      <c r="AR301" s="184"/>
    </row>
    <row r="302" spans="1:44" s="331" customFormat="1" ht="12" customHeight="1">
      <c r="A302" s="184"/>
      <c r="P302" s="150"/>
      <c r="X302" s="184"/>
      <c r="Y302" s="184"/>
      <c r="Z302" s="184"/>
      <c r="AA302" s="184"/>
      <c r="AB302" s="184"/>
      <c r="AC302" s="184"/>
      <c r="AD302" s="184"/>
      <c r="AE302" s="184"/>
      <c r="AF302" s="184"/>
      <c r="AG302" s="184"/>
      <c r="AH302" s="184"/>
      <c r="AI302" s="184"/>
      <c r="AJ302" s="184"/>
      <c r="AK302" s="184"/>
      <c r="AL302" s="184"/>
      <c r="AM302" s="184"/>
      <c r="AN302" s="184"/>
      <c r="AO302" s="184"/>
      <c r="AP302" s="184"/>
      <c r="AQ302" s="184"/>
      <c r="AR302" s="184"/>
    </row>
    <row r="303" spans="1:44" s="331" customFormat="1" ht="12" customHeight="1">
      <c r="A303" s="184"/>
      <c r="P303" s="150"/>
      <c r="X303" s="184"/>
      <c r="Y303" s="184"/>
      <c r="Z303" s="184"/>
      <c r="AA303" s="184"/>
      <c r="AB303" s="184"/>
      <c r="AC303" s="184"/>
      <c r="AD303" s="184"/>
      <c r="AE303" s="184"/>
      <c r="AF303" s="184"/>
      <c r="AG303" s="184"/>
      <c r="AH303" s="184"/>
      <c r="AI303" s="184"/>
      <c r="AJ303" s="184"/>
      <c r="AK303" s="184"/>
      <c r="AL303" s="184"/>
      <c r="AM303" s="184"/>
      <c r="AN303" s="184"/>
      <c r="AO303" s="184"/>
      <c r="AP303" s="184"/>
      <c r="AQ303" s="184"/>
      <c r="AR303" s="184"/>
    </row>
    <row r="304" spans="1:44" s="331" customFormat="1" ht="12" customHeight="1">
      <c r="A304" s="184"/>
      <c r="P304" s="277"/>
      <c r="X304" s="184"/>
      <c r="Y304" s="184"/>
      <c r="Z304" s="184"/>
      <c r="AA304" s="184"/>
      <c r="AB304" s="184"/>
      <c r="AC304" s="184"/>
      <c r="AD304" s="184"/>
      <c r="AE304" s="184"/>
      <c r="AF304" s="184"/>
      <c r="AG304" s="184"/>
      <c r="AH304" s="184"/>
      <c r="AI304" s="184"/>
      <c r="AJ304" s="184"/>
      <c r="AK304" s="184"/>
      <c r="AL304" s="184"/>
      <c r="AM304" s="184"/>
      <c r="AN304" s="184"/>
      <c r="AO304" s="184"/>
      <c r="AP304" s="184"/>
      <c r="AQ304" s="184"/>
      <c r="AR304" s="184"/>
    </row>
    <row r="305" spans="1:44" s="331" customFormat="1" ht="12" customHeight="1">
      <c r="A305" s="184"/>
      <c r="P305" s="403"/>
      <c r="X305" s="184"/>
      <c r="Y305" s="184"/>
      <c r="Z305" s="184"/>
      <c r="AA305" s="184"/>
      <c r="AB305" s="184"/>
      <c r="AC305" s="184"/>
      <c r="AD305" s="184"/>
      <c r="AE305" s="184"/>
      <c r="AF305" s="184"/>
      <c r="AG305" s="184"/>
      <c r="AH305" s="184"/>
      <c r="AI305" s="184"/>
      <c r="AJ305" s="184"/>
      <c r="AK305" s="184"/>
      <c r="AL305" s="184"/>
      <c r="AM305" s="184"/>
      <c r="AN305" s="184"/>
      <c r="AO305" s="184"/>
      <c r="AP305" s="184"/>
      <c r="AQ305" s="184"/>
      <c r="AR305" s="184"/>
    </row>
    <row r="306" spans="1:44" s="331" customFormat="1" ht="12" customHeight="1">
      <c r="A306" s="184"/>
      <c r="P306" s="403"/>
      <c r="X306" s="184"/>
      <c r="Y306" s="184"/>
      <c r="Z306" s="184"/>
      <c r="AA306" s="184"/>
      <c r="AB306" s="184"/>
      <c r="AC306" s="184"/>
      <c r="AD306" s="184"/>
      <c r="AE306" s="184"/>
      <c r="AF306" s="184"/>
      <c r="AG306" s="184"/>
      <c r="AH306" s="184"/>
      <c r="AI306" s="184"/>
      <c r="AJ306" s="184"/>
      <c r="AK306" s="184"/>
      <c r="AL306" s="184"/>
      <c r="AM306" s="184"/>
      <c r="AN306" s="184"/>
      <c r="AO306" s="184"/>
      <c r="AP306" s="184"/>
      <c r="AQ306" s="184"/>
      <c r="AR306" s="184"/>
    </row>
    <row r="307" spans="1:44" s="331" customFormat="1" ht="12" customHeight="1">
      <c r="A307" s="184"/>
      <c r="P307" s="277"/>
      <c r="X307" s="184"/>
      <c r="Y307" s="184"/>
      <c r="Z307" s="184"/>
      <c r="AA307" s="184"/>
      <c r="AB307" s="184"/>
      <c r="AC307" s="184"/>
      <c r="AD307" s="184"/>
      <c r="AE307" s="184"/>
      <c r="AF307" s="184"/>
      <c r="AG307" s="184"/>
      <c r="AH307" s="184"/>
      <c r="AI307" s="184"/>
      <c r="AJ307" s="184"/>
      <c r="AK307" s="184"/>
      <c r="AL307" s="184"/>
      <c r="AM307" s="184"/>
      <c r="AN307" s="184"/>
      <c r="AO307" s="184"/>
      <c r="AP307" s="184"/>
      <c r="AQ307" s="184"/>
      <c r="AR307" s="184"/>
    </row>
    <row r="308" spans="1:44" s="331" customFormat="1" ht="12" customHeight="1">
      <c r="A308" s="184"/>
      <c r="P308" s="277"/>
      <c r="X308" s="184"/>
      <c r="Y308" s="184"/>
      <c r="Z308" s="184"/>
      <c r="AA308" s="184"/>
      <c r="AB308" s="184"/>
      <c r="AC308" s="184"/>
      <c r="AD308" s="184"/>
      <c r="AE308" s="184"/>
      <c r="AF308" s="184"/>
      <c r="AG308" s="184"/>
      <c r="AH308" s="184"/>
      <c r="AI308" s="184"/>
      <c r="AJ308" s="184"/>
      <c r="AK308" s="184"/>
      <c r="AL308" s="184"/>
      <c r="AM308" s="184"/>
      <c r="AN308" s="184"/>
      <c r="AO308" s="184"/>
      <c r="AP308" s="184"/>
      <c r="AQ308" s="184"/>
      <c r="AR308" s="184"/>
    </row>
    <row r="309" spans="1:44" s="331" customFormat="1" ht="12" customHeight="1">
      <c r="A309" s="184"/>
      <c r="P309" s="277"/>
      <c r="X309" s="184"/>
      <c r="Y309" s="184"/>
      <c r="Z309" s="184"/>
      <c r="AA309" s="184"/>
      <c r="AB309" s="184"/>
      <c r="AC309" s="184"/>
      <c r="AD309" s="184"/>
      <c r="AE309" s="184"/>
      <c r="AF309" s="184"/>
      <c r="AG309" s="184"/>
      <c r="AH309" s="184"/>
      <c r="AI309" s="184"/>
      <c r="AJ309" s="184"/>
      <c r="AK309" s="184"/>
      <c r="AL309" s="184"/>
      <c r="AM309" s="184"/>
      <c r="AN309" s="184"/>
      <c r="AO309" s="184"/>
      <c r="AP309" s="184"/>
      <c r="AQ309" s="184"/>
      <c r="AR309" s="184"/>
    </row>
    <row r="310" spans="1:44" s="331" customFormat="1" ht="12" customHeight="1">
      <c r="A310" s="184"/>
      <c r="P310" s="277"/>
      <c r="X310" s="184"/>
      <c r="Y310" s="184"/>
      <c r="Z310" s="184"/>
      <c r="AA310" s="184"/>
      <c r="AB310" s="184"/>
      <c r="AC310" s="184"/>
      <c r="AD310" s="184"/>
      <c r="AE310" s="184"/>
      <c r="AF310" s="184"/>
      <c r="AG310" s="184"/>
      <c r="AH310" s="184"/>
      <c r="AI310" s="184"/>
      <c r="AJ310" s="184"/>
      <c r="AK310" s="184"/>
      <c r="AL310" s="184"/>
      <c r="AM310" s="184"/>
      <c r="AN310" s="184"/>
      <c r="AO310" s="184"/>
      <c r="AP310" s="184"/>
      <c r="AQ310" s="184"/>
      <c r="AR310" s="184"/>
    </row>
    <row r="311" spans="1:44" s="331" customFormat="1" ht="12" customHeight="1">
      <c r="A311" s="184"/>
      <c r="P311" s="277"/>
      <c r="X311" s="184"/>
      <c r="Y311" s="184"/>
      <c r="Z311" s="184"/>
      <c r="AA311" s="184"/>
      <c r="AB311" s="184"/>
      <c r="AC311" s="184"/>
      <c r="AD311" s="184"/>
      <c r="AE311" s="184"/>
      <c r="AF311" s="184"/>
      <c r="AG311" s="184"/>
      <c r="AH311" s="184"/>
      <c r="AI311" s="184"/>
      <c r="AJ311" s="184"/>
      <c r="AK311" s="184"/>
      <c r="AL311" s="184"/>
      <c r="AM311" s="184"/>
      <c r="AN311" s="184"/>
      <c r="AO311" s="184"/>
      <c r="AP311" s="184"/>
      <c r="AQ311" s="184"/>
      <c r="AR311" s="184"/>
    </row>
    <row r="312" spans="1:44" s="331" customFormat="1" ht="12" customHeight="1">
      <c r="A312" s="184"/>
      <c r="P312" s="277"/>
      <c r="X312" s="184"/>
      <c r="Y312" s="184"/>
      <c r="Z312" s="184"/>
      <c r="AA312" s="184"/>
      <c r="AB312" s="184"/>
      <c r="AC312" s="184"/>
      <c r="AD312" s="184"/>
      <c r="AE312" s="184"/>
      <c r="AF312" s="184"/>
      <c r="AG312" s="184"/>
      <c r="AH312" s="184"/>
      <c r="AI312" s="184"/>
      <c r="AJ312" s="184"/>
      <c r="AK312" s="184"/>
      <c r="AL312" s="184"/>
      <c r="AM312" s="184"/>
      <c r="AN312" s="184"/>
      <c r="AO312" s="184"/>
      <c r="AP312" s="184"/>
      <c r="AQ312" s="184"/>
      <c r="AR312" s="184"/>
    </row>
    <row r="313" spans="1:44" s="331" customFormat="1" ht="12" customHeight="1">
      <c r="A313" s="184"/>
      <c r="P313" s="277"/>
      <c r="X313" s="184"/>
      <c r="Y313" s="184"/>
      <c r="Z313" s="184"/>
      <c r="AA313" s="184"/>
      <c r="AB313" s="184"/>
      <c r="AC313" s="184"/>
      <c r="AD313" s="184"/>
      <c r="AE313" s="184"/>
      <c r="AF313" s="184"/>
      <c r="AG313" s="184"/>
      <c r="AH313" s="184"/>
      <c r="AI313" s="184"/>
      <c r="AJ313" s="184"/>
      <c r="AK313" s="184"/>
      <c r="AL313" s="184"/>
      <c r="AM313" s="184"/>
      <c r="AN313" s="184"/>
      <c r="AO313" s="184"/>
      <c r="AP313" s="184"/>
      <c r="AQ313" s="184"/>
      <c r="AR313" s="184"/>
    </row>
    <row r="314" spans="1:44" s="331" customFormat="1" ht="12" customHeight="1">
      <c r="A314" s="184"/>
      <c r="P314" s="277"/>
      <c r="X314" s="184"/>
      <c r="Y314" s="184"/>
      <c r="Z314" s="184"/>
      <c r="AA314" s="184"/>
      <c r="AB314" s="184"/>
      <c r="AC314" s="184"/>
      <c r="AD314" s="184"/>
      <c r="AE314" s="184"/>
      <c r="AF314" s="184"/>
      <c r="AG314" s="184"/>
      <c r="AH314" s="184"/>
      <c r="AI314" s="184"/>
      <c r="AJ314" s="184"/>
      <c r="AK314" s="184"/>
      <c r="AL314" s="184"/>
      <c r="AM314" s="184"/>
      <c r="AN314" s="184"/>
      <c r="AO314" s="184"/>
      <c r="AP314" s="184"/>
      <c r="AQ314" s="184"/>
      <c r="AR314" s="184"/>
    </row>
    <row r="315" spans="1:44" s="331" customFormat="1" ht="12" customHeight="1">
      <c r="A315" s="184"/>
      <c r="P315" s="277"/>
      <c r="X315" s="184"/>
      <c r="Y315" s="184"/>
      <c r="Z315" s="184"/>
      <c r="AA315" s="184"/>
      <c r="AB315" s="184"/>
      <c r="AC315" s="184"/>
      <c r="AD315" s="184"/>
      <c r="AE315" s="184"/>
      <c r="AF315" s="184"/>
      <c r="AG315" s="184"/>
      <c r="AH315" s="184"/>
      <c r="AI315" s="184"/>
      <c r="AJ315" s="184"/>
      <c r="AK315" s="184"/>
      <c r="AL315" s="184"/>
      <c r="AM315" s="184"/>
      <c r="AN315" s="184"/>
      <c r="AO315" s="184"/>
      <c r="AP315" s="184"/>
      <c r="AQ315" s="184"/>
      <c r="AR315" s="184"/>
    </row>
    <row r="316" spans="1:44" s="331" customFormat="1" ht="12" customHeight="1">
      <c r="A316" s="184"/>
      <c r="P316" s="277"/>
      <c r="X316" s="184"/>
      <c r="Y316" s="184"/>
      <c r="Z316" s="184"/>
      <c r="AA316" s="184"/>
      <c r="AB316" s="184"/>
      <c r="AC316" s="184"/>
      <c r="AD316" s="184"/>
      <c r="AE316" s="184"/>
      <c r="AF316" s="184"/>
      <c r="AG316" s="184"/>
      <c r="AH316" s="184"/>
      <c r="AI316" s="184"/>
      <c r="AJ316" s="184"/>
      <c r="AK316" s="184"/>
      <c r="AL316" s="184"/>
      <c r="AM316" s="184"/>
      <c r="AN316" s="184"/>
      <c r="AO316" s="184"/>
      <c r="AP316" s="184"/>
      <c r="AQ316" s="184"/>
      <c r="AR316" s="184"/>
    </row>
    <row r="317" spans="1:44" s="331" customFormat="1" ht="12" customHeight="1">
      <c r="A317" s="184"/>
      <c r="P317" s="277"/>
      <c r="X317" s="184"/>
      <c r="Y317" s="184"/>
      <c r="Z317" s="184"/>
      <c r="AA317" s="184"/>
      <c r="AB317" s="184"/>
      <c r="AC317" s="184"/>
      <c r="AD317" s="184"/>
      <c r="AE317" s="184"/>
      <c r="AF317" s="184"/>
      <c r="AG317" s="184"/>
      <c r="AH317" s="184"/>
      <c r="AI317" s="184"/>
      <c r="AJ317" s="184"/>
      <c r="AK317" s="184"/>
      <c r="AL317" s="184"/>
      <c r="AM317" s="184"/>
      <c r="AN317" s="184"/>
      <c r="AO317" s="184"/>
      <c r="AP317" s="184"/>
      <c r="AQ317" s="184"/>
      <c r="AR317" s="184"/>
    </row>
    <row r="318" spans="1:44" s="331" customFormat="1" ht="12" customHeight="1">
      <c r="A318" s="184"/>
      <c r="P318" s="277"/>
      <c r="X318" s="184"/>
      <c r="Y318" s="184"/>
      <c r="Z318" s="184"/>
      <c r="AA318" s="184"/>
      <c r="AB318" s="184"/>
      <c r="AC318" s="184"/>
      <c r="AD318" s="184"/>
      <c r="AE318" s="184"/>
      <c r="AF318" s="184"/>
      <c r="AG318" s="184"/>
      <c r="AH318" s="184"/>
      <c r="AI318" s="184"/>
      <c r="AJ318" s="184"/>
      <c r="AK318" s="184"/>
      <c r="AL318" s="184"/>
      <c r="AM318" s="184"/>
      <c r="AN318" s="184"/>
      <c r="AO318" s="184"/>
      <c r="AP318" s="184"/>
      <c r="AQ318" s="184"/>
      <c r="AR318" s="184"/>
    </row>
    <row r="319" spans="1:44" s="331" customFormat="1" ht="12" customHeight="1">
      <c r="A319" s="184"/>
      <c r="P319" s="277"/>
      <c r="X319" s="184"/>
      <c r="Y319" s="184"/>
      <c r="Z319" s="184"/>
      <c r="AA319" s="184"/>
      <c r="AB319" s="184"/>
      <c r="AC319" s="184"/>
      <c r="AD319" s="184"/>
      <c r="AE319" s="184"/>
      <c r="AF319" s="184"/>
      <c r="AG319" s="184"/>
      <c r="AH319" s="184"/>
      <c r="AI319" s="184"/>
      <c r="AJ319" s="184"/>
      <c r="AK319" s="184"/>
      <c r="AL319" s="184"/>
      <c r="AM319" s="184"/>
      <c r="AN319" s="184"/>
      <c r="AO319" s="184"/>
      <c r="AP319" s="184"/>
      <c r="AQ319" s="184"/>
      <c r="AR319" s="184"/>
    </row>
    <row r="320" spans="1:44" s="331" customFormat="1" ht="12" customHeight="1">
      <c r="A320" s="184"/>
      <c r="P320" s="277"/>
      <c r="X320" s="184"/>
      <c r="Y320" s="184"/>
      <c r="Z320" s="184"/>
      <c r="AA320" s="184"/>
      <c r="AB320" s="184"/>
      <c r="AC320" s="184"/>
      <c r="AD320" s="184"/>
      <c r="AE320" s="184"/>
      <c r="AF320" s="184"/>
      <c r="AG320" s="184"/>
      <c r="AH320" s="184"/>
      <c r="AI320" s="184"/>
      <c r="AJ320" s="184"/>
      <c r="AK320" s="184"/>
      <c r="AL320" s="184"/>
      <c r="AM320" s="184"/>
      <c r="AN320" s="184"/>
      <c r="AO320" s="184"/>
      <c r="AP320" s="184"/>
      <c r="AQ320" s="184"/>
      <c r="AR320" s="184"/>
    </row>
    <row r="321" spans="1:44" s="331" customFormat="1" ht="12" customHeight="1">
      <c r="A321" s="184"/>
      <c r="P321" s="403"/>
      <c r="X321" s="184"/>
      <c r="Y321" s="184"/>
      <c r="Z321" s="184"/>
      <c r="AA321" s="184"/>
      <c r="AB321" s="184"/>
      <c r="AC321" s="184"/>
      <c r="AD321" s="184"/>
      <c r="AE321" s="184"/>
      <c r="AF321" s="184"/>
      <c r="AG321" s="184"/>
      <c r="AH321" s="184"/>
      <c r="AI321" s="184"/>
      <c r="AJ321" s="184"/>
      <c r="AK321" s="184"/>
      <c r="AL321" s="184"/>
      <c r="AM321" s="184"/>
      <c r="AN321" s="184"/>
      <c r="AO321" s="184"/>
      <c r="AP321" s="184"/>
      <c r="AQ321" s="184"/>
      <c r="AR321" s="184"/>
    </row>
    <row r="322" spans="1:44" s="331" customFormat="1" ht="12" customHeight="1">
      <c r="A322" s="184"/>
      <c r="P322" s="403"/>
      <c r="X322" s="184"/>
      <c r="Y322" s="184"/>
      <c r="Z322" s="184"/>
      <c r="AA322" s="184"/>
      <c r="AB322" s="184"/>
      <c r="AC322" s="184"/>
      <c r="AD322" s="184"/>
      <c r="AE322" s="184"/>
      <c r="AF322" s="184"/>
      <c r="AG322" s="184"/>
      <c r="AH322" s="184"/>
      <c r="AI322" s="184"/>
      <c r="AJ322" s="184"/>
      <c r="AK322" s="184"/>
      <c r="AL322" s="184"/>
      <c r="AM322" s="184"/>
      <c r="AN322" s="184"/>
      <c r="AO322" s="184"/>
      <c r="AP322" s="184"/>
      <c r="AQ322" s="184"/>
      <c r="AR322" s="184"/>
    </row>
    <row r="323" spans="1:44" s="331" customFormat="1" ht="12" customHeight="1">
      <c r="A323" s="184"/>
      <c r="P323" s="403"/>
      <c r="X323" s="184"/>
      <c r="Y323" s="184"/>
      <c r="Z323" s="184"/>
      <c r="AA323" s="184"/>
      <c r="AB323" s="184"/>
      <c r="AC323" s="184"/>
      <c r="AD323" s="184"/>
      <c r="AE323" s="184"/>
      <c r="AF323" s="184"/>
      <c r="AG323" s="184"/>
      <c r="AH323" s="184"/>
      <c r="AI323" s="184"/>
      <c r="AJ323" s="184"/>
      <c r="AK323" s="184"/>
      <c r="AL323" s="184"/>
      <c r="AM323" s="184"/>
      <c r="AN323" s="184"/>
      <c r="AO323" s="184"/>
      <c r="AP323" s="184"/>
      <c r="AQ323" s="184"/>
      <c r="AR323" s="184"/>
    </row>
    <row r="324" spans="1:44" s="331" customFormat="1" ht="12" customHeight="1">
      <c r="A324" s="184"/>
      <c r="P324" s="277"/>
      <c r="X324" s="184"/>
      <c r="Y324" s="184"/>
      <c r="Z324" s="184"/>
      <c r="AA324" s="184"/>
      <c r="AB324" s="184"/>
      <c r="AC324" s="184"/>
      <c r="AD324" s="184"/>
      <c r="AE324" s="184"/>
      <c r="AF324" s="184"/>
      <c r="AG324" s="184"/>
      <c r="AH324" s="184"/>
      <c r="AI324" s="184"/>
      <c r="AJ324" s="184"/>
      <c r="AK324" s="184"/>
      <c r="AL324" s="184"/>
      <c r="AM324" s="184"/>
      <c r="AN324" s="184"/>
      <c r="AO324" s="184"/>
      <c r="AP324" s="184"/>
      <c r="AQ324" s="184"/>
      <c r="AR324" s="184"/>
    </row>
    <row r="325" spans="1:44" s="331" customFormat="1" ht="12" customHeight="1">
      <c r="A325" s="184"/>
      <c r="P325" s="277"/>
      <c r="X325" s="184"/>
      <c r="Y325" s="184"/>
      <c r="Z325" s="184"/>
      <c r="AA325" s="184"/>
      <c r="AB325" s="184"/>
      <c r="AC325" s="184"/>
      <c r="AD325" s="184"/>
      <c r="AE325" s="184"/>
      <c r="AF325" s="184"/>
      <c r="AG325" s="184"/>
      <c r="AH325" s="184"/>
      <c r="AI325" s="184"/>
      <c r="AJ325" s="184"/>
      <c r="AK325" s="184"/>
      <c r="AL325" s="184"/>
      <c r="AM325" s="184"/>
      <c r="AN325" s="184"/>
      <c r="AO325" s="184"/>
      <c r="AP325" s="184"/>
      <c r="AQ325" s="184"/>
      <c r="AR325" s="184"/>
    </row>
    <row r="326" spans="1:44" s="331" customFormat="1" ht="12" customHeight="1">
      <c r="A326" s="184"/>
      <c r="P326" s="403"/>
      <c r="X326" s="184"/>
      <c r="Y326" s="184"/>
      <c r="Z326" s="184"/>
      <c r="AA326" s="184"/>
      <c r="AB326" s="184"/>
      <c r="AC326" s="184"/>
      <c r="AD326" s="184"/>
      <c r="AE326" s="184"/>
      <c r="AF326" s="184"/>
      <c r="AG326" s="184"/>
      <c r="AH326" s="184"/>
      <c r="AI326" s="184"/>
      <c r="AJ326" s="184"/>
      <c r="AK326" s="184"/>
      <c r="AL326" s="184"/>
      <c r="AM326" s="184"/>
      <c r="AN326" s="184"/>
      <c r="AO326" s="184"/>
      <c r="AP326" s="184"/>
      <c r="AQ326" s="184"/>
      <c r="AR326" s="184"/>
    </row>
    <row r="327" spans="1:44" s="331" customFormat="1" ht="12" customHeight="1">
      <c r="A327" s="184"/>
      <c r="P327" s="277"/>
      <c r="X327" s="184"/>
      <c r="Y327" s="184"/>
      <c r="Z327" s="184"/>
      <c r="AA327" s="184"/>
      <c r="AB327" s="184"/>
      <c r="AC327" s="184"/>
      <c r="AD327" s="184"/>
      <c r="AE327" s="184"/>
      <c r="AF327" s="184"/>
      <c r="AG327" s="184"/>
      <c r="AH327" s="184"/>
      <c r="AI327" s="184"/>
      <c r="AJ327" s="184"/>
      <c r="AK327" s="184"/>
      <c r="AL327" s="184"/>
      <c r="AM327" s="184"/>
      <c r="AN327" s="184"/>
      <c r="AO327" s="184"/>
      <c r="AP327" s="184"/>
      <c r="AQ327" s="184"/>
      <c r="AR327" s="184"/>
    </row>
    <row r="328" spans="1:44" s="331" customFormat="1" ht="12" customHeight="1">
      <c r="A328" s="184"/>
      <c r="P328" s="277"/>
      <c r="X328" s="184"/>
      <c r="Y328" s="184"/>
      <c r="Z328" s="184"/>
      <c r="AA328" s="184"/>
      <c r="AB328" s="184"/>
      <c r="AC328" s="184"/>
      <c r="AD328" s="184"/>
      <c r="AE328" s="184"/>
      <c r="AF328" s="184"/>
      <c r="AG328" s="184"/>
      <c r="AH328" s="184"/>
      <c r="AI328" s="184"/>
      <c r="AJ328" s="184"/>
      <c r="AK328" s="184"/>
      <c r="AL328" s="184"/>
      <c r="AM328" s="184"/>
      <c r="AN328" s="184"/>
      <c r="AO328" s="184"/>
      <c r="AP328" s="184"/>
      <c r="AQ328" s="184"/>
      <c r="AR328" s="184"/>
    </row>
    <row r="329" spans="1:44" s="331" customFormat="1" ht="12" customHeight="1">
      <c r="A329" s="184"/>
      <c r="P329" s="277"/>
      <c r="X329" s="184"/>
      <c r="Y329" s="184"/>
      <c r="Z329" s="184"/>
      <c r="AA329" s="184"/>
      <c r="AB329" s="184"/>
      <c r="AC329" s="184"/>
      <c r="AD329" s="184"/>
      <c r="AE329" s="184"/>
      <c r="AF329" s="184"/>
      <c r="AG329" s="184"/>
      <c r="AH329" s="184"/>
      <c r="AI329" s="184"/>
      <c r="AJ329" s="184"/>
      <c r="AK329" s="184"/>
      <c r="AL329" s="184"/>
      <c r="AM329" s="184"/>
      <c r="AN329" s="184"/>
      <c r="AO329" s="184"/>
      <c r="AP329" s="184"/>
      <c r="AQ329" s="184"/>
      <c r="AR329" s="184"/>
    </row>
    <row r="330" spans="1:44" s="331" customFormat="1" ht="12" customHeight="1">
      <c r="A330" s="184"/>
      <c r="P330" s="277"/>
      <c r="X330" s="184"/>
      <c r="Y330" s="184"/>
      <c r="Z330" s="184"/>
      <c r="AA330" s="184"/>
      <c r="AB330" s="184"/>
      <c r="AC330" s="184"/>
      <c r="AD330" s="184"/>
      <c r="AE330" s="184"/>
      <c r="AF330" s="184"/>
      <c r="AG330" s="184"/>
      <c r="AH330" s="184"/>
      <c r="AI330" s="184"/>
      <c r="AJ330" s="184"/>
      <c r="AK330" s="184"/>
      <c r="AL330" s="184"/>
      <c r="AM330" s="184"/>
      <c r="AN330" s="184"/>
      <c r="AO330" s="184"/>
      <c r="AP330" s="184"/>
      <c r="AQ330" s="184"/>
      <c r="AR330" s="184"/>
    </row>
    <row r="331" spans="1:44" s="331" customFormat="1" ht="12" customHeight="1">
      <c r="A331" s="184"/>
      <c r="P331" s="277"/>
      <c r="X331" s="184"/>
      <c r="Y331" s="184"/>
      <c r="Z331" s="184"/>
      <c r="AA331" s="184"/>
      <c r="AB331" s="184"/>
      <c r="AC331" s="184"/>
      <c r="AD331" s="184"/>
      <c r="AE331" s="184"/>
      <c r="AF331" s="184"/>
      <c r="AG331" s="184"/>
      <c r="AH331" s="184"/>
      <c r="AI331" s="184"/>
      <c r="AJ331" s="184"/>
      <c r="AK331" s="184"/>
      <c r="AL331" s="184"/>
      <c r="AM331" s="184"/>
      <c r="AN331" s="184"/>
      <c r="AO331" s="184"/>
      <c r="AP331" s="184"/>
      <c r="AQ331" s="184"/>
      <c r="AR331" s="184"/>
    </row>
    <row r="332" spans="1:44" s="331" customFormat="1" ht="12" customHeight="1">
      <c r="A332" s="184"/>
      <c r="P332" s="277"/>
      <c r="X332" s="184"/>
      <c r="Y332" s="184"/>
      <c r="Z332" s="184"/>
      <c r="AA332" s="184"/>
      <c r="AB332" s="184"/>
      <c r="AC332" s="184"/>
      <c r="AD332" s="184"/>
      <c r="AE332" s="184"/>
      <c r="AF332" s="184"/>
      <c r="AG332" s="184"/>
      <c r="AH332" s="184"/>
      <c r="AI332" s="184"/>
      <c r="AJ332" s="184"/>
      <c r="AK332" s="184"/>
      <c r="AL332" s="184"/>
      <c r="AM332" s="184"/>
      <c r="AN332" s="184"/>
      <c r="AO332" s="184"/>
      <c r="AP332" s="184"/>
      <c r="AQ332" s="184"/>
      <c r="AR332" s="184"/>
    </row>
    <row r="333" spans="1:44" s="331" customFormat="1" ht="12" customHeight="1">
      <c r="A333" s="184"/>
      <c r="P333" s="277"/>
      <c r="X333" s="184"/>
      <c r="Y333" s="184"/>
      <c r="Z333" s="184"/>
      <c r="AA333" s="184"/>
      <c r="AB333" s="184"/>
      <c r="AC333" s="184"/>
      <c r="AD333" s="184"/>
      <c r="AE333" s="184"/>
      <c r="AF333" s="184"/>
      <c r="AG333" s="184"/>
      <c r="AH333" s="184"/>
      <c r="AI333" s="184"/>
      <c r="AJ333" s="184"/>
      <c r="AK333" s="184"/>
      <c r="AL333" s="184"/>
      <c r="AM333" s="184"/>
      <c r="AN333" s="184"/>
      <c r="AO333" s="184"/>
      <c r="AP333" s="184"/>
      <c r="AQ333" s="184"/>
      <c r="AR333" s="184"/>
    </row>
    <row r="334" spans="1:44" s="331" customFormat="1" ht="12" customHeight="1">
      <c r="A334" s="184"/>
      <c r="P334" s="277"/>
      <c r="X334" s="184"/>
      <c r="Y334" s="184"/>
      <c r="Z334" s="184"/>
      <c r="AA334" s="184"/>
      <c r="AB334" s="184"/>
      <c r="AC334" s="184"/>
      <c r="AD334" s="184"/>
      <c r="AE334" s="184"/>
      <c r="AF334" s="184"/>
      <c r="AG334" s="184"/>
      <c r="AH334" s="184"/>
      <c r="AI334" s="184"/>
      <c r="AJ334" s="184"/>
      <c r="AK334" s="184"/>
      <c r="AL334" s="184"/>
      <c r="AM334" s="184"/>
      <c r="AN334" s="184"/>
      <c r="AO334" s="184"/>
      <c r="AP334" s="184"/>
      <c r="AQ334" s="184"/>
      <c r="AR334" s="184"/>
    </row>
    <row r="335" spans="1:44" s="331" customFormat="1" ht="12" customHeight="1">
      <c r="A335" s="184"/>
      <c r="P335" s="277"/>
      <c r="X335" s="184"/>
      <c r="Y335" s="184"/>
      <c r="Z335" s="184"/>
      <c r="AA335" s="184"/>
      <c r="AB335" s="184"/>
      <c r="AC335" s="184"/>
      <c r="AD335" s="184"/>
      <c r="AE335" s="184"/>
      <c r="AF335" s="184"/>
      <c r="AG335" s="184"/>
      <c r="AH335" s="184"/>
      <c r="AI335" s="184"/>
      <c r="AJ335" s="184"/>
      <c r="AK335" s="184"/>
      <c r="AL335" s="184"/>
      <c r="AM335" s="184"/>
      <c r="AN335" s="184"/>
      <c r="AO335" s="184"/>
      <c r="AP335" s="184"/>
      <c r="AQ335" s="184"/>
      <c r="AR335" s="184"/>
    </row>
    <row r="336" spans="1:44" s="331" customFormat="1" ht="12" customHeight="1">
      <c r="A336" s="184"/>
      <c r="P336" s="277"/>
      <c r="X336" s="184"/>
      <c r="Y336" s="184"/>
      <c r="Z336" s="184"/>
      <c r="AA336" s="184"/>
      <c r="AB336" s="184"/>
      <c r="AC336" s="184"/>
      <c r="AD336" s="184"/>
      <c r="AE336" s="184"/>
      <c r="AF336" s="184"/>
      <c r="AG336" s="184"/>
      <c r="AH336" s="184"/>
      <c r="AI336" s="184"/>
      <c r="AJ336" s="184"/>
      <c r="AK336" s="184"/>
      <c r="AL336" s="184"/>
      <c r="AM336" s="184"/>
      <c r="AN336" s="184"/>
      <c r="AO336" s="184"/>
      <c r="AP336" s="184"/>
      <c r="AQ336" s="184"/>
      <c r="AR336" s="184"/>
    </row>
    <row r="337" spans="1:44" s="331" customFormat="1" ht="12" customHeight="1">
      <c r="A337" s="184"/>
      <c r="P337" s="277"/>
      <c r="X337" s="184"/>
      <c r="Y337" s="184"/>
      <c r="Z337" s="184"/>
      <c r="AA337" s="184"/>
      <c r="AB337" s="184"/>
      <c r="AC337" s="184"/>
      <c r="AD337" s="184"/>
      <c r="AE337" s="184"/>
      <c r="AF337" s="184"/>
      <c r="AG337" s="184"/>
      <c r="AH337" s="184"/>
      <c r="AI337" s="184"/>
      <c r="AJ337" s="184"/>
      <c r="AK337" s="184"/>
      <c r="AL337" s="184"/>
      <c r="AM337" s="184"/>
      <c r="AN337" s="184"/>
      <c r="AO337" s="184"/>
      <c r="AP337" s="184"/>
      <c r="AQ337" s="184"/>
      <c r="AR337" s="184"/>
    </row>
    <row r="338" spans="1:44" s="331" customFormat="1" ht="12" customHeight="1">
      <c r="A338" s="184"/>
      <c r="P338" s="403"/>
      <c r="X338" s="184"/>
      <c r="Y338" s="184"/>
      <c r="Z338" s="184"/>
      <c r="AA338" s="184"/>
      <c r="AB338" s="184"/>
      <c r="AC338" s="184"/>
      <c r="AD338" s="184"/>
      <c r="AE338" s="184"/>
      <c r="AF338" s="184"/>
      <c r="AG338" s="184"/>
      <c r="AH338" s="184"/>
      <c r="AI338" s="184"/>
      <c r="AJ338" s="184"/>
      <c r="AK338" s="184"/>
      <c r="AL338" s="184"/>
      <c r="AM338" s="184"/>
      <c r="AN338" s="184"/>
      <c r="AO338" s="184"/>
      <c r="AP338" s="184"/>
      <c r="AQ338" s="184"/>
      <c r="AR338" s="184"/>
    </row>
    <row r="339" spans="1:44" s="331" customFormat="1" ht="12" customHeight="1">
      <c r="A339" s="184"/>
      <c r="P339" s="277"/>
      <c r="X339" s="184"/>
      <c r="Y339" s="184"/>
      <c r="Z339" s="184"/>
      <c r="AA339" s="184"/>
      <c r="AB339" s="184"/>
      <c r="AC339" s="184"/>
      <c r="AD339" s="184"/>
      <c r="AE339" s="184"/>
      <c r="AF339" s="184"/>
      <c r="AG339" s="184"/>
      <c r="AH339" s="184"/>
      <c r="AI339" s="184"/>
      <c r="AJ339" s="184"/>
      <c r="AK339" s="184"/>
      <c r="AL339" s="184"/>
      <c r="AM339" s="184"/>
      <c r="AN339" s="184"/>
      <c r="AO339" s="184"/>
      <c r="AP339" s="184"/>
      <c r="AQ339" s="184"/>
      <c r="AR339" s="184"/>
    </row>
    <row r="340" spans="1:44" s="331" customFormat="1" ht="12" customHeight="1">
      <c r="A340" s="184"/>
      <c r="P340" s="277"/>
      <c r="X340" s="184"/>
      <c r="Y340" s="184"/>
      <c r="Z340" s="184"/>
      <c r="AA340" s="184"/>
      <c r="AB340" s="184"/>
      <c r="AC340" s="184"/>
      <c r="AD340" s="184"/>
      <c r="AE340" s="184"/>
      <c r="AF340" s="184"/>
      <c r="AG340" s="184"/>
      <c r="AH340" s="184"/>
      <c r="AI340" s="184"/>
      <c r="AJ340" s="184"/>
      <c r="AK340" s="184"/>
      <c r="AL340" s="184"/>
      <c r="AM340" s="184"/>
      <c r="AN340" s="184"/>
      <c r="AO340" s="184"/>
      <c r="AP340" s="184"/>
      <c r="AQ340" s="184"/>
      <c r="AR340" s="184"/>
    </row>
    <row r="341" spans="1:44" s="331" customFormat="1" ht="12" customHeight="1">
      <c r="A341" s="184"/>
      <c r="P341" s="277"/>
      <c r="X341" s="184"/>
      <c r="Y341" s="184"/>
      <c r="Z341" s="184"/>
      <c r="AA341" s="184"/>
      <c r="AB341" s="184"/>
      <c r="AC341" s="184"/>
      <c r="AD341" s="184"/>
      <c r="AE341" s="184"/>
      <c r="AF341" s="184"/>
      <c r="AG341" s="184"/>
      <c r="AH341" s="184"/>
      <c r="AI341" s="184"/>
      <c r="AJ341" s="184"/>
      <c r="AK341" s="184"/>
      <c r="AL341" s="184"/>
      <c r="AM341" s="184"/>
      <c r="AN341" s="184"/>
      <c r="AO341" s="184"/>
      <c r="AP341" s="184"/>
      <c r="AQ341" s="184"/>
      <c r="AR341" s="184"/>
    </row>
    <row r="342" spans="1:44" s="331" customFormat="1" ht="12" customHeight="1">
      <c r="A342" s="184"/>
      <c r="P342" s="277"/>
      <c r="X342" s="184"/>
      <c r="Y342" s="184"/>
      <c r="Z342" s="184"/>
      <c r="AA342" s="184"/>
      <c r="AB342" s="184"/>
      <c r="AC342" s="184"/>
      <c r="AD342" s="184"/>
      <c r="AE342" s="184"/>
      <c r="AF342" s="184"/>
      <c r="AG342" s="184"/>
      <c r="AH342" s="184"/>
      <c r="AI342" s="184"/>
      <c r="AJ342" s="184"/>
      <c r="AK342" s="184"/>
      <c r="AL342" s="184"/>
      <c r="AM342" s="184"/>
      <c r="AN342" s="184"/>
      <c r="AO342" s="184"/>
      <c r="AP342" s="184"/>
      <c r="AQ342" s="184"/>
      <c r="AR342" s="184"/>
    </row>
    <row r="343" spans="1:44" s="331" customFormat="1" ht="12" customHeight="1">
      <c r="A343" s="184"/>
      <c r="P343" s="277"/>
      <c r="X343" s="184"/>
      <c r="Y343" s="184"/>
      <c r="Z343" s="184"/>
      <c r="AA343" s="184"/>
      <c r="AB343" s="184"/>
      <c r="AC343" s="184"/>
      <c r="AD343" s="184"/>
      <c r="AE343" s="184"/>
      <c r="AF343" s="184"/>
      <c r="AG343" s="184"/>
      <c r="AH343" s="184"/>
      <c r="AI343" s="184"/>
      <c r="AJ343" s="184"/>
      <c r="AK343" s="184"/>
      <c r="AL343" s="184"/>
      <c r="AM343" s="184"/>
      <c r="AN343" s="184"/>
      <c r="AO343" s="184"/>
      <c r="AP343" s="184"/>
      <c r="AQ343" s="184"/>
      <c r="AR343" s="184"/>
    </row>
    <row r="344" spans="1:44" s="331" customFormat="1" ht="12" customHeight="1">
      <c r="A344" s="184"/>
      <c r="P344" s="277"/>
      <c r="X344" s="184"/>
      <c r="Y344" s="184"/>
      <c r="Z344" s="184"/>
      <c r="AA344" s="184"/>
      <c r="AB344" s="184"/>
      <c r="AC344" s="184"/>
      <c r="AD344" s="184"/>
      <c r="AE344" s="184"/>
      <c r="AF344" s="184"/>
      <c r="AG344" s="184"/>
      <c r="AH344" s="184"/>
      <c r="AI344" s="184"/>
      <c r="AJ344" s="184"/>
      <c r="AK344" s="184"/>
      <c r="AL344" s="184"/>
      <c r="AM344" s="184"/>
      <c r="AN344" s="184"/>
      <c r="AO344" s="184"/>
      <c r="AP344" s="184"/>
      <c r="AQ344" s="184"/>
      <c r="AR344" s="184"/>
    </row>
    <row r="345" spans="1:44" s="331" customFormat="1" ht="12" customHeight="1">
      <c r="A345" s="184"/>
      <c r="P345" s="277"/>
      <c r="X345" s="184"/>
      <c r="Y345" s="184"/>
      <c r="Z345" s="184"/>
      <c r="AA345" s="184"/>
      <c r="AB345" s="184"/>
      <c r="AC345" s="184"/>
      <c r="AD345" s="184"/>
      <c r="AE345" s="184"/>
      <c r="AF345" s="184"/>
      <c r="AG345" s="184"/>
      <c r="AH345" s="184"/>
      <c r="AI345" s="184"/>
      <c r="AJ345" s="184"/>
      <c r="AK345" s="184"/>
      <c r="AL345" s="184"/>
      <c r="AM345" s="184"/>
      <c r="AN345" s="184"/>
      <c r="AO345" s="184"/>
      <c r="AP345" s="184"/>
      <c r="AQ345" s="184"/>
      <c r="AR345" s="184"/>
    </row>
    <row r="346" spans="1:44" s="331" customFormat="1" ht="12" customHeight="1">
      <c r="A346" s="184"/>
      <c r="P346" s="277"/>
      <c r="X346" s="184"/>
      <c r="Y346" s="184"/>
      <c r="Z346" s="184"/>
      <c r="AA346" s="184"/>
      <c r="AB346" s="184"/>
      <c r="AC346" s="184"/>
      <c r="AD346" s="184"/>
      <c r="AE346" s="184"/>
      <c r="AF346" s="184"/>
      <c r="AG346" s="184"/>
      <c r="AH346" s="184"/>
      <c r="AI346" s="184"/>
      <c r="AJ346" s="184"/>
      <c r="AK346" s="184"/>
      <c r="AL346" s="184"/>
      <c r="AM346" s="184"/>
      <c r="AN346" s="184"/>
      <c r="AO346" s="184"/>
      <c r="AP346" s="184"/>
      <c r="AQ346" s="184"/>
      <c r="AR346" s="184"/>
    </row>
    <row r="347" spans="1:44" s="331" customFormat="1" ht="12" customHeight="1">
      <c r="A347" s="184"/>
      <c r="P347" s="277"/>
      <c r="X347" s="184"/>
      <c r="Y347" s="184"/>
      <c r="Z347" s="184"/>
      <c r="AA347" s="184"/>
      <c r="AB347" s="184"/>
      <c r="AC347" s="184"/>
      <c r="AD347" s="184"/>
      <c r="AE347" s="184"/>
      <c r="AF347" s="184"/>
      <c r="AG347" s="184"/>
      <c r="AH347" s="184"/>
      <c r="AI347" s="184"/>
      <c r="AJ347" s="184"/>
      <c r="AK347" s="184"/>
      <c r="AL347" s="184"/>
      <c r="AM347" s="184"/>
      <c r="AN347" s="184"/>
      <c r="AO347" s="184"/>
      <c r="AP347" s="184"/>
      <c r="AQ347" s="184"/>
      <c r="AR347" s="184"/>
    </row>
    <row r="348" spans="1:44" s="331" customFormat="1" ht="12" customHeight="1">
      <c r="A348" s="184"/>
      <c r="P348" s="402"/>
      <c r="X348" s="184"/>
      <c r="Y348" s="184"/>
      <c r="Z348" s="184"/>
      <c r="AA348" s="184"/>
      <c r="AB348" s="184"/>
      <c r="AC348" s="184"/>
      <c r="AD348" s="184"/>
      <c r="AE348" s="184"/>
      <c r="AF348" s="184"/>
      <c r="AG348" s="184"/>
      <c r="AH348" s="184"/>
      <c r="AI348" s="184"/>
      <c r="AJ348" s="184"/>
      <c r="AK348" s="184"/>
      <c r="AL348" s="184"/>
      <c r="AM348" s="184"/>
      <c r="AN348" s="184"/>
      <c r="AO348" s="184"/>
      <c r="AP348" s="184"/>
      <c r="AQ348" s="184"/>
      <c r="AR348" s="184"/>
    </row>
    <row r="349" spans="1:44" s="331" customFormat="1" ht="12" customHeight="1">
      <c r="A349" s="184"/>
      <c r="P349" s="277"/>
      <c r="X349" s="184"/>
      <c r="Y349" s="184"/>
      <c r="Z349" s="184"/>
      <c r="AA349" s="184"/>
      <c r="AB349" s="184"/>
      <c r="AC349" s="184"/>
      <c r="AD349" s="184"/>
      <c r="AE349" s="184"/>
      <c r="AF349" s="184"/>
      <c r="AG349" s="184"/>
      <c r="AH349" s="184"/>
      <c r="AI349" s="184"/>
      <c r="AJ349" s="184"/>
      <c r="AK349" s="184"/>
      <c r="AL349" s="184"/>
      <c r="AM349" s="184"/>
      <c r="AN349" s="184"/>
      <c r="AO349" s="184"/>
      <c r="AP349" s="184"/>
      <c r="AQ349" s="184"/>
      <c r="AR349" s="184"/>
    </row>
    <row r="350" spans="1:44" s="331" customFormat="1" ht="12" customHeight="1">
      <c r="A350" s="184"/>
      <c r="P350" s="277"/>
      <c r="X350" s="184"/>
      <c r="Y350" s="184"/>
      <c r="Z350" s="184"/>
      <c r="AA350" s="184"/>
      <c r="AB350" s="184"/>
      <c r="AC350" s="184"/>
      <c r="AD350" s="184"/>
      <c r="AE350" s="184"/>
      <c r="AF350" s="184"/>
      <c r="AG350" s="184"/>
      <c r="AH350" s="184"/>
      <c r="AI350" s="184"/>
      <c r="AJ350" s="184"/>
      <c r="AK350" s="184"/>
      <c r="AL350" s="184"/>
      <c r="AM350" s="184"/>
      <c r="AN350" s="184"/>
      <c r="AO350" s="184"/>
      <c r="AP350" s="184"/>
      <c r="AQ350" s="184"/>
      <c r="AR350" s="184"/>
    </row>
    <row r="351" spans="1:44" s="331" customFormat="1" ht="12" customHeight="1">
      <c r="A351" s="184"/>
      <c r="P351" s="277"/>
      <c r="X351" s="184"/>
      <c r="Y351" s="184"/>
      <c r="Z351" s="184"/>
      <c r="AA351" s="184"/>
      <c r="AB351" s="184"/>
      <c r="AC351" s="184"/>
      <c r="AD351" s="184"/>
      <c r="AE351" s="184"/>
      <c r="AF351" s="184"/>
      <c r="AG351" s="184"/>
      <c r="AH351" s="184"/>
      <c r="AI351" s="184"/>
      <c r="AJ351" s="184"/>
      <c r="AK351" s="184"/>
      <c r="AL351" s="184"/>
      <c r="AM351" s="184"/>
      <c r="AN351" s="184"/>
      <c r="AO351" s="184"/>
      <c r="AP351" s="184"/>
      <c r="AQ351" s="184"/>
      <c r="AR351" s="184"/>
    </row>
    <row r="352" spans="1:44" s="331" customFormat="1" ht="12" customHeight="1">
      <c r="A352" s="184"/>
      <c r="P352" s="277"/>
      <c r="X352" s="184"/>
      <c r="Y352" s="184"/>
      <c r="Z352" s="184"/>
      <c r="AA352" s="184"/>
      <c r="AB352" s="184"/>
      <c r="AC352" s="184"/>
      <c r="AD352" s="184"/>
      <c r="AE352" s="184"/>
      <c r="AF352" s="184"/>
      <c r="AG352" s="184"/>
      <c r="AH352" s="184"/>
      <c r="AI352" s="184"/>
      <c r="AJ352" s="184"/>
      <c r="AK352" s="184"/>
      <c r="AL352" s="184"/>
      <c r="AM352" s="184"/>
      <c r="AN352" s="184"/>
      <c r="AO352" s="184"/>
      <c r="AP352" s="184"/>
      <c r="AQ352" s="184"/>
      <c r="AR352" s="184"/>
    </row>
    <row r="353" spans="1:44" s="331" customFormat="1" ht="12" customHeight="1">
      <c r="A353" s="184"/>
      <c r="P353" s="277"/>
      <c r="X353" s="184"/>
      <c r="Y353" s="184"/>
      <c r="Z353" s="184"/>
      <c r="AA353" s="184"/>
      <c r="AB353" s="184"/>
      <c r="AC353" s="184"/>
      <c r="AD353" s="184"/>
      <c r="AE353" s="184"/>
      <c r="AF353" s="184"/>
      <c r="AG353" s="184"/>
      <c r="AH353" s="184"/>
      <c r="AI353" s="184"/>
      <c r="AJ353" s="184"/>
      <c r="AK353" s="184"/>
      <c r="AL353" s="184"/>
      <c r="AM353" s="184"/>
      <c r="AN353" s="184"/>
      <c r="AO353" s="184"/>
      <c r="AP353" s="184"/>
      <c r="AQ353" s="184"/>
      <c r="AR353" s="184"/>
    </row>
    <row r="354" spans="1:44" s="331" customFormat="1" ht="12" customHeight="1">
      <c r="A354" s="184"/>
      <c r="P354" s="277"/>
      <c r="X354" s="184"/>
      <c r="Y354" s="184"/>
      <c r="Z354" s="184"/>
      <c r="AA354" s="184"/>
      <c r="AB354" s="184"/>
      <c r="AC354" s="184"/>
      <c r="AD354" s="184"/>
      <c r="AE354" s="184"/>
      <c r="AF354" s="184"/>
      <c r="AG354" s="184"/>
      <c r="AH354" s="184"/>
      <c r="AI354" s="184"/>
      <c r="AJ354" s="184"/>
      <c r="AK354" s="184"/>
      <c r="AL354" s="184"/>
      <c r="AM354" s="184"/>
      <c r="AN354" s="184"/>
      <c r="AO354" s="184"/>
      <c r="AP354" s="184"/>
      <c r="AQ354" s="184"/>
      <c r="AR354" s="184"/>
    </row>
    <row r="355" spans="1:44" s="331" customFormat="1" ht="12" customHeight="1">
      <c r="A355" s="184"/>
      <c r="P355" s="277"/>
      <c r="X355" s="184"/>
      <c r="Y355" s="184"/>
      <c r="Z355" s="184"/>
      <c r="AA355" s="184"/>
      <c r="AB355" s="184"/>
      <c r="AC355" s="184"/>
      <c r="AD355" s="184"/>
      <c r="AE355" s="184"/>
      <c r="AF355" s="184"/>
      <c r="AG355" s="184"/>
      <c r="AH355" s="184"/>
      <c r="AI355" s="184"/>
      <c r="AJ355" s="184"/>
      <c r="AK355" s="184"/>
      <c r="AL355" s="184"/>
      <c r="AM355" s="184"/>
      <c r="AN355" s="184"/>
      <c r="AO355" s="184"/>
      <c r="AP355" s="184"/>
      <c r="AQ355" s="184"/>
      <c r="AR355" s="184"/>
    </row>
    <row r="356" spans="1:44" s="331" customFormat="1" ht="12" customHeight="1">
      <c r="A356" s="184"/>
      <c r="P356" s="277"/>
      <c r="X356" s="184"/>
      <c r="Y356" s="184"/>
      <c r="Z356" s="184"/>
      <c r="AA356" s="184"/>
      <c r="AB356" s="184"/>
      <c r="AC356" s="184"/>
      <c r="AD356" s="184"/>
      <c r="AE356" s="184"/>
      <c r="AF356" s="184"/>
      <c r="AG356" s="184"/>
      <c r="AH356" s="184"/>
      <c r="AI356" s="184"/>
      <c r="AJ356" s="184"/>
      <c r="AK356" s="184"/>
      <c r="AL356" s="184"/>
      <c r="AM356" s="184"/>
      <c r="AN356" s="184"/>
      <c r="AO356" s="184"/>
      <c r="AP356" s="184"/>
      <c r="AQ356" s="184"/>
      <c r="AR356" s="184"/>
    </row>
    <row r="357" spans="1:44" s="331" customFormat="1" ht="12" customHeight="1">
      <c r="A357" s="184"/>
      <c r="P357" s="277"/>
      <c r="X357" s="184"/>
      <c r="Y357" s="184"/>
      <c r="Z357" s="184"/>
      <c r="AA357" s="184"/>
      <c r="AB357" s="184"/>
      <c r="AC357" s="184"/>
      <c r="AD357" s="184"/>
      <c r="AE357" s="184"/>
      <c r="AF357" s="184"/>
      <c r="AG357" s="184"/>
      <c r="AH357" s="184"/>
      <c r="AI357" s="184"/>
      <c r="AJ357" s="184"/>
      <c r="AK357" s="184"/>
      <c r="AL357" s="184"/>
      <c r="AM357" s="184"/>
      <c r="AN357" s="184"/>
      <c r="AO357" s="184"/>
      <c r="AP357" s="184"/>
      <c r="AQ357" s="184"/>
      <c r="AR357" s="184"/>
    </row>
    <row r="358" spans="1:44" s="331" customFormat="1" ht="12" customHeight="1">
      <c r="A358" s="184"/>
      <c r="P358" s="277"/>
      <c r="X358" s="184"/>
      <c r="Y358" s="184"/>
      <c r="Z358" s="184"/>
      <c r="AA358" s="184"/>
      <c r="AB358" s="184"/>
      <c r="AC358" s="184"/>
      <c r="AD358" s="184"/>
      <c r="AE358" s="184"/>
      <c r="AF358" s="184"/>
      <c r="AG358" s="184"/>
      <c r="AH358" s="184"/>
      <c r="AI358" s="184"/>
      <c r="AJ358" s="184"/>
      <c r="AK358" s="184"/>
      <c r="AL358" s="184"/>
      <c r="AM358" s="184"/>
      <c r="AN358" s="184"/>
      <c r="AO358" s="184"/>
      <c r="AP358" s="184"/>
      <c r="AQ358" s="184"/>
      <c r="AR358" s="184"/>
    </row>
    <row r="359" spans="1:44" s="331" customFormat="1" ht="12" customHeight="1">
      <c r="A359" s="184"/>
      <c r="P359" s="277"/>
      <c r="X359" s="184"/>
      <c r="Y359" s="184"/>
      <c r="Z359" s="184"/>
      <c r="AA359" s="184"/>
      <c r="AB359" s="184"/>
      <c r="AC359" s="184"/>
      <c r="AD359" s="184"/>
      <c r="AE359" s="184"/>
      <c r="AF359" s="184"/>
      <c r="AG359" s="184"/>
      <c r="AH359" s="184"/>
      <c r="AI359" s="184"/>
      <c r="AJ359" s="184"/>
      <c r="AK359" s="184"/>
      <c r="AL359" s="184"/>
      <c r="AM359" s="184"/>
      <c r="AN359" s="184"/>
      <c r="AO359" s="184"/>
      <c r="AP359" s="184"/>
      <c r="AQ359" s="184"/>
      <c r="AR359" s="184"/>
    </row>
    <row r="360" spans="1:44" s="331" customFormat="1" ht="12" customHeight="1">
      <c r="A360" s="184"/>
      <c r="P360" s="277"/>
      <c r="X360" s="184"/>
      <c r="Y360" s="184"/>
      <c r="Z360" s="184"/>
      <c r="AA360" s="184"/>
      <c r="AB360" s="184"/>
      <c r="AC360" s="184"/>
      <c r="AD360" s="184"/>
      <c r="AE360" s="184"/>
      <c r="AF360" s="184"/>
      <c r="AG360" s="184"/>
      <c r="AH360" s="184"/>
      <c r="AI360" s="184"/>
      <c r="AJ360" s="184"/>
      <c r="AK360" s="184"/>
      <c r="AL360" s="184"/>
      <c r="AM360" s="184"/>
      <c r="AN360" s="184"/>
      <c r="AO360" s="184"/>
      <c r="AP360" s="184"/>
      <c r="AQ360" s="184"/>
      <c r="AR360" s="184"/>
    </row>
    <row r="361" spans="1:44" s="331" customFormat="1" ht="12" customHeight="1">
      <c r="A361" s="184"/>
      <c r="P361" s="277"/>
      <c r="X361" s="184"/>
      <c r="Y361" s="184"/>
      <c r="Z361" s="184"/>
      <c r="AA361" s="184"/>
      <c r="AB361" s="184"/>
      <c r="AC361" s="184"/>
      <c r="AD361" s="184"/>
      <c r="AE361" s="184"/>
      <c r="AF361" s="184"/>
      <c r="AG361" s="184"/>
      <c r="AH361" s="184"/>
      <c r="AI361" s="184"/>
      <c r="AJ361" s="184"/>
      <c r="AK361" s="184"/>
      <c r="AL361" s="184"/>
      <c r="AM361" s="184"/>
      <c r="AN361" s="184"/>
      <c r="AO361" s="184"/>
      <c r="AP361" s="184"/>
      <c r="AQ361" s="184"/>
      <c r="AR361" s="184"/>
    </row>
    <row r="362" spans="1:44" s="331" customFormat="1" ht="12" customHeight="1">
      <c r="A362" s="184"/>
      <c r="P362" s="403"/>
      <c r="X362" s="184"/>
      <c r="Y362" s="184"/>
      <c r="Z362" s="184"/>
      <c r="AA362" s="184"/>
      <c r="AB362" s="184"/>
      <c r="AC362" s="184"/>
      <c r="AD362" s="184"/>
      <c r="AE362" s="184"/>
      <c r="AF362" s="184"/>
      <c r="AG362" s="184"/>
      <c r="AH362" s="184"/>
      <c r="AI362" s="184"/>
      <c r="AJ362" s="184"/>
      <c r="AK362" s="184"/>
      <c r="AL362" s="184"/>
      <c r="AM362" s="184"/>
      <c r="AN362" s="184"/>
      <c r="AO362" s="184"/>
      <c r="AP362" s="184"/>
      <c r="AQ362" s="184"/>
      <c r="AR362" s="184"/>
    </row>
    <row r="363" spans="1:44" s="331" customFormat="1" ht="12" customHeight="1">
      <c r="A363" s="184"/>
      <c r="P363" s="277"/>
      <c r="X363" s="184"/>
      <c r="Y363" s="184"/>
      <c r="Z363" s="184"/>
      <c r="AA363" s="184"/>
      <c r="AB363" s="184"/>
      <c r="AC363" s="184"/>
      <c r="AD363" s="184"/>
      <c r="AE363" s="184"/>
      <c r="AF363" s="184"/>
      <c r="AG363" s="184"/>
      <c r="AH363" s="184"/>
      <c r="AI363" s="184"/>
      <c r="AJ363" s="184"/>
      <c r="AK363" s="184"/>
      <c r="AL363" s="184"/>
      <c r="AM363" s="184"/>
      <c r="AN363" s="184"/>
      <c r="AO363" s="184"/>
      <c r="AP363" s="184"/>
      <c r="AQ363" s="184"/>
      <c r="AR363" s="184"/>
    </row>
    <row r="364" spans="1:44" s="331" customFormat="1" ht="12" customHeight="1">
      <c r="A364" s="184"/>
      <c r="P364" s="277"/>
      <c r="X364" s="184"/>
      <c r="Y364" s="184"/>
      <c r="Z364" s="184"/>
      <c r="AA364" s="184"/>
      <c r="AB364" s="184"/>
      <c r="AC364" s="184"/>
      <c r="AD364" s="184"/>
      <c r="AE364" s="184"/>
      <c r="AF364" s="184"/>
      <c r="AG364" s="184"/>
      <c r="AH364" s="184"/>
      <c r="AI364" s="184"/>
      <c r="AJ364" s="184"/>
      <c r="AK364" s="184"/>
      <c r="AL364" s="184"/>
      <c r="AM364" s="184"/>
      <c r="AN364" s="184"/>
      <c r="AO364" s="184"/>
      <c r="AP364" s="184"/>
      <c r="AQ364" s="184"/>
      <c r="AR364" s="184"/>
    </row>
    <row r="365" spans="1:44" s="331" customFormat="1" ht="12" customHeight="1">
      <c r="A365" s="184"/>
      <c r="P365" s="277"/>
      <c r="X365" s="184"/>
      <c r="Y365" s="184"/>
      <c r="Z365" s="184"/>
      <c r="AA365" s="184"/>
      <c r="AB365" s="184"/>
      <c r="AC365" s="184"/>
      <c r="AD365" s="184"/>
      <c r="AE365" s="184"/>
      <c r="AF365" s="184"/>
      <c r="AG365" s="184"/>
      <c r="AH365" s="184"/>
      <c r="AI365" s="184"/>
      <c r="AJ365" s="184"/>
      <c r="AK365" s="184"/>
      <c r="AL365" s="184"/>
      <c r="AM365" s="184"/>
      <c r="AN365" s="184"/>
      <c r="AO365" s="184"/>
      <c r="AP365" s="184"/>
      <c r="AQ365" s="184"/>
      <c r="AR365" s="184"/>
    </row>
    <row r="366" spans="1:44" s="331" customFormat="1" ht="12" customHeight="1">
      <c r="A366" s="184"/>
      <c r="P366" s="403"/>
      <c r="X366" s="184"/>
      <c r="Y366" s="184"/>
      <c r="Z366" s="184"/>
      <c r="AA366" s="184"/>
      <c r="AB366" s="184"/>
      <c r="AC366" s="184"/>
      <c r="AD366" s="184"/>
      <c r="AE366" s="184"/>
      <c r="AF366" s="184"/>
      <c r="AG366" s="184"/>
      <c r="AH366" s="184"/>
      <c r="AI366" s="184"/>
      <c r="AJ366" s="184"/>
      <c r="AK366" s="184"/>
      <c r="AL366" s="184"/>
      <c r="AM366" s="184"/>
      <c r="AN366" s="184"/>
      <c r="AO366" s="184"/>
      <c r="AP366" s="184"/>
      <c r="AQ366" s="184"/>
      <c r="AR366" s="184"/>
    </row>
    <row r="367" spans="1:44" s="331" customFormat="1" ht="12" customHeight="1">
      <c r="A367" s="184"/>
      <c r="P367" s="277"/>
      <c r="X367" s="184"/>
      <c r="Y367" s="184"/>
      <c r="Z367" s="184"/>
      <c r="AA367" s="184"/>
      <c r="AB367" s="184"/>
      <c r="AC367" s="184"/>
      <c r="AD367" s="184"/>
      <c r="AE367" s="184"/>
      <c r="AF367" s="184"/>
      <c r="AG367" s="184"/>
      <c r="AH367" s="184"/>
      <c r="AI367" s="184"/>
      <c r="AJ367" s="184"/>
      <c r="AK367" s="184"/>
      <c r="AL367" s="184"/>
      <c r="AM367" s="184"/>
      <c r="AN367" s="184"/>
      <c r="AO367" s="184"/>
      <c r="AP367" s="184"/>
      <c r="AQ367" s="184"/>
      <c r="AR367" s="184"/>
    </row>
    <row r="368" spans="1:44" s="331" customFormat="1" ht="12" customHeight="1">
      <c r="A368" s="184"/>
      <c r="P368" s="277"/>
      <c r="X368" s="184"/>
      <c r="Y368" s="184"/>
      <c r="Z368" s="184"/>
      <c r="AA368" s="184"/>
      <c r="AB368" s="184"/>
      <c r="AC368" s="184"/>
      <c r="AD368" s="184"/>
      <c r="AE368" s="184"/>
      <c r="AF368" s="184"/>
      <c r="AG368" s="184"/>
      <c r="AH368" s="184"/>
      <c r="AI368" s="184"/>
      <c r="AJ368" s="184"/>
      <c r="AK368" s="184"/>
      <c r="AL368" s="184"/>
      <c r="AM368" s="184"/>
      <c r="AN368" s="184"/>
      <c r="AO368" s="184"/>
      <c r="AP368" s="184"/>
      <c r="AQ368" s="184"/>
      <c r="AR368" s="184"/>
    </row>
    <row r="369" spans="1:44" s="331" customFormat="1" ht="12" customHeight="1">
      <c r="A369" s="184"/>
      <c r="P369" s="277"/>
      <c r="X369" s="184"/>
      <c r="Y369" s="184"/>
      <c r="Z369" s="184"/>
      <c r="AA369" s="184"/>
      <c r="AB369" s="184"/>
      <c r="AC369" s="184"/>
      <c r="AD369" s="184"/>
      <c r="AE369" s="184"/>
      <c r="AF369" s="184"/>
      <c r="AG369" s="184"/>
      <c r="AH369" s="184"/>
      <c r="AI369" s="184"/>
      <c r="AJ369" s="184"/>
      <c r="AK369" s="184"/>
      <c r="AL369" s="184"/>
      <c r="AM369" s="184"/>
      <c r="AN369" s="184"/>
      <c r="AO369" s="184"/>
      <c r="AP369" s="184"/>
      <c r="AQ369" s="184"/>
      <c r="AR369" s="184"/>
    </row>
    <row r="370" spans="1:44" s="331" customFormat="1" ht="12" customHeight="1">
      <c r="A370" s="184"/>
      <c r="P370" s="277"/>
      <c r="X370" s="184"/>
      <c r="Y370" s="184"/>
      <c r="Z370" s="184"/>
      <c r="AA370" s="184"/>
      <c r="AB370" s="184"/>
      <c r="AC370" s="184"/>
      <c r="AD370" s="184"/>
      <c r="AE370" s="184"/>
      <c r="AF370" s="184"/>
      <c r="AG370" s="184"/>
      <c r="AH370" s="184"/>
      <c r="AI370" s="184"/>
      <c r="AJ370" s="184"/>
      <c r="AK370" s="184"/>
      <c r="AL370" s="184"/>
      <c r="AM370" s="184"/>
      <c r="AN370" s="184"/>
      <c r="AO370" s="184"/>
      <c r="AP370" s="184"/>
      <c r="AQ370" s="184"/>
      <c r="AR370" s="184"/>
    </row>
    <row r="371" spans="1:44" s="331" customFormat="1" ht="12" customHeight="1">
      <c r="A371" s="184"/>
      <c r="P371" s="277"/>
      <c r="X371" s="184"/>
      <c r="Y371" s="184"/>
      <c r="Z371" s="184"/>
      <c r="AA371" s="184"/>
      <c r="AB371" s="184"/>
      <c r="AC371" s="184"/>
      <c r="AD371" s="184"/>
      <c r="AE371" s="184"/>
      <c r="AF371" s="184"/>
      <c r="AG371" s="184"/>
      <c r="AH371" s="184"/>
      <c r="AI371" s="184"/>
      <c r="AJ371" s="184"/>
      <c r="AK371" s="184"/>
      <c r="AL371" s="184"/>
      <c r="AM371" s="184"/>
      <c r="AN371" s="184"/>
      <c r="AO371" s="184"/>
      <c r="AP371" s="184"/>
      <c r="AQ371" s="184"/>
      <c r="AR371" s="184"/>
    </row>
    <row r="372" spans="1:44" s="331" customFormat="1" ht="12" customHeight="1">
      <c r="A372" s="184"/>
      <c r="P372" s="403"/>
      <c r="X372" s="184"/>
      <c r="Y372" s="184"/>
      <c r="Z372" s="184"/>
      <c r="AA372" s="184"/>
      <c r="AB372" s="184"/>
      <c r="AC372" s="184"/>
      <c r="AD372" s="184"/>
      <c r="AE372" s="184"/>
      <c r="AF372" s="184"/>
      <c r="AG372" s="184"/>
      <c r="AH372" s="184"/>
      <c r="AI372" s="184"/>
      <c r="AJ372" s="184"/>
      <c r="AK372" s="184"/>
      <c r="AL372" s="184"/>
      <c r="AM372" s="184"/>
      <c r="AN372" s="184"/>
      <c r="AO372" s="184"/>
      <c r="AP372" s="184"/>
      <c r="AQ372" s="184"/>
      <c r="AR372" s="184"/>
    </row>
    <row r="373" spans="1:44" s="331" customFormat="1" ht="12" customHeight="1">
      <c r="A373" s="184"/>
      <c r="P373" s="277"/>
      <c r="X373" s="184"/>
      <c r="Y373" s="184"/>
      <c r="Z373" s="184"/>
      <c r="AA373" s="184"/>
      <c r="AB373" s="184"/>
      <c r="AC373" s="184"/>
      <c r="AD373" s="184"/>
      <c r="AE373" s="184"/>
      <c r="AF373" s="184"/>
      <c r="AG373" s="184"/>
      <c r="AH373" s="184"/>
      <c r="AI373" s="184"/>
      <c r="AJ373" s="184"/>
      <c r="AK373" s="184"/>
      <c r="AL373" s="184"/>
      <c r="AM373" s="184"/>
      <c r="AN373" s="184"/>
      <c r="AO373" s="184"/>
      <c r="AP373" s="184"/>
      <c r="AQ373" s="184"/>
      <c r="AR373" s="184"/>
    </row>
    <row r="374" spans="1:44" s="331" customFormat="1" ht="12" customHeight="1">
      <c r="A374" s="184"/>
      <c r="P374" s="277"/>
      <c r="X374" s="184"/>
      <c r="Y374" s="184"/>
      <c r="Z374" s="184"/>
      <c r="AA374" s="184"/>
      <c r="AB374" s="184"/>
      <c r="AC374" s="184"/>
      <c r="AD374" s="184"/>
      <c r="AE374" s="184"/>
      <c r="AF374" s="184"/>
      <c r="AG374" s="184"/>
      <c r="AH374" s="184"/>
      <c r="AI374" s="184"/>
      <c r="AJ374" s="184"/>
      <c r="AK374" s="184"/>
      <c r="AL374" s="184"/>
      <c r="AM374" s="184"/>
      <c r="AN374" s="184"/>
      <c r="AO374" s="184"/>
      <c r="AP374" s="184"/>
      <c r="AQ374" s="184"/>
      <c r="AR374" s="184"/>
    </row>
    <row r="375" spans="1:44" s="331" customFormat="1" ht="12" customHeight="1">
      <c r="A375" s="184"/>
      <c r="P375" s="277"/>
      <c r="X375" s="184"/>
      <c r="Y375" s="184"/>
      <c r="Z375" s="184"/>
      <c r="AA375" s="184"/>
      <c r="AB375" s="184"/>
      <c r="AC375" s="184"/>
      <c r="AD375" s="184"/>
      <c r="AE375" s="184"/>
      <c r="AF375" s="184"/>
      <c r="AG375" s="184"/>
      <c r="AH375" s="184"/>
      <c r="AI375" s="184"/>
      <c r="AJ375" s="184"/>
      <c r="AK375" s="184"/>
      <c r="AL375" s="184"/>
      <c r="AM375" s="184"/>
      <c r="AN375" s="184"/>
      <c r="AO375" s="184"/>
      <c r="AP375" s="184"/>
      <c r="AQ375" s="184"/>
      <c r="AR375" s="184"/>
    </row>
    <row r="376" spans="1:44" s="331" customFormat="1" ht="12" customHeight="1">
      <c r="A376" s="184"/>
      <c r="P376" s="277"/>
      <c r="X376" s="184"/>
      <c r="Y376" s="184"/>
      <c r="Z376" s="184"/>
      <c r="AA376" s="184"/>
      <c r="AB376" s="184"/>
      <c r="AC376" s="184"/>
      <c r="AD376" s="184"/>
      <c r="AE376" s="184"/>
      <c r="AF376" s="184"/>
      <c r="AG376" s="184"/>
      <c r="AH376" s="184"/>
      <c r="AI376" s="184"/>
      <c r="AJ376" s="184"/>
      <c r="AK376" s="184"/>
      <c r="AL376" s="184"/>
      <c r="AM376" s="184"/>
      <c r="AN376" s="184"/>
      <c r="AO376" s="184"/>
      <c r="AP376" s="184"/>
      <c r="AQ376" s="184"/>
      <c r="AR376" s="184"/>
    </row>
    <row r="377" spans="1:44" s="331" customFormat="1" ht="12" customHeight="1">
      <c r="A377" s="184"/>
      <c r="P377" s="277"/>
      <c r="X377" s="184"/>
      <c r="Y377" s="184"/>
      <c r="Z377" s="184"/>
      <c r="AA377" s="184"/>
      <c r="AB377" s="184"/>
      <c r="AC377" s="184"/>
      <c r="AD377" s="184"/>
      <c r="AE377" s="184"/>
      <c r="AF377" s="184"/>
      <c r="AG377" s="184"/>
      <c r="AH377" s="184"/>
      <c r="AI377" s="184"/>
      <c r="AJ377" s="184"/>
      <c r="AK377" s="184"/>
      <c r="AL377" s="184"/>
      <c r="AM377" s="184"/>
      <c r="AN377" s="184"/>
      <c r="AO377" s="184"/>
      <c r="AP377" s="184"/>
      <c r="AQ377" s="184"/>
      <c r="AR377" s="184"/>
    </row>
    <row r="378" spans="1:44" s="331" customFormat="1" ht="12" customHeight="1">
      <c r="A378" s="184"/>
      <c r="P378" s="277"/>
      <c r="X378" s="184"/>
      <c r="Y378" s="184"/>
      <c r="Z378" s="184"/>
      <c r="AA378" s="184"/>
      <c r="AB378" s="184"/>
      <c r="AC378" s="184"/>
      <c r="AD378" s="184"/>
      <c r="AE378" s="184"/>
      <c r="AF378" s="184"/>
      <c r="AG378" s="184"/>
      <c r="AH378" s="184"/>
      <c r="AI378" s="184"/>
      <c r="AJ378" s="184"/>
      <c r="AK378" s="184"/>
      <c r="AL378" s="184"/>
      <c r="AM378" s="184"/>
      <c r="AN378" s="184"/>
      <c r="AO378" s="184"/>
      <c r="AP378" s="184"/>
      <c r="AQ378" s="184"/>
      <c r="AR378" s="184"/>
    </row>
    <row r="379" spans="1:44" s="331" customFormat="1" ht="12" customHeight="1">
      <c r="A379" s="184"/>
      <c r="P379" s="277"/>
      <c r="X379" s="184"/>
      <c r="Y379" s="184"/>
      <c r="Z379" s="184"/>
      <c r="AA379" s="184"/>
      <c r="AB379" s="184"/>
      <c r="AC379" s="184"/>
      <c r="AD379" s="184"/>
      <c r="AE379" s="184"/>
      <c r="AF379" s="184"/>
      <c r="AG379" s="184"/>
      <c r="AH379" s="184"/>
      <c r="AI379" s="184"/>
      <c r="AJ379" s="184"/>
      <c r="AK379" s="184"/>
      <c r="AL379" s="184"/>
      <c r="AM379" s="184"/>
      <c r="AN379" s="184"/>
      <c r="AO379" s="184"/>
      <c r="AP379" s="184"/>
      <c r="AQ379" s="184"/>
      <c r="AR379" s="184"/>
    </row>
    <row r="380" spans="1:44" s="331" customFormat="1" ht="12" customHeight="1">
      <c r="A380" s="184"/>
      <c r="P380" s="277"/>
      <c r="X380" s="184"/>
      <c r="Y380" s="184"/>
      <c r="Z380" s="184"/>
      <c r="AA380" s="184"/>
      <c r="AB380" s="184"/>
      <c r="AC380" s="184"/>
      <c r="AD380" s="184"/>
      <c r="AE380" s="184"/>
      <c r="AF380" s="184"/>
      <c r="AG380" s="184"/>
      <c r="AH380" s="184"/>
      <c r="AI380" s="184"/>
      <c r="AJ380" s="184"/>
      <c r="AK380" s="184"/>
      <c r="AL380" s="184"/>
      <c r="AM380" s="184"/>
      <c r="AN380" s="184"/>
      <c r="AO380" s="184"/>
      <c r="AP380" s="184"/>
      <c r="AQ380" s="184"/>
      <c r="AR380" s="184"/>
    </row>
    <row r="381" spans="1:44" s="331" customFormat="1" ht="12" customHeight="1">
      <c r="A381" s="184"/>
      <c r="P381" s="277"/>
      <c r="X381" s="184"/>
      <c r="Y381" s="184"/>
      <c r="Z381" s="184"/>
      <c r="AA381" s="184"/>
      <c r="AB381" s="184"/>
      <c r="AC381" s="184"/>
      <c r="AD381" s="184"/>
      <c r="AE381" s="184"/>
      <c r="AF381" s="184"/>
      <c r="AG381" s="184"/>
      <c r="AH381" s="184"/>
      <c r="AI381" s="184"/>
      <c r="AJ381" s="184"/>
      <c r="AK381" s="184"/>
      <c r="AL381" s="184"/>
      <c r="AM381" s="184"/>
      <c r="AN381" s="184"/>
      <c r="AO381" s="184"/>
      <c r="AP381" s="184"/>
      <c r="AQ381" s="184"/>
      <c r="AR381" s="184"/>
    </row>
    <row r="382" spans="1:44" s="331" customFormat="1" ht="12" customHeight="1">
      <c r="A382" s="184"/>
      <c r="P382" s="277"/>
      <c r="X382" s="184"/>
      <c r="Y382" s="184"/>
      <c r="Z382" s="184"/>
      <c r="AA382" s="184"/>
      <c r="AB382" s="184"/>
      <c r="AC382" s="184"/>
      <c r="AD382" s="184"/>
      <c r="AE382" s="184"/>
      <c r="AF382" s="184"/>
      <c r="AG382" s="184"/>
      <c r="AH382" s="184"/>
      <c r="AI382" s="184"/>
      <c r="AJ382" s="184"/>
      <c r="AK382" s="184"/>
      <c r="AL382" s="184"/>
      <c r="AM382" s="184"/>
      <c r="AN382" s="184"/>
      <c r="AO382" s="184"/>
      <c r="AP382" s="184"/>
      <c r="AQ382" s="184"/>
      <c r="AR382" s="184"/>
    </row>
    <row r="383" spans="1:44" s="331" customFormat="1" ht="12" customHeight="1">
      <c r="A383" s="184"/>
      <c r="P383" s="277"/>
      <c r="X383" s="184"/>
      <c r="Y383" s="184"/>
      <c r="Z383" s="184"/>
      <c r="AA383" s="184"/>
      <c r="AB383" s="184"/>
      <c r="AC383" s="184"/>
      <c r="AD383" s="184"/>
      <c r="AE383" s="184"/>
      <c r="AF383" s="184"/>
      <c r="AG383" s="184"/>
      <c r="AH383" s="184"/>
      <c r="AI383" s="184"/>
      <c r="AJ383" s="184"/>
      <c r="AK383" s="184"/>
      <c r="AL383" s="184"/>
      <c r="AM383" s="184"/>
      <c r="AN383" s="184"/>
      <c r="AO383" s="184"/>
      <c r="AP383" s="184"/>
      <c r="AQ383" s="184"/>
      <c r="AR383" s="184"/>
    </row>
    <row r="384" spans="1:44" s="331" customFormat="1" ht="12" customHeight="1">
      <c r="A384" s="184"/>
      <c r="P384" s="277"/>
      <c r="X384" s="184"/>
      <c r="Y384" s="184"/>
      <c r="Z384" s="184"/>
      <c r="AA384" s="184"/>
      <c r="AB384" s="184"/>
      <c r="AC384" s="184"/>
      <c r="AD384" s="184"/>
      <c r="AE384" s="184"/>
      <c r="AF384" s="184"/>
      <c r="AG384" s="184"/>
      <c r="AH384" s="184"/>
      <c r="AI384" s="184"/>
      <c r="AJ384" s="184"/>
      <c r="AK384" s="184"/>
      <c r="AL384" s="184"/>
      <c r="AM384" s="184"/>
      <c r="AN384" s="184"/>
      <c r="AO384" s="184"/>
      <c r="AP384" s="184"/>
      <c r="AQ384" s="184"/>
      <c r="AR384" s="184"/>
    </row>
    <row r="385" spans="1:44" s="331" customFormat="1" ht="12" customHeight="1">
      <c r="A385" s="184"/>
      <c r="P385" s="403"/>
      <c r="X385" s="184"/>
      <c r="Y385" s="184"/>
      <c r="Z385" s="184"/>
      <c r="AA385" s="184"/>
      <c r="AB385" s="184"/>
      <c r="AC385" s="184"/>
      <c r="AD385" s="184"/>
      <c r="AE385" s="184"/>
      <c r="AF385" s="184"/>
      <c r="AG385" s="184"/>
      <c r="AH385" s="184"/>
      <c r="AI385" s="184"/>
      <c r="AJ385" s="184"/>
      <c r="AK385" s="184"/>
      <c r="AL385" s="184"/>
      <c r="AM385" s="184"/>
      <c r="AN385" s="184"/>
      <c r="AO385" s="184"/>
      <c r="AP385" s="184"/>
      <c r="AQ385" s="184"/>
      <c r="AR385" s="184"/>
    </row>
    <row r="386" spans="1:44" s="331" customFormat="1" ht="12" customHeight="1">
      <c r="A386" s="184"/>
      <c r="P386" s="277"/>
      <c r="X386" s="184"/>
      <c r="Y386" s="184"/>
      <c r="Z386" s="184"/>
      <c r="AA386" s="184"/>
      <c r="AB386" s="184"/>
      <c r="AC386" s="184"/>
      <c r="AD386" s="184"/>
      <c r="AE386" s="184"/>
      <c r="AF386" s="184"/>
      <c r="AG386" s="184"/>
      <c r="AH386" s="184"/>
      <c r="AI386" s="184"/>
      <c r="AJ386" s="184"/>
      <c r="AK386" s="184"/>
      <c r="AL386" s="184"/>
      <c r="AM386" s="184"/>
      <c r="AN386" s="184"/>
      <c r="AO386" s="184"/>
      <c r="AP386" s="184"/>
      <c r="AQ386" s="184"/>
      <c r="AR386" s="184"/>
    </row>
    <row r="387" spans="1:44" s="331" customFormat="1" ht="12" customHeight="1">
      <c r="A387" s="184"/>
      <c r="P387" s="277"/>
      <c r="X387" s="184"/>
      <c r="Y387" s="184"/>
      <c r="Z387" s="184"/>
      <c r="AA387" s="184"/>
      <c r="AB387" s="184"/>
      <c r="AC387" s="184"/>
      <c r="AD387" s="184"/>
      <c r="AE387" s="184"/>
      <c r="AF387" s="184"/>
      <c r="AG387" s="184"/>
      <c r="AH387" s="184"/>
      <c r="AI387" s="184"/>
      <c r="AJ387" s="184"/>
      <c r="AK387" s="184"/>
      <c r="AL387" s="184"/>
      <c r="AM387" s="184"/>
      <c r="AN387" s="184"/>
      <c r="AO387" s="184"/>
      <c r="AP387" s="184"/>
      <c r="AQ387" s="184"/>
      <c r="AR387" s="184"/>
    </row>
    <row r="388" spans="1:44" s="331" customFormat="1" ht="12" customHeight="1">
      <c r="A388" s="184"/>
      <c r="P388" s="277"/>
      <c r="X388" s="184"/>
      <c r="Y388" s="184"/>
      <c r="Z388" s="184"/>
      <c r="AA388" s="184"/>
      <c r="AB388" s="184"/>
      <c r="AC388" s="184"/>
      <c r="AD388" s="184"/>
      <c r="AE388" s="184"/>
      <c r="AF388" s="184"/>
      <c r="AG388" s="184"/>
      <c r="AH388" s="184"/>
      <c r="AI388" s="184"/>
      <c r="AJ388" s="184"/>
      <c r="AK388" s="184"/>
      <c r="AL388" s="184"/>
      <c r="AM388" s="184"/>
      <c r="AN388" s="184"/>
      <c r="AO388" s="184"/>
      <c r="AP388" s="184"/>
      <c r="AQ388" s="184"/>
      <c r="AR388" s="184"/>
    </row>
    <row r="389" spans="1:44" s="331" customFormat="1" ht="12" customHeight="1">
      <c r="A389" s="184"/>
      <c r="P389" s="277"/>
      <c r="X389" s="184"/>
      <c r="Y389" s="184"/>
      <c r="Z389" s="184"/>
      <c r="AA389" s="184"/>
      <c r="AB389" s="184"/>
      <c r="AC389" s="184"/>
      <c r="AD389" s="184"/>
      <c r="AE389" s="184"/>
      <c r="AF389" s="184"/>
      <c r="AG389" s="184"/>
      <c r="AH389" s="184"/>
      <c r="AI389" s="184"/>
      <c r="AJ389" s="184"/>
      <c r="AK389" s="184"/>
      <c r="AL389" s="184"/>
      <c r="AM389" s="184"/>
      <c r="AN389" s="184"/>
      <c r="AO389" s="184"/>
      <c r="AP389" s="184"/>
      <c r="AQ389" s="184"/>
      <c r="AR389" s="184"/>
    </row>
    <row r="390" spans="1:44" s="331" customFormat="1" ht="12" customHeight="1">
      <c r="A390" s="184"/>
      <c r="P390" s="277"/>
      <c r="X390" s="184"/>
      <c r="Y390" s="184"/>
      <c r="Z390" s="184"/>
      <c r="AA390" s="184"/>
      <c r="AB390" s="184"/>
      <c r="AC390" s="184"/>
      <c r="AD390" s="184"/>
      <c r="AE390" s="184"/>
      <c r="AF390" s="184"/>
      <c r="AG390" s="184"/>
      <c r="AH390" s="184"/>
      <c r="AI390" s="184"/>
      <c r="AJ390" s="184"/>
      <c r="AK390" s="184"/>
      <c r="AL390" s="184"/>
      <c r="AM390" s="184"/>
      <c r="AN390" s="184"/>
      <c r="AO390" s="184"/>
      <c r="AP390" s="184"/>
      <c r="AQ390" s="184"/>
      <c r="AR390" s="184"/>
    </row>
    <row r="391" spans="1:44" s="331" customFormat="1" ht="12" customHeight="1">
      <c r="A391" s="184"/>
      <c r="P391" s="277"/>
      <c r="X391" s="184"/>
      <c r="Y391" s="184"/>
      <c r="Z391" s="184"/>
      <c r="AA391" s="184"/>
      <c r="AB391" s="184"/>
      <c r="AC391" s="184"/>
      <c r="AD391" s="184"/>
      <c r="AE391" s="184"/>
      <c r="AF391" s="184"/>
      <c r="AG391" s="184"/>
      <c r="AH391" s="184"/>
      <c r="AI391" s="184"/>
      <c r="AJ391" s="184"/>
      <c r="AK391" s="184"/>
      <c r="AL391" s="184"/>
      <c r="AM391" s="184"/>
      <c r="AN391" s="184"/>
      <c r="AO391" s="184"/>
      <c r="AP391" s="184"/>
      <c r="AQ391" s="184"/>
      <c r="AR391" s="184"/>
    </row>
    <row r="392" spans="1:44" s="331" customFormat="1" ht="12" customHeight="1">
      <c r="A392" s="184"/>
      <c r="P392" s="277"/>
      <c r="X392" s="184"/>
      <c r="Y392" s="184"/>
      <c r="Z392" s="184"/>
      <c r="AA392" s="184"/>
      <c r="AB392" s="184"/>
      <c r="AC392" s="184"/>
      <c r="AD392" s="184"/>
      <c r="AE392" s="184"/>
      <c r="AF392" s="184"/>
      <c r="AG392" s="184"/>
      <c r="AH392" s="184"/>
      <c r="AI392" s="184"/>
      <c r="AJ392" s="184"/>
      <c r="AK392" s="184"/>
      <c r="AL392" s="184"/>
      <c r="AM392" s="184"/>
      <c r="AN392" s="184"/>
      <c r="AO392" s="184"/>
      <c r="AP392" s="184"/>
      <c r="AQ392" s="184"/>
      <c r="AR392" s="184"/>
    </row>
    <row r="393" spans="1:44" s="331" customFormat="1" ht="12" customHeight="1">
      <c r="A393" s="184"/>
      <c r="P393" s="277"/>
      <c r="X393" s="184"/>
      <c r="Y393" s="184"/>
      <c r="Z393" s="184"/>
      <c r="AA393" s="184"/>
      <c r="AB393" s="184"/>
      <c r="AC393" s="184"/>
      <c r="AD393" s="184"/>
      <c r="AE393" s="184"/>
      <c r="AF393" s="184"/>
      <c r="AG393" s="184"/>
      <c r="AH393" s="184"/>
      <c r="AI393" s="184"/>
      <c r="AJ393" s="184"/>
      <c r="AK393" s="184"/>
      <c r="AL393" s="184"/>
      <c r="AM393" s="184"/>
      <c r="AN393" s="184"/>
      <c r="AO393" s="184"/>
      <c r="AP393" s="184"/>
      <c r="AQ393" s="184"/>
      <c r="AR393" s="184"/>
    </row>
    <row r="394" spans="1:44" s="331" customFormat="1" ht="12" customHeight="1">
      <c r="A394" s="184"/>
      <c r="P394" s="277"/>
      <c r="X394" s="184"/>
      <c r="Y394" s="184"/>
      <c r="Z394" s="184"/>
      <c r="AA394" s="184"/>
      <c r="AB394" s="184"/>
      <c r="AC394" s="184"/>
      <c r="AD394" s="184"/>
      <c r="AE394" s="184"/>
      <c r="AF394" s="184"/>
      <c r="AG394" s="184"/>
      <c r="AH394" s="184"/>
      <c r="AI394" s="184"/>
      <c r="AJ394" s="184"/>
      <c r="AK394" s="184"/>
      <c r="AL394" s="184"/>
      <c r="AM394" s="184"/>
      <c r="AN394" s="184"/>
      <c r="AO394" s="184"/>
      <c r="AP394" s="184"/>
      <c r="AQ394" s="184"/>
      <c r="AR394" s="184"/>
    </row>
    <row r="395" spans="1:44" s="331" customFormat="1" ht="12" customHeight="1">
      <c r="A395" s="184"/>
      <c r="P395" s="277"/>
      <c r="X395" s="184"/>
      <c r="Y395" s="184"/>
      <c r="Z395" s="184"/>
      <c r="AA395" s="184"/>
      <c r="AB395" s="184"/>
      <c r="AC395" s="184"/>
      <c r="AD395" s="184"/>
      <c r="AE395" s="184"/>
      <c r="AF395" s="184"/>
      <c r="AG395" s="184"/>
      <c r="AH395" s="184"/>
      <c r="AI395" s="184"/>
      <c r="AJ395" s="184"/>
      <c r="AK395" s="184"/>
      <c r="AL395" s="184"/>
      <c r="AM395" s="184"/>
      <c r="AN395" s="184"/>
      <c r="AO395" s="184"/>
      <c r="AP395" s="184"/>
      <c r="AQ395" s="184"/>
      <c r="AR395" s="184"/>
    </row>
    <row r="396" spans="1:44" s="331" customFormat="1" ht="12" customHeight="1">
      <c r="A396" s="184"/>
      <c r="P396" s="277"/>
      <c r="X396" s="184"/>
      <c r="Y396" s="184"/>
      <c r="Z396" s="184"/>
      <c r="AA396" s="184"/>
      <c r="AB396" s="184"/>
      <c r="AC396" s="184"/>
      <c r="AD396" s="184"/>
      <c r="AE396" s="184"/>
      <c r="AF396" s="184"/>
      <c r="AG396" s="184"/>
      <c r="AH396" s="184"/>
      <c r="AI396" s="184"/>
      <c r="AJ396" s="184"/>
      <c r="AK396" s="184"/>
      <c r="AL396" s="184"/>
      <c r="AM396" s="184"/>
      <c r="AN396" s="184"/>
      <c r="AO396" s="184"/>
      <c r="AP396" s="184"/>
      <c r="AQ396" s="184"/>
      <c r="AR396" s="184"/>
    </row>
    <row r="397" spans="1:44" s="331" customFormat="1" ht="12" customHeight="1">
      <c r="A397" s="184"/>
      <c r="P397" s="277"/>
      <c r="X397" s="184"/>
      <c r="Y397" s="184"/>
      <c r="Z397" s="184"/>
      <c r="AA397" s="184"/>
      <c r="AB397" s="184"/>
      <c r="AC397" s="184"/>
      <c r="AD397" s="184"/>
      <c r="AE397" s="184"/>
      <c r="AF397" s="184"/>
      <c r="AG397" s="184"/>
      <c r="AH397" s="184"/>
      <c r="AI397" s="184"/>
      <c r="AJ397" s="184"/>
      <c r="AK397" s="184"/>
      <c r="AL397" s="184"/>
      <c r="AM397" s="184"/>
      <c r="AN397" s="184"/>
      <c r="AO397" s="184"/>
      <c r="AP397" s="184"/>
      <c r="AQ397" s="184"/>
      <c r="AR397" s="184"/>
    </row>
    <row r="398" spans="1:44" s="331" customFormat="1" ht="12" customHeight="1">
      <c r="A398" s="184"/>
      <c r="P398" s="277"/>
      <c r="X398" s="184"/>
      <c r="Y398" s="184"/>
      <c r="Z398" s="184"/>
      <c r="AA398" s="184"/>
      <c r="AB398" s="184"/>
      <c r="AC398" s="184"/>
      <c r="AD398" s="184"/>
      <c r="AE398" s="184"/>
      <c r="AF398" s="184"/>
      <c r="AG398" s="184"/>
      <c r="AH398" s="184"/>
      <c r="AI398" s="184"/>
      <c r="AJ398" s="184"/>
      <c r="AK398" s="184"/>
      <c r="AL398" s="184"/>
      <c r="AM398" s="184"/>
      <c r="AN398" s="184"/>
      <c r="AO398" s="184"/>
      <c r="AP398" s="184"/>
      <c r="AQ398" s="184"/>
      <c r="AR398" s="184"/>
    </row>
    <row r="399" spans="1:44" s="331" customFormat="1" ht="12" customHeight="1">
      <c r="A399" s="184"/>
      <c r="P399" s="403"/>
      <c r="X399" s="184"/>
      <c r="Y399" s="184"/>
      <c r="Z399" s="184"/>
      <c r="AA399" s="184"/>
      <c r="AB399" s="184"/>
      <c r="AC399" s="184"/>
      <c r="AD399" s="184"/>
      <c r="AE399" s="184"/>
      <c r="AF399" s="184"/>
      <c r="AG399" s="184"/>
      <c r="AH399" s="184"/>
      <c r="AI399" s="184"/>
      <c r="AJ399" s="184"/>
      <c r="AK399" s="184"/>
      <c r="AL399" s="184"/>
      <c r="AM399" s="184"/>
      <c r="AN399" s="184"/>
      <c r="AO399" s="184"/>
      <c r="AP399" s="184"/>
      <c r="AQ399" s="184"/>
      <c r="AR399" s="184"/>
    </row>
    <row r="400" spans="1:44" s="331" customFormat="1" ht="12" customHeight="1">
      <c r="A400" s="184"/>
      <c r="P400" s="277"/>
      <c r="X400" s="184"/>
      <c r="Y400" s="184"/>
      <c r="Z400" s="184"/>
      <c r="AA400" s="184"/>
      <c r="AB400" s="184"/>
      <c r="AC400" s="184"/>
      <c r="AD400" s="184"/>
      <c r="AE400" s="184"/>
      <c r="AF400" s="184"/>
      <c r="AG400" s="184"/>
      <c r="AH400" s="184"/>
      <c r="AI400" s="184"/>
      <c r="AJ400" s="184"/>
      <c r="AK400" s="184"/>
      <c r="AL400" s="184"/>
      <c r="AM400" s="184"/>
      <c r="AN400" s="184"/>
      <c r="AO400" s="184"/>
      <c r="AP400" s="184"/>
      <c r="AQ400" s="184"/>
      <c r="AR400" s="184"/>
    </row>
    <row r="401" spans="1:44" s="331" customFormat="1" ht="12" customHeight="1">
      <c r="A401" s="184"/>
      <c r="P401" s="403"/>
      <c r="X401" s="184"/>
      <c r="Y401" s="184"/>
      <c r="Z401" s="184"/>
      <c r="AA401" s="184"/>
      <c r="AB401" s="184"/>
      <c r="AC401" s="184"/>
      <c r="AD401" s="184"/>
      <c r="AE401" s="184"/>
      <c r="AF401" s="184"/>
      <c r="AG401" s="184"/>
      <c r="AH401" s="184"/>
      <c r="AI401" s="184"/>
      <c r="AJ401" s="184"/>
      <c r="AK401" s="184"/>
      <c r="AL401" s="184"/>
      <c r="AM401" s="184"/>
      <c r="AN401" s="184"/>
      <c r="AO401" s="184"/>
      <c r="AP401" s="184"/>
      <c r="AQ401" s="184"/>
      <c r="AR401" s="184"/>
    </row>
    <row r="402" spans="1:44" s="331" customFormat="1" ht="12" customHeight="1">
      <c r="A402" s="184"/>
      <c r="P402" s="277"/>
      <c r="X402" s="184"/>
      <c r="Y402" s="184"/>
      <c r="Z402" s="184"/>
      <c r="AA402" s="184"/>
      <c r="AB402" s="184"/>
      <c r="AC402" s="184"/>
      <c r="AD402" s="184"/>
      <c r="AE402" s="184"/>
      <c r="AF402" s="184"/>
      <c r="AG402" s="184"/>
      <c r="AH402" s="184"/>
      <c r="AI402" s="184"/>
      <c r="AJ402" s="184"/>
      <c r="AK402" s="184"/>
      <c r="AL402" s="184"/>
      <c r="AM402" s="184"/>
      <c r="AN402" s="184"/>
      <c r="AO402" s="184"/>
      <c r="AP402" s="184"/>
      <c r="AQ402" s="184"/>
      <c r="AR402" s="184"/>
    </row>
    <row r="403" spans="1:44" s="331" customFormat="1" ht="12" customHeight="1">
      <c r="A403" s="184"/>
      <c r="P403" s="403"/>
      <c r="X403" s="184"/>
      <c r="Y403" s="184"/>
      <c r="Z403" s="184"/>
      <c r="AA403" s="184"/>
      <c r="AB403" s="184"/>
      <c r="AC403" s="184"/>
      <c r="AD403" s="184"/>
      <c r="AE403" s="184"/>
      <c r="AF403" s="184"/>
      <c r="AG403" s="184"/>
      <c r="AH403" s="184"/>
      <c r="AI403" s="184"/>
      <c r="AJ403" s="184"/>
      <c r="AK403" s="184"/>
      <c r="AL403" s="184"/>
      <c r="AM403" s="184"/>
      <c r="AN403" s="184"/>
      <c r="AO403" s="184"/>
      <c r="AP403" s="184"/>
      <c r="AQ403" s="184"/>
      <c r="AR403" s="184"/>
    </row>
    <row r="404" spans="1:44" s="331" customFormat="1" ht="12" customHeight="1">
      <c r="A404" s="184"/>
      <c r="P404" s="277"/>
      <c r="X404" s="184"/>
      <c r="Y404" s="184"/>
      <c r="Z404" s="184"/>
      <c r="AA404" s="184"/>
      <c r="AB404" s="184"/>
      <c r="AC404" s="184"/>
      <c r="AD404" s="184"/>
      <c r="AE404" s="184"/>
      <c r="AF404" s="184"/>
      <c r="AG404" s="184"/>
      <c r="AH404" s="184"/>
      <c r="AI404" s="184"/>
      <c r="AJ404" s="184"/>
      <c r="AK404" s="184"/>
      <c r="AL404" s="184"/>
      <c r="AM404" s="184"/>
      <c r="AN404" s="184"/>
      <c r="AO404" s="184"/>
      <c r="AP404" s="184"/>
      <c r="AQ404" s="184"/>
      <c r="AR404" s="184"/>
    </row>
    <row r="405" spans="1:44" s="331" customFormat="1" ht="12" customHeight="1">
      <c r="A405" s="184"/>
      <c r="P405" s="277"/>
      <c r="X405" s="184"/>
      <c r="Y405" s="184"/>
      <c r="Z405" s="184"/>
      <c r="AA405" s="184"/>
      <c r="AB405" s="184"/>
      <c r="AC405" s="184"/>
      <c r="AD405" s="184"/>
      <c r="AE405" s="184"/>
      <c r="AF405" s="184"/>
      <c r="AG405" s="184"/>
      <c r="AH405" s="184"/>
      <c r="AI405" s="184"/>
      <c r="AJ405" s="184"/>
      <c r="AK405" s="184"/>
      <c r="AL405" s="184"/>
      <c r="AM405" s="184"/>
      <c r="AN405" s="184"/>
      <c r="AO405" s="184"/>
      <c r="AP405" s="184"/>
      <c r="AQ405" s="184"/>
      <c r="AR405" s="184"/>
    </row>
    <row r="406" spans="1:44" s="331" customFormat="1" ht="12" customHeight="1">
      <c r="A406" s="184"/>
      <c r="P406" s="277"/>
      <c r="X406" s="184"/>
      <c r="Y406" s="184"/>
      <c r="Z406" s="184"/>
      <c r="AA406" s="184"/>
      <c r="AB406" s="184"/>
      <c r="AC406" s="184"/>
      <c r="AD406" s="184"/>
      <c r="AE406" s="184"/>
      <c r="AF406" s="184"/>
      <c r="AG406" s="184"/>
      <c r="AH406" s="184"/>
      <c r="AI406" s="184"/>
      <c r="AJ406" s="184"/>
      <c r="AK406" s="184"/>
      <c r="AL406" s="184"/>
      <c r="AM406" s="184"/>
      <c r="AN406" s="184"/>
      <c r="AO406" s="184"/>
      <c r="AP406" s="184"/>
      <c r="AQ406" s="184"/>
      <c r="AR406" s="184"/>
    </row>
    <row r="407" spans="1:44" s="331" customFormat="1" ht="12" customHeight="1">
      <c r="A407" s="184"/>
      <c r="P407" s="277"/>
      <c r="X407" s="184"/>
      <c r="Y407" s="184"/>
      <c r="Z407" s="184"/>
      <c r="AA407" s="184"/>
      <c r="AB407" s="184"/>
      <c r="AC407" s="184"/>
      <c r="AD407" s="184"/>
      <c r="AE407" s="184"/>
      <c r="AF407" s="184"/>
      <c r="AG407" s="184"/>
      <c r="AH407" s="184"/>
      <c r="AI407" s="184"/>
      <c r="AJ407" s="184"/>
      <c r="AK407" s="184"/>
      <c r="AL407" s="184"/>
      <c r="AM407" s="184"/>
      <c r="AN407" s="184"/>
      <c r="AO407" s="184"/>
      <c r="AP407" s="184"/>
      <c r="AQ407" s="184"/>
      <c r="AR407" s="184"/>
    </row>
    <row r="408" spans="1:44" s="331" customFormat="1" ht="12" customHeight="1">
      <c r="A408" s="184"/>
      <c r="P408" s="277"/>
      <c r="X408" s="184"/>
      <c r="Y408" s="184"/>
      <c r="Z408" s="184"/>
      <c r="AA408" s="184"/>
      <c r="AB408" s="184"/>
      <c r="AC408" s="184"/>
      <c r="AD408" s="184"/>
      <c r="AE408" s="184"/>
      <c r="AF408" s="184"/>
      <c r="AG408" s="184"/>
      <c r="AH408" s="184"/>
      <c r="AI408" s="184"/>
      <c r="AJ408" s="184"/>
      <c r="AK408" s="184"/>
      <c r="AL408" s="184"/>
      <c r="AM408" s="184"/>
      <c r="AN408" s="184"/>
      <c r="AO408" s="184"/>
      <c r="AP408" s="184"/>
      <c r="AQ408" s="184"/>
      <c r="AR408" s="184"/>
    </row>
    <row r="409" spans="1:44" s="331" customFormat="1" ht="12" customHeight="1">
      <c r="A409" s="184"/>
      <c r="P409" s="277"/>
      <c r="X409" s="184"/>
      <c r="Y409" s="184"/>
      <c r="Z409" s="184"/>
      <c r="AA409" s="184"/>
      <c r="AB409" s="184"/>
      <c r="AC409" s="184"/>
      <c r="AD409" s="184"/>
      <c r="AE409" s="184"/>
      <c r="AF409" s="184"/>
      <c r="AG409" s="184"/>
      <c r="AH409" s="184"/>
      <c r="AI409" s="184"/>
      <c r="AJ409" s="184"/>
      <c r="AK409" s="184"/>
      <c r="AL409" s="184"/>
      <c r="AM409" s="184"/>
      <c r="AN409" s="184"/>
      <c r="AO409" s="184"/>
      <c r="AP409" s="184"/>
      <c r="AQ409" s="184"/>
      <c r="AR409" s="184"/>
    </row>
    <row r="410" spans="1:44" s="331" customFormat="1" ht="12" customHeight="1">
      <c r="A410" s="184"/>
      <c r="P410" s="277"/>
      <c r="X410" s="184"/>
      <c r="Y410" s="184"/>
      <c r="Z410" s="184"/>
      <c r="AA410" s="184"/>
      <c r="AB410" s="184"/>
      <c r="AC410" s="184"/>
      <c r="AD410" s="184"/>
      <c r="AE410" s="184"/>
      <c r="AF410" s="184"/>
      <c r="AG410" s="184"/>
      <c r="AH410" s="184"/>
      <c r="AI410" s="184"/>
      <c r="AJ410" s="184"/>
      <c r="AK410" s="184"/>
      <c r="AL410" s="184"/>
      <c r="AM410" s="184"/>
      <c r="AN410" s="184"/>
      <c r="AO410" s="184"/>
      <c r="AP410" s="184"/>
      <c r="AQ410" s="184"/>
      <c r="AR410" s="184"/>
    </row>
    <row r="411" spans="1:44" s="331" customFormat="1" ht="12" customHeight="1">
      <c r="A411" s="184"/>
      <c r="P411" s="277"/>
      <c r="X411" s="184"/>
      <c r="Y411" s="184"/>
      <c r="Z411" s="184"/>
      <c r="AA411" s="184"/>
      <c r="AB411" s="184"/>
      <c r="AC411" s="184"/>
      <c r="AD411" s="184"/>
      <c r="AE411" s="184"/>
      <c r="AF411" s="184"/>
      <c r="AG411" s="184"/>
      <c r="AH411" s="184"/>
      <c r="AI411" s="184"/>
      <c r="AJ411" s="184"/>
      <c r="AK411" s="184"/>
      <c r="AL411" s="184"/>
      <c r="AM411" s="184"/>
      <c r="AN411" s="184"/>
      <c r="AO411" s="184"/>
      <c r="AP411" s="184"/>
      <c r="AQ411" s="184"/>
      <c r="AR411" s="184"/>
    </row>
    <row r="412" spans="1:44" s="331" customFormat="1" ht="12" customHeight="1">
      <c r="A412" s="184"/>
      <c r="P412" s="277"/>
      <c r="X412" s="184"/>
      <c r="Y412" s="184"/>
      <c r="Z412" s="184"/>
      <c r="AA412" s="184"/>
      <c r="AB412" s="184"/>
      <c r="AC412" s="184"/>
      <c r="AD412" s="184"/>
      <c r="AE412" s="184"/>
      <c r="AF412" s="184"/>
      <c r="AG412" s="184"/>
      <c r="AH412" s="184"/>
      <c r="AI412" s="184"/>
      <c r="AJ412" s="184"/>
      <c r="AK412" s="184"/>
      <c r="AL412" s="184"/>
      <c r="AM412" s="184"/>
      <c r="AN412" s="184"/>
      <c r="AO412" s="184"/>
      <c r="AP412" s="184"/>
      <c r="AQ412" s="184"/>
      <c r="AR412" s="184"/>
    </row>
    <row r="413" spans="1:44" s="331" customFormat="1" ht="12" customHeight="1">
      <c r="A413" s="184"/>
      <c r="P413" s="277"/>
      <c r="X413" s="184"/>
      <c r="Y413" s="184"/>
      <c r="Z413" s="184"/>
      <c r="AA413" s="184"/>
      <c r="AB413" s="184"/>
      <c r="AC413" s="184"/>
      <c r="AD413" s="184"/>
      <c r="AE413" s="184"/>
      <c r="AF413" s="184"/>
      <c r="AG413" s="184"/>
      <c r="AH413" s="184"/>
      <c r="AI413" s="184"/>
      <c r="AJ413" s="184"/>
      <c r="AK413" s="184"/>
      <c r="AL413" s="184"/>
      <c r="AM413" s="184"/>
      <c r="AN413" s="184"/>
      <c r="AO413" s="184"/>
      <c r="AP413" s="184"/>
      <c r="AQ413" s="184"/>
      <c r="AR413" s="184"/>
    </row>
    <row r="414" spans="1:44" s="331" customFormat="1" ht="12" customHeight="1">
      <c r="A414" s="184"/>
      <c r="P414" s="277"/>
      <c r="X414" s="184"/>
      <c r="Y414" s="184"/>
      <c r="Z414" s="184"/>
      <c r="AA414" s="184"/>
      <c r="AB414" s="184"/>
      <c r="AC414" s="184"/>
      <c r="AD414" s="184"/>
      <c r="AE414" s="184"/>
      <c r="AF414" s="184"/>
      <c r="AG414" s="184"/>
      <c r="AH414" s="184"/>
      <c r="AI414" s="184"/>
      <c r="AJ414" s="184"/>
      <c r="AK414" s="184"/>
      <c r="AL414" s="184"/>
      <c r="AM414" s="184"/>
      <c r="AN414" s="184"/>
      <c r="AO414" s="184"/>
      <c r="AP414" s="184"/>
      <c r="AQ414" s="184"/>
      <c r="AR414" s="184"/>
    </row>
    <row r="415" spans="1:44" s="331" customFormat="1" ht="12" customHeight="1">
      <c r="A415" s="184"/>
      <c r="P415" s="277"/>
      <c r="X415" s="184"/>
      <c r="Y415" s="184"/>
      <c r="Z415" s="184"/>
      <c r="AA415" s="184"/>
      <c r="AB415" s="184"/>
      <c r="AC415" s="184"/>
      <c r="AD415" s="184"/>
      <c r="AE415" s="184"/>
      <c r="AF415" s="184"/>
      <c r="AG415" s="184"/>
      <c r="AH415" s="184"/>
      <c r="AI415" s="184"/>
      <c r="AJ415" s="184"/>
      <c r="AK415" s="184"/>
      <c r="AL415" s="184"/>
      <c r="AM415" s="184"/>
      <c r="AN415" s="184"/>
      <c r="AO415" s="184"/>
      <c r="AP415" s="184"/>
      <c r="AQ415" s="184"/>
      <c r="AR415" s="184"/>
    </row>
    <row r="416" spans="1:44" s="331" customFormat="1" ht="12" customHeight="1">
      <c r="A416" s="184"/>
      <c r="P416" s="277"/>
      <c r="X416" s="184"/>
      <c r="Y416" s="184"/>
      <c r="Z416" s="184"/>
      <c r="AA416" s="184"/>
      <c r="AB416" s="184"/>
      <c r="AC416" s="184"/>
      <c r="AD416" s="184"/>
      <c r="AE416" s="184"/>
      <c r="AF416" s="184"/>
      <c r="AG416" s="184"/>
      <c r="AH416" s="184"/>
      <c r="AI416" s="184"/>
      <c r="AJ416" s="184"/>
      <c r="AK416" s="184"/>
      <c r="AL416" s="184"/>
      <c r="AM416" s="184"/>
      <c r="AN416" s="184"/>
      <c r="AO416" s="184"/>
      <c r="AP416" s="184"/>
      <c r="AQ416" s="184"/>
      <c r="AR416" s="184"/>
    </row>
    <row r="417" spans="1:44" s="331" customFormat="1" ht="12" customHeight="1">
      <c r="A417" s="184"/>
      <c r="P417" s="277"/>
      <c r="X417" s="184"/>
      <c r="Y417" s="184"/>
      <c r="Z417" s="184"/>
      <c r="AA417" s="184"/>
      <c r="AB417" s="184"/>
      <c r="AC417" s="184"/>
      <c r="AD417" s="184"/>
      <c r="AE417" s="184"/>
      <c r="AF417" s="184"/>
      <c r="AG417" s="184"/>
      <c r="AH417" s="184"/>
      <c r="AI417" s="184"/>
      <c r="AJ417" s="184"/>
      <c r="AK417" s="184"/>
      <c r="AL417" s="184"/>
      <c r="AM417" s="184"/>
      <c r="AN417" s="184"/>
      <c r="AO417" s="184"/>
      <c r="AP417" s="184"/>
      <c r="AQ417" s="184"/>
      <c r="AR417" s="184"/>
    </row>
    <row r="418" spans="1:44" s="331" customFormat="1" ht="12" customHeight="1">
      <c r="A418" s="184"/>
      <c r="P418" s="277"/>
      <c r="X418" s="184"/>
      <c r="Y418" s="184"/>
      <c r="Z418" s="184"/>
      <c r="AA418" s="184"/>
      <c r="AB418" s="184"/>
      <c r="AC418" s="184"/>
      <c r="AD418" s="184"/>
      <c r="AE418" s="184"/>
      <c r="AF418" s="184"/>
      <c r="AG418" s="184"/>
      <c r="AH418" s="184"/>
      <c r="AI418" s="184"/>
      <c r="AJ418" s="184"/>
      <c r="AK418" s="184"/>
      <c r="AL418" s="184"/>
      <c r="AM418" s="184"/>
      <c r="AN418" s="184"/>
      <c r="AO418" s="184"/>
      <c r="AP418" s="184"/>
      <c r="AQ418" s="184"/>
      <c r="AR418" s="184"/>
    </row>
    <row r="419" spans="1:44" s="331" customFormat="1" ht="12" customHeight="1">
      <c r="A419" s="184"/>
      <c r="P419" s="403"/>
      <c r="X419" s="184"/>
      <c r="Y419" s="184"/>
      <c r="Z419" s="184"/>
      <c r="AA419" s="184"/>
      <c r="AB419" s="184"/>
      <c r="AC419" s="184"/>
      <c r="AD419" s="184"/>
      <c r="AE419" s="184"/>
      <c r="AF419" s="184"/>
      <c r="AG419" s="184"/>
      <c r="AH419" s="184"/>
      <c r="AI419" s="184"/>
      <c r="AJ419" s="184"/>
      <c r="AK419" s="184"/>
      <c r="AL419" s="184"/>
      <c r="AM419" s="184"/>
      <c r="AN419" s="184"/>
      <c r="AO419" s="184"/>
      <c r="AP419" s="184"/>
      <c r="AQ419" s="184"/>
      <c r="AR419" s="184"/>
    </row>
    <row r="420" spans="1:44" s="331" customFormat="1" ht="12" customHeight="1">
      <c r="A420" s="184"/>
      <c r="P420" s="277"/>
      <c r="X420" s="184"/>
      <c r="Y420" s="184"/>
      <c r="Z420" s="184"/>
      <c r="AA420" s="184"/>
      <c r="AB420" s="184"/>
      <c r="AC420" s="184"/>
      <c r="AD420" s="184"/>
      <c r="AE420" s="184"/>
      <c r="AF420" s="184"/>
      <c r="AG420" s="184"/>
      <c r="AH420" s="184"/>
      <c r="AI420" s="184"/>
      <c r="AJ420" s="184"/>
      <c r="AK420" s="184"/>
      <c r="AL420" s="184"/>
      <c r="AM420" s="184"/>
      <c r="AN420" s="184"/>
      <c r="AO420" s="184"/>
      <c r="AP420" s="184"/>
      <c r="AQ420" s="184"/>
      <c r="AR420" s="184"/>
    </row>
    <row r="421" spans="1:44" s="331" customFormat="1" ht="12" customHeight="1">
      <c r="A421" s="184"/>
      <c r="P421" s="277"/>
      <c r="X421" s="184"/>
      <c r="Y421" s="184"/>
      <c r="Z421" s="184"/>
      <c r="AA421" s="184"/>
      <c r="AB421" s="184"/>
      <c r="AC421" s="184"/>
      <c r="AD421" s="184"/>
      <c r="AE421" s="184"/>
      <c r="AF421" s="184"/>
      <c r="AG421" s="184"/>
      <c r="AH421" s="184"/>
      <c r="AI421" s="184"/>
      <c r="AJ421" s="184"/>
      <c r="AK421" s="184"/>
      <c r="AL421" s="184"/>
      <c r="AM421" s="184"/>
      <c r="AN421" s="184"/>
      <c r="AO421" s="184"/>
      <c r="AP421" s="184"/>
      <c r="AQ421" s="184"/>
      <c r="AR421" s="184"/>
    </row>
    <row r="422" spans="1:44" s="331" customFormat="1" ht="12" customHeight="1">
      <c r="A422" s="184"/>
      <c r="P422" s="277"/>
      <c r="X422" s="184"/>
      <c r="Y422" s="184"/>
      <c r="Z422" s="184"/>
      <c r="AA422" s="184"/>
      <c r="AB422" s="184"/>
      <c r="AC422" s="184"/>
      <c r="AD422" s="184"/>
      <c r="AE422" s="184"/>
      <c r="AF422" s="184"/>
      <c r="AG422" s="184"/>
      <c r="AH422" s="184"/>
      <c r="AI422" s="184"/>
      <c r="AJ422" s="184"/>
      <c r="AK422" s="184"/>
      <c r="AL422" s="184"/>
      <c r="AM422" s="184"/>
      <c r="AN422" s="184"/>
      <c r="AO422" s="184"/>
      <c r="AP422" s="184"/>
      <c r="AQ422" s="184"/>
      <c r="AR422" s="184"/>
    </row>
    <row r="423" spans="1:44" s="331" customFormat="1" ht="12" customHeight="1">
      <c r="A423" s="184"/>
      <c r="P423" s="277"/>
      <c r="X423" s="184"/>
      <c r="Y423" s="184"/>
      <c r="Z423" s="184"/>
      <c r="AA423" s="184"/>
      <c r="AB423" s="184"/>
      <c r="AC423" s="184"/>
      <c r="AD423" s="184"/>
      <c r="AE423" s="184"/>
      <c r="AF423" s="184"/>
      <c r="AG423" s="184"/>
      <c r="AH423" s="184"/>
      <c r="AI423" s="184"/>
      <c r="AJ423" s="184"/>
      <c r="AK423" s="184"/>
      <c r="AL423" s="184"/>
      <c r="AM423" s="184"/>
      <c r="AN423" s="184"/>
      <c r="AO423" s="184"/>
      <c r="AP423" s="184"/>
      <c r="AQ423" s="184"/>
      <c r="AR423" s="184"/>
    </row>
    <row r="424" spans="1:44" s="331" customFormat="1" ht="12" customHeight="1">
      <c r="A424" s="184"/>
      <c r="P424" s="277"/>
      <c r="X424" s="184"/>
      <c r="Y424" s="184"/>
      <c r="Z424" s="184"/>
      <c r="AA424" s="184"/>
      <c r="AB424" s="184"/>
      <c r="AC424" s="184"/>
      <c r="AD424" s="184"/>
      <c r="AE424" s="184"/>
      <c r="AF424" s="184"/>
      <c r="AG424" s="184"/>
      <c r="AH424" s="184"/>
      <c r="AI424" s="184"/>
      <c r="AJ424" s="184"/>
      <c r="AK424" s="184"/>
      <c r="AL424" s="184"/>
      <c r="AM424" s="184"/>
      <c r="AN424" s="184"/>
      <c r="AO424" s="184"/>
      <c r="AP424" s="184"/>
      <c r="AQ424" s="184"/>
      <c r="AR424" s="184"/>
    </row>
    <row r="425" spans="1:44" s="331" customFormat="1" ht="12" customHeight="1">
      <c r="A425" s="184"/>
      <c r="P425" s="277"/>
      <c r="X425" s="184"/>
      <c r="Y425" s="184"/>
      <c r="Z425" s="184"/>
      <c r="AA425" s="184"/>
      <c r="AB425" s="184"/>
      <c r="AC425" s="184"/>
      <c r="AD425" s="184"/>
      <c r="AE425" s="184"/>
      <c r="AF425" s="184"/>
      <c r="AG425" s="184"/>
      <c r="AH425" s="184"/>
      <c r="AI425" s="184"/>
      <c r="AJ425" s="184"/>
      <c r="AK425" s="184"/>
      <c r="AL425" s="184"/>
      <c r="AM425" s="184"/>
      <c r="AN425" s="184"/>
      <c r="AO425" s="184"/>
      <c r="AP425" s="184"/>
      <c r="AQ425" s="184"/>
      <c r="AR425" s="184"/>
    </row>
    <row r="426" spans="1:44" s="331" customFormat="1" ht="12" customHeight="1">
      <c r="A426" s="184"/>
      <c r="P426" s="277"/>
      <c r="X426" s="184"/>
      <c r="Y426" s="184"/>
      <c r="Z426" s="184"/>
      <c r="AA426" s="184"/>
      <c r="AB426" s="184"/>
      <c r="AC426" s="184"/>
      <c r="AD426" s="184"/>
      <c r="AE426" s="184"/>
      <c r="AF426" s="184"/>
      <c r="AG426" s="184"/>
      <c r="AH426" s="184"/>
      <c r="AI426" s="184"/>
      <c r="AJ426" s="184"/>
      <c r="AK426" s="184"/>
      <c r="AL426" s="184"/>
      <c r="AM426" s="184"/>
      <c r="AN426" s="184"/>
      <c r="AO426" s="184"/>
      <c r="AP426" s="184"/>
      <c r="AQ426" s="184"/>
      <c r="AR426" s="184"/>
    </row>
    <row r="427" spans="1:44" s="331" customFormat="1" ht="12" customHeight="1">
      <c r="A427" s="184"/>
      <c r="P427" s="277"/>
      <c r="X427" s="184"/>
      <c r="Y427" s="184"/>
      <c r="Z427" s="184"/>
      <c r="AA427" s="184"/>
      <c r="AB427" s="184"/>
      <c r="AC427" s="184"/>
      <c r="AD427" s="184"/>
      <c r="AE427" s="184"/>
      <c r="AF427" s="184"/>
      <c r="AG427" s="184"/>
      <c r="AH427" s="184"/>
      <c r="AI427" s="184"/>
      <c r="AJ427" s="184"/>
      <c r="AK427" s="184"/>
      <c r="AL427" s="184"/>
      <c r="AM427" s="184"/>
      <c r="AN427" s="184"/>
      <c r="AO427" s="184"/>
      <c r="AP427" s="184"/>
      <c r="AQ427" s="184"/>
      <c r="AR427" s="184"/>
    </row>
    <row r="428" spans="1:44" s="331" customFormat="1" ht="12" customHeight="1">
      <c r="A428" s="184"/>
      <c r="P428" s="403"/>
      <c r="X428" s="184"/>
      <c r="Y428" s="184"/>
      <c r="Z428" s="184"/>
      <c r="AA428" s="184"/>
      <c r="AB428" s="184"/>
      <c r="AC428" s="184"/>
      <c r="AD428" s="184"/>
      <c r="AE428" s="184"/>
      <c r="AF428" s="184"/>
      <c r="AG428" s="184"/>
      <c r="AH428" s="184"/>
      <c r="AI428" s="184"/>
      <c r="AJ428" s="184"/>
      <c r="AK428" s="184"/>
      <c r="AL428" s="184"/>
      <c r="AM428" s="184"/>
      <c r="AN428" s="184"/>
      <c r="AO428" s="184"/>
      <c r="AP428" s="184"/>
      <c r="AQ428" s="184"/>
      <c r="AR428" s="184"/>
    </row>
    <row r="429" spans="1:44" s="331" customFormat="1" ht="12" customHeight="1">
      <c r="A429" s="184"/>
      <c r="P429" s="403"/>
      <c r="X429" s="184"/>
      <c r="Y429" s="184"/>
      <c r="Z429" s="184"/>
      <c r="AA429" s="184"/>
      <c r="AB429" s="184"/>
      <c r="AC429" s="184"/>
      <c r="AD429" s="184"/>
      <c r="AE429" s="184"/>
      <c r="AF429" s="184"/>
      <c r="AG429" s="184"/>
      <c r="AH429" s="184"/>
      <c r="AI429" s="184"/>
      <c r="AJ429" s="184"/>
      <c r="AK429" s="184"/>
      <c r="AL429" s="184"/>
      <c r="AM429" s="184"/>
      <c r="AN429" s="184"/>
      <c r="AO429" s="184"/>
      <c r="AP429" s="184"/>
      <c r="AQ429" s="184"/>
      <c r="AR429" s="184"/>
    </row>
    <row r="430" spans="1:44" s="331" customFormat="1" ht="12" customHeight="1">
      <c r="A430" s="184"/>
      <c r="P430" s="277"/>
      <c r="X430" s="184"/>
      <c r="Y430" s="184"/>
      <c r="Z430" s="184"/>
      <c r="AA430" s="184"/>
      <c r="AB430" s="184"/>
      <c r="AC430" s="184"/>
      <c r="AD430" s="184"/>
      <c r="AE430" s="184"/>
      <c r="AF430" s="184"/>
      <c r="AG430" s="184"/>
      <c r="AH430" s="184"/>
      <c r="AI430" s="184"/>
      <c r="AJ430" s="184"/>
      <c r="AK430" s="184"/>
      <c r="AL430" s="184"/>
      <c r="AM430" s="184"/>
      <c r="AN430" s="184"/>
      <c r="AO430" s="184"/>
      <c r="AP430" s="184"/>
      <c r="AQ430" s="184"/>
      <c r="AR430" s="184"/>
    </row>
    <row r="431" spans="1:44" s="331" customFormat="1" ht="12" customHeight="1">
      <c r="A431" s="184"/>
      <c r="P431" s="277"/>
      <c r="X431" s="184"/>
      <c r="Y431" s="184"/>
      <c r="Z431" s="184"/>
      <c r="AA431" s="184"/>
      <c r="AB431" s="184"/>
      <c r="AC431" s="184"/>
      <c r="AD431" s="184"/>
      <c r="AE431" s="184"/>
      <c r="AF431" s="184"/>
      <c r="AG431" s="184"/>
      <c r="AH431" s="184"/>
      <c r="AI431" s="184"/>
      <c r="AJ431" s="184"/>
      <c r="AK431" s="184"/>
      <c r="AL431" s="184"/>
      <c r="AM431" s="184"/>
      <c r="AN431" s="184"/>
      <c r="AO431" s="184"/>
      <c r="AP431" s="184"/>
      <c r="AQ431" s="184"/>
      <c r="AR431" s="184"/>
    </row>
    <row r="432" spans="1:44" s="331" customFormat="1" ht="12" customHeight="1">
      <c r="A432" s="184"/>
      <c r="P432" s="277"/>
      <c r="X432" s="184"/>
      <c r="Y432" s="184"/>
      <c r="Z432" s="184"/>
      <c r="AA432" s="184"/>
      <c r="AB432" s="184"/>
      <c r="AC432" s="184"/>
      <c r="AD432" s="184"/>
      <c r="AE432" s="184"/>
      <c r="AF432" s="184"/>
      <c r="AG432" s="184"/>
      <c r="AH432" s="184"/>
      <c r="AI432" s="184"/>
      <c r="AJ432" s="184"/>
      <c r="AK432" s="184"/>
      <c r="AL432" s="184"/>
      <c r="AM432" s="184"/>
      <c r="AN432" s="184"/>
      <c r="AO432" s="184"/>
      <c r="AP432" s="184"/>
      <c r="AQ432" s="184"/>
      <c r="AR432" s="184"/>
    </row>
    <row r="433" spans="1:44" s="331" customFormat="1" ht="12" customHeight="1">
      <c r="A433" s="184"/>
      <c r="P433" s="277"/>
      <c r="X433" s="184"/>
      <c r="Y433" s="184"/>
      <c r="Z433" s="184"/>
      <c r="AA433" s="184"/>
      <c r="AB433" s="184"/>
      <c r="AC433" s="184"/>
      <c r="AD433" s="184"/>
      <c r="AE433" s="184"/>
      <c r="AF433" s="184"/>
      <c r="AG433" s="184"/>
      <c r="AH433" s="184"/>
      <c r="AI433" s="184"/>
      <c r="AJ433" s="184"/>
      <c r="AK433" s="184"/>
      <c r="AL433" s="184"/>
      <c r="AM433" s="184"/>
      <c r="AN433" s="184"/>
      <c r="AO433" s="184"/>
      <c r="AP433" s="184"/>
      <c r="AQ433" s="184"/>
      <c r="AR433" s="184"/>
    </row>
    <row r="434" spans="1:44" s="331" customFormat="1" ht="12" customHeight="1">
      <c r="A434" s="184"/>
      <c r="P434" s="277"/>
      <c r="X434" s="184"/>
      <c r="Y434" s="184"/>
      <c r="Z434" s="184"/>
      <c r="AA434" s="184"/>
      <c r="AB434" s="184"/>
      <c r="AC434" s="184"/>
      <c r="AD434" s="184"/>
      <c r="AE434" s="184"/>
      <c r="AF434" s="184"/>
      <c r="AG434" s="184"/>
      <c r="AH434" s="184"/>
      <c r="AI434" s="184"/>
      <c r="AJ434" s="184"/>
      <c r="AK434" s="184"/>
      <c r="AL434" s="184"/>
      <c r="AM434" s="184"/>
      <c r="AN434" s="184"/>
      <c r="AO434" s="184"/>
      <c r="AP434" s="184"/>
      <c r="AQ434" s="184"/>
      <c r="AR434" s="184"/>
    </row>
    <row r="435" spans="1:44" s="331" customFormat="1" ht="12" customHeight="1">
      <c r="A435" s="184"/>
      <c r="P435" s="277"/>
      <c r="X435" s="184"/>
      <c r="Y435" s="184"/>
      <c r="Z435" s="184"/>
      <c r="AA435" s="184"/>
      <c r="AB435" s="184"/>
      <c r="AC435" s="184"/>
      <c r="AD435" s="184"/>
      <c r="AE435" s="184"/>
      <c r="AF435" s="184"/>
      <c r="AG435" s="184"/>
      <c r="AH435" s="184"/>
      <c r="AI435" s="184"/>
      <c r="AJ435" s="184"/>
      <c r="AK435" s="184"/>
      <c r="AL435" s="184"/>
      <c r="AM435" s="184"/>
      <c r="AN435" s="184"/>
      <c r="AO435" s="184"/>
      <c r="AP435" s="184"/>
      <c r="AQ435" s="184"/>
      <c r="AR435" s="184"/>
    </row>
    <row r="436" spans="1:44" s="331" customFormat="1" ht="12" customHeight="1">
      <c r="A436" s="184"/>
      <c r="P436" s="277"/>
      <c r="X436" s="184"/>
      <c r="Y436" s="184"/>
      <c r="Z436" s="184"/>
      <c r="AA436" s="184"/>
      <c r="AB436" s="184"/>
      <c r="AC436" s="184"/>
      <c r="AD436" s="184"/>
      <c r="AE436" s="184"/>
      <c r="AF436" s="184"/>
      <c r="AG436" s="184"/>
      <c r="AH436" s="184"/>
      <c r="AI436" s="184"/>
      <c r="AJ436" s="184"/>
      <c r="AK436" s="184"/>
      <c r="AL436" s="184"/>
      <c r="AM436" s="184"/>
      <c r="AN436" s="184"/>
      <c r="AO436" s="184"/>
      <c r="AP436" s="184"/>
      <c r="AQ436" s="184"/>
      <c r="AR436" s="184"/>
    </row>
    <row r="437" spans="1:44" s="331" customFormat="1" ht="12" customHeight="1">
      <c r="A437" s="184"/>
      <c r="P437" s="277"/>
      <c r="X437" s="184"/>
      <c r="Y437" s="184"/>
      <c r="Z437" s="184"/>
      <c r="AA437" s="184"/>
      <c r="AB437" s="184"/>
      <c r="AC437" s="184"/>
      <c r="AD437" s="184"/>
      <c r="AE437" s="184"/>
      <c r="AF437" s="184"/>
      <c r="AG437" s="184"/>
      <c r="AH437" s="184"/>
      <c r="AI437" s="184"/>
      <c r="AJ437" s="184"/>
      <c r="AK437" s="184"/>
      <c r="AL437" s="184"/>
      <c r="AM437" s="184"/>
      <c r="AN437" s="184"/>
      <c r="AO437" s="184"/>
      <c r="AP437" s="184"/>
      <c r="AQ437" s="184"/>
      <c r="AR437" s="184"/>
    </row>
    <row r="438" spans="1:44" s="331" customFormat="1" ht="12" customHeight="1">
      <c r="A438" s="184"/>
      <c r="P438" s="277"/>
      <c r="X438" s="184"/>
      <c r="Y438" s="184"/>
      <c r="Z438" s="184"/>
      <c r="AA438" s="184"/>
      <c r="AB438" s="184"/>
      <c r="AC438" s="184"/>
      <c r="AD438" s="184"/>
      <c r="AE438" s="184"/>
      <c r="AF438" s="184"/>
      <c r="AG438" s="184"/>
      <c r="AH438" s="184"/>
      <c r="AI438" s="184"/>
      <c r="AJ438" s="184"/>
      <c r="AK438" s="184"/>
      <c r="AL438" s="184"/>
      <c r="AM438" s="184"/>
      <c r="AN438" s="184"/>
      <c r="AO438" s="184"/>
      <c r="AP438" s="184"/>
      <c r="AQ438" s="184"/>
      <c r="AR438" s="184"/>
    </row>
    <row r="439" spans="1:44" s="331" customFormat="1" ht="12" customHeight="1">
      <c r="A439" s="184"/>
      <c r="P439" s="403"/>
      <c r="X439" s="184"/>
      <c r="Y439" s="184"/>
      <c r="Z439" s="184"/>
      <c r="AA439" s="184"/>
      <c r="AB439" s="184"/>
      <c r="AC439" s="184"/>
      <c r="AD439" s="184"/>
      <c r="AE439" s="184"/>
      <c r="AF439" s="184"/>
      <c r="AG439" s="184"/>
      <c r="AH439" s="184"/>
      <c r="AI439" s="184"/>
      <c r="AJ439" s="184"/>
      <c r="AK439" s="184"/>
      <c r="AL439" s="184"/>
      <c r="AM439" s="184"/>
      <c r="AN439" s="184"/>
      <c r="AO439" s="184"/>
      <c r="AP439" s="184"/>
      <c r="AQ439" s="184"/>
      <c r="AR439" s="184"/>
    </row>
    <row r="440" spans="1:44" s="331" customFormat="1" ht="12" customHeight="1">
      <c r="A440" s="184"/>
      <c r="P440" s="277"/>
      <c r="X440" s="184"/>
      <c r="Y440" s="184"/>
      <c r="Z440" s="184"/>
      <c r="AA440" s="184"/>
      <c r="AB440" s="184"/>
      <c r="AC440" s="184"/>
      <c r="AD440" s="184"/>
      <c r="AE440" s="184"/>
      <c r="AF440" s="184"/>
      <c r="AG440" s="184"/>
      <c r="AH440" s="184"/>
      <c r="AI440" s="184"/>
      <c r="AJ440" s="184"/>
      <c r="AK440" s="184"/>
      <c r="AL440" s="184"/>
      <c r="AM440" s="184"/>
      <c r="AN440" s="184"/>
      <c r="AO440" s="184"/>
      <c r="AP440" s="184"/>
      <c r="AQ440" s="184"/>
      <c r="AR440" s="184"/>
    </row>
    <row r="441" spans="1:44" s="331" customFormat="1" ht="12" customHeight="1">
      <c r="A441" s="184"/>
      <c r="P441" s="402"/>
      <c r="X441" s="184"/>
      <c r="Y441" s="184"/>
      <c r="Z441" s="184"/>
      <c r="AA441" s="184"/>
      <c r="AB441" s="184"/>
      <c r="AC441" s="184"/>
      <c r="AD441" s="184"/>
      <c r="AE441" s="184"/>
      <c r="AF441" s="184"/>
      <c r="AG441" s="184"/>
      <c r="AH441" s="184"/>
      <c r="AI441" s="184"/>
      <c r="AJ441" s="184"/>
      <c r="AK441" s="184"/>
      <c r="AL441" s="184"/>
      <c r="AM441" s="184"/>
      <c r="AN441" s="184"/>
      <c r="AO441" s="184"/>
      <c r="AP441" s="184"/>
      <c r="AQ441" s="184"/>
      <c r="AR441" s="184"/>
    </row>
    <row r="442" spans="1:44" s="331" customFormat="1" ht="12" customHeight="1">
      <c r="A442" s="184"/>
      <c r="P442" s="402"/>
      <c r="X442" s="184"/>
      <c r="Y442" s="184"/>
      <c r="Z442" s="184"/>
      <c r="AA442" s="184"/>
      <c r="AB442" s="184"/>
      <c r="AC442" s="184"/>
      <c r="AD442" s="184"/>
      <c r="AE442" s="184"/>
      <c r="AF442" s="184"/>
      <c r="AG442" s="184"/>
      <c r="AH442" s="184"/>
      <c r="AI442" s="184"/>
      <c r="AJ442" s="184"/>
      <c r="AK442" s="184"/>
      <c r="AL442" s="184"/>
      <c r="AM442" s="184"/>
      <c r="AN442" s="184"/>
      <c r="AO442" s="184"/>
      <c r="AP442" s="184"/>
      <c r="AQ442" s="184"/>
      <c r="AR442" s="184"/>
    </row>
    <row r="443" spans="1:44" s="331" customFormat="1" ht="12" customHeight="1">
      <c r="A443" s="184"/>
      <c r="P443" s="277"/>
      <c r="X443" s="184"/>
      <c r="Y443" s="184"/>
      <c r="Z443" s="184"/>
      <c r="AA443" s="184"/>
      <c r="AB443" s="184"/>
      <c r="AC443" s="184"/>
      <c r="AD443" s="184"/>
      <c r="AE443" s="184"/>
      <c r="AF443" s="184"/>
      <c r="AG443" s="184"/>
      <c r="AH443" s="184"/>
      <c r="AI443" s="184"/>
      <c r="AJ443" s="184"/>
      <c r="AK443" s="184"/>
      <c r="AL443" s="184"/>
      <c r="AM443" s="184"/>
      <c r="AN443" s="184"/>
      <c r="AO443" s="184"/>
      <c r="AP443" s="184"/>
      <c r="AQ443" s="184"/>
      <c r="AR443" s="184"/>
    </row>
    <row r="444" spans="1:44" s="331" customFormat="1" ht="12" customHeight="1">
      <c r="A444" s="184"/>
      <c r="P444" s="277"/>
      <c r="X444" s="184"/>
      <c r="Y444" s="184"/>
      <c r="Z444" s="184"/>
      <c r="AA444" s="184"/>
      <c r="AB444" s="184"/>
      <c r="AC444" s="184"/>
      <c r="AD444" s="184"/>
      <c r="AE444" s="184"/>
      <c r="AF444" s="184"/>
      <c r="AG444" s="184"/>
      <c r="AH444" s="184"/>
      <c r="AI444" s="184"/>
      <c r="AJ444" s="184"/>
      <c r="AK444" s="184"/>
      <c r="AL444" s="184"/>
      <c r="AM444" s="184"/>
      <c r="AN444" s="184"/>
      <c r="AO444" s="184"/>
      <c r="AP444" s="184"/>
      <c r="AQ444" s="184"/>
      <c r="AR444" s="184"/>
    </row>
    <row r="445" spans="1:44" s="331" customFormat="1" ht="12" customHeight="1">
      <c r="A445" s="184"/>
      <c r="P445" s="277"/>
      <c r="X445" s="184"/>
      <c r="Y445" s="184"/>
      <c r="Z445" s="184"/>
      <c r="AA445" s="184"/>
      <c r="AB445" s="184"/>
      <c r="AC445" s="184"/>
      <c r="AD445" s="184"/>
      <c r="AE445" s="184"/>
      <c r="AF445" s="184"/>
      <c r="AG445" s="184"/>
      <c r="AH445" s="184"/>
      <c r="AI445" s="184"/>
      <c r="AJ445" s="184"/>
      <c r="AK445" s="184"/>
      <c r="AL445" s="184"/>
      <c r="AM445" s="184"/>
      <c r="AN445" s="184"/>
      <c r="AO445" s="184"/>
      <c r="AP445" s="184"/>
      <c r="AQ445" s="184"/>
      <c r="AR445" s="184"/>
    </row>
    <row r="446" spans="1:44" s="331" customFormat="1" ht="12" customHeight="1">
      <c r="A446" s="184"/>
      <c r="P446" s="277"/>
      <c r="X446" s="184"/>
      <c r="Y446" s="184"/>
      <c r="Z446" s="184"/>
      <c r="AA446" s="184"/>
      <c r="AB446" s="184"/>
      <c r="AC446" s="184"/>
      <c r="AD446" s="184"/>
      <c r="AE446" s="184"/>
      <c r="AF446" s="184"/>
      <c r="AG446" s="184"/>
      <c r="AH446" s="184"/>
      <c r="AI446" s="184"/>
      <c r="AJ446" s="184"/>
      <c r="AK446" s="184"/>
      <c r="AL446" s="184"/>
      <c r="AM446" s="184"/>
      <c r="AN446" s="184"/>
      <c r="AO446" s="184"/>
      <c r="AP446" s="184"/>
      <c r="AQ446" s="184"/>
      <c r="AR446" s="184"/>
    </row>
    <row r="447" spans="1:44" s="331" customFormat="1" ht="12" customHeight="1">
      <c r="A447" s="184"/>
      <c r="P447" s="277"/>
      <c r="X447" s="184"/>
      <c r="Y447" s="184"/>
      <c r="Z447" s="184"/>
      <c r="AA447" s="184"/>
      <c r="AB447" s="184"/>
      <c r="AC447" s="184"/>
      <c r="AD447" s="184"/>
      <c r="AE447" s="184"/>
      <c r="AF447" s="184"/>
      <c r="AG447" s="184"/>
      <c r="AH447" s="184"/>
      <c r="AI447" s="184"/>
      <c r="AJ447" s="184"/>
      <c r="AK447" s="184"/>
      <c r="AL447" s="184"/>
      <c r="AM447" s="184"/>
      <c r="AN447" s="184"/>
      <c r="AO447" s="184"/>
      <c r="AP447" s="184"/>
      <c r="AQ447" s="184"/>
      <c r="AR447" s="184"/>
    </row>
    <row r="448" spans="1:44" s="331" customFormat="1" ht="12" customHeight="1">
      <c r="A448" s="184"/>
      <c r="P448" s="277"/>
      <c r="X448" s="184"/>
      <c r="Y448" s="184"/>
      <c r="Z448" s="184"/>
      <c r="AA448" s="184"/>
      <c r="AB448" s="184"/>
      <c r="AC448" s="184"/>
      <c r="AD448" s="184"/>
      <c r="AE448" s="184"/>
      <c r="AF448" s="184"/>
      <c r="AG448" s="184"/>
      <c r="AH448" s="184"/>
      <c r="AI448" s="184"/>
      <c r="AJ448" s="184"/>
      <c r="AK448" s="184"/>
      <c r="AL448" s="184"/>
      <c r="AM448" s="184"/>
      <c r="AN448" s="184"/>
      <c r="AO448" s="184"/>
      <c r="AP448" s="184"/>
      <c r="AQ448" s="184"/>
      <c r="AR448" s="184"/>
    </row>
    <row r="449" spans="1:44" s="331" customFormat="1" ht="12" customHeight="1">
      <c r="A449" s="184"/>
      <c r="P449" s="277"/>
      <c r="X449" s="184"/>
      <c r="Y449" s="184"/>
      <c r="Z449" s="184"/>
      <c r="AA449" s="184"/>
      <c r="AB449" s="184"/>
      <c r="AC449" s="184"/>
      <c r="AD449" s="184"/>
      <c r="AE449" s="184"/>
      <c r="AF449" s="184"/>
      <c r="AG449" s="184"/>
      <c r="AH449" s="184"/>
      <c r="AI449" s="184"/>
      <c r="AJ449" s="184"/>
      <c r="AK449" s="184"/>
      <c r="AL449" s="184"/>
      <c r="AM449" s="184"/>
      <c r="AN449" s="184"/>
      <c r="AO449" s="184"/>
      <c r="AP449" s="184"/>
      <c r="AQ449" s="184"/>
      <c r="AR449" s="184"/>
    </row>
    <row r="450" spans="1:44" s="331" customFormat="1" ht="12" customHeight="1">
      <c r="A450" s="184"/>
      <c r="P450" s="277"/>
      <c r="X450" s="184"/>
      <c r="Y450" s="184"/>
      <c r="Z450" s="184"/>
      <c r="AA450" s="184"/>
      <c r="AB450" s="184"/>
      <c r="AC450" s="184"/>
      <c r="AD450" s="184"/>
      <c r="AE450" s="184"/>
      <c r="AF450" s="184"/>
      <c r="AG450" s="184"/>
      <c r="AH450" s="184"/>
      <c r="AI450" s="184"/>
      <c r="AJ450" s="184"/>
      <c r="AK450" s="184"/>
      <c r="AL450" s="184"/>
      <c r="AM450" s="184"/>
      <c r="AN450" s="184"/>
      <c r="AO450" s="184"/>
      <c r="AP450" s="184"/>
      <c r="AQ450" s="184"/>
      <c r="AR450" s="184"/>
    </row>
    <row r="451" spans="1:44" s="331" customFormat="1" ht="12" customHeight="1">
      <c r="A451" s="184"/>
      <c r="P451" s="277"/>
      <c r="X451" s="184"/>
      <c r="Y451" s="184"/>
      <c r="Z451" s="184"/>
      <c r="AA451" s="184"/>
      <c r="AB451" s="184"/>
      <c r="AC451" s="184"/>
      <c r="AD451" s="184"/>
      <c r="AE451" s="184"/>
      <c r="AF451" s="184"/>
      <c r="AG451" s="184"/>
      <c r="AH451" s="184"/>
      <c r="AI451" s="184"/>
      <c r="AJ451" s="184"/>
      <c r="AK451" s="184"/>
      <c r="AL451" s="184"/>
      <c r="AM451" s="184"/>
      <c r="AN451" s="184"/>
      <c r="AO451" s="184"/>
      <c r="AP451" s="184"/>
      <c r="AQ451" s="184"/>
      <c r="AR451" s="184"/>
    </row>
    <row r="452" spans="1:44" s="331" customFormat="1" ht="12" customHeight="1">
      <c r="A452" s="184"/>
      <c r="P452" s="277"/>
      <c r="X452" s="184"/>
      <c r="Y452" s="184"/>
      <c r="Z452" s="184"/>
      <c r="AA452" s="184"/>
      <c r="AB452" s="184"/>
      <c r="AC452" s="184"/>
      <c r="AD452" s="184"/>
      <c r="AE452" s="184"/>
      <c r="AF452" s="184"/>
      <c r="AG452" s="184"/>
      <c r="AH452" s="184"/>
      <c r="AI452" s="184"/>
      <c r="AJ452" s="184"/>
      <c r="AK452" s="184"/>
      <c r="AL452" s="184"/>
      <c r="AM452" s="184"/>
      <c r="AN452" s="184"/>
      <c r="AO452" s="184"/>
      <c r="AP452" s="184"/>
      <c r="AQ452" s="184"/>
      <c r="AR452" s="184"/>
    </row>
    <row r="453" spans="1:44" s="331" customFormat="1" ht="12" customHeight="1">
      <c r="A453" s="184"/>
      <c r="P453" s="277"/>
      <c r="X453" s="184"/>
      <c r="Y453" s="184"/>
      <c r="Z453" s="184"/>
      <c r="AA453" s="184"/>
      <c r="AB453" s="184"/>
      <c r="AC453" s="184"/>
      <c r="AD453" s="184"/>
      <c r="AE453" s="184"/>
      <c r="AF453" s="184"/>
      <c r="AG453" s="184"/>
      <c r="AH453" s="184"/>
      <c r="AI453" s="184"/>
      <c r="AJ453" s="184"/>
      <c r="AK453" s="184"/>
      <c r="AL453" s="184"/>
      <c r="AM453" s="184"/>
      <c r="AN453" s="184"/>
      <c r="AO453" s="184"/>
      <c r="AP453" s="184"/>
      <c r="AQ453" s="184"/>
      <c r="AR453" s="184"/>
    </row>
    <row r="454" spans="1:44" s="331" customFormat="1" ht="12" customHeight="1">
      <c r="A454" s="184"/>
      <c r="P454" s="277"/>
      <c r="X454" s="184"/>
      <c r="Y454" s="184"/>
      <c r="Z454" s="184"/>
      <c r="AA454" s="184"/>
      <c r="AB454" s="184"/>
      <c r="AC454" s="184"/>
      <c r="AD454" s="184"/>
      <c r="AE454" s="184"/>
      <c r="AF454" s="184"/>
      <c r="AG454" s="184"/>
      <c r="AH454" s="184"/>
      <c r="AI454" s="184"/>
      <c r="AJ454" s="184"/>
      <c r="AK454" s="184"/>
      <c r="AL454" s="184"/>
      <c r="AM454" s="184"/>
      <c r="AN454" s="184"/>
      <c r="AO454" s="184"/>
      <c r="AP454" s="184"/>
      <c r="AQ454" s="184"/>
      <c r="AR454" s="184"/>
    </row>
    <row r="455" spans="1:44" s="331" customFormat="1" ht="12" customHeight="1">
      <c r="A455" s="184"/>
      <c r="P455" s="277"/>
      <c r="X455" s="184"/>
      <c r="Y455" s="184"/>
      <c r="Z455" s="184"/>
      <c r="AA455" s="184"/>
      <c r="AB455" s="184"/>
      <c r="AC455" s="184"/>
      <c r="AD455" s="184"/>
      <c r="AE455" s="184"/>
      <c r="AF455" s="184"/>
      <c r="AG455" s="184"/>
      <c r="AH455" s="184"/>
      <c r="AI455" s="184"/>
      <c r="AJ455" s="184"/>
      <c r="AK455" s="184"/>
      <c r="AL455" s="184"/>
      <c r="AM455" s="184"/>
      <c r="AN455" s="184"/>
      <c r="AO455" s="184"/>
      <c r="AP455" s="184"/>
      <c r="AQ455" s="184"/>
      <c r="AR455" s="184"/>
    </row>
    <row r="456" spans="1:44" s="331" customFormat="1" ht="12" customHeight="1">
      <c r="A456" s="184"/>
      <c r="P456" s="277"/>
      <c r="X456" s="184"/>
      <c r="Y456" s="184"/>
      <c r="Z456" s="184"/>
      <c r="AA456" s="184"/>
      <c r="AB456" s="184"/>
      <c r="AC456" s="184"/>
      <c r="AD456" s="184"/>
      <c r="AE456" s="184"/>
      <c r="AF456" s="184"/>
      <c r="AG456" s="184"/>
      <c r="AH456" s="184"/>
      <c r="AI456" s="184"/>
      <c r="AJ456" s="184"/>
      <c r="AK456" s="184"/>
      <c r="AL456" s="184"/>
      <c r="AM456" s="184"/>
      <c r="AN456" s="184"/>
      <c r="AO456" s="184"/>
      <c r="AP456" s="184"/>
      <c r="AQ456" s="184"/>
      <c r="AR456" s="184"/>
    </row>
    <row r="457" spans="1:44" s="331" customFormat="1" ht="12" customHeight="1">
      <c r="A457" s="184"/>
      <c r="P457" s="403"/>
      <c r="X457" s="184"/>
      <c r="Y457" s="184"/>
      <c r="Z457" s="184"/>
      <c r="AA457" s="184"/>
      <c r="AB457" s="184"/>
      <c r="AC457" s="184"/>
      <c r="AD457" s="184"/>
      <c r="AE457" s="184"/>
      <c r="AF457" s="184"/>
      <c r="AG457" s="184"/>
      <c r="AH457" s="184"/>
      <c r="AI457" s="184"/>
      <c r="AJ457" s="184"/>
      <c r="AK457" s="184"/>
      <c r="AL457" s="184"/>
      <c r="AM457" s="184"/>
      <c r="AN457" s="184"/>
      <c r="AO457" s="184"/>
      <c r="AP457" s="184"/>
      <c r="AQ457" s="184"/>
      <c r="AR457" s="184"/>
    </row>
    <row r="458" spans="1:44" s="331" customFormat="1" ht="12" customHeight="1">
      <c r="A458" s="184"/>
      <c r="P458" s="277"/>
      <c r="X458" s="184"/>
      <c r="Y458" s="184"/>
      <c r="Z458" s="184"/>
      <c r="AA458" s="184"/>
      <c r="AB458" s="184"/>
      <c r="AC458" s="184"/>
      <c r="AD458" s="184"/>
      <c r="AE458" s="184"/>
      <c r="AF458" s="184"/>
      <c r="AG458" s="184"/>
      <c r="AH458" s="184"/>
      <c r="AI458" s="184"/>
      <c r="AJ458" s="184"/>
      <c r="AK458" s="184"/>
      <c r="AL458" s="184"/>
      <c r="AM458" s="184"/>
      <c r="AN458" s="184"/>
      <c r="AO458" s="184"/>
      <c r="AP458" s="184"/>
      <c r="AQ458" s="184"/>
      <c r="AR458" s="184"/>
    </row>
    <row r="459" spans="1:44" s="331" customFormat="1" ht="12" customHeight="1">
      <c r="A459" s="184"/>
      <c r="P459" s="277"/>
      <c r="X459" s="184"/>
      <c r="Y459" s="184"/>
      <c r="Z459" s="184"/>
      <c r="AA459" s="184"/>
      <c r="AB459" s="184"/>
      <c r="AC459" s="184"/>
      <c r="AD459" s="184"/>
      <c r="AE459" s="184"/>
      <c r="AF459" s="184"/>
      <c r="AG459" s="184"/>
      <c r="AH459" s="184"/>
      <c r="AI459" s="184"/>
      <c r="AJ459" s="184"/>
      <c r="AK459" s="184"/>
      <c r="AL459" s="184"/>
      <c r="AM459" s="184"/>
      <c r="AN459" s="184"/>
      <c r="AO459" s="184"/>
      <c r="AP459" s="184"/>
      <c r="AQ459" s="184"/>
      <c r="AR459" s="184"/>
    </row>
    <row r="460" spans="1:44" s="331" customFormat="1" ht="12" customHeight="1">
      <c r="A460" s="184"/>
      <c r="P460" s="277"/>
      <c r="X460" s="184"/>
      <c r="Y460" s="184"/>
      <c r="Z460" s="184"/>
      <c r="AA460" s="184"/>
      <c r="AB460" s="184"/>
      <c r="AC460" s="184"/>
      <c r="AD460" s="184"/>
      <c r="AE460" s="184"/>
      <c r="AF460" s="184"/>
      <c r="AG460" s="184"/>
      <c r="AH460" s="184"/>
      <c r="AI460" s="184"/>
      <c r="AJ460" s="184"/>
      <c r="AK460" s="184"/>
      <c r="AL460" s="184"/>
      <c r="AM460" s="184"/>
      <c r="AN460" s="184"/>
      <c r="AO460" s="184"/>
      <c r="AP460" s="184"/>
      <c r="AQ460" s="184"/>
      <c r="AR460" s="184"/>
    </row>
    <row r="461" spans="1:44" s="331" customFormat="1" ht="12" customHeight="1">
      <c r="A461" s="184"/>
      <c r="P461" s="277"/>
      <c r="X461" s="184"/>
      <c r="Y461" s="184"/>
      <c r="Z461" s="184"/>
      <c r="AA461" s="184"/>
      <c r="AB461" s="184"/>
      <c r="AC461" s="184"/>
      <c r="AD461" s="184"/>
      <c r="AE461" s="184"/>
      <c r="AF461" s="184"/>
      <c r="AG461" s="184"/>
      <c r="AH461" s="184"/>
      <c r="AI461" s="184"/>
      <c r="AJ461" s="184"/>
      <c r="AK461" s="184"/>
      <c r="AL461" s="184"/>
      <c r="AM461" s="184"/>
      <c r="AN461" s="184"/>
      <c r="AO461" s="184"/>
      <c r="AP461" s="184"/>
      <c r="AQ461" s="184"/>
      <c r="AR461" s="184"/>
    </row>
    <row r="462" spans="1:44" s="331" customFormat="1" ht="12" customHeight="1">
      <c r="A462" s="184"/>
      <c r="P462" s="277"/>
      <c r="X462" s="184"/>
      <c r="Y462" s="184"/>
      <c r="Z462" s="184"/>
      <c r="AA462" s="184"/>
      <c r="AB462" s="184"/>
      <c r="AC462" s="184"/>
      <c r="AD462" s="184"/>
      <c r="AE462" s="184"/>
      <c r="AF462" s="184"/>
      <c r="AG462" s="184"/>
      <c r="AH462" s="184"/>
      <c r="AI462" s="184"/>
      <c r="AJ462" s="184"/>
      <c r="AK462" s="184"/>
      <c r="AL462" s="184"/>
      <c r="AM462" s="184"/>
      <c r="AN462" s="184"/>
      <c r="AO462" s="184"/>
      <c r="AP462" s="184"/>
      <c r="AQ462" s="184"/>
      <c r="AR462" s="184"/>
    </row>
    <row r="463" spans="1:44" s="331" customFormat="1" ht="12" customHeight="1">
      <c r="A463" s="184"/>
      <c r="P463" s="277"/>
      <c r="X463" s="184"/>
      <c r="Y463" s="184"/>
      <c r="Z463" s="184"/>
      <c r="AA463" s="184"/>
      <c r="AB463" s="184"/>
      <c r="AC463" s="184"/>
      <c r="AD463" s="184"/>
      <c r="AE463" s="184"/>
      <c r="AF463" s="184"/>
      <c r="AG463" s="184"/>
      <c r="AH463" s="184"/>
      <c r="AI463" s="184"/>
      <c r="AJ463" s="184"/>
      <c r="AK463" s="184"/>
      <c r="AL463" s="184"/>
      <c r="AM463" s="184"/>
      <c r="AN463" s="184"/>
      <c r="AO463" s="184"/>
      <c r="AP463" s="184"/>
      <c r="AQ463" s="184"/>
      <c r="AR463" s="184"/>
    </row>
    <row r="464" spans="1:44" s="331" customFormat="1" ht="12" customHeight="1">
      <c r="A464" s="184"/>
      <c r="P464" s="277"/>
      <c r="X464" s="184"/>
      <c r="Y464" s="184"/>
      <c r="Z464" s="184"/>
      <c r="AA464" s="184"/>
      <c r="AB464" s="184"/>
      <c r="AC464" s="184"/>
      <c r="AD464" s="184"/>
      <c r="AE464" s="184"/>
      <c r="AF464" s="184"/>
      <c r="AG464" s="184"/>
      <c r="AH464" s="184"/>
      <c r="AI464" s="184"/>
      <c r="AJ464" s="184"/>
      <c r="AK464" s="184"/>
      <c r="AL464" s="184"/>
      <c r="AM464" s="184"/>
      <c r="AN464" s="184"/>
      <c r="AO464" s="184"/>
      <c r="AP464" s="184"/>
      <c r="AQ464" s="184"/>
      <c r="AR464" s="184"/>
    </row>
    <row r="465" spans="1:44" s="331" customFormat="1" ht="12" customHeight="1">
      <c r="A465" s="184"/>
      <c r="P465" s="277"/>
      <c r="X465" s="184"/>
      <c r="Y465" s="184"/>
      <c r="Z465" s="184"/>
      <c r="AA465" s="184"/>
      <c r="AB465" s="184"/>
      <c r="AC465" s="184"/>
      <c r="AD465" s="184"/>
      <c r="AE465" s="184"/>
      <c r="AF465" s="184"/>
      <c r="AG465" s="184"/>
      <c r="AH465" s="184"/>
      <c r="AI465" s="184"/>
      <c r="AJ465" s="184"/>
      <c r="AK465" s="184"/>
      <c r="AL465" s="184"/>
      <c r="AM465" s="184"/>
      <c r="AN465" s="184"/>
      <c r="AO465" s="184"/>
      <c r="AP465" s="184"/>
      <c r="AQ465" s="184"/>
      <c r="AR465" s="184"/>
    </row>
    <row r="466" spans="1:44" s="331" customFormat="1" ht="12" customHeight="1">
      <c r="A466" s="184"/>
      <c r="P466" s="403"/>
      <c r="X466" s="184"/>
      <c r="Y466" s="184"/>
      <c r="Z466" s="184"/>
      <c r="AA466" s="184"/>
      <c r="AB466" s="184"/>
      <c r="AC466" s="184"/>
      <c r="AD466" s="184"/>
      <c r="AE466" s="184"/>
      <c r="AF466" s="184"/>
      <c r="AG466" s="184"/>
      <c r="AH466" s="184"/>
      <c r="AI466" s="184"/>
      <c r="AJ466" s="184"/>
      <c r="AK466" s="184"/>
      <c r="AL466" s="184"/>
      <c r="AM466" s="184"/>
      <c r="AN466" s="184"/>
      <c r="AO466" s="184"/>
      <c r="AP466" s="184"/>
      <c r="AQ466" s="184"/>
      <c r="AR466" s="184"/>
    </row>
    <row r="467" spans="1:44" s="331" customFormat="1" ht="12" customHeight="1">
      <c r="A467" s="184"/>
      <c r="P467" s="277"/>
      <c r="X467" s="184"/>
      <c r="Y467" s="184"/>
      <c r="Z467" s="184"/>
      <c r="AA467" s="184"/>
      <c r="AB467" s="184"/>
      <c r="AC467" s="184"/>
      <c r="AD467" s="184"/>
      <c r="AE467" s="184"/>
      <c r="AF467" s="184"/>
      <c r="AG467" s="184"/>
      <c r="AH467" s="184"/>
      <c r="AI467" s="184"/>
      <c r="AJ467" s="184"/>
      <c r="AK467" s="184"/>
      <c r="AL467" s="184"/>
      <c r="AM467" s="184"/>
      <c r="AN467" s="184"/>
      <c r="AO467" s="184"/>
      <c r="AP467" s="184"/>
      <c r="AQ467" s="184"/>
      <c r="AR467" s="184"/>
    </row>
    <row r="468" spans="1:44" s="331" customFormat="1" ht="12" customHeight="1">
      <c r="A468" s="184"/>
      <c r="P468" s="277"/>
      <c r="X468" s="184"/>
      <c r="Y468" s="184"/>
      <c r="Z468" s="184"/>
      <c r="AA468" s="184"/>
      <c r="AB468" s="184"/>
      <c r="AC468" s="184"/>
      <c r="AD468" s="184"/>
      <c r="AE468" s="184"/>
      <c r="AF468" s="184"/>
      <c r="AG468" s="184"/>
      <c r="AH468" s="184"/>
      <c r="AI468" s="184"/>
      <c r="AJ468" s="184"/>
      <c r="AK468" s="184"/>
      <c r="AL468" s="184"/>
      <c r="AM468" s="184"/>
      <c r="AN468" s="184"/>
      <c r="AO468" s="184"/>
      <c r="AP468" s="184"/>
      <c r="AQ468" s="184"/>
      <c r="AR468" s="184"/>
    </row>
    <row r="469" spans="1:44" s="331" customFormat="1" ht="12" customHeight="1">
      <c r="A469" s="184"/>
      <c r="P469" s="277"/>
      <c r="X469" s="184"/>
      <c r="Y469" s="184"/>
      <c r="Z469" s="184"/>
      <c r="AA469" s="184"/>
      <c r="AB469" s="184"/>
      <c r="AC469" s="184"/>
      <c r="AD469" s="184"/>
      <c r="AE469" s="184"/>
      <c r="AF469" s="184"/>
      <c r="AG469" s="184"/>
      <c r="AH469" s="184"/>
      <c r="AI469" s="184"/>
      <c r="AJ469" s="184"/>
      <c r="AK469" s="184"/>
      <c r="AL469" s="184"/>
      <c r="AM469" s="184"/>
      <c r="AN469" s="184"/>
      <c r="AO469" s="184"/>
      <c r="AP469" s="184"/>
      <c r="AQ469" s="184"/>
      <c r="AR469" s="184"/>
    </row>
    <row r="470" spans="1:44" s="331" customFormat="1" ht="12" customHeight="1">
      <c r="A470" s="184"/>
      <c r="P470" s="277"/>
      <c r="X470" s="184"/>
      <c r="Y470" s="184"/>
      <c r="Z470" s="184"/>
      <c r="AA470" s="184"/>
      <c r="AB470" s="184"/>
      <c r="AC470" s="184"/>
      <c r="AD470" s="184"/>
      <c r="AE470" s="184"/>
      <c r="AF470" s="184"/>
      <c r="AG470" s="184"/>
      <c r="AH470" s="184"/>
      <c r="AI470" s="184"/>
      <c r="AJ470" s="184"/>
      <c r="AK470" s="184"/>
      <c r="AL470" s="184"/>
      <c r="AM470" s="184"/>
      <c r="AN470" s="184"/>
      <c r="AO470" s="184"/>
      <c r="AP470" s="184"/>
      <c r="AQ470" s="184"/>
      <c r="AR470" s="184"/>
    </row>
    <row r="471" spans="1:44" s="331" customFormat="1" ht="12" customHeight="1">
      <c r="A471" s="184"/>
      <c r="P471" s="277"/>
      <c r="X471" s="184"/>
      <c r="Y471" s="184"/>
      <c r="Z471" s="184"/>
      <c r="AA471" s="184"/>
      <c r="AB471" s="184"/>
      <c r="AC471" s="184"/>
      <c r="AD471" s="184"/>
      <c r="AE471" s="184"/>
      <c r="AF471" s="184"/>
      <c r="AG471" s="184"/>
      <c r="AH471" s="184"/>
      <c r="AI471" s="184"/>
      <c r="AJ471" s="184"/>
      <c r="AK471" s="184"/>
      <c r="AL471" s="184"/>
      <c r="AM471" s="184"/>
      <c r="AN471" s="184"/>
      <c r="AO471" s="184"/>
      <c r="AP471" s="184"/>
      <c r="AQ471" s="184"/>
      <c r="AR471" s="184"/>
    </row>
    <row r="472" spans="1:44" s="331" customFormat="1" ht="12" customHeight="1">
      <c r="A472" s="184"/>
      <c r="P472" s="277"/>
      <c r="X472" s="184"/>
      <c r="Y472" s="184"/>
      <c r="Z472" s="184"/>
      <c r="AA472" s="184"/>
      <c r="AB472" s="184"/>
      <c r="AC472" s="184"/>
      <c r="AD472" s="184"/>
      <c r="AE472" s="184"/>
      <c r="AF472" s="184"/>
      <c r="AG472" s="184"/>
      <c r="AH472" s="184"/>
      <c r="AI472" s="184"/>
      <c r="AJ472" s="184"/>
      <c r="AK472" s="184"/>
      <c r="AL472" s="184"/>
      <c r="AM472" s="184"/>
      <c r="AN472" s="184"/>
      <c r="AO472" s="184"/>
      <c r="AP472" s="184"/>
      <c r="AQ472" s="184"/>
      <c r="AR472" s="184"/>
    </row>
    <row r="473" spans="1:44" s="331" customFormat="1" ht="12" customHeight="1">
      <c r="A473" s="184"/>
      <c r="P473" s="277"/>
      <c r="X473" s="184"/>
      <c r="Y473" s="184"/>
      <c r="Z473" s="184"/>
      <c r="AA473" s="184"/>
      <c r="AB473" s="184"/>
      <c r="AC473" s="184"/>
      <c r="AD473" s="184"/>
      <c r="AE473" s="184"/>
      <c r="AF473" s="184"/>
      <c r="AG473" s="184"/>
      <c r="AH473" s="184"/>
      <c r="AI473" s="184"/>
      <c r="AJ473" s="184"/>
      <c r="AK473" s="184"/>
      <c r="AL473" s="184"/>
      <c r="AM473" s="184"/>
      <c r="AN473" s="184"/>
      <c r="AO473" s="184"/>
      <c r="AP473" s="184"/>
      <c r="AQ473" s="184"/>
      <c r="AR473" s="184"/>
    </row>
    <row r="474" spans="1:44" s="331" customFormat="1" ht="12" customHeight="1">
      <c r="A474" s="184"/>
      <c r="P474" s="277"/>
      <c r="X474" s="184"/>
      <c r="Y474" s="184"/>
      <c r="Z474" s="184"/>
      <c r="AA474" s="184"/>
      <c r="AB474" s="184"/>
      <c r="AC474" s="184"/>
      <c r="AD474" s="184"/>
      <c r="AE474" s="184"/>
      <c r="AF474" s="184"/>
      <c r="AG474" s="184"/>
      <c r="AH474" s="184"/>
      <c r="AI474" s="184"/>
      <c r="AJ474" s="184"/>
      <c r="AK474" s="184"/>
      <c r="AL474" s="184"/>
      <c r="AM474" s="184"/>
      <c r="AN474" s="184"/>
      <c r="AO474" s="184"/>
      <c r="AP474" s="184"/>
      <c r="AQ474" s="184"/>
      <c r="AR474" s="184"/>
    </row>
    <row r="475" spans="1:44" s="331" customFormat="1" ht="12" customHeight="1">
      <c r="A475" s="184"/>
      <c r="P475" s="277"/>
      <c r="X475" s="184"/>
      <c r="Y475" s="184"/>
      <c r="Z475" s="184"/>
      <c r="AA475" s="184"/>
      <c r="AB475" s="184"/>
      <c r="AC475" s="184"/>
      <c r="AD475" s="184"/>
      <c r="AE475" s="184"/>
      <c r="AF475" s="184"/>
      <c r="AG475" s="184"/>
      <c r="AH475" s="184"/>
      <c r="AI475" s="184"/>
      <c r="AJ475" s="184"/>
      <c r="AK475" s="184"/>
      <c r="AL475" s="184"/>
      <c r="AM475" s="184"/>
      <c r="AN475" s="184"/>
      <c r="AO475" s="184"/>
      <c r="AP475" s="184"/>
      <c r="AQ475" s="184"/>
      <c r="AR475" s="184"/>
    </row>
    <row r="476" spans="1:44" s="331" customFormat="1" ht="12" customHeight="1">
      <c r="A476" s="184"/>
      <c r="P476" s="277"/>
      <c r="X476" s="184"/>
      <c r="Y476" s="184"/>
      <c r="Z476" s="184"/>
      <c r="AA476" s="184"/>
      <c r="AB476" s="184"/>
      <c r="AC476" s="184"/>
      <c r="AD476" s="184"/>
      <c r="AE476" s="184"/>
      <c r="AF476" s="184"/>
      <c r="AG476" s="184"/>
      <c r="AH476" s="184"/>
      <c r="AI476" s="184"/>
      <c r="AJ476" s="184"/>
      <c r="AK476" s="184"/>
      <c r="AL476" s="184"/>
      <c r="AM476" s="184"/>
      <c r="AN476" s="184"/>
      <c r="AO476" s="184"/>
      <c r="AP476" s="184"/>
      <c r="AQ476" s="184"/>
      <c r="AR476" s="184"/>
    </row>
    <row r="477" spans="1:44" s="331" customFormat="1" ht="12" customHeight="1">
      <c r="A477" s="184"/>
      <c r="P477" s="277"/>
      <c r="X477" s="184"/>
      <c r="Y477" s="184"/>
      <c r="Z477" s="184"/>
      <c r="AA477" s="184"/>
      <c r="AB477" s="184"/>
      <c r="AC477" s="184"/>
      <c r="AD477" s="184"/>
      <c r="AE477" s="184"/>
      <c r="AF477" s="184"/>
      <c r="AG477" s="184"/>
      <c r="AH477" s="184"/>
      <c r="AI477" s="184"/>
      <c r="AJ477" s="184"/>
      <c r="AK477" s="184"/>
      <c r="AL477" s="184"/>
      <c r="AM477" s="184"/>
      <c r="AN477" s="184"/>
      <c r="AO477" s="184"/>
      <c r="AP477" s="184"/>
      <c r="AQ477" s="184"/>
      <c r="AR477" s="184"/>
    </row>
    <row r="478" spans="1:44" s="331" customFormat="1" ht="12" customHeight="1">
      <c r="A478" s="184"/>
      <c r="P478" s="277"/>
      <c r="X478" s="184"/>
      <c r="Y478" s="184"/>
      <c r="Z478" s="184"/>
      <c r="AA478" s="184"/>
      <c r="AB478" s="184"/>
      <c r="AC478" s="184"/>
      <c r="AD478" s="184"/>
      <c r="AE478" s="184"/>
      <c r="AF478" s="184"/>
      <c r="AG478" s="184"/>
      <c r="AH478" s="184"/>
      <c r="AI478" s="184"/>
      <c r="AJ478" s="184"/>
      <c r="AK478" s="184"/>
      <c r="AL478" s="184"/>
      <c r="AM478" s="184"/>
      <c r="AN478" s="184"/>
      <c r="AO478" s="184"/>
      <c r="AP478" s="184"/>
      <c r="AQ478" s="184"/>
      <c r="AR478" s="184"/>
    </row>
    <row r="479" spans="1:44" s="331" customFormat="1" ht="12" customHeight="1">
      <c r="A479" s="184"/>
      <c r="P479" s="277"/>
      <c r="X479" s="184"/>
      <c r="Y479" s="184"/>
      <c r="Z479" s="184"/>
      <c r="AA479" s="184"/>
      <c r="AB479" s="184"/>
      <c r="AC479" s="184"/>
      <c r="AD479" s="184"/>
      <c r="AE479" s="184"/>
      <c r="AF479" s="184"/>
      <c r="AG479" s="184"/>
      <c r="AH479" s="184"/>
      <c r="AI479" s="184"/>
      <c r="AJ479" s="184"/>
      <c r="AK479" s="184"/>
      <c r="AL479" s="184"/>
      <c r="AM479" s="184"/>
      <c r="AN479" s="184"/>
      <c r="AO479" s="184"/>
      <c r="AP479" s="184"/>
      <c r="AQ479" s="184"/>
      <c r="AR479" s="184"/>
    </row>
    <row r="480" spans="1:44" s="331" customFormat="1" ht="12" customHeight="1">
      <c r="A480" s="184"/>
      <c r="P480" s="277"/>
      <c r="X480" s="184"/>
      <c r="Y480" s="184"/>
      <c r="Z480" s="184"/>
      <c r="AA480" s="184"/>
      <c r="AB480" s="184"/>
      <c r="AC480" s="184"/>
      <c r="AD480" s="184"/>
      <c r="AE480" s="184"/>
      <c r="AF480" s="184"/>
      <c r="AG480" s="184"/>
      <c r="AH480" s="184"/>
      <c r="AI480" s="184"/>
      <c r="AJ480" s="184"/>
      <c r="AK480" s="184"/>
      <c r="AL480" s="184"/>
      <c r="AM480" s="184"/>
      <c r="AN480" s="184"/>
      <c r="AO480" s="184"/>
      <c r="AP480" s="184"/>
      <c r="AQ480" s="184"/>
      <c r="AR480" s="184"/>
    </row>
    <row r="481" spans="1:44" s="331" customFormat="1" ht="12" customHeight="1">
      <c r="A481" s="184"/>
      <c r="P481" s="277"/>
      <c r="X481" s="184"/>
      <c r="Y481" s="184"/>
      <c r="Z481" s="184"/>
      <c r="AA481" s="184"/>
      <c r="AB481" s="184"/>
      <c r="AC481" s="184"/>
      <c r="AD481" s="184"/>
      <c r="AE481" s="184"/>
      <c r="AF481" s="184"/>
      <c r="AG481" s="184"/>
      <c r="AH481" s="184"/>
      <c r="AI481" s="184"/>
      <c r="AJ481" s="184"/>
      <c r="AK481" s="184"/>
      <c r="AL481" s="184"/>
      <c r="AM481" s="184"/>
      <c r="AN481" s="184"/>
      <c r="AO481" s="184"/>
      <c r="AP481" s="184"/>
      <c r="AQ481" s="184"/>
      <c r="AR481" s="184"/>
    </row>
    <row r="482" spans="1:44" s="331" customFormat="1" ht="12" customHeight="1">
      <c r="A482" s="184"/>
      <c r="P482" s="277"/>
      <c r="X482" s="184"/>
      <c r="Y482" s="184"/>
      <c r="Z482" s="184"/>
      <c r="AA482" s="184"/>
      <c r="AB482" s="184"/>
      <c r="AC482" s="184"/>
      <c r="AD482" s="184"/>
      <c r="AE482" s="184"/>
      <c r="AF482" s="184"/>
      <c r="AG482" s="184"/>
      <c r="AH482" s="184"/>
      <c r="AI482" s="184"/>
      <c r="AJ482" s="184"/>
      <c r="AK482" s="184"/>
      <c r="AL482" s="184"/>
      <c r="AM482" s="184"/>
      <c r="AN482" s="184"/>
      <c r="AO482" s="184"/>
      <c r="AP482" s="184"/>
      <c r="AQ482" s="184"/>
      <c r="AR482" s="184"/>
    </row>
    <row r="483" spans="1:44" s="331" customFormat="1" ht="12" customHeight="1">
      <c r="A483" s="184"/>
      <c r="P483" s="277"/>
      <c r="X483" s="184"/>
      <c r="Y483" s="184"/>
      <c r="Z483" s="184"/>
      <c r="AA483" s="184"/>
      <c r="AB483" s="184"/>
      <c r="AC483" s="184"/>
      <c r="AD483" s="184"/>
      <c r="AE483" s="184"/>
      <c r="AF483" s="184"/>
      <c r="AG483" s="184"/>
      <c r="AH483" s="184"/>
      <c r="AI483" s="184"/>
      <c r="AJ483" s="184"/>
      <c r="AK483" s="184"/>
      <c r="AL483" s="184"/>
      <c r="AM483" s="184"/>
      <c r="AN483" s="184"/>
      <c r="AO483" s="184"/>
      <c r="AP483" s="184"/>
      <c r="AQ483" s="184"/>
      <c r="AR483" s="184"/>
    </row>
    <row r="484" spans="1:44" s="331" customFormat="1" ht="12" customHeight="1">
      <c r="A484" s="184"/>
      <c r="P484" s="402"/>
      <c r="X484" s="184"/>
      <c r="Y484" s="184"/>
      <c r="Z484" s="184"/>
      <c r="AA484" s="184"/>
      <c r="AB484" s="184"/>
      <c r="AC484" s="184"/>
      <c r="AD484" s="184"/>
      <c r="AE484" s="184"/>
      <c r="AF484" s="184"/>
      <c r="AG484" s="184"/>
      <c r="AH484" s="184"/>
      <c r="AI484" s="184"/>
      <c r="AJ484" s="184"/>
      <c r="AK484" s="184"/>
      <c r="AL484" s="184"/>
      <c r="AM484" s="184"/>
      <c r="AN484" s="184"/>
      <c r="AO484" s="184"/>
      <c r="AP484" s="184"/>
      <c r="AQ484" s="184"/>
      <c r="AR484" s="184"/>
    </row>
    <row r="485" spans="1:44" s="331" customFormat="1" ht="12" customHeight="1">
      <c r="A485" s="184"/>
      <c r="P485" s="277"/>
      <c r="X485" s="184"/>
      <c r="Y485" s="184"/>
      <c r="Z485" s="184"/>
      <c r="AA485" s="184"/>
      <c r="AB485" s="184"/>
      <c r="AC485" s="184"/>
      <c r="AD485" s="184"/>
      <c r="AE485" s="184"/>
      <c r="AF485" s="184"/>
      <c r="AG485" s="184"/>
      <c r="AH485" s="184"/>
      <c r="AI485" s="184"/>
      <c r="AJ485" s="184"/>
      <c r="AK485" s="184"/>
      <c r="AL485" s="184"/>
      <c r="AM485" s="184"/>
      <c r="AN485" s="184"/>
      <c r="AO485" s="184"/>
      <c r="AP485" s="184"/>
      <c r="AQ485" s="184"/>
      <c r="AR485" s="184"/>
    </row>
    <row r="486" spans="1:44" s="331" customFormat="1" ht="12" customHeight="1">
      <c r="A486" s="184"/>
      <c r="P486" s="277"/>
      <c r="X486" s="184"/>
      <c r="Y486" s="184"/>
      <c r="Z486" s="184"/>
      <c r="AA486" s="184"/>
      <c r="AB486" s="184"/>
      <c r="AC486" s="184"/>
      <c r="AD486" s="184"/>
      <c r="AE486" s="184"/>
      <c r="AF486" s="184"/>
      <c r="AG486" s="184"/>
      <c r="AH486" s="184"/>
      <c r="AI486" s="184"/>
      <c r="AJ486" s="184"/>
      <c r="AK486" s="184"/>
      <c r="AL486" s="184"/>
      <c r="AM486" s="184"/>
      <c r="AN486" s="184"/>
      <c r="AO486" s="184"/>
      <c r="AP486" s="184"/>
      <c r="AQ486" s="184"/>
      <c r="AR486" s="184"/>
    </row>
    <row r="487" spans="1:44" s="331" customFormat="1" ht="12" customHeight="1">
      <c r="A487" s="184"/>
      <c r="P487" s="277"/>
      <c r="X487" s="184"/>
      <c r="Y487" s="184"/>
      <c r="Z487" s="184"/>
      <c r="AA487" s="184"/>
      <c r="AB487" s="184"/>
      <c r="AC487" s="184"/>
      <c r="AD487" s="184"/>
      <c r="AE487" s="184"/>
      <c r="AF487" s="184"/>
      <c r="AG487" s="184"/>
      <c r="AH487" s="184"/>
      <c r="AI487" s="184"/>
      <c r="AJ487" s="184"/>
      <c r="AK487" s="184"/>
      <c r="AL487" s="184"/>
      <c r="AM487" s="184"/>
      <c r="AN487" s="184"/>
      <c r="AO487" s="184"/>
      <c r="AP487" s="184"/>
      <c r="AQ487" s="184"/>
      <c r="AR487" s="184"/>
    </row>
    <row r="488" spans="1:44" s="331" customFormat="1" ht="12" customHeight="1">
      <c r="A488" s="184"/>
      <c r="P488" s="277"/>
      <c r="X488" s="184"/>
      <c r="Y488" s="184"/>
      <c r="Z488" s="184"/>
      <c r="AA488" s="184"/>
      <c r="AB488" s="184"/>
      <c r="AC488" s="184"/>
      <c r="AD488" s="184"/>
      <c r="AE488" s="184"/>
      <c r="AF488" s="184"/>
      <c r="AG488" s="184"/>
      <c r="AH488" s="184"/>
      <c r="AI488" s="184"/>
      <c r="AJ488" s="184"/>
      <c r="AK488" s="184"/>
      <c r="AL488" s="184"/>
      <c r="AM488" s="184"/>
      <c r="AN488" s="184"/>
      <c r="AO488" s="184"/>
      <c r="AP488" s="184"/>
      <c r="AQ488" s="184"/>
      <c r="AR488" s="184"/>
    </row>
    <row r="489" spans="1:44" s="331" customFormat="1" ht="12" customHeight="1">
      <c r="A489" s="184"/>
      <c r="P489" s="403"/>
      <c r="X489" s="184"/>
      <c r="Y489" s="184"/>
      <c r="Z489" s="184"/>
      <c r="AA489" s="184"/>
      <c r="AB489" s="184"/>
      <c r="AC489" s="184"/>
      <c r="AD489" s="184"/>
      <c r="AE489" s="184"/>
      <c r="AF489" s="184"/>
      <c r="AG489" s="184"/>
      <c r="AH489" s="184"/>
      <c r="AI489" s="184"/>
      <c r="AJ489" s="184"/>
      <c r="AK489" s="184"/>
      <c r="AL489" s="184"/>
      <c r="AM489" s="184"/>
      <c r="AN489" s="184"/>
      <c r="AO489" s="184"/>
      <c r="AP489" s="184"/>
      <c r="AQ489" s="184"/>
      <c r="AR489" s="184"/>
    </row>
    <row r="490" spans="1:44" s="331" customFormat="1" ht="12" customHeight="1">
      <c r="A490" s="184"/>
      <c r="P490" s="277"/>
      <c r="X490" s="184"/>
      <c r="Y490" s="184"/>
      <c r="Z490" s="184"/>
      <c r="AA490" s="184"/>
      <c r="AB490" s="184"/>
      <c r="AC490" s="184"/>
      <c r="AD490" s="184"/>
      <c r="AE490" s="184"/>
      <c r="AF490" s="184"/>
      <c r="AG490" s="184"/>
      <c r="AH490" s="184"/>
      <c r="AI490" s="184"/>
      <c r="AJ490" s="184"/>
      <c r="AK490" s="184"/>
      <c r="AL490" s="184"/>
      <c r="AM490" s="184"/>
      <c r="AN490" s="184"/>
      <c r="AO490" s="184"/>
      <c r="AP490" s="184"/>
      <c r="AQ490" s="184"/>
      <c r="AR490" s="184"/>
    </row>
    <row r="491" spans="1:44" s="331" customFormat="1" ht="12" customHeight="1">
      <c r="A491" s="184"/>
      <c r="P491" s="277"/>
      <c r="X491" s="184"/>
      <c r="Y491" s="184"/>
      <c r="Z491" s="184"/>
      <c r="AA491" s="184"/>
      <c r="AB491" s="184"/>
      <c r="AC491" s="184"/>
      <c r="AD491" s="184"/>
      <c r="AE491" s="184"/>
      <c r="AF491" s="184"/>
      <c r="AG491" s="184"/>
      <c r="AH491" s="184"/>
      <c r="AI491" s="184"/>
      <c r="AJ491" s="184"/>
      <c r="AK491" s="184"/>
      <c r="AL491" s="184"/>
      <c r="AM491" s="184"/>
      <c r="AN491" s="184"/>
      <c r="AO491" s="184"/>
      <c r="AP491" s="184"/>
      <c r="AQ491" s="184"/>
      <c r="AR491" s="184"/>
    </row>
    <row r="492" spans="1:44" s="331" customFormat="1" ht="12" customHeight="1">
      <c r="A492" s="184"/>
      <c r="P492" s="403"/>
      <c r="X492" s="184"/>
      <c r="Y492" s="184"/>
      <c r="Z492" s="184"/>
      <c r="AA492" s="184"/>
      <c r="AB492" s="184"/>
      <c r="AC492" s="184"/>
      <c r="AD492" s="184"/>
      <c r="AE492" s="184"/>
      <c r="AF492" s="184"/>
      <c r="AG492" s="184"/>
      <c r="AH492" s="184"/>
      <c r="AI492" s="184"/>
      <c r="AJ492" s="184"/>
      <c r="AK492" s="184"/>
      <c r="AL492" s="184"/>
      <c r="AM492" s="184"/>
      <c r="AN492" s="184"/>
      <c r="AO492" s="184"/>
      <c r="AP492" s="184"/>
      <c r="AQ492" s="184"/>
      <c r="AR492" s="184"/>
    </row>
    <row r="493" spans="1:44" s="331" customFormat="1" ht="12" customHeight="1">
      <c r="A493" s="184"/>
      <c r="P493" s="277"/>
      <c r="X493" s="184"/>
      <c r="Y493" s="184"/>
      <c r="Z493" s="184"/>
      <c r="AA493" s="184"/>
      <c r="AB493" s="184"/>
      <c r="AC493" s="184"/>
      <c r="AD493" s="184"/>
      <c r="AE493" s="184"/>
      <c r="AF493" s="184"/>
      <c r="AG493" s="184"/>
      <c r="AH493" s="184"/>
      <c r="AI493" s="184"/>
      <c r="AJ493" s="184"/>
      <c r="AK493" s="184"/>
      <c r="AL493" s="184"/>
      <c r="AM493" s="184"/>
      <c r="AN493" s="184"/>
      <c r="AO493" s="184"/>
      <c r="AP493" s="184"/>
      <c r="AQ493" s="184"/>
      <c r="AR493" s="184"/>
    </row>
    <row r="494" spans="1:44" s="331" customFormat="1" ht="12" customHeight="1">
      <c r="A494" s="184"/>
      <c r="P494" s="277"/>
      <c r="X494" s="184"/>
      <c r="Y494" s="184"/>
      <c r="Z494" s="184"/>
      <c r="AA494" s="184"/>
      <c r="AB494" s="184"/>
      <c r="AC494" s="184"/>
      <c r="AD494" s="184"/>
      <c r="AE494" s="184"/>
      <c r="AF494" s="184"/>
      <c r="AG494" s="184"/>
      <c r="AH494" s="184"/>
      <c r="AI494" s="184"/>
      <c r="AJ494" s="184"/>
      <c r="AK494" s="184"/>
      <c r="AL494" s="184"/>
      <c r="AM494" s="184"/>
      <c r="AN494" s="184"/>
      <c r="AO494" s="184"/>
      <c r="AP494" s="184"/>
      <c r="AQ494" s="184"/>
      <c r="AR494" s="184"/>
    </row>
    <row r="495" spans="1:44" s="331" customFormat="1" ht="12" customHeight="1">
      <c r="A495" s="184"/>
      <c r="P495" s="277"/>
      <c r="X495" s="184"/>
      <c r="Y495" s="184"/>
      <c r="Z495" s="184"/>
      <c r="AA495" s="184"/>
      <c r="AB495" s="184"/>
      <c r="AC495" s="184"/>
      <c r="AD495" s="184"/>
      <c r="AE495" s="184"/>
      <c r="AF495" s="184"/>
      <c r="AG495" s="184"/>
      <c r="AH495" s="184"/>
      <c r="AI495" s="184"/>
      <c r="AJ495" s="184"/>
      <c r="AK495" s="184"/>
      <c r="AL495" s="184"/>
      <c r="AM495" s="184"/>
      <c r="AN495" s="184"/>
      <c r="AO495" s="184"/>
      <c r="AP495" s="184"/>
      <c r="AQ495" s="184"/>
      <c r="AR495" s="184"/>
    </row>
    <row r="496" spans="1:44" s="331" customFormat="1" ht="12" customHeight="1">
      <c r="A496" s="184"/>
      <c r="P496" s="277"/>
      <c r="X496" s="184"/>
      <c r="Y496" s="184"/>
      <c r="Z496" s="184"/>
      <c r="AA496" s="184"/>
      <c r="AB496" s="184"/>
      <c r="AC496" s="184"/>
      <c r="AD496" s="184"/>
      <c r="AE496" s="184"/>
      <c r="AF496" s="184"/>
      <c r="AG496" s="184"/>
      <c r="AH496" s="184"/>
      <c r="AI496" s="184"/>
      <c r="AJ496" s="184"/>
      <c r="AK496" s="184"/>
      <c r="AL496" s="184"/>
      <c r="AM496" s="184"/>
      <c r="AN496" s="184"/>
      <c r="AO496" s="184"/>
      <c r="AP496" s="184"/>
      <c r="AQ496" s="184"/>
      <c r="AR496" s="184"/>
    </row>
    <row r="497" spans="1:44" s="331" customFormat="1" ht="12" customHeight="1">
      <c r="A497" s="184"/>
      <c r="P497" s="277"/>
      <c r="X497" s="184"/>
      <c r="Y497" s="184"/>
      <c r="Z497" s="184"/>
      <c r="AA497" s="184"/>
      <c r="AB497" s="184"/>
      <c r="AC497" s="184"/>
      <c r="AD497" s="184"/>
      <c r="AE497" s="184"/>
      <c r="AF497" s="184"/>
      <c r="AG497" s="184"/>
      <c r="AH497" s="184"/>
      <c r="AI497" s="184"/>
      <c r="AJ497" s="184"/>
      <c r="AK497" s="184"/>
      <c r="AL497" s="184"/>
      <c r="AM497" s="184"/>
      <c r="AN497" s="184"/>
      <c r="AO497" s="184"/>
      <c r="AP497" s="184"/>
      <c r="AQ497" s="184"/>
      <c r="AR497" s="184"/>
    </row>
    <row r="498" spans="1:44" s="331" customFormat="1" ht="12" customHeight="1">
      <c r="A498" s="184"/>
      <c r="P498" s="277"/>
      <c r="X498" s="184"/>
      <c r="Y498" s="184"/>
      <c r="Z498" s="184"/>
      <c r="AA498" s="184"/>
      <c r="AB498" s="184"/>
      <c r="AC498" s="184"/>
      <c r="AD498" s="184"/>
      <c r="AE498" s="184"/>
      <c r="AF498" s="184"/>
      <c r="AG498" s="184"/>
      <c r="AH498" s="184"/>
      <c r="AI498" s="184"/>
      <c r="AJ498" s="184"/>
      <c r="AK498" s="184"/>
      <c r="AL498" s="184"/>
      <c r="AM498" s="184"/>
      <c r="AN498" s="184"/>
      <c r="AO498" s="184"/>
      <c r="AP498" s="184"/>
      <c r="AQ498" s="184"/>
      <c r="AR498" s="184"/>
    </row>
    <row r="499" spans="1:44" s="331" customFormat="1" ht="12" customHeight="1">
      <c r="A499" s="184"/>
      <c r="P499" s="277"/>
      <c r="X499" s="184"/>
      <c r="Y499" s="184"/>
      <c r="Z499" s="184"/>
      <c r="AA499" s="184"/>
      <c r="AB499" s="184"/>
      <c r="AC499" s="184"/>
      <c r="AD499" s="184"/>
      <c r="AE499" s="184"/>
      <c r="AF499" s="184"/>
      <c r="AG499" s="184"/>
      <c r="AH499" s="184"/>
      <c r="AI499" s="184"/>
      <c r="AJ499" s="184"/>
      <c r="AK499" s="184"/>
      <c r="AL499" s="184"/>
      <c r="AM499" s="184"/>
      <c r="AN499" s="184"/>
      <c r="AO499" s="184"/>
      <c r="AP499" s="184"/>
      <c r="AQ499" s="184"/>
      <c r="AR499" s="184"/>
    </row>
    <row r="500" spans="1:44" s="331" customFormat="1" ht="12" customHeight="1">
      <c r="A500" s="184"/>
      <c r="P500" s="277"/>
      <c r="X500" s="184"/>
      <c r="Y500" s="184"/>
      <c r="Z500" s="184"/>
      <c r="AA500" s="184"/>
      <c r="AB500" s="184"/>
      <c r="AC500" s="184"/>
      <c r="AD500" s="184"/>
      <c r="AE500" s="184"/>
      <c r="AF500" s="184"/>
      <c r="AG500" s="184"/>
      <c r="AH500" s="184"/>
      <c r="AI500" s="184"/>
      <c r="AJ500" s="184"/>
      <c r="AK500" s="184"/>
      <c r="AL500" s="184"/>
      <c r="AM500" s="184"/>
      <c r="AN500" s="184"/>
      <c r="AO500" s="184"/>
      <c r="AP500" s="184"/>
      <c r="AQ500" s="184"/>
      <c r="AR500" s="184"/>
    </row>
    <row r="501" spans="1:44" s="331" customFormat="1" ht="12" customHeight="1">
      <c r="A501" s="184"/>
      <c r="P501" s="277"/>
      <c r="X501" s="184"/>
      <c r="Y501" s="184"/>
      <c r="Z501" s="184"/>
      <c r="AA501" s="184"/>
      <c r="AB501" s="184"/>
      <c r="AC501" s="184"/>
      <c r="AD501" s="184"/>
      <c r="AE501" s="184"/>
      <c r="AF501" s="184"/>
      <c r="AG501" s="184"/>
      <c r="AH501" s="184"/>
      <c r="AI501" s="184"/>
      <c r="AJ501" s="184"/>
      <c r="AK501" s="184"/>
      <c r="AL501" s="184"/>
      <c r="AM501" s="184"/>
      <c r="AN501" s="184"/>
      <c r="AO501" s="184"/>
      <c r="AP501" s="184"/>
      <c r="AQ501" s="184"/>
      <c r="AR501" s="184"/>
    </row>
    <row r="502" spans="1:44" s="331" customFormat="1" ht="12" customHeight="1">
      <c r="A502" s="184"/>
      <c r="P502" s="277"/>
      <c r="X502" s="184"/>
      <c r="Y502" s="184"/>
      <c r="Z502" s="184"/>
      <c r="AA502" s="184"/>
      <c r="AB502" s="184"/>
      <c r="AC502" s="184"/>
      <c r="AD502" s="184"/>
      <c r="AE502" s="184"/>
      <c r="AF502" s="184"/>
      <c r="AG502" s="184"/>
      <c r="AH502" s="184"/>
      <c r="AI502" s="184"/>
      <c r="AJ502" s="184"/>
      <c r="AK502" s="184"/>
      <c r="AL502" s="184"/>
      <c r="AM502" s="184"/>
      <c r="AN502" s="184"/>
      <c r="AO502" s="184"/>
      <c r="AP502" s="184"/>
      <c r="AQ502" s="184"/>
      <c r="AR502" s="184"/>
    </row>
    <row r="503" spans="1:44" s="331" customFormat="1" ht="12" customHeight="1">
      <c r="A503" s="184"/>
      <c r="P503" s="277"/>
      <c r="X503" s="184"/>
      <c r="Y503" s="184"/>
      <c r="Z503" s="184"/>
      <c r="AA503" s="184"/>
      <c r="AB503" s="184"/>
      <c r="AC503" s="184"/>
      <c r="AD503" s="184"/>
      <c r="AE503" s="184"/>
      <c r="AF503" s="184"/>
      <c r="AG503" s="184"/>
      <c r="AH503" s="184"/>
      <c r="AI503" s="184"/>
      <c r="AJ503" s="184"/>
      <c r="AK503" s="184"/>
      <c r="AL503" s="184"/>
      <c r="AM503" s="184"/>
      <c r="AN503" s="184"/>
      <c r="AO503" s="184"/>
      <c r="AP503" s="184"/>
      <c r="AQ503" s="184"/>
      <c r="AR503" s="184"/>
    </row>
    <row r="504" spans="1:44" s="331" customFormat="1" ht="12" customHeight="1">
      <c r="A504" s="184"/>
      <c r="P504" s="403"/>
      <c r="X504" s="184"/>
      <c r="Y504" s="184"/>
      <c r="Z504" s="184"/>
      <c r="AA504" s="184"/>
      <c r="AB504" s="184"/>
      <c r="AC504" s="184"/>
      <c r="AD504" s="184"/>
      <c r="AE504" s="184"/>
      <c r="AF504" s="184"/>
      <c r="AG504" s="184"/>
      <c r="AH504" s="184"/>
      <c r="AI504" s="184"/>
      <c r="AJ504" s="184"/>
      <c r="AK504" s="184"/>
      <c r="AL504" s="184"/>
      <c r="AM504" s="184"/>
      <c r="AN504" s="184"/>
      <c r="AO504" s="184"/>
      <c r="AP504" s="184"/>
      <c r="AQ504" s="184"/>
      <c r="AR504" s="184"/>
    </row>
    <row r="505" spans="1:44" s="331" customFormat="1" ht="12" customHeight="1">
      <c r="A505" s="184"/>
      <c r="P505" s="277"/>
      <c r="X505" s="184"/>
      <c r="Y505" s="184"/>
      <c r="Z505" s="184"/>
      <c r="AA505" s="184"/>
      <c r="AB505" s="184"/>
      <c r="AC505" s="184"/>
      <c r="AD505" s="184"/>
      <c r="AE505" s="184"/>
      <c r="AF505" s="184"/>
      <c r="AG505" s="184"/>
      <c r="AH505" s="184"/>
      <c r="AI505" s="184"/>
      <c r="AJ505" s="184"/>
      <c r="AK505" s="184"/>
      <c r="AL505" s="184"/>
      <c r="AM505" s="184"/>
      <c r="AN505" s="184"/>
      <c r="AO505" s="184"/>
      <c r="AP505" s="184"/>
      <c r="AQ505" s="184"/>
      <c r="AR505" s="184"/>
    </row>
    <row r="506" spans="1:44" s="331" customFormat="1" ht="12" customHeight="1">
      <c r="A506" s="184"/>
      <c r="P506" s="277"/>
      <c r="X506" s="184"/>
      <c r="Y506" s="184"/>
      <c r="Z506" s="184"/>
      <c r="AA506" s="184"/>
      <c r="AB506" s="184"/>
      <c r="AC506" s="184"/>
      <c r="AD506" s="184"/>
      <c r="AE506" s="184"/>
      <c r="AF506" s="184"/>
      <c r="AG506" s="184"/>
      <c r="AH506" s="184"/>
      <c r="AI506" s="184"/>
      <c r="AJ506" s="184"/>
      <c r="AK506" s="184"/>
      <c r="AL506" s="184"/>
      <c r="AM506" s="184"/>
      <c r="AN506" s="184"/>
      <c r="AO506" s="184"/>
      <c r="AP506" s="184"/>
      <c r="AQ506" s="184"/>
      <c r="AR506" s="184"/>
    </row>
    <row r="507" spans="1:44" s="331" customFormat="1" ht="12" customHeight="1">
      <c r="A507" s="184"/>
      <c r="P507" s="402"/>
      <c r="X507" s="184"/>
      <c r="Y507" s="184"/>
      <c r="Z507" s="184"/>
      <c r="AA507" s="184"/>
      <c r="AB507" s="184"/>
      <c r="AC507" s="184"/>
      <c r="AD507" s="184"/>
      <c r="AE507" s="184"/>
      <c r="AF507" s="184"/>
      <c r="AG507" s="184"/>
      <c r="AH507" s="184"/>
      <c r="AI507" s="184"/>
      <c r="AJ507" s="184"/>
      <c r="AK507" s="184"/>
      <c r="AL507" s="184"/>
      <c r="AM507" s="184"/>
      <c r="AN507" s="184"/>
      <c r="AO507" s="184"/>
      <c r="AP507" s="184"/>
      <c r="AQ507" s="184"/>
      <c r="AR507" s="184"/>
    </row>
    <row r="508" spans="1:44" s="331" customFormat="1" ht="12" customHeight="1">
      <c r="A508" s="184"/>
      <c r="P508" s="277"/>
      <c r="X508" s="184"/>
      <c r="Y508" s="184"/>
      <c r="Z508" s="184"/>
      <c r="AA508" s="184"/>
      <c r="AB508" s="184"/>
      <c r="AC508" s="184"/>
      <c r="AD508" s="184"/>
      <c r="AE508" s="184"/>
      <c r="AF508" s="184"/>
      <c r="AG508" s="184"/>
      <c r="AH508" s="184"/>
      <c r="AI508" s="184"/>
      <c r="AJ508" s="184"/>
      <c r="AK508" s="184"/>
      <c r="AL508" s="184"/>
      <c r="AM508" s="184"/>
      <c r="AN508" s="184"/>
      <c r="AO508" s="184"/>
      <c r="AP508" s="184"/>
      <c r="AQ508" s="184"/>
      <c r="AR508" s="184"/>
    </row>
    <row r="509" spans="1:44" s="331" customFormat="1" ht="12" customHeight="1">
      <c r="A509" s="184"/>
      <c r="P509" s="277"/>
      <c r="X509" s="184"/>
      <c r="Y509" s="184"/>
      <c r="Z509" s="184"/>
      <c r="AA509" s="184"/>
      <c r="AB509" s="184"/>
      <c r="AC509" s="184"/>
      <c r="AD509" s="184"/>
      <c r="AE509" s="184"/>
      <c r="AF509" s="184"/>
      <c r="AG509" s="184"/>
      <c r="AH509" s="184"/>
      <c r="AI509" s="184"/>
      <c r="AJ509" s="184"/>
      <c r="AK509" s="184"/>
      <c r="AL509" s="184"/>
      <c r="AM509" s="184"/>
      <c r="AN509" s="184"/>
      <c r="AO509" s="184"/>
      <c r="AP509" s="184"/>
      <c r="AQ509" s="184"/>
      <c r="AR509" s="184"/>
    </row>
    <row r="510" spans="1:44" s="331" customFormat="1" ht="12" customHeight="1">
      <c r="A510" s="184"/>
      <c r="P510" s="277"/>
      <c r="X510" s="184"/>
      <c r="Y510" s="184"/>
      <c r="Z510" s="184"/>
      <c r="AA510" s="184"/>
      <c r="AB510" s="184"/>
      <c r="AC510" s="184"/>
      <c r="AD510" s="184"/>
      <c r="AE510" s="184"/>
      <c r="AF510" s="184"/>
      <c r="AG510" s="184"/>
      <c r="AH510" s="184"/>
      <c r="AI510" s="184"/>
      <c r="AJ510" s="184"/>
      <c r="AK510" s="184"/>
      <c r="AL510" s="184"/>
      <c r="AM510" s="184"/>
      <c r="AN510" s="184"/>
      <c r="AO510" s="184"/>
      <c r="AP510" s="184"/>
      <c r="AQ510" s="184"/>
      <c r="AR510" s="184"/>
    </row>
    <row r="511" spans="1:44" s="331" customFormat="1" ht="12" customHeight="1">
      <c r="A511" s="184"/>
      <c r="P511" s="277"/>
      <c r="X511" s="184"/>
      <c r="Y511" s="184"/>
      <c r="Z511" s="184"/>
      <c r="AA511" s="184"/>
      <c r="AB511" s="184"/>
      <c r="AC511" s="184"/>
      <c r="AD511" s="184"/>
      <c r="AE511" s="184"/>
      <c r="AF511" s="184"/>
      <c r="AG511" s="184"/>
      <c r="AH511" s="184"/>
      <c r="AI511" s="184"/>
      <c r="AJ511" s="184"/>
      <c r="AK511" s="184"/>
      <c r="AL511" s="184"/>
      <c r="AM511" s="184"/>
      <c r="AN511" s="184"/>
      <c r="AO511" s="184"/>
      <c r="AP511" s="184"/>
      <c r="AQ511" s="184"/>
      <c r="AR511" s="184"/>
    </row>
    <row r="512" spans="1:44" s="331" customFormat="1" ht="12" customHeight="1">
      <c r="A512" s="184"/>
      <c r="P512" s="277"/>
      <c r="X512" s="184"/>
      <c r="Y512" s="184"/>
      <c r="Z512" s="184"/>
      <c r="AA512" s="184"/>
      <c r="AB512" s="184"/>
      <c r="AC512" s="184"/>
      <c r="AD512" s="184"/>
      <c r="AE512" s="184"/>
      <c r="AF512" s="184"/>
      <c r="AG512" s="184"/>
      <c r="AH512" s="184"/>
      <c r="AI512" s="184"/>
      <c r="AJ512" s="184"/>
      <c r="AK512" s="184"/>
      <c r="AL512" s="184"/>
      <c r="AM512" s="184"/>
      <c r="AN512" s="184"/>
      <c r="AO512" s="184"/>
      <c r="AP512" s="184"/>
      <c r="AQ512" s="184"/>
      <c r="AR512" s="184"/>
    </row>
    <row r="513" spans="1:44" s="331" customFormat="1" ht="12" customHeight="1">
      <c r="A513" s="184"/>
      <c r="P513" s="277"/>
      <c r="X513" s="184"/>
      <c r="Y513" s="184"/>
      <c r="Z513" s="184"/>
      <c r="AA513" s="184"/>
      <c r="AB513" s="184"/>
      <c r="AC513" s="184"/>
      <c r="AD513" s="184"/>
      <c r="AE513" s="184"/>
      <c r="AF513" s="184"/>
      <c r="AG513" s="184"/>
      <c r="AH513" s="184"/>
      <c r="AI513" s="184"/>
      <c r="AJ513" s="184"/>
      <c r="AK513" s="184"/>
      <c r="AL513" s="184"/>
      <c r="AM513" s="184"/>
      <c r="AN513" s="184"/>
      <c r="AO513" s="184"/>
      <c r="AP513" s="184"/>
      <c r="AQ513" s="184"/>
      <c r="AR513" s="184"/>
    </row>
    <row r="514" spans="1:44" s="331" customFormat="1" ht="12" customHeight="1">
      <c r="A514" s="184"/>
      <c r="P514" s="277"/>
      <c r="X514" s="184"/>
      <c r="Y514" s="184"/>
      <c r="Z514" s="184"/>
      <c r="AA514" s="184"/>
      <c r="AB514" s="184"/>
      <c r="AC514" s="184"/>
      <c r="AD514" s="184"/>
      <c r="AE514" s="184"/>
      <c r="AF514" s="184"/>
      <c r="AG514" s="184"/>
      <c r="AH514" s="184"/>
      <c r="AI514" s="184"/>
      <c r="AJ514" s="184"/>
      <c r="AK514" s="184"/>
      <c r="AL514" s="184"/>
      <c r="AM514" s="184"/>
      <c r="AN514" s="184"/>
      <c r="AO514" s="184"/>
      <c r="AP514" s="184"/>
      <c r="AQ514" s="184"/>
      <c r="AR514" s="184"/>
    </row>
    <row r="515" spans="1:44" s="331" customFormat="1" ht="12" customHeight="1">
      <c r="A515" s="184"/>
      <c r="P515" s="277"/>
      <c r="X515" s="184"/>
      <c r="Y515" s="184"/>
      <c r="Z515" s="184"/>
      <c r="AA515" s="184"/>
      <c r="AB515" s="184"/>
      <c r="AC515" s="184"/>
      <c r="AD515" s="184"/>
      <c r="AE515" s="184"/>
      <c r="AF515" s="184"/>
      <c r="AG515" s="184"/>
      <c r="AH515" s="184"/>
      <c r="AI515" s="184"/>
      <c r="AJ515" s="184"/>
      <c r="AK515" s="184"/>
      <c r="AL515" s="184"/>
      <c r="AM515" s="184"/>
      <c r="AN515" s="184"/>
      <c r="AO515" s="184"/>
      <c r="AP515" s="184"/>
      <c r="AQ515" s="184"/>
      <c r="AR515" s="184"/>
    </row>
    <row r="516" spans="1:44" s="331" customFormat="1" ht="12" customHeight="1">
      <c r="A516" s="184"/>
      <c r="P516" s="277"/>
      <c r="X516" s="184"/>
      <c r="Y516" s="184"/>
      <c r="Z516" s="184"/>
      <c r="AA516" s="184"/>
      <c r="AB516" s="184"/>
      <c r="AC516" s="184"/>
      <c r="AD516" s="184"/>
      <c r="AE516" s="184"/>
      <c r="AF516" s="184"/>
      <c r="AG516" s="184"/>
      <c r="AH516" s="184"/>
      <c r="AI516" s="184"/>
      <c r="AJ516" s="184"/>
      <c r="AK516" s="184"/>
      <c r="AL516" s="184"/>
      <c r="AM516" s="184"/>
      <c r="AN516" s="184"/>
      <c r="AO516" s="184"/>
      <c r="AP516" s="184"/>
      <c r="AQ516" s="184"/>
      <c r="AR516" s="184"/>
    </row>
    <row r="517" spans="1:44" s="331" customFormat="1" ht="12" customHeight="1">
      <c r="A517" s="184"/>
      <c r="P517" s="403"/>
      <c r="X517" s="184"/>
      <c r="Y517" s="184"/>
      <c r="Z517" s="184"/>
      <c r="AA517" s="184"/>
      <c r="AB517" s="184"/>
      <c r="AC517" s="184"/>
      <c r="AD517" s="184"/>
      <c r="AE517" s="184"/>
      <c r="AF517" s="184"/>
      <c r="AG517" s="184"/>
      <c r="AH517" s="184"/>
      <c r="AI517" s="184"/>
      <c r="AJ517" s="184"/>
      <c r="AK517" s="184"/>
      <c r="AL517" s="184"/>
      <c r="AM517" s="184"/>
      <c r="AN517" s="184"/>
      <c r="AO517" s="184"/>
      <c r="AP517" s="184"/>
      <c r="AQ517" s="184"/>
      <c r="AR517" s="184"/>
    </row>
    <row r="518" spans="1:44" s="331" customFormat="1" ht="12" customHeight="1">
      <c r="A518" s="184"/>
      <c r="P518" s="403"/>
      <c r="X518" s="184"/>
      <c r="Y518" s="184"/>
      <c r="Z518" s="184"/>
      <c r="AA518" s="184"/>
      <c r="AB518" s="184"/>
      <c r="AC518" s="184"/>
      <c r="AD518" s="184"/>
      <c r="AE518" s="184"/>
      <c r="AF518" s="184"/>
      <c r="AG518" s="184"/>
      <c r="AH518" s="184"/>
      <c r="AI518" s="184"/>
      <c r="AJ518" s="184"/>
      <c r="AK518" s="184"/>
      <c r="AL518" s="184"/>
      <c r="AM518" s="184"/>
      <c r="AN518" s="184"/>
      <c r="AO518" s="184"/>
      <c r="AP518" s="184"/>
      <c r="AQ518" s="184"/>
      <c r="AR518" s="184"/>
    </row>
    <row r="519" spans="1:44" s="331" customFormat="1" ht="12" customHeight="1">
      <c r="A519" s="184"/>
      <c r="P519" s="403"/>
      <c r="X519" s="184"/>
      <c r="Y519" s="184"/>
      <c r="Z519" s="184"/>
      <c r="AA519" s="184"/>
      <c r="AB519" s="184"/>
      <c r="AC519" s="184"/>
      <c r="AD519" s="184"/>
      <c r="AE519" s="184"/>
      <c r="AF519" s="184"/>
      <c r="AG519" s="184"/>
      <c r="AH519" s="184"/>
      <c r="AI519" s="184"/>
      <c r="AJ519" s="184"/>
      <c r="AK519" s="184"/>
      <c r="AL519" s="184"/>
      <c r="AM519" s="184"/>
      <c r="AN519" s="184"/>
      <c r="AO519" s="184"/>
      <c r="AP519" s="184"/>
      <c r="AQ519" s="184"/>
      <c r="AR519" s="184"/>
    </row>
    <row r="520" spans="1:44" s="331" customFormat="1" ht="12" customHeight="1">
      <c r="A520" s="184"/>
      <c r="P520" s="277"/>
      <c r="X520" s="184"/>
      <c r="Y520" s="184"/>
      <c r="Z520" s="184"/>
      <c r="AA520" s="184"/>
      <c r="AB520" s="184"/>
      <c r="AC520" s="184"/>
      <c r="AD520" s="184"/>
      <c r="AE520" s="184"/>
      <c r="AF520" s="184"/>
      <c r="AG520" s="184"/>
      <c r="AH520" s="184"/>
      <c r="AI520" s="184"/>
      <c r="AJ520" s="184"/>
      <c r="AK520" s="184"/>
      <c r="AL520" s="184"/>
      <c r="AM520" s="184"/>
      <c r="AN520" s="184"/>
      <c r="AO520" s="184"/>
      <c r="AP520" s="184"/>
      <c r="AQ520" s="184"/>
      <c r="AR520" s="184"/>
    </row>
    <row r="521" spans="1:44" s="331" customFormat="1" ht="12" customHeight="1">
      <c r="A521" s="184"/>
      <c r="P521" s="277"/>
      <c r="X521" s="184"/>
      <c r="Y521" s="184"/>
      <c r="Z521" s="184"/>
      <c r="AA521" s="184"/>
      <c r="AB521" s="184"/>
      <c r="AC521" s="184"/>
      <c r="AD521" s="184"/>
      <c r="AE521" s="184"/>
      <c r="AF521" s="184"/>
      <c r="AG521" s="184"/>
      <c r="AH521" s="184"/>
      <c r="AI521" s="184"/>
      <c r="AJ521" s="184"/>
      <c r="AK521" s="184"/>
      <c r="AL521" s="184"/>
      <c r="AM521" s="184"/>
      <c r="AN521" s="184"/>
      <c r="AO521" s="184"/>
      <c r="AP521" s="184"/>
      <c r="AQ521" s="184"/>
      <c r="AR521" s="184"/>
    </row>
    <row r="522" spans="1:44" s="331" customFormat="1" ht="12" customHeight="1">
      <c r="A522" s="184"/>
      <c r="P522" s="277"/>
      <c r="X522" s="184"/>
      <c r="Y522" s="184"/>
      <c r="Z522" s="184"/>
      <c r="AA522" s="184"/>
      <c r="AB522" s="184"/>
      <c r="AC522" s="184"/>
      <c r="AD522" s="184"/>
      <c r="AE522" s="184"/>
      <c r="AF522" s="184"/>
      <c r="AG522" s="184"/>
      <c r="AH522" s="184"/>
      <c r="AI522" s="184"/>
      <c r="AJ522" s="184"/>
      <c r="AK522" s="184"/>
      <c r="AL522" s="184"/>
      <c r="AM522" s="184"/>
      <c r="AN522" s="184"/>
      <c r="AO522" s="184"/>
      <c r="AP522" s="184"/>
      <c r="AQ522" s="184"/>
      <c r="AR522" s="184"/>
    </row>
    <row r="523" spans="1:44" s="331" customFormat="1" ht="12" customHeight="1">
      <c r="A523" s="184"/>
      <c r="P523" s="277"/>
      <c r="X523" s="184"/>
      <c r="Y523" s="184"/>
      <c r="Z523" s="184"/>
      <c r="AA523" s="184"/>
      <c r="AB523" s="184"/>
      <c r="AC523" s="184"/>
      <c r="AD523" s="184"/>
      <c r="AE523" s="184"/>
      <c r="AF523" s="184"/>
      <c r="AG523" s="184"/>
      <c r="AH523" s="184"/>
      <c r="AI523" s="184"/>
      <c r="AJ523" s="184"/>
      <c r="AK523" s="184"/>
      <c r="AL523" s="184"/>
      <c r="AM523" s="184"/>
      <c r="AN523" s="184"/>
      <c r="AO523" s="184"/>
      <c r="AP523" s="184"/>
      <c r="AQ523" s="184"/>
      <c r="AR523" s="184"/>
    </row>
    <row r="524" spans="1:44" s="331" customFormat="1" ht="12" customHeight="1">
      <c r="A524" s="184"/>
      <c r="P524" s="277"/>
      <c r="X524" s="184"/>
      <c r="Y524" s="184"/>
      <c r="Z524" s="184"/>
      <c r="AA524" s="184"/>
      <c r="AB524" s="184"/>
      <c r="AC524" s="184"/>
      <c r="AD524" s="184"/>
      <c r="AE524" s="184"/>
      <c r="AF524" s="184"/>
      <c r="AG524" s="184"/>
      <c r="AH524" s="184"/>
      <c r="AI524" s="184"/>
      <c r="AJ524" s="184"/>
      <c r="AK524" s="184"/>
      <c r="AL524" s="184"/>
      <c r="AM524" s="184"/>
      <c r="AN524" s="184"/>
      <c r="AO524" s="184"/>
      <c r="AP524" s="184"/>
      <c r="AQ524" s="184"/>
      <c r="AR524" s="184"/>
    </row>
    <row r="525" spans="1:44" s="331" customFormat="1" ht="12" customHeight="1">
      <c r="A525" s="184"/>
      <c r="P525" s="277"/>
      <c r="X525" s="184"/>
      <c r="Y525" s="184"/>
      <c r="Z525" s="184"/>
      <c r="AA525" s="184"/>
      <c r="AB525" s="184"/>
      <c r="AC525" s="184"/>
      <c r="AD525" s="184"/>
      <c r="AE525" s="184"/>
      <c r="AF525" s="184"/>
      <c r="AG525" s="184"/>
      <c r="AH525" s="184"/>
      <c r="AI525" s="184"/>
      <c r="AJ525" s="184"/>
      <c r="AK525" s="184"/>
      <c r="AL525" s="184"/>
      <c r="AM525" s="184"/>
      <c r="AN525" s="184"/>
      <c r="AO525" s="184"/>
      <c r="AP525" s="184"/>
      <c r="AQ525" s="184"/>
      <c r="AR525" s="184"/>
    </row>
    <row r="526" spans="1:44" s="331" customFormat="1" ht="12" customHeight="1">
      <c r="A526" s="184"/>
      <c r="P526" s="277"/>
      <c r="X526" s="184"/>
      <c r="Y526" s="184"/>
      <c r="Z526" s="184"/>
      <c r="AA526" s="184"/>
      <c r="AB526" s="184"/>
      <c r="AC526" s="184"/>
      <c r="AD526" s="184"/>
      <c r="AE526" s="184"/>
      <c r="AF526" s="184"/>
      <c r="AG526" s="184"/>
      <c r="AH526" s="184"/>
      <c r="AI526" s="184"/>
      <c r="AJ526" s="184"/>
      <c r="AK526" s="184"/>
      <c r="AL526" s="184"/>
      <c r="AM526" s="184"/>
      <c r="AN526" s="184"/>
      <c r="AO526" s="184"/>
      <c r="AP526" s="184"/>
      <c r="AQ526" s="184"/>
      <c r="AR526" s="184"/>
    </row>
    <row r="527" spans="1:44" s="331" customFormat="1" ht="12" customHeight="1">
      <c r="A527" s="184"/>
      <c r="P527" s="277"/>
      <c r="X527" s="184"/>
      <c r="Y527" s="184"/>
      <c r="Z527" s="184"/>
      <c r="AA527" s="184"/>
      <c r="AB527" s="184"/>
      <c r="AC527" s="184"/>
      <c r="AD527" s="184"/>
      <c r="AE527" s="184"/>
      <c r="AF527" s="184"/>
      <c r="AG527" s="184"/>
      <c r="AH527" s="184"/>
      <c r="AI527" s="184"/>
      <c r="AJ527" s="184"/>
      <c r="AK527" s="184"/>
      <c r="AL527" s="184"/>
      <c r="AM527" s="184"/>
      <c r="AN527" s="184"/>
      <c r="AO527" s="184"/>
      <c r="AP527" s="184"/>
      <c r="AQ527" s="184"/>
      <c r="AR527" s="184"/>
    </row>
    <row r="528" spans="1:44" s="331" customFormat="1" ht="12" customHeight="1">
      <c r="A528" s="184"/>
      <c r="P528" s="277"/>
      <c r="X528" s="184"/>
      <c r="Y528" s="184"/>
      <c r="Z528" s="184"/>
      <c r="AA528" s="184"/>
      <c r="AB528" s="184"/>
      <c r="AC528" s="184"/>
      <c r="AD528" s="184"/>
      <c r="AE528" s="184"/>
      <c r="AF528" s="184"/>
      <c r="AG528" s="184"/>
      <c r="AH528" s="184"/>
      <c r="AI528" s="184"/>
      <c r="AJ528" s="184"/>
      <c r="AK528" s="184"/>
      <c r="AL528" s="184"/>
      <c r="AM528" s="184"/>
      <c r="AN528" s="184"/>
      <c r="AO528" s="184"/>
      <c r="AP528" s="184"/>
      <c r="AQ528" s="184"/>
      <c r="AR528" s="184"/>
    </row>
    <row r="529" spans="1:44" s="331" customFormat="1" ht="12" customHeight="1">
      <c r="A529" s="184"/>
      <c r="P529" s="277"/>
      <c r="X529" s="184"/>
      <c r="Y529" s="184"/>
      <c r="Z529" s="184"/>
      <c r="AA529" s="184"/>
      <c r="AB529" s="184"/>
      <c r="AC529" s="184"/>
      <c r="AD529" s="184"/>
      <c r="AE529" s="184"/>
      <c r="AF529" s="184"/>
      <c r="AG529" s="184"/>
      <c r="AH529" s="184"/>
      <c r="AI529" s="184"/>
      <c r="AJ529" s="184"/>
      <c r="AK529" s="184"/>
      <c r="AL529" s="184"/>
      <c r="AM529" s="184"/>
      <c r="AN529" s="184"/>
      <c r="AO529" s="184"/>
      <c r="AP529" s="184"/>
      <c r="AQ529" s="184"/>
      <c r="AR529" s="184"/>
    </row>
    <row r="530" spans="1:44" s="331" customFormat="1" ht="12" customHeight="1">
      <c r="A530" s="184"/>
      <c r="P530" s="277"/>
      <c r="X530" s="184"/>
      <c r="Y530" s="184"/>
      <c r="Z530" s="184"/>
      <c r="AA530" s="184"/>
      <c r="AB530" s="184"/>
      <c r="AC530" s="184"/>
      <c r="AD530" s="184"/>
      <c r="AE530" s="184"/>
      <c r="AF530" s="184"/>
      <c r="AG530" s="184"/>
      <c r="AH530" s="184"/>
      <c r="AI530" s="184"/>
      <c r="AJ530" s="184"/>
      <c r="AK530" s="184"/>
      <c r="AL530" s="184"/>
      <c r="AM530" s="184"/>
      <c r="AN530" s="184"/>
      <c r="AO530" s="184"/>
      <c r="AP530" s="184"/>
      <c r="AQ530" s="184"/>
      <c r="AR530" s="184"/>
    </row>
    <row r="531" spans="1:44" s="331" customFormat="1" ht="12" customHeight="1">
      <c r="A531" s="184"/>
      <c r="P531" s="277"/>
      <c r="X531" s="184"/>
      <c r="Y531" s="184"/>
      <c r="Z531" s="184"/>
      <c r="AA531" s="184"/>
      <c r="AB531" s="184"/>
      <c r="AC531" s="184"/>
      <c r="AD531" s="184"/>
      <c r="AE531" s="184"/>
      <c r="AF531" s="184"/>
      <c r="AG531" s="184"/>
      <c r="AH531" s="184"/>
      <c r="AI531" s="184"/>
      <c r="AJ531" s="184"/>
      <c r="AK531" s="184"/>
      <c r="AL531" s="184"/>
      <c r="AM531" s="184"/>
      <c r="AN531" s="184"/>
      <c r="AO531" s="184"/>
      <c r="AP531" s="184"/>
      <c r="AQ531" s="184"/>
      <c r="AR531" s="184"/>
    </row>
    <row r="532" spans="1:44" s="331" customFormat="1" ht="12" customHeight="1">
      <c r="A532" s="184"/>
      <c r="P532" s="402"/>
      <c r="X532" s="184"/>
      <c r="Y532" s="184"/>
      <c r="Z532" s="184"/>
      <c r="AA532" s="184"/>
      <c r="AB532" s="184"/>
      <c r="AC532" s="184"/>
      <c r="AD532" s="184"/>
      <c r="AE532" s="184"/>
      <c r="AF532" s="184"/>
      <c r="AG532" s="184"/>
      <c r="AH532" s="184"/>
      <c r="AI532" s="184"/>
      <c r="AJ532" s="184"/>
      <c r="AK532" s="184"/>
      <c r="AL532" s="184"/>
      <c r="AM532" s="184"/>
      <c r="AN532" s="184"/>
      <c r="AO532" s="184"/>
      <c r="AP532" s="184"/>
      <c r="AQ532" s="184"/>
      <c r="AR532" s="184"/>
    </row>
    <row r="533" spans="1:44" s="331" customFormat="1" ht="12" customHeight="1">
      <c r="A533" s="184"/>
      <c r="P533" s="277"/>
      <c r="X533" s="184"/>
      <c r="Y533" s="184"/>
      <c r="Z533" s="184"/>
      <c r="AA533" s="184"/>
      <c r="AB533" s="184"/>
      <c r="AC533" s="184"/>
      <c r="AD533" s="184"/>
      <c r="AE533" s="184"/>
      <c r="AF533" s="184"/>
      <c r="AG533" s="184"/>
      <c r="AH533" s="184"/>
      <c r="AI533" s="184"/>
      <c r="AJ533" s="184"/>
      <c r="AK533" s="184"/>
      <c r="AL533" s="184"/>
      <c r="AM533" s="184"/>
      <c r="AN533" s="184"/>
      <c r="AO533" s="184"/>
      <c r="AP533" s="184"/>
      <c r="AQ533" s="184"/>
      <c r="AR533" s="184"/>
    </row>
    <row r="534" spans="1:44" s="331" customFormat="1" ht="12" customHeight="1">
      <c r="A534" s="184"/>
      <c r="P534" s="277"/>
      <c r="X534" s="184"/>
      <c r="Y534" s="184"/>
      <c r="Z534" s="184"/>
      <c r="AA534" s="184"/>
      <c r="AB534" s="184"/>
      <c r="AC534" s="184"/>
      <c r="AD534" s="184"/>
      <c r="AE534" s="184"/>
      <c r="AF534" s="184"/>
      <c r="AG534" s="184"/>
      <c r="AH534" s="184"/>
      <c r="AI534" s="184"/>
      <c r="AJ534" s="184"/>
      <c r="AK534" s="184"/>
      <c r="AL534" s="184"/>
      <c r="AM534" s="184"/>
      <c r="AN534" s="184"/>
      <c r="AO534" s="184"/>
      <c r="AP534" s="184"/>
      <c r="AQ534" s="184"/>
      <c r="AR534" s="184"/>
    </row>
    <row r="535" spans="1:44" s="331" customFormat="1" ht="12" customHeight="1">
      <c r="A535" s="184"/>
      <c r="P535" s="277"/>
      <c r="X535" s="184"/>
      <c r="Y535" s="184"/>
      <c r="Z535" s="184"/>
      <c r="AA535" s="184"/>
      <c r="AB535" s="184"/>
      <c r="AC535" s="184"/>
      <c r="AD535" s="184"/>
      <c r="AE535" s="184"/>
      <c r="AF535" s="184"/>
      <c r="AG535" s="184"/>
      <c r="AH535" s="184"/>
      <c r="AI535" s="184"/>
      <c r="AJ535" s="184"/>
      <c r="AK535" s="184"/>
      <c r="AL535" s="184"/>
      <c r="AM535" s="184"/>
      <c r="AN535" s="184"/>
      <c r="AO535" s="184"/>
      <c r="AP535" s="184"/>
      <c r="AQ535" s="184"/>
      <c r="AR535" s="184"/>
    </row>
    <row r="536" spans="1:44" s="331" customFormat="1" ht="12" customHeight="1">
      <c r="A536" s="184"/>
      <c r="P536" s="277"/>
      <c r="X536" s="184"/>
      <c r="Y536" s="184"/>
      <c r="Z536" s="184"/>
      <c r="AA536" s="184"/>
      <c r="AB536" s="184"/>
      <c r="AC536" s="184"/>
      <c r="AD536" s="184"/>
      <c r="AE536" s="184"/>
      <c r="AF536" s="184"/>
      <c r="AG536" s="184"/>
      <c r="AH536" s="184"/>
      <c r="AI536" s="184"/>
      <c r="AJ536" s="184"/>
      <c r="AK536" s="184"/>
      <c r="AL536" s="184"/>
      <c r="AM536" s="184"/>
      <c r="AN536" s="184"/>
      <c r="AO536" s="184"/>
      <c r="AP536" s="184"/>
      <c r="AQ536" s="184"/>
      <c r="AR536" s="184"/>
    </row>
    <row r="537" spans="1:44" s="331" customFormat="1" ht="12" customHeight="1">
      <c r="A537" s="184"/>
      <c r="P537" s="403"/>
      <c r="X537" s="184"/>
      <c r="Y537" s="184"/>
      <c r="Z537" s="184"/>
      <c r="AA537" s="184"/>
      <c r="AB537" s="184"/>
      <c r="AC537" s="184"/>
      <c r="AD537" s="184"/>
      <c r="AE537" s="184"/>
      <c r="AF537" s="184"/>
      <c r="AG537" s="184"/>
      <c r="AH537" s="184"/>
      <c r="AI537" s="184"/>
      <c r="AJ537" s="184"/>
      <c r="AK537" s="184"/>
      <c r="AL537" s="184"/>
      <c r="AM537" s="184"/>
      <c r="AN537" s="184"/>
      <c r="AO537" s="184"/>
      <c r="AP537" s="184"/>
      <c r="AQ537" s="184"/>
      <c r="AR537" s="184"/>
    </row>
    <row r="538" spans="1:44" s="331" customFormat="1" ht="12" customHeight="1">
      <c r="A538" s="184"/>
      <c r="P538" s="277"/>
      <c r="X538" s="184"/>
      <c r="Y538" s="184"/>
      <c r="Z538" s="184"/>
      <c r="AA538" s="184"/>
      <c r="AB538" s="184"/>
      <c r="AC538" s="184"/>
      <c r="AD538" s="184"/>
      <c r="AE538" s="184"/>
      <c r="AF538" s="184"/>
      <c r="AG538" s="184"/>
      <c r="AH538" s="184"/>
      <c r="AI538" s="184"/>
      <c r="AJ538" s="184"/>
      <c r="AK538" s="184"/>
      <c r="AL538" s="184"/>
      <c r="AM538" s="184"/>
      <c r="AN538" s="184"/>
      <c r="AO538" s="184"/>
      <c r="AP538" s="184"/>
      <c r="AQ538" s="184"/>
      <c r="AR538" s="184"/>
    </row>
    <row r="539" spans="1:44" s="331" customFormat="1" ht="12" customHeight="1">
      <c r="A539" s="184"/>
      <c r="P539" s="277"/>
      <c r="X539" s="184"/>
      <c r="Y539" s="184"/>
      <c r="Z539" s="184"/>
      <c r="AA539" s="184"/>
      <c r="AB539" s="184"/>
      <c r="AC539" s="184"/>
      <c r="AD539" s="184"/>
      <c r="AE539" s="184"/>
      <c r="AF539" s="184"/>
      <c r="AG539" s="184"/>
      <c r="AH539" s="184"/>
      <c r="AI539" s="184"/>
      <c r="AJ539" s="184"/>
      <c r="AK539" s="184"/>
      <c r="AL539" s="184"/>
      <c r="AM539" s="184"/>
      <c r="AN539" s="184"/>
      <c r="AO539" s="184"/>
      <c r="AP539" s="184"/>
      <c r="AQ539" s="184"/>
      <c r="AR539" s="184"/>
    </row>
    <row r="540" spans="1:44" s="331" customFormat="1" ht="12" customHeight="1">
      <c r="A540" s="184"/>
      <c r="P540" s="277"/>
      <c r="X540" s="184"/>
      <c r="Y540" s="184"/>
      <c r="Z540" s="184"/>
      <c r="AA540" s="184"/>
      <c r="AB540" s="184"/>
      <c r="AC540" s="184"/>
      <c r="AD540" s="184"/>
      <c r="AE540" s="184"/>
      <c r="AF540" s="184"/>
      <c r="AG540" s="184"/>
      <c r="AH540" s="184"/>
      <c r="AI540" s="184"/>
      <c r="AJ540" s="184"/>
      <c r="AK540" s="184"/>
      <c r="AL540" s="184"/>
      <c r="AM540" s="184"/>
      <c r="AN540" s="184"/>
      <c r="AO540" s="184"/>
      <c r="AP540" s="184"/>
      <c r="AQ540" s="184"/>
      <c r="AR540" s="184"/>
    </row>
    <row r="541" spans="1:44" s="331" customFormat="1" ht="12" customHeight="1">
      <c r="A541" s="184"/>
      <c r="P541" s="277"/>
      <c r="X541" s="184"/>
      <c r="Y541" s="184"/>
      <c r="Z541" s="184"/>
      <c r="AA541" s="184"/>
      <c r="AB541" s="184"/>
      <c r="AC541" s="184"/>
      <c r="AD541" s="184"/>
      <c r="AE541" s="184"/>
      <c r="AF541" s="184"/>
      <c r="AG541" s="184"/>
      <c r="AH541" s="184"/>
      <c r="AI541" s="184"/>
      <c r="AJ541" s="184"/>
      <c r="AK541" s="184"/>
      <c r="AL541" s="184"/>
      <c r="AM541" s="184"/>
      <c r="AN541" s="184"/>
      <c r="AO541" s="184"/>
      <c r="AP541" s="184"/>
      <c r="AQ541" s="184"/>
      <c r="AR541" s="184"/>
    </row>
    <row r="542" spans="1:44" s="331" customFormat="1" ht="12" customHeight="1">
      <c r="A542" s="184"/>
      <c r="P542" s="277"/>
      <c r="X542" s="184"/>
      <c r="Y542" s="184"/>
      <c r="Z542" s="184"/>
      <c r="AA542" s="184"/>
      <c r="AB542" s="184"/>
      <c r="AC542" s="184"/>
      <c r="AD542" s="184"/>
      <c r="AE542" s="184"/>
      <c r="AF542" s="184"/>
      <c r="AG542" s="184"/>
      <c r="AH542" s="184"/>
      <c r="AI542" s="184"/>
      <c r="AJ542" s="184"/>
      <c r="AK542" s="184"/>
      <c r="AL542" s="184"/>
      <c r="AM542" s="184"/>
      <c r="AN542" s="184"/>
      <c r="AO542" s="184"/>
      <c r="AP542" s="184"/>
      <c r="AQ542" s="184"/>
      <c r="AR542" s="184"/>
    </row>
    <row r="543" spans="1:44" s="331" customFormat="1" ht="12" customHeight="1">
      <c r="A543" s="184"/>
      <c r="P543" s="277"/>
      <c r="X543" s="184"/>
      <c r="Y543" s="184"/>
      <c r="Z543" s="184"/>
      <c r="AA543" s="184"/>
      <c r="AB543" s="184"/>
      <c r="AC543" s="184"/>
      <c r="AD543" s="184"/>
      <c r="AE543" s="184"/>
      <c r="AF543" s="184"/>
      <c r="AG543" s="184"/>
      <c r="AH543" s="184"/>
      <c r="AI543" s="184"/>
      <c r="AJ543" s="184"/>
      <c r="AK543" s="184"/>
      <c r="AL543" s="184"/>
      <c r="AM543" s="184"/>
      <c r="AN543" s="184"/>
      <c r="AO543" s="184"/>
      <c r="AP543" s="184"/>
      <c r="AQ543" s="184"/>
      <c r="AR543" s="184"/>
    </row>
    <row r="544" spans="1:44" s="331" customFormat="1" ht="12" customHeight="1">
      <c r="A544" s="184"/>
      <c r="P544" s="277"/>
      <c r="X544" s="184"/>
      <c r="Y544" s="184"/>
      <c r="Z544" s="184"/>
      <c r="AA544" s="184"/>
      <c r="AB544" s="184"/>
      <c r="AC544" s="184"/>
      <c r="AD544" s="184"/>
      <c r="AE544" s="184"/>
      <c r="AF544" s="184"/>
      <c r="AG544" s="184"/>
      <c r="AH544" s="184"/>
      <c r="AI544" s="184"/>
      <c r="AJ544" s="184"/>
      <c r="AK544" s="184"/>
      <c r="AL544" s="184"/>
      <c r="AM544" s="184"/>
      <c r="AN544" s="184"/>
      <c r="AO544" s="184"/>
      <c r="AP544" s="184"/>
      <c r="AQ544" s="184"/>
      <c r="AR544" s="184"/>
    </row>
    <row r="545" spans="1:44" s="331" customFormat="1" ht="12" customHeight="1">
      <c r="A545" s="184"/>
      <c r="P545" s="277"/>
      <c r="X545" s="184"/>
      <c r="Y545" s="184"/>
      <c r="Z545" s="184"/>
      <c r="AA545" s="184"/>
      <c r="AB545" s="184"/>
      <c r="AC545" s="184"/>
      <c r="AD545" s="184"/>
      <c r="AE545" s="184"/>
      <c r="AF545" s="184"/>
      <c r="AG545" s="184"/>
      <c r="AH545" s="184"/>
      <c r="AI545" s="184"/>
      <c r="AJ545" s="184"/>
      <c r="AK545" s="184"/>
      <c r="AL545" s="184"/>
      <c r="AM545" s="184"/>
      <c r="AN545" s="184"/>
      <c r="AO545" s="184"/>
      <c r="AP545" s="184"/>
      <c r="AQ545" s="184"/>
      <c r="AR545" s="184"/>
    </row>
    <row r="546" spans="1:44" s="331" customFormat="1" ht="12" customHeight="1">
      <c r="A546" s="184"/>
      <c r="P546" s="277"/>
      <c r="R546" s="396" t="s">
        <v>89</v>
      </c>
      <c r="S546" s="396" t="s">
        <v>91</v>
      </c>
      <c r="T546" s="396" t="s">
        <v>90</v>
      </c>
      <c r="X546" s="184"/>
      <c r="Y546" s="184"/>
      <c r="Z546" s="184"/>
      <c r="AA546" s="184"/>
      <c r="AB546" s="184"/>
      <c r="AC546" s="184"/>
      <c r="AD546" s="184"/>
      <c r="AE546" s="184"/>
      <c r="AF546" s="184"/>
      <c r="AG546" s="184"/>
      <c r="AH546" s="184"/>
      <c r="AI546" s="184"/>
      <c r="AJ546" s="184"/>
      <c r="AK546" s="184"/>
      <c r="AL546" s="184"/>
      <c r="AM546" s="184"/>
      <c r="AN546" s="184"/>
      <c r="AO546" s="184"/>
      <c r="AP546" s="184"/>
      <c r="AQ546" s="184"/>
      <c r="AR546" s="184"/>
    </row>
    <row r="547" spans="1:44" s="331" customFormat="1" ht="12" customHeight="1">
      <c r="A547" s="184"/>
      <c r="P547" s="277"/>
      <c r="R547" s="396" t="s">
        <v>2271</v>
      </c>
      <c r="S547" s="396" t="s">
        <v>584</v>
      </c>
      <c r="T547" s="397" t="s">
        <v>1907</v>
      </c>
      <c r="X547" s="184"/>
      <c r="Y547" s="184"/>
      <c r="Z547" s="184"/>
      <c r="AA547" s="184"/>
      <c r="AB547" s="184"/>
      <c r="AC547" s="184"/>
      <c r="AD547" s="184"/>
      <c r="AE547" s="184"/>
      <c r="AF547" s="184"/>
      <c r="AG547" s="184"/>
      <c r="AH547" s="184"/>
      <c r="AI547" s="184"/>
      <c r="AJ547" s="184"/>
      <c r="AK547" s="184"/>
      <c r="AL547" s="184"/>
      <c r="AM547" s="184"/>
      <c r="AN547" s="184"/>
      <c r="AO547" s="184"/>
      <c r="AP547" s="184"/>
      <c r="AQ547" s="184"/>
      <c r="AR547" s="184"/>
    </row>
    <row r="548" spans="1:44" s="331" customFormat="1" ht="12" customHeight="1">
      <c r="A548" s="184"/>
      <c r="P548" s="403"/>
      <c r="R548" s="396" t="s">
        <v>2272</v>
      </c>
      <c r="S548" s="396" t="s">
        <v>297</v>
      </c>
      <c r="T548" s="397" t="s">
        <v>1907</v>
      </c>
      <c r="X548" s="184"/>
      <c r="Y548" s="184"/>
      <c r="Z548" s="184"/>
      <c r="AA548" s="184"/>
      <c r="AB548" s="184"/>
      <c r="AC548" s="184"/>
      <c r="AD548" s="184"/>
      <c r="AE548" s="184"/>
      <c r="AF548" s="184"/>
      <c r="AG548" s="184"/>
      <c r="AH548" s="184"/>
      <c r="AI548" s="184"/>
      <c r="AJ548" s="184"/>
      <c r="AK548" s="184"/>
      <c r="AL548" s="184"/>
      <c r="AM548" s="184"/>
      <c r="AN548" s="184"/>
      <c r="AO548" s="184"/>
      <c r="AP548" s="184"/>
      <c r="AQ548" s="184"/>
      <c r="AR548" s="184"/>
    </row>
    <row r="549" spans="1:44" s="331" customFormat="1" ht="12" customHeight="1">
      <c r="A549" s="184"/>
      <c r="P549" s="277"/>
      <c r="R549" s="396" t="s">
        <v>2273</v>
      </c>
      <c r="S549" s="396" t="s">
        <v>2202</v>
      </c>
      <c r="T549" s="397" t="s">
        <v>1907</v>
      </c>
      <c r="X549" s="184"/>
      <c r="Y549" s="184"/>
      <c r="Z549" s="184"/>
      <c r="AA549" s="184"/>
      <c r="AB549" s="184"/>
      <c r="AC549" s="184"/>
      <c r="AD549" s="184"/>
      <c r="AE549" s="184"/>
      <c r="AF549" s="184"/>
      <c r="AG549" s="184"/>
      <c r="AH549" s="184"/>
      <c r="AI549" s="184"/>
      <c r="AJ549" s="184"/>
      <c r="AK549" s="184"/>
      <c r="AL549" s="184"/>
      <c r="AM549" s="184"/>
      <c r="AN549" s="184"/>
      <c r="AO549" s="184"/>
      <c r="AP549" s="184"/>
      <c r="AQ549" s="184"/>
      <c r="AR549" s="184"/>
    </row>
    <row r="550" spans="1:44" s="331" customFormat="1" ht="12" customHeight="1">
      <c r="A550" s="184"/>
      <c r="P550" s="277"/>
      <c r="R550" s="396" t="s">
        <v>2274</v>
      </c>
      <c r="S550" s="396"/>
      <c r="T550" s="397" t="s">
        <v>1907</v>
      </c>
      <c r="X550" s="184"/>
      <c r="Y550" s="184"/>
      <c r="Z550" s="184"/>
      <c r="AA550" s="184"/>
      <c r="AB550" s="184"/>
      <c r="AC550" s="184"/>
      <c r="AD550" s="184"/>
      <c r="AE550" s="184"/>
      <c r="AF550" s="184"/>
      <c r="AG550" s="184"/>
      <c r="AH550" s="184"/>
      <c r="AI550" s="184"/>
      <c r="AJ550" s="184"/>
      <c r="AK550" s="184"/>
      <c r="AL550" s="184"/>
      <c r="AM550" s="184"/>
      <c r="AN550" s="184"/>
      <c r="AO550" s="184"/>
      <c r="AP550" s="184"/>
      <c r="AQ550" s="184"/>
      <c r="AR550" s="184"/>
    </row>
    <row r="551" spans="1:44" s="331" customFormat="1" ht="12" customHeight="1">
      <c r="A551" s="184"/>
      <c r="P551" s="277"/>
      <c r="R551" s="396" t="s">
        <v>2275</v>
      </c>
      <c r="S551" s="396" t="s">
        <v>1810</v>
      </c>
      <c r="T551" s="397" t="s">
        <v>1907</v>
      </c>
      <c r="X551" s="184"/>
      <c r="Y551" s="184"/>
      <c r="Z551" s="184"/>
      <c r="AA551" s="184"/>
      <c r="AB551" s="184"/>
      <c r="AC551" s="184"/>
      <c r="AD551" s="184"/>
      <c r="AE551" s="184"/>
      <c r="AF551" s="184"/>
      <c r="AG551" s="184"/>
      <c r="AH551" s="184"/>
      <c r="AI551" s="184"/>
      <c r="AJ551" s="184"/>
      <c r="AK551" s="184"/>
      <c r="AL551" s="184"/>
      <c r="AM551" s="184"/>
      <c r="AN551" s="184"/>
      <c r="AO551" s="184"/>
      <c r="AP551" s="184"/>
      <c r="AQ551" s="184"/>
      <c r="AR551" s="184"/>
    </row>
    <row r="552" spans="1:44" s="331" customFormat="1" ht="12" customHeight="1">
      <c r="A552" s="184"/>
      <c r="P552" s="277"/>
      <c r="R552" s="396" t="s">
        <v>2276</v>
      </c>
      <c r="S552" s="396" t="s">
        <v>2202</v>
      </c>
      <c r="T552" s="397" t="s">
        <v>1907</v>
      </c>
      <c r="X552" s="184"/>
      <c r="Y552" s="184"/>
      <c r="Z552" s="184"/>
      <c r="AA552" s="184"/>
      <c r="AB552" s="184"/>
      <c r="AC552" s="184"/>
      <c r="AD552" s="184"/>
      <c r="AE552" s="184"/>
      <c r="AF552" s="184"/>
      <c r="AG552" s="184"/>
      <c r="AH552" s="184"/>
      <c r="AI552" s="184"/>
      <c r="AJ552" s="184"/>
      <c r="AK552" s="184"/>
      <c r="AL552" s="184"/>
      <c r="AM552" s="184"/>
      <c r="AN552" s="184"/>
      <c r="AO552" s="184"/>
      <c r="AP552" s="184"/>
      <c r="AQ552" s="184"/>
      <c r="AR552" s="184"/>
    </row>
    <row r="553" spans="1:44" s="331" customFormat="1" ht="12" customHeight="1">
      <c r="A553" s="184"/>
      <c r="P553" s="277"/>
      <c r="R553" s="396" t="s">
        <v>2277</v>
      </c>
      <c r="S553" s="396" t="s">
        <v>1226</v>
      </c>
      <c r="T553" s="397" t="s">
        <v>1907</v>
      </c>
      <c r="X553" s="184"/>
      <c r="Y553" s="184"/>
      <c r="Z553" s="184"/>
      <c r="AA553" s="184"/>
      <c r="AB553" s="184"/>
      <c r="AC553" s="184"/>
      <c r="AD553" s="184"/>
      <c r="AE553" s="184"/>
      <c r="AF553" s="184"/>
      <c r="AG553" s="184"/>
      <c r="AH553" s="184"/>
      <c r="AI553" s="184"/>
      <c r="AJ553" s="184"/>
      <c r="AK553" s="184"/>
      <c r="AL553" s="184"/>
      <c r="AM553" s="184"/>
      <c r="AN553" s="184"/>
      <c r="AO553" s="184"/>
      <c r="AP553" s="184"/>
      <c r="AQ553" s="184"/>
      <c r="AR553" s="184"/>
    </row>
    <row r="554" spans="1:44" s="331" customFormat="1" ht="12" customHeight="1">
      <c r="A554" s="184"/>
      <c r="P554" s="277"/>
      <c r="R554" s="396" t="s">
        <v>2278</v>
      </c>
      <c r="S554" s="396" t="s">
        <v>1812</v>
      </c>
      <c r="T554" s="397" t="s">
        <v>1907</v>
      </c>
      <c r="X554" s="184"/>
      <c r="Y554" s="184"/>
      <c r="Z554" s="184"/>
      <c r="AA554" s="184"/>
      <c r="AB554" s="184"/>
      <c r="AC554" s="184"/>
      <c r="AD554" s="184"/>
      <c r="AE554" s="184"/>
      <c r="AF554" s="184"/>
      <c r="AG554" s="184"/>
      <c r="AH554" s="184"/>
      <c r="AI554" s="184"/>
      <c r="AJ554" s="184"/>
      <c r="AK554" s="184"/>
      <c r="AL554" s="184"/>
      <c r="AM554" s="184"/>
      <c r="AN554" s="184"/>
      <c r="AO554" s="184"/>
      <c r="AP554" s="184"/>
      <c r="AQ554" s="184"/>
      <c r="AR554" s="184"/>
    </row>
    <row r="555" spans="1:44" s="331" customFormat="1" ht="12" customHeight="1">
      <c r="A555" s="184"/>
      <c r="P555" s="277"/>
      <c r="R555" s="396" t="s">
        <v>2279</v>
      </c>
      <c r="S555" s="396" t="s">
        <v>621</v>
      </c>
      <c r="T555" s="397" t="s">
        <v>1907</v>
      </c>
      <c r="X555" s="184"/>
      <c r="Y555" s="184"/>
      <c r="Z555" s="184"/>
      <c r="AA555" s="184"/>
      <c r="AB555" s="184"/>
      <c r="AC555" s="184"/>
      <c r="AD555" s="184"/>
      <c r="AE555" s="184"/>
      <c r="AF555" s="184"/>
      <c r="AG555" s="184"/>
      <c r="AH555" s="184"/>
      <c r="AI555" s="184"/>
      <c r="AJ555" s="184"/>
      <c r="AK555" s="184"/>
      <c r="AL555" s="184"/>
      <c r="AM555" s="184"/>
      <c r="AN555" s="184"/>
      <c r="AO555" s="184"/>
      <c r="AP555" s="184"/>
      <c r="AQ555" s="184"/>
      <c r="AR555" s="184"/>
    </row>
    <row r="556" spans="1:44" s="331" customFormat="1" ht="12" customHeight="1">
      <c r="A556" s="184"/>
      <c r="P556" s="277"/>
      <c r="R556" s="396" t="s">
        <v>2280</v>
      </c>
      <c r="S556" s="396" t="s">
        <v>584</v>
      </c>
      <c r="T556" s="397" t="s">
        <v>1907</v>
      </c>
      <c r="X556" s="184"/>
      <c r="Y556" s="184"/>
      <c r="Z556" s="184"/>
      <c r="AA556" s="184"/>
      <c r="AB556" s="184"/>
      <c r="AC556" s="184"/>
      <c r="AD556" s="184"/>
      <c r="AE556" s="184"/>
      <c r="AF556" s="184"/>
      <c r="AG556" s="184"/>
      <c r="AH556" s="184"/>
      <c r="AI556" s="184"/>
      <c r="AJ556" s="184"/>
      <c r="AK556" s="184"/>
      <c r="AL556" s="184"/>
      <c r="AM556" s="184"/>
      <c r="AN556" s="184"/>
      <c r="AO556" s="184"/>
      <c r="AP556" s="184"/>
      <c r="AQ556" s="184"/>
      <c r="AR556" s="184"/>
    </row>
    <row r="557" spans="1:44" s="331" customFormat="1" ht="12" customHeight="1">
      <c r="A557" s="184"/>
      <c r="P557" s="277"/>
      <c r="R557" s="396" t="s">
        <v>2281</v>
      </c>
      <c r="S557" s="396" t="s">
        <v>1935</v>
      </c>
      <c r="T557" s="397" t="s">
        <v>1907</v>
      </c>
      <c r="X557" s="184"/>
      <c r="Y557" s="184"/>
      <c r="Z557" s="184"/>
      <c r="AA557" s="184"/>
      <c r="AB557" s="184"/>
      <c r="AC557" s="184"/>
      <c r="AD557" s="184"/>
      <c r="AE557" s="184"/>
      <c r="AF557" s="184"/>
      <c r="AG557" s="184"/>
      <c r="AH557" s="184"/>
      <c r="AI557" s="184"/>
      <c r="AJ557" s="184"/>
      <c r="AK557" s="184"/>
      <c r="AL557" s="184"/>
      <c r="AM557" s="184"/>
      <c r="AN557" s="184"/>
      <c r="AO557" s="184"/>
      <c r="AP557" s="184"/>
      <c r="AQ557" s="184"/>
      <c r="AR557" s="184"/>
    </row>
    <row r="558" spans="1:44" s="331" customFormat="1" ht="12" customHeight="1">
      <c r="A558" s="184"/>
      <c r="P558" s="277"/>
      <c r="R558" s="396" t="s">
        <v>2282</v>
      </c>
      <c r="S558" s="396" t="s">
        <v>2243</v>
      </c>
      <c r="T558" s="397" t="s">
        <v>1907</v>
      </c>
      <c r="X558" s="184"/>
      <c r="Y558" s="184"/>
      <c r="Z558" s="184"/>
      <c r="AA558" s="184"/>
      <c r="AB558" s="184"/>
      <c r="AC558" s="184"/>
      <c r="AD558" s="184"/>
      <c r="AE558" s="184"/>
      <c r="AF558" s="184"/>
      <c r="AG558" s="184"/>
      <c r="AH558" s="184"/>
      <c r="AI558" s="184"/>
      <c r="AJ558" s="184"/>
      <c r="AK558" s="184"/>
      <c r="AL558" s="184"/>
      <c r="AM558" s="184"/>
      <c r="AN558" s="184"/>
      <c r="AO558" s="184"/>
      <c r="AP558" s="184"/>
      <c r="AQ558" s="184"/>
      <c r="AR558" s="184"/>
    </row>
    <row r="559" spans="1:44" s="331" customFormat="1" ht="12" customHeight="1">
      <c r="A559" s="184"/>
      <c r="P559" s="277"/>
      <c r="R559" s="396" t="s">
        <v>1991</v>
      </c>
      <c r="S559" s="396" t="s">
        <v>2240</v>
      </c>
      <c r="T559" s="397" t="s">
        <v>1907</v>
      </c>
      <c r="X559" s="184"/>
      <c r="Y559" s="184"/>
      <c r="Z559" s="184"/>
      <c r="AA559" s="184"/>
      <c r="AB559" s="184"/>
      <c r="AC559" s="184"/>
      <c r="AD559" s="184"/>
      <c r="AE559" s="184"/>
      <c r="AF559" s="184"/>
      <c r="AG559" s="184"/>
      <c r="AH559" s="184"/>
      <c r="AI559" s="184"/>
      <c r="AJ559" s="184"/>
      <c r="AK559" s="184"/>
      <c r="AL559" s="184"/>
      <c r="AM559" s="184"/>
      <c r="AN559" s="184"/>
      <c r="AO559" s="184"/>
      <c r="AP559" s="184"/>
      <c r="AQ559" s="184"/>
      <c r="AR559" s="184"/>
    </row>
    <row r="560" spans="1:44" s="331" customFormat="1" ht="12" customHeight="1">
      <c r="A560" s="184"/>
      <c r="P560" s="277"/>
      <c r="R560" s="396" t="s">
        <v>2283</v>
      </c>
      <c r="S560" s="396" t="s">
        <v>1935</v>
      </c>
      <c r="T560" s="397" t="s">
        <v>1907</v>
      </c>
      <c r="X560" s="184"/>
      <c r="Y560" s="184"/>
      <c r="Z560" s="184"/>
      <c r="AA560" s="184"/>
      <c r="AB560" s="184"/>
      <c r="AC560" s="184"/>
      <c r="AD560" s="184"/>
      <c r="AE560" s="184"/>
      <c r="AF560" s="184"/>
      <c r="AG560" s="184"/>
      <c r="AH560" s="184"/>
      <c r="AI560" s="184"/>
      <c r="AJ560" s="184"/>
      <c r="AK560" s="184"/>
      <c r="AL560" s="184"/>
      <c r="AM560" s="184"/>
      <c r="AN560" s="184"/>
      <c r="AO560" s="184"/>
      <c r="AP560" s="184"/>
      <c r="AQ560" s="184"/>
      <c r="AR560" s="184"/>
    </row>
    <row r="561" spans="1:44" s="331" customFormat="1" ht="12" customHeight="1">
      <c r="A561" s="184"/>
      <c r="P561" s="277"/>
      <c r="R561" s="396" t="s">
        <v>2284</v>
      </c>
      <c r="S561" s="396" t="s">
        <v>2205</v>
      </c>
      <c r="T561" s="397" t="s">
        <v>1907</v>
      </c>
      <c r="X561" s="184"/>
      <c r="Y561" s="184"/>
      <c r="Z561" s="184"/>
      <c r="AA561" s="184"/>
      <c r="AB561" s="184"/>
      <c r="AC561" s="184"/>
      <c r="AD561" s="184"/>
      <c r="AE561" s="184"/>
      <c r="AF561" s="184"/>
      <c r="AG561" s="184"/>
      <c r="AH561" s="184"/>
      <c r="AI561" s="184"/>
      <c r="AJ561" s="184"/>
      <c r="AK561" s="184"/>
      <c r="AL561" s="184"/>
      <c r="AM561" s="184"/>
      <c r="AN561" s="184"/>
      <c r="AO561" s="184"/>
      <c r="AP561" s="184"/>
      <c r="AQ561" s="184"/>
      <c r="AR561" s="184"/>
    </row>
    <row r="562" spans="1:44" s="331" customFormat="1" ht="12" customHeight="1">
      <c r="A562" s="184"/>
      <c r="P562" s="402"/>
      <c r="R562" s="396" t="s">
        <v>2285</v>
      </c>
      <c r="S562" s="396" t="s">
        <v>1810</v>
      </c>
      <c r="T562" s="397" t="s">
        <v>1907</v>
      </c>
      <c r="X562" s="184"/>
      <c r="Y562" s="184"/>
      <c r="Z562" s="184"/>
      <c r="AA562" s="184"/>
      <c r="AB562" s="184"/>
      <c r="AC562" s="184"/>
      <c r="AD562" s="184"/>
      <c r="AE562" s="184"/>
      <c r="AF562" s="184"/>
      <c r="AG562" s="184"/>
      <c r="AH562" s="184"/>
      <c r="AI562" s="184"/>
      <c r="AJ562" s="184"/>
      <c r="AK562" s="184"/>
      <c r="AL562" s="184"/>
      <c r="AM562" s="184"/>
      <c r="AN562" s="184"/>
      <c r="AO562" s="184"/>
      <c r="AP562" s="184"/>
      <c r="AQ562" s="184"/>
      <c r="AR562" s="184"/>
    </row>
    <row r="563" spans="1:44" s="331" customFormat="1" ht="12" customHeight="1">
      <c r="A563" s="184"/>
      <c r="P563" s="277"/>
      <c r="R563" s="396" t="s">
        <v>968</v>
      </c>
      <c r="S563" s="396" t="s">
        <v>1337</v>
      </c>
      <c r="T563" s="397" t="s">
        <v>1907</v>
      </c>
      <c r="X563" s="184"/>
      <c r="Y563" s="184"/>
      <c r="Z563" s="184"/>
      <c r="AA563" s="184"/>
      <c r="AB563" s="184"/>
      <c r="AC563" s="184"/>
      <c r="AD563" s="184"/>
      <c r="AE563" s="184"/>
      <c r="AF563" s="184"/>
      <c r="AG563" s="184"/>
      <c r="AH563" s="184"/>
      <c r="AI563" s="184"/>
      <c r="AJ563" s="184"/>
      <c r="AK563" s="184"/>
      <c r="AL563" s="184"/>
      <c r="AM563" s="184"/>
      <c r="AN563" s="184"/>
      <c r="AO563" s="184"/>
      <c r="AP563" s="184"/>
      <c r="AQ563" s="184"/>
      <c r="AR563" s="184"/>
    </row>
    <row r="564" spans="1:44" s="331" customFormat="1" ht="12" customHeight="1">
      <c r="A564" s="184"/>
      <c r="P564" s="403"/>
      <c r="R564" s="396" t="s">
        <v>843</v>
      </c>
      <c r="S564" s="396" t="s">
        <v>1023</v>
      </c>
      <c r="T564" s="397" t="s">
        <v>1907</v>
      </c>
      <c r="X564" s="184"/>
      <c r="Y564" s="184"/>
      <c r="Z564" s="184"/>
      <c r="AA564" s="184"/>
      <c r="AB564" s="184"/>
      <c r="AC564" s="184"/>
      <c r="AD564" s="184"/>
      <c r="AE564" s="184"/>
      <c r="AF564" s="184"/>
      <c r="AG564" s="184"/>
      <c r="AH564" s="184"/>
      <c r="AI564" s="184"/>
      <c r="AJ564" s="184"/>
      <c r="AK564" s="184"/>
      <c r="AL564" s="184"/>
      <c r="AM564" s="184"/>
      <c r="AN564" s="184"/>
      <c r="AO564" s="184"/>
      <c r="AP564" s="184"/>
      <c r="AQ564" s="184"/>
      <c r="AR564" s="184"/>
    </row>
    <row r="565" spans="1:44" s="331" customFormat="1" ht="12" customHeight="1">
      <c r="A565" s="184"/>
      <c r="P565" s="277"/>
      <c r="R565" s="396" t="s">
        <v>969</v>
      </c>
      <c r="S565" s="396" t="s">
        <v>584</v>
      </c>
      <c r="T565" s="397" t="s">
        <v>1907</v>
      </c>
      <c r="X565" s="184"/>
      <c r="Y565" s="184"/>
      <c r="Z565" s="184"/>
      <c r="AA565" s="184"/>
      <c r="AB565" s="184"/>
      <c r="AC565" s="184"/>
      <c r="AD565" s="184"/>
      <c r="AE565" s="184"/>
      <c r="AF565" s="184"/>
      <c r="AG565" s="184"/>
      <c r="AH565" s="184"/>
      <c r="AI565" s="184"/>
      <c r="AJ565" s="184"/>
      <c r="AK565" s="184"/>
      <c r="AL565" s="184"/>
      <c r="AM565" s="184"/>
      <c r="AN565" s="184"/>
      <c r="AO565" s="184"/>
      <c r="AP565" s="184"/>
      <c r="AQ565" s="184"/>
      <c r="AR565" s="184"/>
    </row>
    <row r="566" spans="1:44" s="331" customFormat="1" ht="12" customHeight="1">
      <c r="A566" s="184"/>
      <c r="P566" s="277"/>
      <c r="R566" s="396" t="s">
        <v>970</v>
      </c>
      <c r="S566" s="396" t="s">
        <v>1719</v>
      </c>
      <c r="T566" s="397" t="s">
        <v>1907</v>
      </c>
      <c r="X566" s="184"/>
      <c r="Y566" s="184"/>
      <c r="Z566" s="184"/>
      <c r="AA566" s="184"/>
      <c r="AB566" s="184"/>
      <c r="AC566" s="184"/>
      <c r="AD566" s="184"/>
      <c r="AE566" s="184"/>
      <c r="AF566" s="184"/>
      <c r="AG566" s="184"/>
      <c r="AH566" s="184"/>
      <c r="AI566" s="184"/>
      <c r="AJ566" s="184"/>
      <c r="AK566" s="184"/>
      <c r="AL566" s="184"/>
      <c r="AM566" s="184"/>
      <c r="AN566" s="184"/>
      <c r="AO566" s="184"/>
      <c r="AP566" s="184"/>
      <c r="AQ566" s="184"/>
      <c r="AR566" s="184"/>
    </row>
    <row r="567" spans="1:44" s="331" customFormat="1" ht="12" customHeight="1">
      <c r="A567" s="184"/>
      <c r="P567" s="403"/>
      <c r="R567" s="396" t="s">
        <v>971</v>
      </c>
      <c r="S567" s="396" t="s">
        <v>1808</v>
      </c>
      <c r="T567" s="397" t="s">
        <v>1907</v>
      </c>
      <c r="X567" s="184"/>
      <c r="Y567" s="184"/>
      <c r="Z567" s="184"/>
      <c r="AA567" s="184"/>
      <c r="AB567" s="184"/>
      <c r="AC567" s="184"/>
      <c r="AD567" s="184"/>
      <c r="AE567" s="184"/>
      <c r="AF567" s="184"/>
      <c r="AG567" s="184"/>
      <c r="AH567" s="184"/>
      <c r="AI567" s="184"/>
      <c r="AJ567" s="184"/>
      <c r="AK567" s="184"/>
      <c r="AL567" s="184"/>
      <c r="AM567" s="184"/>
      <c r="AN567" s="184"/>
      <c r="AO567" s="184"/>
      <c r="AP567" s="184"/>
      <c r="AQ567" s="184"/>
      <c r="AR567" s="184"/>
    </row>
    <row r="568" spans="1:44" s="331" customFormat="1" ht="12" customHeight="1">
      <c r="A568" s="184"/>
      <c r="P568" s="277"/>
      <c r="R568" s="396" t="s">
        <v>972</v>
      </c>
      <c r="S568" s="396" t="s">
        <v>1016</v>
      </c>
      <c r="T568" s="397" t="s">
        <v>1907</v>
      </c>
      <c r="X568" s="184"/>
      <c r="Y568" s="184"/>
      <c r="Z568" s="184"/>
      <c r="AA568" s="184"/>
      <c r="AB568" s="184"/>
      <c r="AC568" s="184"/>
      <c r="AD568" s="184"/>
      <c r="AE568" s="184"/>
      <c r="AF568" s="184"/>
      <c r="AG568" s="184"/>
      <c r="AH568" s="184"/>
      <c r="AI568" s="184"/>
      <c r="AJ568" s="184"/>
      <c r="AK568" s="184"/>
      <c r="AL568" s="184"/>
      <c r="AM568" s="184"/>
      <c r="AN568" s="184"/>
      <c r="AO568" s="184"/>
      <c r="AP568" s="184"/>
      <c r="AQ568" s="184"/>
      <c r="AR568" s="184"/>
    </row>
    <row r="569" spans="1:44" s="331" customFormat="1" ht="12" customHeight="1">
      <c r="A569" s="184"/>
      <c r="P569" s="277"/>
      <c r="Q569" s="398"/>
      <c r="R569" s="396" t="s">
        <v>973</v>
      </c>
      <c r="S569" s="396" t="s">
        <v>1385</v>
      </c>
      <c r="T569" s="397" t="s">
        <v>1907</v>
      </c>
      <c r="X569" s="184"/>
      <c r="Y569" s="184"/>
      <c r="Z569" s="184"/>
      <c r="AA569" s="184"/>
      <c r="AB569" s="184"/>
      <c r="AC569" s="184"/>
      <c r="AD569" s="184"/>
      <c r="AE569" s="184"/>
      <c r="AF569" s="184"/>
      <c r="AG569" s="184"/>
      <c r="AH569" s="184"/>
      <c r="AI569" s="184"/>
      <c r="AJ569" s="184"/>
      <c r="AK569" s="184"/>
      <c r="AL569" s="184"/>
      <c r="AM569" s="184"/>
      <c r="AN569" s="184"/>
      <c r="AO569" s="184"/>
      <c r="AP569" s="184"/>
      <c r="AQ569" s="184"/>
      <c r="AR569" s="184"/>
    </row>
    <row r="570" spans="1:44" s="331" customFormat="1" ht="12" customHeight="1">
      <c r="A570" s="184"/>
      <c r="P570" s="277"/>
      <c r="R570" s="396" t="s">
        <v>974</v>
      </c>
      <c r="S570" s="396" t="s">
        <v>2202</v>
      </c>
      <c r="T570" s="397" t="s">
        <v>1907</v>
      </c>
      <c r="X570" s="184"/>
      <c r="Y570" s="184"/>
      <c r="Z570" s="184"/>
      <c r="AA570" s="184"/>
      <c r="AB570" s="184"/>
      <c r="AC570" s="184"/>
      <c r="AD570" s="184"/>
      <c r="AE570" s="184"/>
      <c r="AF570" s="184"/>
      <c r="AG570" s="184"/>
      <c r="AH570" s="184"/>
      <c r="AI570" s="184"/>
      <c r="AJ570" s="184"/>
      <c r="AK570" s="184"/>
      <c r="AL570" s="184"/>
      <c r="AM570" s="184"/>
      <c r="AN570" s="184"/>
      <c r="AO570" s="184"/>
      <c r="AP570" s="184"/>
      <c r="AQ570" s="184"/>
      <c r="AR570" s="184"/>
    </row>
    <row r="571" spans="1:44" s="331" customFormat="1" ht="12" customHeight="1">
      <c r="A571" s="184"/>
      <c r="P571" s="403"/>
      <c r="R571" s="396" t="s">
        <v>975</v>
      </c>
      <c r="S571" s="396" t="s">
        <v>141</v>
      </c>
      <c r="T571" s="397" t="s">
        <v>1907</v>
      </c>
      <c r="X571" s="184"/>
      <c r="Y571" s="184"/>
      <c r="Z571" s="184"/>
      <c r="AA571" s="184"/>
      <c r="AB571" s="184"/>
      <c r="AC571" s="184"/>
      <c r="AD571" s="184"/>
      <c r="AE571" s="184"/>
      <c r="AF571" s="184"/>
      <c r="AG571" s="184"/>
      <c r="AH571" s="184"/>
      <c r="AI571" s="184"/>
      <c r="AJ571" s="184"/>
      <c r="AK571" s="184"/>
      <c r="AL571" s="184"/>
      <c r="AM571" s="184"/>
      <c r="AN571" s="184"/>
      <c r="AO571" s="184"/>
      <c r="AP571" s="184"/>
      <c r="AQ571" s="184"/>
      <c r="AR571" s="184"/>
    </row>
    <row r="572" spans="1:44" s="331" customFormat="1" ht="12" customHeight="1">
      <c r="A572" s="184"/>
      <c r="P572" s="403"/>
      <c r="R572" s="396" t="s">
        <v>976</v>
      </c>
      <c r="S572" s="396" t="s">
        <v>1233</v>
      </c>
      <c r="T572" s="397" t="s">
        <v>1907</v>
      </c>
      <c r="X572" s="184"/>
      <c r="Y572" s="184"/>
      <c r="Z572" s="184"/>
      <c r="AA572" s="184"/>
      <c r="AB572" s="184"/>
      <c r="AC572" s="184"/>
      <c r="AD572" s="184"/>
      <c r="AE572" s="184"/>
      <c r="AF572" s="184"/>
      <c r="AG572" s="184"/>
      <c r="AH572" s="184"/>
      <c r="AI572" s="184"/>
      <c r="AJ572" s="184"/>
      <c r="AK572" s="184"/>
      <c r="AL572" s="184"/>
      <c r="AM572" s="184"/>
      <c r="AN572" s="184"/>
      <c r="AO572" s="184"/>
      <c r="AP572" s="184"/>
      <c r="AQ572" s="184"/>
      <c r="AR572" s="184"/>
    </row>
    <row r="573" spans="1:44" s="331" customFormat="1" ht="12" customHeight="1">
      <c r="A573" s="184"/>
      <c r="P573" s="277"/>
      <c r="R573" s="396" t="s">
        <v>977</v>
      </c>
      <c r="S573" s="396" t="s">
        <v>1385</v>
      </c>
      <c r="T573" s="397" t="s">
        <v>1907</v>
      </c>
      <c r="X573" s="184"/>
      <c r="Y573" s="184"/>
      <c r="Z573" s="184"/>
      <c r="AA573" s="184"/>
      <c r="AB573" s="184"/>
      <c r="AC573" s="184"/>
      <c r="AD573" s="184"/>
      <c r="AE573" s="184"/>
      <c r="AF573" s="184"/>
      <c r="AG573" s="184"/>
      <c r="AH573" s="184"/>
      <c r="AI573" s="184"/>
      <c r="AJ573" s="184"/>
      <c r="AK573" s="184"/>
      <c r="AL573" s="184"/>
      <c r="AM573" s="184"/>
      <c r="AN573" s="184"/>
      <c r="AO573" s="184"/>
      <c r="AP573" s="184"/>
      <c r="AQ573" s="184"/>
      <c r="AR573" s="184"/>
    </row>
    <row r="574" spans="1:44" s="331" customFormat="1" ht="12" customHeight="1">
      <c r="A574" s="184"/>
      <c r="P574" s="277"/>
      <c r="R574" s="396" t="s">
        <v>978</v>
      </c>
      <c r="S574" s="396" t="s">
        <v>1030</v>
      </c>
      <c r="T574" s="397" t="s">
        <v>1907</v>
      </c>
      <c r="X574" s="184"/>
      <c r="Y574" s="184"/>
      <c r="Z574" s="184"/>
      <c r="AA574" s="184"/>
      <c r="AB574" s="184"/>
      <c r="AC574" s="184"/>
      <c r="AD574" s="184"/>
      <c r="AE574" s="184"/>
      <c r="AF574" s="184"/>
      <c r="AG574" s="184"/>
      <c r="AH574" s="184"/>
      <c r="AI574" s="184"/>
      <c r="AJ574" s="184"/>
      <c r="AK574" s="184"/>
      <c r="AL574" s="184"/>
      <c r="AM574" s="184"/>
      <c r="AN574" s="184"/>
      <c r="AO574" s="184"/>
      <c r="AP574" s="184"/>
      <c r="AQ574" s="184"/>
      <c r="AR574" s="184"/>
    </row>
    <row r="575" spans="1:44" s="331" customFormat="1" ht="12" customHeight="1">
      <c r="A575" s="184"/>
      <c r="P575" s="277"/>
      <c r="R575" s="396" t="s">
        <v>979</v>
      </c>
      <c r="S575" s="396" t="s">
        <v>1808</v>
      </c>
      <c r="T575" s="397" t="s">
        <v>1907</v>
      </c>
      <c r="X575" s="184"/>
      <c r="Y575" s="184"/>
      <c r="Z575" s="184"/>
      <c r="AA575" s="184"/>
      <c r="AB575" s="184"/>
      <c r="AC575" s="184"/>
      <c r="AD575" s="184"/>
      <c r="AE575" s="184"/>
      <c r="AF575" s="184"/>
      <c r="AG575" s="184"/>
      <c r="AH575" s="184"/>
      <c r="AI575" s="184"/>
      <c r="AJ575" s="184"/>
      <c r="AK575" s="184"/>
      <c r="AL575" s="184"/>
      <c r="AM575" s="184"/>
      <c r="AN575" s="184"/>
      <c r="AO575" s="184"/>
      <c r="AP575" s="184"/>
      <c r="AQ575" s="184"/>
      <c r="AR575" s="184"/>
    </row>
    <row r="576" spans="1:44" s="331" customFormat="1" ht="12" customHeight="1">
      <c r="A576" s="184"/>
      <c r="P576" s="277"/>
      <c r="R576" s="332" t="s">
        <v>767</v>
      </c>
      <c r="S576" s="332" t="s">
        <v>812</v>
      </c>
      <c r="T576" s="397" t="s">
        <v>1907</v>
      </c>
      <c r="X576" s="184"/>
      <c r="Y576" s="184"/>
      <c r="Z576" s="184"/>
      <c r="AA576" s="184"/>
      <c r="AB576" s="184"/>
      <c r="AC576" s="184"/>
      <c r="AD576" s="184"/>
      <c r="AE576" s="184"/>
      <c r="AF576" s="184"/>
      <c r="AG576" s="184"/>
      <c r="AH576" s="184"/>
      <c r="AI576" s="184"/>
      <c r="AJ576" s="184"/>
      <c r="AK576" s="184"/>
      <c r="AL576" s="184"/>
      <c r="AM576" s="184"/>
      <c r="AN576" s="184"/>
      <c r="AO576" s="184"/>
      <c r="AP576" s="184"/>
      <c r="AQ576" s="184"/>
      <c r="AR576" s="184"/>
    </row>
    <row r="577" spans="1:44" s="331" customFormat="1" ht="12" customHeight="1">
      <c r="A577" s="184"/>
      <c r="P577" s="277"/>
      <c r="R577" s="396" t="s">
        <v>980</v>
      </c>
      <c r="S577" s="396" t="s">
        <v>2205</v>
      </c>
      <c r="T577" s="397" t="s">
        <v>1907</v>
      </c>
      <c r="X577" s="184"/>
      <c r="Y577" s="184"/>
      <c r="Z577" s="184"/>
      <c r="AA577" s="184"/>
      <c r="AB577" s="184"/>
      <c r="AC577" s="184"/>
      <c r="AD577" s="184"/>
      <c r="AE577" s="184"/>
      <c r="AF577" s="184"/>
      <c r="AG577" s="184"/>
      <c r="AH577" s="184"/>
      <c r="AI577" s="184"/>
      <c r="AJ577" s="184"/>
      <c r="AK577" s="184"/>
      <c r="AL577" s="184"/>
      <c r="AM577" s="184"/>
      <c r="AN577" s="184"/>
      <c r="AO577" s="184"/>
      <c r="AP577" s="184"/>
      <c r="AQ577" s="184"/>
      <c r="AR577" s="184"/>
    </row>
    <row r="578" spans="1:44" s="331" customFormat="1" ht="12" customHeight="1">
      <c r="A578" s="184"/>
      <c r="P578" s="277"/>
      <c r="R578" s="396" t="s">
        <v>1460</v>
      </c>
      <c r="S578" s="396" t="s">
        <v>2240</v>
      </c>
      <c r="T578" s="397" t="s">
        <v>1907</v>
      </c>
      <c r="X578" s="184"/>
      <c r="Y578" s="184"/>
      <c r="Z578" s="184"/>
      <c r="AA578" s="184"/>
      <c r="AB578" s="184"/>
      <c r="AC578" s="184"/>
      <c r="AD578" s="184"/>
      <c r="AE578" s="184"/>
      <c r="AF578" s="184"/>
      <c r="AG578" s="184"/>
      <c r="AH578" s="184"/>
      <c r="AI578" s="184"/>
      <c r="AJ578" s="184"/>
      <c r="AK578" s="184"/>
      <c r="AL578" s="184"/>
      <c r="AM578" s="184"/>
      <c r="AN578" s="184"/>
      <c r="AO578" s="184"/>
      <c r="AP578" s="184"/>
      <c r="AQ578" s="184"/>
      <c r="AR578" s="184"/>
    </row>
    <row r="579" spans="1:44" s="331" customFormat="1" ht="12" customHeight="1">
      <c r="A579" s="184"/>
      <c r="P579" s="277"/>
      <c r="R579" s="396" t="s">
        <v>981</v>
      </c>
      <c r="S579" s="396"/>
      <c r="T579" s="397" t="s">
        <v>1907</v>
      </c>
      <c r="X579" s="184"/>
      <c r="Y579" s="184"/>
      <c r="Z579" s="184"/>
      <c r="AA579" s="184"/>
      <c r="AB579" s="184"/>
      <c r="AC579" s="184"/>
      <c r="AD579" s="184"/>
      <c r="AE579" s="184"/>
      <c r="AF579" s="184"/>
      <c r="AG579" s="184"/>
      <c r="AH579" s="184"/>
      <c r="AI579" s="184"/>
      <c r="AJ579" s="184"/>
      <c r="AK579" s="184"/>
      <c r="AL579" s="184"/>
      <c r="AM579" s="184"/>
      <c r="AN579" s="184"/>
      <c r="AO579" s="184"/>
      <c r="AP579" s="184"/>
      <c r="AQ579" s="184"/>
      <c r="AR579" s="184"/>
    </row>
    <row r="580" spans="1:44" s="331" customFormat="1" ht="12" customHeight="1">
      <c r="A580" s="184"/>
      <c r="P580" s="277"/>
      <c r="R580" s="396" t="s">
        <v>164</v>
      </c>
      <c r="S580" s="396" t="s">
        <v>141</v>
      </c>
      <c r="T580" s="397" t="s">
        <v>1907</v>
      </c>
      <c r="X580" s="184"/>
      <c r="Y580" s="184"/>
      <c r="Z580" s="184"/>
      <c r="AA580" s="184"/>
      <c r="AB580" s="184"/>
      <c r="AC580" s="184"/>
      <c r="AD580" s="184"/>
      <c r="AE580" s="184"/>
      <c r="AF580" s="184"/>
      <c r="AG580" s="184"/>
      <c r="AH580" s="184"/>
      <c r="AI580" s="184"/>
      <c r="AJ580" s="184"/>
      <c r="AK580" s="184"/>
      <c r="AL580" s="184"/>
      <c r="AM580" s="184"/>
      <c r="AN580" s="184"/>
      <c r="AO580" s="184"/>
      <c r="AP580" s="184"/>
      <c r="AQ580" s="184"/>
      <c r="AR580" s="184"/>
    </row>
    <row r="581" spans="1:44" s="331" customFormat="1" ht="12" customHeight="1">
      <c r="A581" s="184"/>
      <c r="P581" s="277"/>
      <c r="R581" s="396" t="s">
        <v>982</v>
      </c>
      <c r="S581" s="396" t="s">
        <v>155</v>
      </c>
      <c r="T581" s="397" t="s">
        <v>1907</v>
      </c>
      <c r="X581" s="184"/>
      <c r="Y581" s="184"/>
      <c r="Z581" s="184"/>
      <c r="AA581" s="184"/>
      <c r="AB581" s="184"/>
      <c r="AC581" s="184"/>
      <c r="AD581" s="184"/>
      <c r="AE581" s="184"/>
      <c r="AF581" s="184"/>
      <c r="AG581" s="184"/>
      <c r="AH581" s="184"/>
      <c r="AI581" s="184"/>
      <c r="AJ581" s="184"/>
      <c r="AK581" s="184"/>
      <c r="AL581" s="184"/>
      <c r="AM581" s="184"/>
      <c r="AN581" s="184"/>
      <c r="AO581" s="184"/>
      <c r="AP581" s="184"/>
      <c r="AQ581" s="184"/>
      <c r="AR581" s="184"/>
    </row>
    <row r="582" spans="1:44" s="331" customFormat="1" ht="12" customHeight="1">
      <c r="A582" s="184"/>
      <c r="P582" s="277"/>
      <c r="R582" s="396" t="s">
        <v>2029</v>
      </c>
      <c r="S582" s="396" t="s">
        <v>1114</v>
      </c>
      <c r="T582" s="397" t="s">
        <v>1907</v>
      </c>
      <c r="X582" s="184"/>
      <c r="Y582" s="184"/>
      <c r="Z582" s="184"/>
      <c r="AA582" s="184"/>
      <c r="AB582" s="184"/>
      <c r="AC582" s="184"/>
      <c r="AD582" s="184"/>
      <c r="AE582" s="184"/>
      <c r="AF582" s="184"/>
      <c r="AG582" s="184"/>
      <c r="AH582" s="184"/>
      <c r="AI582" s="184"/>
      <c r="AJ582" s="184"/>
      <c r="AK582" s="184"/>
      <c r="AL582" s="184"/>
      <c r="AM582" s="184"/>
      <c r="AN582" s="184"/>
      <c r="AO582" s="184"/>
      <c r="AP582" s="184"/>
      <c r="AQ582" s="184"/>
      <c r="AR582" s="184"/>
    </row>
    <row r="583" spans="1:44" s="331" customFormat="1" ht="12" customHeight="1">
      <c r="A583" s="184"/>
      <c r="P583" s="277"/>
      <c r="R583" s="396" t="s">
        <v>983</v>
      </c>
      <c r="S583" s="396" t="s">
        <v>584</v>
      </c>
      <c r="T583" s="397" t="s">
        <v>1907</v>
      </c>
      <c r="X583" s="184"/>
      <c r="Y583" s="184"/>
      <c r="Z583" s="184"/>
      <c r="AA583" s="184"/>
      <c r="AB583" s="184"/>
      <c r="AC583" s="184"/>
      <c r="AD583" s="184"/>
      <c r="AE583" s="184"/>
      <c r="AF583" s="184"/>
      <c r="AG583" s="184"/>
      <c r="AH583" s="184"/>
      <c r="AI583" s="184"/>
      <c r="AJ583" s="184"/>
      <c r="AK583" s="184"/>
      <c r="AL583" s="184"/>
      <c r="AM583" s="184"/>
      <c r="AN583" s="184"/>
      <c r="AO583" s="184"/>
      <c r="AP583" s="184"/>
      <c r="AQ583" s="184"/>
      <c r="AR583" s="184"/>
    </row>
    <row r="584" spans="1:44" s="331" customFormat="1" ht="12" customHeight="1">
      <c r="A584" s="184"/>
      <c r="P584" s="277"/>
      <c r="R584" s="396" t="s">
        <v>984</v>
      </c>
      <c r="S584" s="396" t="s">
        <v>584</v>
      </c>
      <c r="T584" s="397" t="s">
        <v>1907</v>
      </c>
      <c r="X584" s="184"/>
      <c r="Y584" s="184"/>
      <c r="Z584" s="184"/>
      <c r="AA584" s="184"/>
      <c r="AB584" s="184"/>
      <c r="AC584" s="184"/>
      <c r="AD584" s="184"/>
      <c r="AE584" s="184"/>
      <c r="AF584" s="184"/>
      <c r="AG584" s="184"/>
      <c r="AH584" s="184"/>
      <c r="AI584" s="184"/>
      <c r="AJ584" s="184"/>
      <c r="AK584" s="184"/>
      <c r="AL584" s="184"/>
      <c r="AM584" s="184"/>
      <c r="AN584" s="184"/>
      <c r="AO584" s="184"/>
      <c r="AP584" s="184"/>
      <c r="AQ584" s="184"/>
      <c r="AR584" s="184"/>
    </row>
    <row r="585" spans="1:44" s="331" customFormat="1" ht="12" customHeight="1">
      <c r="A585" s="184"/>
      <c r="P585" s="277"/>
      <c r="R585" s="396" t="s">
        <v>985</v>
      </c>
      <c r="S585" s="396" t="s">
        <v>584</v>
      </c>
      <c r="T585" s="397" t="s">
        <v>1907</v>
      </c>
      <c r="X585" s="184"/>
      <c r="Y585" s="184"/>
      <c r="Z585" s="184"/>
      <c r="AA585" s="184"/>
      <c r="AB585" s="184"/>
      <c r="AC585" s="184"/>
      <c r="AD585" s="184"/>
      <c r="AE585" s="184"/>
      <c r="AF585" s="184"/>
      <c r="AG585" s="184"/>
      <c r="AH585" s="184"/>
      <c r="AI585" s="184"/>
      <c r="AJ585" s="184"/>
      <c r="AK585" s="184"/>
      <c r="AL585" s="184"/>
      <c r="AM585" s="184"/>
      <c r="AN585" s="184"/>
      <c r="AO585" s="184"/>
      <c r="AP585" s="184"/>
      <c r="AQ585" s="184"/>
      <c r="AR585" s="184"/>
    </row>
    <row r="586" spans="1:44" s="331" customFormat="1" ht="12" customHeight="1">
      <c r="A586" s="184"/>
      <c r="P586" s="277"/>
      <c r="R586" s="396" t="s">
        <v>986</v>
      </c>
      <c r="S586" s="396" t="s">
        <v>584</v>
      </c>
      <c r="T586" s="397" t="s">
        <v>1907</v>
      </c>
      <c r="X586" s="184"/>
      <c r="Y586" s="184"/>
      <c r="Z586" s="184"/>
      <c r="AA586" s="184"/>
      <c r="AB586" s="184"/>
      <c r="AC586" s="184"/>
      <c r="AD586" s="184"/>
      <c r="AE586" s="184"/>
      <c r="AF586" s="184"/>
      <c r="AG586" s="184"/>
      <c r="AH586" s="184"/>
      <c r="AI586" s="184"/>
      <c r="AJ586" s="184"/>
      <c r="AK586" s="184"/>
      <c r="AL586" s="184"/>
      <c r="AM586" s="184"/>
      <c r="AN586" s="184"/>
      <c r="AO586" s="184"/>
      <c r="AP586" s="184"/>
      <c r="AQ586" s="184"/>
      <c r="AR586" s="184"/>
    </row>
    <row r="587" spans="1:44" s="331" customFormat="1" ht="12" customHeight="1">
      <c r="A587" s="184"/>
      <c r="P587" s="277"/>
      <c r="R587" s="396" t="s">
        <v>987</v>
      </c>
      <c r="S587" s="396" t="s">
        <v>1498</v>
      </c>
      <c r="T587" s="397" t="s">
        <v>1907</v>
      </c>
      <c r="X587" s="184"/>
      <c r="Y587" s="184"/>
      <c r="Z587" s="184"/>
      <c r="AA587" s="184"/>
      <c r="AB587" s="184"/>
      <c r="AC587" s="184"/>
      <c r="AD587" s="184"/>
      <c r="AE587" s="184"/>
      <c r="AF587" s="184"/>
      <c r="AG587" s="184"/>
      <c r="AH587" s="184"/>
      <c r="AI587" s="184"/>
      <c r="AJ587" s="184"/>
      <c r="AK587" s="184"/>
      <c r="AL587" s="184"/>
      <c r="AM587" s="184"/>
      <c r="AN587" s="184"/>
      <c r="AO587" s="184"/>
      <c r="AP587" s="184"/>
      <c r="AQ587" s="184"/>
      <c r="AR587" s="184"/>
    </row>
    <row r="588" spans="1:44" s="331" customFormat="1" ht="12" customHeight="1">
      <c r="A588" s="184"/>
      <c r="P588" s="277"/>
      <c r="R588" s="396" t="s">
        <v>988</v>
      </c>
      <c r="S588" s="396" t="s">
        <v>886</v>
      </c>
      <c r="T588" s="397" t="s">
        <v>1907</v>
      </c>
      <c r="X588" s="184"/>
      <c r="Y588" s="184"/>
      <c r="Z588" s="184"/>
      <c r="AA588" s="184"/>
      <c r="AB588" s="184"/>
      <c r="AC588" s="184"/>
      <c r="AD588" s="184"/>
      <c r="AE588" s="184"/>
      <c r="AF588" s="184"/>
      <c r="AG588" s="184"/>
      <c r="AH588" s="184"/>
      <c r="AI588" s="184"/>
      <c r="AJ588" s="184"/>
      <c r="AK588" s="184"/>
      <c r="AL588" s="184"/>
      <c r="AM588" s="184"/>
      <c r="AN588" s="184"/>
      <c r="AO588" s="184"/>
      <c r="AP588" s="184"/>
      <c r="AQ588" s="184"/>
      <c r="AR588" s="184"/>
    </row>
    <row r="589" spans="1:44" s="331" customFormat="1" ht="12" customHeight="1">
      <c r="A589" s="184"/>
      <c r="P589" s="277"/>
      <c r="R589" s="396" t="s">
        <v>989</v>
      </c>
      <c r="S589" s="396" t="s">
        <v>113</v>
      </c>
      <c r="T589" s="397" t="s">
        <v>1907</v>
      </c>
      <c r="X589" s="184"/>
      <c r="Y589" s="184"/>
      <c r="Z589" s="184"/>
      <c r="AA589" s="184"/>
      <c r="AB589" s="184"/>
      <c r="AC589" s="184"/>
      <c r="AD589" s="184"/>
      <c r="AE589" s="184"/>
      <c r="AF589" s="184"/>
      <c r="AG589" s="184"/>
      <c r="AH589" s="184"/>
      <c r="AI589" s="184"/>
      <c r="AJ589" s="184"/>
      <c r="AK589" s="184"/>
      <c r="AL589" s="184"/>
      <c r="AM589" s="184"/>
      <c r="AN589" s="184"/>
      <c r="AO589" s="184"/>
      <c r="AP589" s="184"/>
      <c r="AQ589" s="184"/>
      <c r="AR589" s="184"/>
    </row>
    <row r="590" spans="1:44" s="331" customFormat="1" ht="12" customHeight="1">
      <c r="A590" s="184"/>
      <c r="P590" s="403"/>
      <c r="R590" s="396" t="s">
        <v>990</v>
      </c>
      <c r="S590" s="396" t="s">
        <v>584</v>
      </c>
      <c r="T590" s="397" t="s">
        <v>1907</v>
      </c>
      <c r="X590" s="184"/>
      <c r="Y590" s="184"/>
      <c r="Z590" s="184"/>
      <c r="AA590" s="184"/>
      <c r="AB590" s="184"/>
      <c r="AC590" s="184"/>
      <c r="AD590" s="184"/>
      <c r="AE590" s="184"/>
      <c r="AF590" s="184"/>
      <c r="AG590" s="184"/>
      <c r="AH590" s="184"/>
      <c r="AI590" s="184"/>
      <c r="AJ590" s="184"/>
      <c r="AK590" s="184"/>
      <c r="AL590" s="184"/>
      <c r="AM590" s="184"/>
      <c r="AN590" s="184"/>
      <c r="AO590" s="184"/>
      <c r="AP590" s="184"/>
      <c r="AQ590" s="184"/>
      <c r="AR590" s="184"/>
    </row>
    <row r="591" spans="1:44" s="331" customFormat="1" ht="12" customHeight="1">
      <c r="A591" s="184"/>
      <c r="P591" s="277"/>
      <c r="R591" s="396" t="s">
        <v>991</v>
      </c>
      <c r="S591" s="396" t="s">
        <v>294</v>
      </c>
      <c r="T591" s="397" t="s">
        <v>1907</v>
      </c>
      <c r="X591" s="184"/>
      <c r="Y591" s="184"/>
      <c r="Z591" s="184"/>
      <c r="AA591" s="184"/>
      <c r="AB591" s="184"/>
      <c r="AC591" s="184"/>
      <c r="AD591" s="184"/>
      <c r="AE591" s="184"/>
      <c r="AF591" s="184"/>
      <c r="AG591" s="184"/>
      <c r="AH591" s="184"/>
      <c r="AI591" s="184"/>
      <c r="AJ591" s="184"/>
      <c r="AK591" s="184"/>
      <c r="AL591" s="184"/>
      <c r="AM591" s="184"/>
      <c r="AN591" s="184"/>
      <c r="AO591" s="184"/>
      <c r="AP591" s="184"/>
      <c r="AQ591" s="184"/>
      <c r="AR591" s="184"/>
    </row>
    <row r="592" spans="1:44" s="331" customFormat="1" ht="12" customHeight="1">
      <c r="A592" s="184"/>
      <c r="P592" s="277"/>
      <c r="R592" s="396" t="s">
        <v>992</v>
      </c>
      <c r="S592" s="396" t="s">
        <v>298</v>
      </c>
      <c r="T592" s="397" t="s">
        <v>1907</v>
      </c>
      <c r="X592" s="184"/>
      <c r="Y592" s="184"/>
      <c r="Z592" s="184"/>
      <c r="AA592" s="184"/>
      <c r="AB592" s="184"/>
      <c r="AC592" s="184"/>
      <c r="AD592" s="184"/>
      <c r="AE592" s="184"/>
      <c r="AF592" s="184"/>
      <c r="AG592" s="184"/>
      <c r="AH592" s="184"/>
      <c r="AI592" s="184"/>
      <c r="AJ592" s="184"/>
      <c r="AK592" s="184"/>
      <c r="AL592" s="184"/>
      <c r="AM592" s="184"/>
      <c r="AN592" s="184"/>
      <c r="AO592" s="184"/>
      <c r="AP592" s="184"/>
      <c r="AQ592" s="184"/>
      <c r="AR592" s="184"/>
    </row>
    <row r="593" spans="1:44" s="331" customFormat="1" ht="12" customHeight="1">
      <c r="A593" s="184"/>
      <c r="P593" s="277"/>
      <c r="R593" s="396" t="s">
        <v>771</v>
      </c>
      <c r="S593" s="396" t="s">
        <v>1212</v>
      </c>
      <c r="T593" s="397" t="s">
        <v>1907</v>
      </c>
      <c r="X593" s="184"/>
      <c r="Y593" s="184"/>
      <c r="Z593" s="184"/>
      <c r="AA593" s="184"/>
      <c r="AB593" s="184"/>
      <c r="AC593" s="184"/>
      <c r="AD593" s="184"/>
      <c r="AE593" s="184"/>
      <c r="AF593" s="184"/>
      <c r="AG593" s="184"/>
      <c r="AH593" s="184"/>
      <c r="AI593" s="184"/>
      <c r="AJ593" s="184"/>
      <c r="AK593" s="184"/>
      <c r="AL593" s="184"/>
      <c r="AM593" s="184"/>
      <c r="AN593" s="184"/>
      <c r="AO593" s="184"/>
      <c r="AP593" s="184"/>
      <c r="AQ593" s="184"/>
      <c r="AR593" s="184"/>
    </row>
    <row r="594" spans="1:44" s="331" customFormat="1" ht="12" customHeight="1">
      <c r="A594" s="184"/>
      <c r="P594" s="277"/>
      <c r="R594" s="396" t="s">
        <v>993</v>
      </c>
      <c r="S594" s="396" t="s">
        <v>621</v>
      </c>
      <c r="T594" s="397" t="s">
        <v>1907</v>
      </c>
      <c r="X594" s="184"/>
      <c r="Y594" s="184"/>
      <c r="Z594" s="184"/>
      <c r="AA594" s="184"/>
      <c r="AB594" s="184"/>
      <c r="AC594" s="184"/>
      <c r="AD594" s="184"/>
      <c r="AE594" s="184"/>
      <c r="AF594" s="184"/>
      <c r="AG594" s="184"/>
      <c r="AH594" s="184"/>
      <c r="AI594" s="184"/>
      <c r="AJ594" s="184"/>
      <c r="AK594" s="184"/>
      <c r="AL594" s="184"/>
      <c r="AM594" s="184"/>
      <c r="AN594" s="184"/>
      <c r="AO594" s="184"/>
      <c r="AP594" s="184"/>
      <c r="AQ594" s="184"/>
      <c r="AR594" s="184"/>
    </row>
    <row r="595" spans="1:44" s="331" customFormat="1" ht="12" customHeight="1">
      <c r="A595" s="184"/>
      <c r="P595" s="277"/>
      <c r="R595" s="396" t="s">
        <v>994</v>
      </c>
      <c r="S595" s="396" t="s">
        <v>1385</v>
      </c>
      <c r="T595" s="397" t="s">
        <v>1907</v>
      </c>
      <c r="X595" s="184"/>
      <c r="Y595" s="184"/>
      <c r="Z595" s="184"/>
      <c r="AA595" s="184"/>
      <c r="AB595" s="184"/>
      <c r="AC595" s="184"/>
      <c r="AD595" s="184"/>
      <c r="AE595" s="184"/>
      <c r="AF595" s="184"/>
      <c r="AG595" s="184"/>
      <c r="AH595" s="184"/>
      <c r="AI595" s="184"/>
      <c r="AJ595" s="184"/>
      <c r="AK595" s="184"/>
      <c r="AL595" s="184"/>
      <c r="AM595" s="184"/>
      <c r="AN595" s="184"/>
      <c r="AO595" s="184"/>
      <c r="AP595" s="184"/>
      <c r="AQ595" s="184"/>
      <c r="AR595" s="184"/>
    </row>
    <row r="596" spans="1:44" s="331" customFormat="1" ht="12" customHeight="1">
      <c r="A596" s="184"/>
      <c r="P596" s="277"/>
      <c r="R596" s="396" t="s">
        <v>995</v>
      </c>
      <c r="S596" s="396" t="s">
        <v>584</v>
      </c>
      <c r="T596" s="397" t="s">
        <v>1907</v>
      </c>
      <c r="X596" s="184"/>
      <c r="Y596" s="184"/>
      <c r="Z596" s="184"/>
      <c r="AA596" s="184"/>
      <c r="AB596" s="184"/>
      <c r="AC596" s="184"/>
      <c r="AD596" s="184"/>
      <c r="AE596" s="184"/>
      <c r="AF596" s="184"/>
      <c r="AG596" s="184"/>
      <c r="AH596" s="184"/>
      <c r="AI596" s="184"/>
      <c r="AJ596" s="184"/>
      <c r="AK596" s="184"/>
      <c r="AL596" s="184"/>
      <c r="AM596" s="184"/>
      <c r="AN596" s="184"/>
      <c r="AO596" s="184"/>
      <c r="AP596" s="184"/>
      <c r="AQ596" s="184"/>
      <c r="AR596" s="184"/>
    </row>
    <row r="597" spans="1:44" s="331" customFormat="1" ht="12" customHeight="1">
      <c r="A597" s="184"/>
      <c r="P597" s="277"/>
      <c r="R597" s="396" t="s">
        <v>996</v>
      </c>
      <c r="S597" s="396" t="s">
        <v>613</v>
      </c>
      <c r="T597" s="397" t="s">
        <v>1907</v>
      </c>
      <c r="X597" s="184"/>
      <c r="Y597" s="184"/>
      <c r="Z597" s="184"/>
      <c r="AA597" s="184"/>
      <c r="AB597" s="184"/>
      <c r="AC597" s="184"/>
      <c r="AD597" s="184"/>
      <c r="AE597" s="184"/>
      <c r="AF597" s="184"/>
      <c r="AG597" s="184"/>
      <c r="AH597" s="184"/>
      <c r="AI597" s="184"/>
      <c r="AJ597" s="184"/>
      <c r="AK597" s="184"/>
      <c r="AL597" s="184"/>
      <c r="AM597" s="184"/>
      <c r="AN597" s="184"/>
      <c r="AO597" s="184"/>
      <c r="AP597" s="184"/>
      <c r="AQ597" s="184"/>
      <c r="AR597" s="184"/>
    </row>
    <row r="598" spans="1:44" s="331" customFormat="1" ht="12" customHeight="1">
      <c r="A598" s="184"/>
      <c r="P598" s="277"/>
      <c r="R598" s="396" t="s">
        <v>997</v>
      </c>
      <c r="S598" s="396" t="s">
        <v>141</v>
      </c>
      <c r="T598" s="397" t="s">
        <v>1907</v>
      </c>
      <c r="X598" s="184"/>
      <c r="Y598" s="184"/>
      <c r="Z598" s="184"/>
      <c r="AA598" s="184"/>
      <c r="AB598" s="184"/>
      <c r="AC598" s="184"/>
      <c r="AD598" s="184"/>
      <c r="AE598" s="184"/>
      <c r="AF598" s="184"/>
      <c r="AG598" s="184"/>
      <c r="AH598" s="184"/>
      <c r="AI598" s="184"/>
      <c r="AJ598" s="184"/>
      <c r="AK598" s="184"/>
      <c r="AL598" s="184"/>
      <c r="AM598" s="184"/>
      <c r="AN598" s="184"/>
      <c r="AO598" s="184"/>
      <c r="AP598" s="184"/>
      <c r="AQ598" s="184"/>
      <c r="AR598" s="184"/>
    </row>
    <row r="599" spans="1:44" s="331" customFormat="1" ht="12" customHeight="1">
      <c r="A599" s="184"/>
      <c r="P599" s="402"/>
      <c r="R599" s="396" t="s">
        <v>998</v>
      </c>
      <c r="S599" s="396" t="s">
        <v>1719</v>
      </c>
      <c r="T599" s="397" t="s">
        <v>1907</v>
      </c>
      <c r="X599" s="184"/>
      <c r="Y599" s="184"/>
      <c r="Z599" s="184"/>
      <c r="AA599" s="184"/>
      <c r="AB599" s="184"/>
      <c r="AC599" s="184"/>
      <c r="AD599" s="184"/>
      <c r="AE599" s="184"/>
      <c r="AF599" s="184"/>
      <c r="AG599" s="184"/>
      <c r="AH599" s="184"/>
      <c r="AI599" s="184"/>
      <c r="AJ599" s="184"/>
      <c r="AK599" s="184"/>
      <c r="AL599" s="184"/>
      <c r="AM599" s="184"/>
      <c r="AN599" s="184"/>
      <c r="AO599" s="184"/>
      <c r="AP599" s="184"/>
      <c r="AQ599" s="184"/>
      <c r="AR599" s="184"/>
    </row>
    <row r="600" spans="1:44" s="331" customFormat="1" ht="12" customHeight="1">
      <c r="A600" s="184"/>
      <c r="P600" s="403"/>
      <c r="R600" s="396" t="s">
        <v>999</v>
      </c>
      <c r="S600" s="396" t="s">
        <v>1808</v>
      </c>
      <c r="T600" s="397" t="s">
        <v>1907</v>
      </c>
      <c r="X600" s="184"/>
      <c r="Y600" s="184"/>
      <c r="Z600" s="184"/>
      <c r="AA600" s="184"/>
      <c r="AB600" s="184"/>
      <c r="AC600" s="184"/>
      <c r="AD600" s="184"/>
      <c r="AE600" s="184"/>
      <c r="AF600" s="184"/>
      <c r="AG600" s="184"/>
      <c r="AH600" s="184"/>
      <c r="AI600" s="184"/>
      <c r="AJ600" s="184"/>
      <c r="AK600" s="184"/>
      <c r="AL600" s="184"/>
      <c r="AM600" s="184"/>
      <c r="AN600" s="184"/>
      <c r="AO600" s="184"/>
      <c r="AP600" s="184"/>
      <c r="AQ600" s="184"/>
      <c r="AR600" s="184"/>
    </row>
    <row r="601" spans="1:44" s="331" customFormat="1" ht="12" customHeight="1">
      <c r="A601" s="184"/>
      <c r="P601" s="277"/>
      <c r="R601" s="396" t="s">
        <v>1000</v>
      </c>
      <c r="S601" s="396" t="s">
        <v>584</v>
      </c>
      <c r="T601" s="397" t="s">
        <v>1907</v>
      </c>
      <c r="X601" s="184"/>
      <c r="Y601" s="184"/>
      <c r="Z601" s="184"/>
      <c r="AA601" s="184"/>
      <c r="AB601" s="184"/>
      <c r="AC601" s="184"/>
      <c r="AD601" s="184"/>
      <c r="AE601" s="184"/>
      <c r="AF601" s="184"/>
      <c r="AG601" s="184"/>
      <c r="AH601" s="184"/>
      <c r="AI601" s="184"/>
      <c r="AJ601" s="184"/>
      <c r="AK601" s="184"/>
      <c r="AL601" s="184"/>
      <c r="AM601" s="184"/>
      <c r="AN601" s="184"/>
      <c r="AO601" s="184"/>
      <c r="AP601" s="184"/>
      <c r="AQ601" s="184"/>
      <c r="AR601" s="184"/>
    </row>
    <row r="602" spans="1:44" s="331" customFormat="1" ht="12" customHeight="1">
      <c r="A602" s="184"/>
      <c r="P602" s="277"/>
      <c r="R602" s="396" t="s">
        <v>1001</v>
      </c>
      <c r="S602" s="396" t="s">
        <v>1498</v>
      </c>
      <c r="T602" s="397" t="s">
        <v>1907</v>
      </c>
      <c r="X602" s="184"/>
      <c r="Y602" s="184"/>
      <c r="Z602" s="184"/>
      <c r="AA602" s="184"/>
      <c r="AB602" s="184"/>
      <c r="AC602" s="184"/>
      <c r="AD602" s="184"/>
      <c r="AE602" s="184"/>
      <c r="AF602" s="184"/>
      <c r="AG602" s="184"/>
      <c r="AH602" s="184"/>
      <c r="AI602" s="184"/>
      <c r="AJ602" s="184"/>
      <c r="AK602" s="184"/>
      <c r="AL602" s="184"/>
      <c r="AM602" s="184"/>
      <c r="AN602" s="184"/>
      <c r="AO602" s="184"/>
      <c r="AP602" s="184"/>
      <c r="AQ602" s="184"/>
      <c r="AR602" s="184"/>
    </row>
    <row r="603" spans="1:44" s="331" customFormat="1" ht="12" customHeight="1">
      <c r="A603" s="184"/>
      <c r="P603" s="403"/>
      <c r="R603" s="396" t="s">
        <v>1002</v>
      </c>
      <c r="S603" s="396" t="s">
        <v>2205</v>
      </c>
      <c r="T603" s="397" t="s">
        <v>1907</v>
      </c>
      <c r="X603" s="184"/>
      <c r="Y603" s="184"/>
      <c r="Z603" s="184"/>
      <c r="AA603" s="184"/>
      <c r="AB603" s="184"/>
      <c r="AC603" s="184"/>
      <c r="AD603" s="184"/>
      <c r="AE603" s="184"/>
      <c r="AF603" s="184"/>
      <c r="AG603" s="184"/>
      <c r="AH603" s="184"/>
      <c r="AI603" s="184"/>
      <c r="AJ603" s="184"/>
      <c r="AK603" s="184"/>
      <c r="AL603" s="184"/>
      <c r="AM603" s="184"/>
      <c r="AN603" s="184"/>
      <c r="AO603" s="184"/>
      <c r="AP603" s="184"/>
      <c r="AQ603" s="184"/>
      <c r="AR603" s="184"/>
    </row>
    <row r="604" spans="1:44" s="331" customFormat="1" ht="12" customHeight="1">
      <c r="A604" s="184"/>
      <c r="P604" s="277"/>
      <c r="R604" s="396" t="s">
        <v>1003</v>
      </c>
      <c r="S604" s="396" t="s">
        <v>141</v>
      </c>
      <c r="T604" s="397" t="s">
        <v>1907</v>
      </c>
      <c r="X604" s="184"/>
      <c r="Y604" s="184"/>
      <c r="Z604" s="184"/>
      <c r="AA604" s="184"/>
      <c r="AB604" s="184"/>
      <c r="AC604" s="184"/>
      <c r="AD604" s="184"/>
      <c r="AE604" s="184"/>
      <c r="AF604" s="184"/>
      <c r="AG604" s="184"/>
      <c r="AH604" s="184"/>
      <c r="AI604" s="184"/>
      <c r="AJ604" s="184"/>
      <c r="AK604" s="184"/>
      <c r="AL604" s="184"/>
      <c r="AM604" s="184"/>
      <c r="AN604" s="184"/>
      <c r="AO604" s="184"/>
      <c r="AP604" s="184"/>
      <c r="AQ604" s="184"/>
      <c r="AR604" s="184"/>
    </row>
    <row r="605" spans="1:44" s="331" customFormat="1" ht="12" customHeight="1">
      <c r="A605" s="184"/>
      <c r="P605" s="277"/>
      <c r="R605" s="396" t="s">
        <v>1004</v>
      </c>
      <c r="S605" s="396" t="s">
        <v>141</v>
      </c>
      <c r="T605" s="397" t="s">
        <v>1907</v>
      </c>
      <c r="X605" s="184"/>
      <c r="Y605" s="184"/>
      <c r="Z605" s="184"/>
      <c r="AA605" s="184"/>
      <c r="AB605" s="184"/>
      <c r="AC605" s="184"/>
      <c r="AD605" s="184"/>
      <c r="AE605" s="184"/>
      <c r="AF605" s="184"/>
      <c r="AG605" s="184"/>
      <c r="AH605" s="184"/>
      <c r="AI605" s="184"/>
      <c r="AJ605" s="184"/>
      <c r="AK605" s="184"/>
      <c r="AL605" s="184"/>
      <c r="AM605" s="184"/>
      <c r="AN605" s="184"/>
      <c r="AO605" s="184"/>
      <c r="AP605" s="184"/>
      <c r="AQ605" s="184"/>
      <c r="AR605" s="184"/>
    </row>
    <row r="606" spans="1:44" s="331" customFormat="1" ht="12" customHeight="1">
      <c r="A606" s="184"/>
      <c r="P606" s="277"/>
      <c r="X606" s="184"/>
      <c r="Y606" s="184"/>
      <c r="Z606" s="184"/>
      <c r="AA606" s="184"/>
      <c r="AB606" s="184"/>
      <c r="AC606" s="184"/>
      <c r="AD606" s="184"/>
      <c r="AE606" s="184"/>
      <c r="AF606" s="184"/>
      <c r="AG606" s="184"/>
      <c r="AH606" s="184"/>
      <c r="AI606" s="184"/>
      <c r="AJ606" s="184"/>
      <c r="AK606" s="184"/>
      <c r="AL606" s="184"/>
      <c r="AM606" s="184"/>
      <c r="AN606" s="184"/>
      <c r="AO606" s="184"/>
      <c r="AP606" s="184"/>
      <c r="AQ606" s="184"/>
      <c r="AR606" s="184"/>
    </row>
    <row r="607" spans="1:44" s="331" customFormat="1" ht="12" customHeight="1">
      <c r="A607" s="184"/>
      <c r="P607" s="277"/>
      <c r="X607" s="184"/>
      <c r="Y607" s="184"/>
      <c r="Z607" s="184"/>
      <c r="AA607" s="184"/>
      <c r="AB607" s="184"/>
      <c r="AC607" s="184"/>
      <c r="AD607" s="184"/>
      <c r="AE607" s="184"/>
      <c r="AF607" s="184"/>
      <c r="AG607" s="184"/>
      <c r="AH607" s="184"/>
      <c r="AI607" s="184"/>
      <c r="AJ607" s="184"/>
      <c r="AK607" s="184"/>
      <c r="AL607" s="184"/>
      <c r="AM607" s="184"/>
      <c r="AN607" s="184"/>
      <c r="AO607" s="184"/>
      <c r="AP607" s="184"/>
      <c r="AQ607" s="184"/>
      <c r="AR607" s="184"/>
    </row>
    <row r="608" spans="1:44" s="331" customFormat="1" ht="12" customHeight="1">
      <c r="A608" s="184"/>
      <c r="P608" s="277"/>
      <c r="X608" s="184"/>
      <c r="Y608" s="184"/>
      <c r="Z608" s="184"/>
      <c r="AA608" s="184"/>
      <c r="AB608" s="184"/>
      <c r="AC608" s="184"/>
      <c r="AD608" s="184"/>
      <c r="AE608" s="184"/>
      <c r="AF608" s="184"/>
      <c r="AG608" s="184"/>
      <c r="AH608" s="184"/>
      <c r="AI608" s="184"/>
      <c r="AJ608" s="184"/>
      <c r="AK608" s="184"/>
      <c r="AL608" s="184"/>
      <c r="AM608" s="184"/>
      <c r="AN608" s="184"/>
      <c r="AO608" s="184"/>
      <c r="AP608" s="184"/>
      <c r="AQ608" s="184"/>
      <c r="AR608" s="184"/>
    </row>
    <row r="609" spans="1:44" s="331" customFormat="1" ht="12" customHeight="1">
      <c r="A609" s="184"/>
      <c r="P609" s="277"/>
      <c r="X609" s="184"/>
      <c r="Y609" s="184"/>
      <c r="Z609" s="184"/>
      <c r="AA609" s="184"/>
      <c r="AB609" s="184"/>
      <c r="AC609" s="184"/>
      <c r="AD609" s="184"/>
      <c r="AE609" s="184"/>
      <c r="AF609" s="184"/>
      <c r="AG609" s="184"/>
      <c r="AH609" s="184"/>
      <c r="AI609" s="184"/>
      <c r="AJ609" s="184"/>
      <c r="AK609" s="184"/>
      <c r="AL609" s="184"/>
      <c r="AM609" s="184"/>
      <c r="AN609" s="184"/>
      <c r="AO609" s="184"/>
      <c r="AP609" s="184"/>
      <c r="AQ609" s="184"/>
      <c r="AR609" s="184"/>
    </row>
    <row r="610" spans="1:44" s="331" customFormat="1" ht="12" customHeight="1">
      <c r="A610" s="184"/>
      <c r="P610" s="277"/>
      <c r="X610" s="184"/>
      <c r="Y610" s="184"/>
      <c r="Z610" s="184"/>
      <c r="AA610" s="184"/>
      <c r="AB610" s="184"/>
      <c r="AC610" s="184"/>
      <c r="AD610" s="184"/>
      <c r="AE610" s="184"/>
      <c r="AF610" s="184"/>
      <c r="AG610" s="184"/>
      <c r="AH610" s="184"/>
      <c r="AI610" s="184"/>
      <c r="AJ610" s="184"/>
      <c r="AK610" s="184"/>
      <c r="AL610" s="184"/>
      <c r="AM610" s="184"/>
      <c r="AN610" s="184"/>
      <c r="AO610" s="184"/>
      <c r="AP610" s="184"/>
      <c r="AQ610" s="184"/>
      <c r="AR610" s="184"/>
    </row>
    <row r="611" spans="1:44" s="331" customFormat="1" ht="12" customHeight="1">
      <c r="A611" s="184"/>
      <c r="P611" s="403"/>
      <c r="X611" s="184"/>
      <c r="Y611" s="184"/>
      <c r="Z611" s="184"/>
      <c r="AA611" s="184"/>
      <c r="AB611" s="184"/>
      <c r="AC611" s="184"/>
      <c r="AD611" s="184"/>
      <c r="AE611" s="184"/>
      <c r="AF611" s="184"/>
      <c r="AG611" s="184"/>
      <c r="AH611" s="184"/>
      <c r="AI611" s="184"/>
      <c r="AJ611" s="184"/>
      <c r="AK611" s="184"/>
      <c r="AL611" s="184"/>
      <c r="AM611" s="184"/>
      <c r="AN611" s="184"/>
      <c r="AO611" s="184"/>
      <c r="AP611" s="184"/>
      <c r="AQ611" s="184"/>
      <c r="AR611" s="184"/>
    </row>
    <row r="612" spans="1:44" s="331" customFormat="1" ht="12" customHeight="1">
      <c r="A612" s="184"/>
      <c r="P612" s="277"/>
      <c r="X612" s="184"/>
      <c r="Y612" s="184"/>
      <c r="Z612" s="184"/>
      <c r="AA612" s="184"/>
      <c r="AB612" s="184"/>
      <c r="AC612" s="184"/>
      <c r="AD612" s="184"/>
      <c r="AE612" s="184"/>
      <c r="AF612" s="184"/>
      <c r="AG612" s="184"/>
      <c r="AH612" s="184"/>
      <c r="AI612" s="184"/>
      <c r="AJ612" s="184"/>
      <c r="AK612" s="184"/>
      <c r="AL612" s="184"/>
      <c r="AM612" s="184"/>
      <c r="AN612" s="184"/>
      <c r="AO612" s="184"/>
      <c r="AP612" s="184"/>
      <c r="AQ612" s="184"/>
      <c r="AR612" s="184"/>
    </row>
    <row r="613" spans="1:44" s="331" customFormat="1" ht="12" customHeight="1">
      <c r="A613" s="184"/>
      <c r="P613" s="277"/>
      <c r="X613" s="184"/>
      <c r="Y613" s="184"/>
      <c r="Z613" s="184"/>
      <c r="AA613" s="184"/>
      <c r="AB613" s="184"/>
      <c r="AC613" s="184"/>
      <c r="AD613" s="184"/>
      <c r="AE613" s="184"/>
      <c r="AF613" s="184"/>
      <c r="AG613" s="184"/>
      <c r="AH613" s="184"/>
      <c r="AI613" s="184"/>
      <c r="AJ613" s="184"/>
      <c r="AK613" s="184"/>
      <c r="AL613" s="184"/>
      <c r="AM613" s="184"/>
      <c r="AN613" s="184"/>
      <c r="AO613" s="184"/>
      <c r="AP613" s="184"/>
      <c r="AQ613" s="184"/>
      <c r="AR613" s="184"/>
    </row>
    <row r="614" spans="1:44" s="331" customFormat="1" ht="12" customHeight="1">
      <c r="A614" s="184"/>
      <c r="P614" s="277"/>
      <c r="X614" s="184"/>
      <c r="Y614" s="184"/>
      <c r="Z614" s="184"/>
      <c r="AA614" s="184"/>
      <c r="AB614" s="184"/>
      <c r="AC614" s="184"/>
      <c r="AD614" s="184"/>
      <c r="AE614" s="184"/>
      <c r="AF614" s="184"/>
      <c r="AG614" s="184"/>
      <c r="AH614" s="184"/>
      <c r="AI614" s="184"/>
      <c r="AJ614" s="184"/>
      <c r="AK614" s="184"/>
      <c r="AL614" s="184"/>
      <c r="AM614" s="184"/>
      <c r="AN614" s="184"/>
      <c r="AO614" s="184"/>
      <c r="AP614" s="184"/>
      <c r="AQ614" s="184"/>
      <c r="AR614" s="184"/>
    </row>
    <row r="615" spans="1:44" s="331" customFormat="1" ht="12" customHeight="1">
      <c r="A615" s="184"/>
      <c r="P615" s="277"/>
      <c r="X615" s="184"/>
      <c r="Y615" s="184"/>
      <c r="Z615" s="184"/>
      <c r="AA615" s="184"/>
      <c r="AB615" s="184"/>
      <c r="AC615" s="184"/>
      <c r="AD615" s="184"/>
      <c r="AE615" s="184"/>
      <c r="AF615" s="184"/>
      <c r="AG615" s="184"/>
      <c r="AH615" s="184"/>
      <c r="AI615" s="184"/>
      <c r="AJ615" s="184"/>
      <c r="AK615" s="184"/>
      <c r="AL615" s="184"/>
      <c r="AM615" s="184"/>
      <c r="AN615" s="184"/>
      <c r="AO615" s="184"/>
      <c r="AP615" s="184"/>
      <c r="AQ615" s="184"/>
      <c r="AR615" s="184"/>
    </row>
    <row r="616" spans="1:44" s="331" customFormat="1" ht="12" customHeight="1">
      <c r="A616" s="184"/>
      <c r="P616" s="403"/>
      <c r="X616" s="184"/>
      <c r="Y616" s="184"/>
      <c r="Z616" s="184"/>
      <c r="AA616" s="184"/>
      <c r="AB616" s="184"/>
      <c r="AC616" s="184"/>
      <c r="AD616" s="184"/>
      <c r="AE616" s="184"/>
      <c r="AF616" s="184"/>
      <c r="AG616" s="184"/>
      <c r="AH616" s="184"/>
      <c r="AI616" s="184"/>
      <c r="AJ616" s="184"/>
      <c r="AK616" s="184"/>
      <c r="AL616" s="184"/>
      <c r="AM616" s="184"/>
      <c r="AN616" s="184"/>
      <c r="AO616" s="184"/>
      <c r="AP616" s="184"/>
      <c r="AQ616" s="184"/>
      <c r="AR616" s="184"/>
    </row>
    <row r="617" spans="1:44" s="331" customFormat="1" ht="12" customHeight="1">
      <c r="A617" s="184"/>
      <c r="P617" s="277"/>
      <c r="X617" s="184"/>
      <c r="Y617" s="184"/>
      <c r="Z617" s="184"/>
      <c r="AA617" s="184"/>
      <c r="AB617" s="184"/>
      <c r="AC617" s="184"/>
      <c r="AD617" s="184"/>
      <c r="AE617" s="184"/>
      <c r="AF617" s="184"/>
      <c r="AG617" s="184"/>
      <c r="AH617" s="184"/>
      <c r="AI617" s="184"/>
      <c r="AJ617" s="184"/>
      <c r="AK617" s="184"/>
      <c r="AL617" s="184"/>
      <c r="AM617" s="184"/>
      <c r="AN617" s="184"/>
      <c r="AO617" s="184"/>
      <c r="AP617" s="184"/>
      <c r="AQ617" s="184"/>
      <c r="AR617" s="184"/>
    </row>
    <row r="618" spans="1:44" s="331" customFormat="1" ht="12" customHeight="1">
      <c r="A618" s="184"/>
      <c r="P618" s="277"/>
      <c r="X618" s="184"/>
      <c r="Y618" s="184"/>
      <c r="Z618" s="184"/>
      <c r="AA618" s="184"/>
      <c r="AB618" s="184"/>
      <c r="AC618" s="184"/>
      <c r="AD618" s="184"/>
      <c r="AE618" s="184"/>
      <c r="AF618" s="184"/>
      <c r="AG618" s="184"/>
      <c r="AH618" s="184"/>
      <c r="AI618" s="184"/>
      <c r="AJ618" s="184"/>
      <c r="AK618" s="184"/>
      <c r="AL618" s="184"/>
      <c r="AM618" s="184"/>
      <c r="AN618" s="184"/>
      <c r="AO618" s="184"/>
      <c r="AP618" s="184"/>
      <c r="AQ618" s="184"/>
      <c r="AR618" s="184"/>
    </row>
    <row r="619" spans="1:44" s="331" customFormat="1" ht="12" customHeight="1">
      <c r="A619" s="184"/>
      <c r="P619" s="277"/>
      <c r="X619" s="184"/>
      <c r="Y619" s="184"/>
      <c r="Z619" s="184"/>
      <c r="AA619" s="184"/>
      <c r="AB619" s="184"/>
      <c r="AC619" s="184"/>
      <c r="AD619" s="184"/>
      <c r="AE619" s="184"/>
      <c r="AF619" s="184"/>
      <c r="AG619" s="184"/>
      <c r="AH619" s="184"/>
      <c r="AI619" s="184"/>
      <c r="AJ619" s="184"/>
      <c r="AK619" s="184"/>
      <c r="AL619" s="184"/>
      <c r="AM619" s="184"/>
      <c r="AN619" s="184"/>
      <c r="AO619" s="184"/>
      <c r="AP619" s="184"/>
      <c r="AQ619" s="184"/>
      <c r="AR619" s="184"/>
    </row>
    <row r="620" spans="1:44" s="331" customFormat="1" ht="12" customHeight="1">
      <c r="A620" s="184"/>
      <c r="P620" s="277"/>
      <c r="X620" s="184"/>
      <c r="Y620" s="184"/>
      <c r="Z620" s="184"/>
      <c r="AA620" s="184"/>
      <c r="AB620" s="184"/>
      <c r="AC620" s="184"/>
      <c r="AD620" s="184"/>
      <c r="AE620" s="184"/>
      <c r="AF620" s="184"/>
      <c r="AG620" s="184"/>
      <c r="AH620" s="184"/>
      <c r="AI620" s="184"/>
      <c r="AJ620" s="184"/>
      <c r="AK620" s="184"/>
      <c r="AL620" s="184"/>
      <c r="AM620" s="184"/>
      <c r="AN620" s="184"/>
      <c r="AO620" s="184"/>
      <c r="AP620" s="184"/>
      <c r="AQ620" s="184"/>
      <c r="AR620" s="184"/>
    </row>
    <row r="621" spans="1:44" s="331" customFormat="1" ht="12" customHeight="1">
      <c r="A621" s="184"/>
      <c r="P621" s="277"/>
      <c r="X621" s="184"/>
      <c r="Y621" s="184"/>
      <c r="Z621" s="184"/>
      <c r="AA621" s="184"/>
      <c r="AB621" s="184"/>
      <c r="AC621" s="184"/>
      <c r="AD621" s="184"/>
      <c r="AE621" s="184"/>
      <c r="AF621" s="184"/>
      <c r="AG621" s="184"/>
      <c r="AH621" s="184"/>
      <c r="AI621" s="184"/>
      <c r="AJ621" s="184"/>
      <c r="AK621" s="184"/>
      <c r="AL621" s="184"/>
      <c r="AM621" s="184"/>
      <c r="AN621" s="184"/>
      <c r="AO621" s="184"/>
      <c r="AP621" s="184"/>
      <c r="AQ621" s="184"/>
      <c r="AR621" s="184"/>
    </row>
    <row r="622" spans="1:44" s="331" customFormat="1" ht="12" customHeight="1">
      <c r="A622" s="184"/>
      <c r="P622" s="403"/>
      <c r="X622" s="184"/>
      <c r="Y622" s="184"/>
      <c r="Z622" s="184"/>
      <c r="AA622" s="184"/>
      <c r="AB622" s="184"/>
      <c r="AC622" s="184"/>
      <c r="AD622" s="184"/>
      <c r="AE622" s="184"/>
      <c r="AF622" s="184"/>
      <c r="AG622" s="184"/>
      <c r="AH622" s="184"/>
      <c r="AI622" s="184"/>
      <c r="AJ622" s="184"/>
      <c r="AK622" s="184"/>
      <c r="AL622" s="184"/>
      <c r="AM622" s="184"/>
      <c r="AN622" s="184"/>
      <c r="AO622" s="184"/>
      <c r="AP622" s="184"/>
      <c r="AQ622" s="184"/>
      <c r="AR622" s="184"/>
    </row>
    <row r="623" spans="1:44" s="331" customFormat="1" ht="12" customHeight="1">
      <c r="A623" s="184"/>
      <c r="P623" s="277"/>
      <c r="X623" s="184"/>
      <c r="Y623" s="184"/>
      <c r="Z623" s="184"/>
      <c r="AA623" s="184"/>
      <c r="AB623" s="184"/>
      <c r="AC623" s="184"/>
      <c r="AD623" s="184"/>
      <c r="AE623" s="184"/>
      <c r="AF623" s="184"/>
      <c r="AG623" s="184"/>
      <c r="AH623" s="184"/>
      <c r="AI623" s="184"/>
      <c r="AJ623" s="184"/>
      <c r="AK623" s="184"/>
      <c r="AL623" s="184"/>
      <c r="AM623" s="184"/>
      <c r="AN623" s="184"/>
      <c r="AO623" s="184"/>
      <c r="AP623" s="184"/>
      <c r="AQ623" s="184"/>
      <c r="AR623" s="184"/>
    </row>
    <row r="624" spans="1:44" s="331" customFormat="1" ht="12" customHeight="1">
      <c r="A624" s="184"/>
      <c r="P624" s="277"/>
      <c r="X624" s="184"/>
      <c r="Y624" s="184"/>
      <c r="Z624" s="184"/>
      <c r="AA624" s="184"/>
      <c r="AB624" s="184"/>
      <c r="AC624" s="184"/>
      <c r="AD624" s="184"/>
      <c r="AE624" s="184"/>
      <c r="AF624" s="184"/>
      <c r="AG624" s="184"/>
      <c r="AH624" s="184"/>
      <c r="AI624" s="184"/>
      <c r="AJ624" s="184"/>
      <c r="AK624" s="184"/>
      <c r="AL624" s="184"/>
      <c r="AM624" s="184"/>
      <c r="AN624" s="184"/>
      <c r="AO624" s="184"/>
      <c r="AP624" s="184"/>
      <c r="AQ624" s="184"/>
      <c r="AR624" s="184"/>
    </row>
    <row r="625" spans="1:44" s="331" customFormat="1" ht="12" customHeight="1">
      <c r="A625" s="184"/>
      <c r="P625" s="277"/>
      <c r="X625" s="184"/>
      <c r="Y625" s="184"/>
      <c r="Z625" s="184"/>
      <c r="AA625" s="184"/>
      <c r="AB625" s="184"/>
      <c r="AC625" s="184"/>
      <c r="AD625" s="184"/>
      <c r="AE625" s="184"/>
      <c r="AF625" s="184"/>
      <c r="AG625" s="184"/>
      <c r="AH625" s="184"/>
      <c r="AI625" s="184"/>
      <c r="AJ625" s="184"/>
      <c r="AK625" s="184"/>
      <c r="AL625" s="184"/>
      <c r="AM625" s="184"/>
      <c r="AN625" s="184"/>
      <c r="AO625" s="184"/>
      <c r="AP625" s="184"/>
      <c r="AQ625" s="184"/>
      <c r="AR625" s="184"/>
    </row>
    <row r="626" spans="1:44" s="331" customFormat="1" ht="12" customHeight="1">
      <c r="A626" s="184"/>
      <c r="P626" s="277"/>
      <c r="X626" s="184"/>
      <c r="Y626" s="184"/>
      <c r="Z626" s="184"/>
      <c r="AA626" s="184"/>
      <c r="AB626" s="184"/>
      <c r="AC626" s="184"/>
      <c r="AD626" s="184"/>
      <c r="AE626" s="184"/>
      <c r="AF626" s="184"/>
      <c r="AG626" s="184"/>
      <c r="AH626" s="184"/>
      <c r="AI626" s="184"/>
      <c r="AJ626" s="184"/>
      <c r="AK626" s="184"/>
      <c r="AL626" s="184"/>
      <c r="AM626" s="184"/>
      <c r="AN626" s="184"/>
      <c r="AO626" s="184"/>
      <c r="AP626" s="184"/>
      <c r="AQ626" s="184"/>
      <c r="AR626" s="184"/>
    </row>
    <row r="627" spans="1:44" s="331" customFormat="1" ht="12" customHeight="1">
      <c r="A627" s="184"/>
      <c r="P627" s="277"/>
      <c r="X627" s="184"/>
      <c r="Y627" s="184"/>
      <c r="Z627" s="184"/>
      <c r="AA627" s="184"/>
      <c r="AB627" s="184"/>
      <c r="AC627" s="184"/>
      <c r="AD627" s="184"/>
      <c r="AE627" s="184"/>
      <c r="AF627" s="184"/>
      <c r="AG627" s="184"/>
      <c r="AH627" s="184"/>
      <c r="AI627" s="184"/>
      <c r="AJ627" s="184"/>
      <c r="AK627" s="184"/>
      <c r="AL627" s="184"/>
      <c r="AM627" s="184"/>
      <c r="AN627" s="184"/>
      <c r="AO627" s="184"/>
      <c r="AP627" s="184"/>
      <c r="AQ627" s="184"/>
      <c r="AR627" s="184"/>
    </row>
    <row r="628" spans="1:44" s="331" customFormat="1" ht="12" customHeight="1">
      <c r="A628" s="184"/>
      <c r="P628" s="277"/>
      <c r="X628" s="184"/>
      <c r="Y628" s="184"/>
      <c r="Z628" s="184"/>
      <c r="AA628" s="184"/>
      <c r="AB628" s="184"/>
      <c r="AC628" s="184"/>
      <c r="AD628" s="184"/>
      <c r="AE628" s="184"/>
      <c r="AF628" s="184"/>
      <c r="AG628" s="184"/>
      <c r="AH628" s="184"/>
      <c r="AI628" s="184"/>
      <c r="AJ628" s="184"/>
      <c r="AK628" s="184"/>
      <c r="AL628" s="184"/>
      <c r="AM628" s="184"/>
      <c r="AN628" s="184"/>
      <c r="AO628" s="184"/>
      <c r="AP628" s="184"/>
      <c r="AQ628" s="184"/>
      <c r="AR628" s="184"/>
    </row>
    <row r="629" spans="1:44" s="331" customFormat="1" ht="12" customHeight="1">
      <c r="A629" s="184"/>
      <c r="P629" s="277"/>
      <c r="X629" s="184"/>
      <c r="Y629" s="184"/>
      <c r="Z629" s="184"/>
      <c r="AA629" s="184"/>
      <c r="AB629" s="184"/>
      <c r="AC629" s="184"/>
      <c r="AD629" s="184"/>
      <c r="AE629" s="184"/>
      <c r="AF629" s="184"/>
      <c r="AG629" s="184"/>
      <c r="AH629" s="184"/>
      <c r="AI629" s="184"/>
      <c r="AJ629" s="184"/>
      <c r="AK629" s="184"/>
      <c r="AL629" s="184"/>
      <c r="AM629" s="184"/>
      <c r="AN629" s="184"/>
      <c r="AO629" s="184"/>
      <c r="AP629" s="184"/>
      <c r="AQ629" s="184"/>
      <c r="AR629" s="184"/>
    </row>
    <row r="630" spans="1:44" s="331" customFormat="1" ht="12" customHeight="1">
      <c r="A630" s="184"/>
      <c r="P630" s="277"/>
      <c r="X630" s="184"/>
      <c r="Y630" s="184"/>
      <c r="Z630" s="184"/>
      <c r="AA630" s="184"/>
      <c r="AB630" s="184"/>
      <c r="AC630" s="184"/>
      <c r="AD630" s="184"/>
      <c r="AE630" s="184"/>
      <c r="AF630" s="184"/>
      <c r="AG630" s="184"/>
      <c r="AH630" s="184"/>
      <c r="AI630" s="184"/>
      <c r="AJ630" s="184"/>
      <c r="AK630" s="184"/>
      <c r="AL630" s="184"/>
      <c r="AM630" s="184"/>
      <c r="AN630" s="184"/>
      <c r="AO630" s="184"/>
      <c r="AP630" s="184"/>
      <c r="AQ630" s="184"/>
      <c r="AR630" s="184"/>
    </row>
    <row r="631" spans="1:44" s="331" customFormat="1" ht="12" customHeight="1">
      <c r="A631" s="184"/>
      <c r="P631" s="277"/>
      <c r="X631" s="184"/>
      <c r="Y631" s="184"/>
      <c r="Z631" s="184"/>
      <c r="AA631" s="184"/>
      <c r="AB631" s="184"/>
      <c r="AC631" s="184"/>
      <c r="AD631" s="184"/>
      <c r="AE631" s="184"/>
      <c r="AF631" s="184"/>
      <c r="AG631" s="184"/>
      <c r="AH631" s="184"/>
      <c r="AI631" s="184"/>
      <c r="AJ631" s="184"/>
      <c r="AK631" s="184"/>
      <c r="AL631" s="184"/>
      <c r="AM631" s="184"/>
      <c r="AN631" s="184"/>
      <c r="AO631" s="184"/>
      <c r="AP631" s="184"/>
      <c r="AQ631" s="184"/>
      <c r="AR631" s="184"/>
    </row>
    <row r="632" spans="1:44" s="331" customFormat="1" ht="12" customHeight="1">
      <c r="A632" s="184"/>
      <c r="P632" s="277"/>
      <c r="X632" s="184"/>
      <c r="Y632" s="184"/>
      <c r="Z632" s="184"/>
      <c r="AA632" s="184"/>
      <c r="AB632" s="184"/>
      <c r="AC632" s="184"/>
      <c r="AD632" s="184"/>
      <c r="AE632" s="184"/>
      <c r="AF632" s="184"/>
      <c r="AG632" s="184"/>
      <c r="AH632" s="184"/>
      <c r="AI632" s="184"/>
      <c r="AJ632" s="184"/>
      <c r="AK632" s="184"/>
      <c r="AL632" s="184"/>
      <c r="AM632" s="184"/>
      <c r="AN632" s="184"/>
      <c r="AO632" s="184"/>
      <c r="AP632" s="184"/>
      <c r="AQ632" s="184"/>
      <c r="AR632" s="184"/>
    </row>
    <row r="633" spans="1:44" s="331" customFormat="1" ht="12" customHeight="1">
      <c r="A633" s="184"/>
      <c r="P633" s="403"/>
      <c r="X633" s="184"/>
      <c r="Y633" s="184"/>
      <c r="Z633" s="184"/>
      <c r="AA633" s="184"/>
      <c r="AB633" s="184"/>
      <c r="AC633" s="184"/>
      <c r="AD633" s="184"/>
      <c r="AE633" s="184"/>
      <c r="AF633" s="184"/>
      <c r="AG633" s="184"/>
      <c r="AH633" s="184"/>
      <c r="AI633" s="184"/>
      <c r="AJ633" s="184"/>
      <c r="AK633" s="184"/>
      <c r="AL633" s="184"/>
      <c r="AM633" s="184"/>
      <c r="AN633" s="184"/>
      <c r="AO633" s="184"/>
      <c r="AP633" s="184"/>
      <c r="AQ633" s="184"/>
      <c r="AR633" s="184"/>
    </row>
    <row r="634" spans="1:44" s="331" customFormat="1" ht="12" customHeight="1">
      <c r="A634" s="184"/>
      <c r="P634" s="277"/>
      <c r="X634" s="184"/>
      <c r="Y634" s="184"/>
      <c r="Z634" s="184"/>
      <c r="AA634" s="184"/>
      <c r="AB634" s="184"/>
      <c r="AC634" s="184"/>
      <c r="AD634" s="184"/>
      <c r="AE634" s="184"/>
      <c r="AF634" s="184"/>
      <c r="AG634" s="184"/>
      <c r="AH634" s="184"/>
      <c r="AI634" s="184"/>
      <c r="AJ634" s="184"/>
      <c r="AK634" s="184"/>
      <c r="AL634" s="184"/>
      <c r="AM634" s="184"/>
      <c r="AN634" s="184"/>
      <c r="AO634" s="184"/>
      <c r="AP634" s="184"/>
      <c r="AQ634" s="184"/>
      <c r="AR634" s="184"/>
    </row>
    <row r="635" spans="1:44" s="331" customFormat="1" ht="12" customHeight="1">
      <c r="A635" s="184"/>
      <c r="P635" s="277"/>
      <c r="X635" s="184"/>
      <c r="Y635" s="184"/>
      <c r="Z635" s="184"/>
      <c r="AA635" s="184"/>
      <c r="AB635" s="184"/>
      <c r="AC635" s="184"/>
      <c r="AD635" s="184"/>
      <c r="AE635" s="184"/>
      <c r="AF635" s="184"/>
      <c r="AG635" s="184"/>
      <c r="AH635" s="184"/>
      <c r="AI635" s="184"/>
      <c r="AJ635" s="184"/>
      <c r="AK635" s="184"/>
      <c r="AL635" s="184"/>
      <c r="AM635" s="184"/>
      <c r="AN635" s="184"/>
      <c r="AO635" s="184"/>
      <c r="AP635" s="184"/>
      <c r="AQ635" s="184"/>
      <c r="AR635" s="184"/>
    </row>
    <row r="636" spans="1:44" s="331" customFormat="1" ht="12" customHeight="1">
      <c r="A636" s="184"/>
      <c r="P636" s="277"/>
      <c r="X636" s="184"/>
      <c r="Y636" s="184"/>
      <c r="Z636" s="184"/>
      <c r="AA636" s="184"/>
      <c r="AB636" s="184"/>
      <c r="AC636" s="184"/>
      <c r="AD636" s="184"/>
      <c r="AE636" s="184"/>
      <c r="AF636" s="184"/>
      <c r="AG636" s="184"/>
      <c r="AH636" s="184"/>
      <c r="AI636" s="184"/>
      <c r="AJ636" s="184"/>
      <c r="AK636" s="184"/>
      <c r="AL636" s="184"/>
      <c r="AM636" s="184"/>
      <c r="AN636" s="184"/>
      <c r="AO636" s="184"/>
      <c r="AP636" s="184"/>
      <c r="AQ636" s="184"/>
      <c r="AR636" s="184"/>
    </row>
    <row r="637" spans="1:44" s="331" customFormat="1" ht="12" customHeight="1">
      <c r="A637" s="184"/>
      <c r="P637" s="277"/>
      <c r="X637" s="184"/>
      <c r="Y637" s="184"/>
      <c r="Z637" s="184"/>
      <c r="AA637" s="184"/>
      <c r="AB637" s="184"/>
      <c r="AC637" s="184"/>
      <c r="AD637" s="184"/>
      <c r="AE637" s="184"/>
      <c r="AF637" s="184"/>
      <c r="AG637" s="184"/>
      <c r="AH637" s="184"/>
      <c r="AI637" s="184"/>
      <c r="AJ637" s="184"/>
      <c r="AK637" s="184"/>
      <c r="AL637" s="184"/>
      <c r="AM637" s="184"/>
      <c r="AN637" s="184"/>
      <c r="AO637" s="184"/>
      <c r="AP637" s="184"/>
      <c r="AQ637" s="184"/>
      <c r="AR637" s="184"/>
    </row>
    <row r="638" spans="1:44" s="331" customFormat="1" ht="12" customHeight="1">
      <c r="A638" s="184"/>
      <c r="P638" s="277"/>
      <c r="X638" s="184"/>
      <c r="Y638" s="184"/>
      <c r="Z638" s="184"/>
      <c r="AA638" s="184"/>
      <c r="AB638" s="184"/>
      <c r="AC638" s="184"/>
      <c r="AD638" s="184"/>
      <c r="AE638" s="184"/>
      <c r="AF638" s="184"/>
      <c r="AG638" s="184"/>
      <c r="AH638" s="184"/>
      <c r="AI638" s="184"/>
      <c r="AJ638" s="184"/>
      <c r="AK638" s="184"/>
      <c r="AL638" s="184"/>
      <c r="AM638" s="184"/>
      <c r="AN638" s="184"/>
      <c r="AO638" s="184"/>
      <c r="AP638" s="184"/>
      <c r="AQ638" s="184"/>
      <c r="AR638" s="184"/>
    </row>
    <row r="639" spans="1:44" s="331" customFormat="1" ht="12" customHeight="1">
      <c r="A639" s="184"/>
      <c r="P639" s="277"/>
      <c r="X639" s="184"/>
      <c r="Y639" s="184"/>
      <c r="Z639" s="184"/>
      <c r="AA639" s="184"/>
      <c r="AB639" s="184"/>
      <c r="AC639" s="184"/>
      <c r="AD639" s="184"/>
      <c r="AE639" s="184"/>
      <c r="AF639" s="184"/>
      <c r="AG639" s="184"/>
      <c r="AH639" s="184"/>
      <c r="AI639" s="184"/>
      <c r="AJ639" s="184"/>
      <c r="AK639" s="184"/>
      <c r="AL639" s="184"/>
      <c r="AM639" s="184"/>
      <c r="AN639" s="184"/>
      <c r="AO639" s="184"/>
      <c r="AP639" s="184"/>
      <c r="AQ639" s="184"/>
      <c r="AR639" s="184"/>
    </row>
    <row r="640" spans="1:44" s="331" customFormat="1" ht="12" customHeight="1">
      <c r="A640" s="184"/>
      <c r="P640" s="277"/>
      <c r="X640" s="184"/>
      <c r="Y640" s="184"/>
      <c r="Z640" s="184"/>
      <c r="AA640" s="184"/>
      <c r="AB640" s="184"/>
      <c r="AC640" s="184"/>
      <c r="AD640" s="184"/>
      <c r="AE640" s="184"/>
      <c r="AF640" s="184"/>
      <c r="AG640" s="184"/>
      <c r="AH640" s="184"/>
      <c r="AI640" s="184"/>
      <c r="AJ640" s="184"/>
      <c r="AK640" s="184"/>
      <c r="AL640" s="184"/>
      <c r="AM640" s="184"/>
      <c r="AN640" s="184"/>
      <c r="AO640" s="184"/>
      <c r="AP640" s="184"/>
      <c r="AQ640" s="184"/>
      <c r="AR640" s="184"/>
    </row>
    <row r="641" spans="1:44" s="331" customFormat="1" ht="12" customHeight="1">
      <c r="A641" s="184"/>
      <c r="P641" s="277"/>
      <c r="X641" s="184"/>
      <c r="Y641" s="184"/>
      <c r="Z641" s="184"/>
      <c r="AA641" s="184"/>
      <c r="AB641" s="184"/>
      <c r="AC641" s="184"/>
      <c r="AD641" s="184"/>
      <c r="AE641" s="184"/>
      <c r="AF641" s="184"/>
      <c r="AG641" s="184"/>
      <c r="AH641" s="184"/>
      <c r="AI641" s="184"/>
      <c r="AJ641" s="184"/>
      <c r="AK641" s="184"/>
      <c r="AL641" s="184"/>
      <c r="AM641" s="184"/>
      <c r="AN641" s="184"/>
      <c r="AO641" s="184"/>
      <c r="AP641" s="184"/>
      <c r="AQ641" s="184"/>
      <c r="AR641" s="184"/>
    </row>
    <row r="642" spans="1:44" s="331" customFormat="1" ht="12" customHeight="1">
      <c r="A642" s="184"/>
      <c r="P642" s="277"/>
      <c r="X642" s="184"/>
      <c r="Y642" s="184"/>
      <c r="Z642" s="184"/>
      <c r="AA642" s="184"/>
      <c r="AB642" s="184"/>
      <c r="AC642" s="184"/>
      <c r="AD642" s="184"/>
      <c r="AE642" s="184"/>
      <c r="AF642" s="184"/>
      <c r="AG642" s="184"/>
      <c r="AH642" s="184"/>
      <c r="AI642" s="184"/>
      <c r="AJ642" s="184"/>
      <c r="AK642" s="184"/>
      <c r="AL642" s="184"/>
      <c r="AM642" s="184"/>
      <c r="AN642" s="184"/>
      <c r="AO642" s="184"/>
      <c r="AP642" s="184"/>
      <c r="AQ642" s="184"/>
      <c r="AR642" s="184"/>
    </row>
    <row r="643" spans="1:44" s="331" customFormat="1" ht="12" customHeight="1">
      <c r="A643" s="184"/>
      <c r="P643" s="277"/>
      <c r="X643" s="184"/>
      <c r="Y643" s="184"/>
      <c r="Z643" s="184"/>
      <c r="AA643" s="184"/>
      <c r="AB643" s="184"/>
      <c r="AC643" s="184"/>
      <c r="AD643" s="184"/>
      <c r="AE643" s="184"/>
      <c r="AF643" s="184"/>
      <c r="AG643" s="184"/>
      <c r="AH643" s="184"/>
      <c r="AI643" s="184"/>
      <c r="AJ643" s="184"/>
      <c r="AK643" s="184"/>
      <c r="AL643" s="184"/>
      <c r="AM643" s="184"/>
      <c r="AN643" s="184"/>
      <c r="AO643" s="184"/>
      <c r="AP643" s="184"/>
      <c r="AQ643" s="184"/>
      <c r="AR643" s="184"/>
    </row>
    <row r="644" spans="1:44" s="331" customFormat="1" ht="12" customHeight="1">
      <c r="A644" s="184"/>
      <c r="P644" s="277"/>
      <c r="X644" s="184"/>
      <c r="Y644" s="184"/>
      <c r="Z644" s="184"/>
      <c r="AA644" s="184"/>
      <c r="AB644" s="184"/>
      <c r="AC644" s="184"/>
      <c r="AD644" s="184"/>
      <c r="AE644" s="184"/>
      <c r="AF644" s="184"/>
      <c r="AG644" s="184"/>
      <c r="AH644" s="184"/>
      <c r="AI644" s="184"/>
      <c r="AJ644" s="184"/>
      <c r="AK644" s="184"/>
      <c r="AL644" s="184"/>
      <c r="AM644" s="184"/>
      <c r="AN644" s="184"/>
      <c r="AO644" s="184"/>
      <c r="AP644" s="184"/>
      <c r="AQ644" s="184"/>
      <c r="AR644" s="184"/>
    </row>
    <row r="645" spans="1:44" s="331" customFormat="1" ht="12" customHeight="1">
      <c r="A645" s="184"/>
      <c r="P645" s="403"/>
      <c r="X645" s="184"/>
      <c r="Y645" s="184"/>
      <c r="Z645" s="184"/>
      <c r="AA645" s="184"/>
      <c r="AB645" s="184"/>
      <c r="AC645" s="184"/>
      <c r="AD645" s="184"/>
      <c r="AE645" s="184"/>
      <c r="AF645" s="184"/>
      <c r="AG645" s="184"/>
      <c r="AH645" s="184"/>
      <c r="AI645" s="184"/>
      <c r="AJ645" s="184"/>
      <c r="AK645" s="184"/>
      <c r="AL645" s="184"/>
      <c r="AM645" s="184"/>
      <c r="AN645" s="184"/>
      <c r="AO645" s="184"/>
      <c r="AP645" s="184"/>
      <c r="AQ645" s="184"/>
      <c r="AR645" s="184"/>
    </row>
    <row r="646" spans="1:44" s="331" customFormat="1" ht="12" customHeight="1">
      <c r="A646" s="184"/>
      <c r="P646" s="403"/>
      <c r="X646" s="184"/>
      <c r="Y646" s="184"/>
      <c r="Z646" s="184"/>
      <c r="AA646" s="184"/>
      <c r="AB646" s="184"/>
      <c r="AC646" s="184"/>
      <c r="AD646" s="184"/>
      <c r="AE646" s="184"/>
      <c r="AF646" s="184"/>
      <c r="AG646" s="184"/>
      <c r="AH646" s="184"/>
      <c r="AI646" s="184"/>
      <c r="AJ646" s="184"/>
      <c r="AK646" s="184"/>
      <c r="AL646" s="184"/>
      <c r="AM646" s="184"/>
      <c r="AN646" s="184"/>
      <c r="AO646" s="184"/>
      <c r="AP646" s="184"/>
      <c r="AQ646" s="184"/>
      <c r="AR646" s="184"/>
    </row>
    <row r="647" spans="1:44" s="331" customFormat="1" ht="12" customHeight="1">
      <c r="A647" s="184"/>
      <c r="P647" s="277"/>
      <c r="X647" s="184"/>
      <c r="Y647" s="184"/>
      <c r="Z647" s="184"/>
      <c r="AA647" s="184"/>
      <c r="AB647" s="184"/>
      <c r="AC647" s="184"/>
      <c r="AD647" s="184"/>
      <c r="AE647" s="184"/>
      <c r="AF647" s="184"/>
      <c r="AG647" s="184"/>
      <c r="AH647" s="184"/>
      <c r="AI647" s="184"/>
      <c r="AJ647" s="184"/>
      <c r="AK647" s="184"/>
      <c r="AL647" s="184"/>
      <c r="AM647" s="184"/>
      <c r="AN647" s="184"/>
      <c r="AO647" s="184"/>
      <c r="AP647" s="184"/>
      <c r="AQ647" s="184"/>
      <c r="AR647" s="184"/>
    </row>
    <row r="648" spans="1:44" s="331" customFormat="1" ht="12" customHeight="1">
      <c r="A648" s="184"/>
      <c r="P648" s="277"/>
      <c r="X648" s="184"/>
      <c r="Y648" s="184"/>
      <c r="Z648" s="184"/>
      <c r="AA648" s="184"/>
      <c r="AB648" s="184"/>
      <c r="AC648" s="184"/>
      <c r="AD648" s="184"/>
      <c r="AE648" s="184"/>
      <c r="AF648" s="184"/>
      <c r="AG648" s="184"/>
      <c r="AH648" s="184"/>
      <c r="AI648" s="184"/>
      <c r="AJ648" s="184"/>
      <c r="AK648" s="184"/>
      <c r="AL648" s="184"/>
      <c r="AM648" s="184"/>
      <c r="AN648" s="184"/>
      <c r="AO648" s="184"/>
      <c r="AP648" s="184"/>
      <c r="AQ648" s="184"/>
      <c r="AR648" s="184"/>
    </row>
    <row r="649" spans="1:44" s="331" customFormat="1" ht="12" customHeight="1">
      <c r="A649" s="184"/>
      <c r="P649" s="277"/>
      <c r="X649" s="184"/>
      <c r="Y649" s="184"/>
      <c r="Z649" s="184"/>
      <c r="AA649" s="184"/>
      <c r="AB649" s="184"/>
      <c r="AC649" s="184"/>
      <c r="AD649" s="184"/>
      <c r="AE649" s="184"/>
      <c r="AF649" s="184"/>
      <c r="AG649" s="184"/>
      <c r="AH649" s="184"/>
      <c r="AI649" s="184"/>
      <c r="AJ649" s="184"/>
      <c r="AK649" s="184"/>
      <c r="AL649" s="184"/>
      <c r="AM649" s="184"/>
      <c r="AN649" s="184"/>
      <c r="AO649" s="184"/>
      <c r="AP649" s="184"/>
      <c r="AQ649" s="184"/>
      <c r="AR649" s="184"/>
    </row>
    <row r="650" spans="1:44" s="331" customFormat="1" ht="12" customHeight="1">
      <c r="A650" s="184"/>
      <c r="P650" s="277"/>
      <c r="X650" s="184"/>
      <c r="Y650" s="184"/>
      <c r="Z650" s="184"/>
      <c r="AA650" s="184"/>
      <c r="AB650" s="184"/>
      <c r="AC650" s="184"/>
      <c r="AD650" s="184"/>
      <c r="AE650" s="184"/>
      <c r="AF650" s="184"/>
      <c r="AG650" s="184"/>
      <c r="AH650" s="184"/>
      <c r="AI650" s="184"/>
      <c r="AJ650" s="184"/>
      <c r="AK650" s="184"/>
      <c r="AL650" s="184"/>
      <c r="AM650" s="184"/>
      <c r="AN650" s="184"/>
      <c r="AO650" s="184"/>
      <c r="AP650" s="184"/>
      <c r="AQ650" s="184"/>
      <c r="AR650" s="184"/>
    </row>
    <row r="651" spans="1:44" s="331" customFormat="1" ht="12" customHeight="1">
      <c r="A651" s="184"/>
      <c r="P651" s="277"/>
      <c r="X651" s="184"/>
      <c r="Y651" s="184"/>
      <c r="Z651" s="184"/>
      <c r="AA651" s="184"/>
      <c r="AB651" s="184"/>
      <c r="AC651" s="184"/>
      <c r="AD651" s="184"/>
      <c r="AE651" s="184"/>
      <c r="AF651" s="184"/>
      <c r="AG651" s="184"/>
      <c r="AH651" s="184"/>
      <c r="AI651" s="184"/>
      <c r="AJ651" s="184"/>
      <c r="AK651" s="184"/>
      <c r="AL651" s="184"/>
      <c r="AM651" s="184"/>
      <c r="AN651" s="184"/>
      <c r="AO651" s="184"/>
      <c r="AP651" s="184"/>
      <c r="AQ651" s="184"/>
      <c r="AR651" s="184"/>
    </row>
    <row r="652" spans="1:44" s="331" customFormat="1" ht="12" customHeight="1">
      <c r="A652" s="184"/>
      <c r="P652" s="277"/>
      <c r="X652" s="184"/>
      <c r="Y652" s="184"/>
      <c r="Z652" s="184"/>
      <c r="AA652" s="184"/>
      <c r="AB652" s="184"/>
      <c r="AC652" s="184"/>
      <c r="AD652" s="184"/>
      <c r="AE652" s="184"/>
      <c r="AF652" s="184"/>
      <c r="AG652" s="184"/>
      <c r="AH652" s="184"/>
      <c r="AI652" s="184"/>
      <c r="AJ652" s="184"/>
      <c r="AK652" s="184"/>
      <c r="AL652" s="184"/>
      <c r="AM652" s="184"/>
      <c r="AN652" s="184"/>
      <c r="AO652" s="184"/>
      <c r="AP652" s="184"/>
      <c r="AQ652" s="184"/>
      <c r="AR652" s="184"/>
    </row>
    <row r="653" spans="1:44" s="331" customFormat="1" ht="12" customHeight="1">
      <c r="A653" s="184"/>
      <c r="P653" s="277"/>
      <c r="X653" s="184"/>
      <c r="Y653" s="184"/>
      <c r="Z653" s="184"/>
      <c r="AA653" s="184"/>
      <c r="AB653" s="184"/>
      <c r="AC653" s="184"/>
      <c r="AD653" s="184"/>
      <c r="AE653" s="184"/>
      <c r="AF653" s="184"/>
      <c r="AG653" s="184"/>
      <c r="AH653" s="184"/>
      <c r="AI653" s="184"/>
      <c r="AJ653" s="184"/>
      <c r="AK653" s="184"/>
      <c r="AL653" s="184"/>
      <c r="AM653" s="184"/>
      <c r="AN653" s="184"/>
      <c r="AO653" s="184"/>
      <c r="AP653" s="184"/>
      <c r="AQ653" s="184"/>
      <c r="AR653" s="184"/>
    </row>
    <row r="654" spans="1:44" s="331" customFormat="1" ht="12" customHeight="1">
      <c r="A654" s="184"/>
      <c r="P654" s="277"/>
      <c r="X654" s="184"/>
      <c r="Y654" s="184"/>
      <c r="Z654" s="184"/>
      <c r="AA654" s="184"/>
      <c r="AB654" s="184"/>
      <c r="AC654" s="184"/>
      <c r="AD654" s="184"/>
      <c r="AE654" s="184"/>
      <c r="AF654" s="184"/>
      <c r="AG654" s="184"/>
      <c r="AH654" s="184"/>
      <c r="AI654" s="184"/>
      <c r="AJ654" s="184"/>
      <c r="AK654" s="184"/>
      <c r="AL654" s="184"/>
      <c r="AM654" s="184"/>
      <c r="AN654" s="184"/>
      <c r="AO654" s="184"/>
      <c r="AP654" s="184"/>
      <c r="AQ654" s="184"/>
      <c r="AR654" s="184"/>
    </row>
    <row r="655" spans="1:44" s="331" customFormat="1" ht="12" customHeight="1">
      <c r="A655" s="184"/>
      <c r="P655" s="277"/>
      <c r="X655" s="184"/>
      <c r="Y655" s="184"/>
      <c r="Z655" s="184"/>
      <c r="AA655" s="184"/>
      <c r="AB655" s="184"/>
      <c r="AC655" s="184"/>
      <c r="AD655" s="184"/>
      <c r="AE655" s="184"/>
      <c r="AF655" s="184"/>
      <c r="AG655" s="184"/>
      <c r="AH655" s="184"/>
      <c r="AI655" s="184"/>
      <c r="AJ655" s="184"/>
      <c r="AK655" s="184"/>
      <c r="AL655" s="184"/>
      <c r="AM655" s="184"/>
      <c r="AN655" s="184"/>
      <c r="AO655" s="184"/>
      <c r="AP655" s="184"/>
      <c r="AQ655" s="184"/>
      <c r="AR655" s="184"/>
    </row>
    <row r="656" spans="1:44" s="331" customFormat="1" ht="12" customHeight="1">
      <c r="A656" s="184"/>
      <c r="P656" s="277"/>
      <c r="X656" s="184"/>
      <c r="Y656" s="184"/>
      <c r="Z656" s="184"/>
      <c r="AA656" s="184"/>
      <c r="AB656" s="184"/>
      <c r="AC656" s="184"/>
      <c r="AD656" s="184"/>
      <c r="AE656" s="184"/>
      <c r="AF656" s="184"/>
      <c r="AG656" s="184"/>
      <c r="AH656" s="184"/>
      <c r="AI656" s="184"/>
      <c r="AJ656" s="184"/>
      <c r="AK656" s="184"/>
      <c r="AL656" s="184"/>
      <c r="AM656" s="184"/>
      <c r="AN656" s="184"/>
      <c r="AO656" s="184"/>
      <c r="AP656" s="184"/>
      <c r="AQ656" s="184"/>
      <c r="AR656" s="184"/>
    </row>
    <row r="657" spans="1:44" s="331" customFormat="1" ht="12" customHeight="1">
      <c r="A657" s="184"/>
      <c r="P657" s="277"/>
      <c r="Q657" s="398"/>
      <c r="X657" s="184"/>
      <c r="Y657" s="184"/>
      <c r="Z657" s="184"/>
      <c r="AA657" s="184"/>
      <c r="AB657" s="184"/>
      <c r="AC657" s="184"/>
      <c r="AD657" s="184"/>
      <c r="AE657" s="184"/>
      <c r="AF657" s="184"/>
      <c r="AG657" s="184"/>
      <c r="AH657" s="184"/>
      <c r="AI657" s="184"/>
      <c r="AJ657" s="184"/>
      <c r="AK657" s="184"/>
      <c r="AL657" s="184"/>
      <c r="AM657" s="184"/>
      <c r="AN657" s="184"/>
      <c r="AO657" s="184"/>
      <c r="AP657" s="184"/>
      <c r="AQ657" s="184"/>
      <c r="AR657" s="184"/>
    </row>
    <row r="658" spans="1:44" s="331" customFormat="1" ht="12" customHeight="1">
      <c r="A658" s="184"/>
      <c r="P658" s="277"/>
      <c r="X658" s="184"/>
      <c r="Y658" s="184"/>
      <c r="Z658" s="184"/>
      <c r="AA658" s="184"/>
      <c r="AB658" s="184"/>
      <c r="AC658" s="184"/>
      <c r="AD658" s="184"/>
      <c r="AE658" s="184"/>
      <c r="AF658" s="184"/>
      <c r="AG658" s="184"/>
      <c r="AH658" s="184"/>
      <c r="AI658" s="184"/>
      <c r="AJ658" s="184"/>
      <c r="AK658" s="184"/>
      <c r="AL658" s="184"/>
      <c r="AM658" s="184"/>
      <c r="AN658" s="184"/>
      <c r="AO658" s="184"/>
      <c r="AP658" s="184"/>
      <c r="AQ658" s="184"/>
      <c r="AR658" s="184"/>
    </row>
    <row r="659" spans="1:44" s="331" customFormat="1" ht="12" customHeight="1">
      <c r="A659" s="184"/>
      <c r="P659" s="277"/>
      <c r="X659" s="184"/>
      <c r="Y659" s="184"/>
      <c r="Z659" s="184"/>
      <c r="AA659" s="184"/>
      <c r="AB659" s="184"/>
      <c r="AC659" s="184"/>
      <c r="AD659" s="184"/>
      <c r="AE659" s="184"/>
      <c r="AF659" s="184"/>
      <c r="AG659" s="184"/>
      <c r="AH659" s="184"/>
      <c r="AI659" s="184"/>
      <c r="AJ659" s="184"/>
      <c r="AK659" s="184"/>
      <c r="AL659" s="184"/>
      <c r="AM659" s="184"/>
      <c r="AN659" s="184"/>
      <c r="AO659" s="184"/>
      <c r="AP659" s="184"/>
      <c r="AQ659" s="184"/>
      <c r="AR659" s="184"/>
    </row>
    <row r="660" spans="1:44" s="331" customFormat="1" ht="12" customHeight="1">
      <c r="A660" s="184"/>
      <c r="P660" s="277"/>
      <c r="X660" s="184"/>
      <c r="Y660" s="184"/>
      <c r="Z660" s="184"/>
      <c r="AA660" s="184"/>
      <c r="AB660" s="184"/>
      <c r="AC660" s="184"/>
      <c r="AD660" s="184"/>
      <c r="AE660" s="184"/>
      <c r="AF660" s="184"/>
      <c r="AG660" s="184"/>
      <c r="AH660" s="184"/>
      <c r="AI660" s="184"/>
      <c r="AJ660" s="184"/>
      <c r="AK660" s="184"/>
      <c r="AL660" s="184"/>
      <c r="AM660" s="184"/>
      <c r="AN660" s="184"/>
      <c r="AO660" s="184"/>
      <c r="AP660" s="184"/>
      <c r="AQ660" s="184"/>
      <c r="AR660" s="184"/>
    </row>
    <row r="661" spans="1:44" s="331" customFormat="1" ht="12" customHeight="1">
      <c r="A661" s="184"/>
      <c r="P661" s="277"/>
      <c r="X661" s="184"/>
      <c r="Y661" s="184"/>
      <c r="Z661" s="184"/>
      <c r="AA661" s="184"/>
      <c r="AB661" s="184"/>
      <c r="AC661" s="184"/>
      <c r="AD661" s="184"/>
      <c r="AE661" s="184"/>
      <c r="AF661" s="184"/>
      <c r="AG661" s="184"/>
      <c r="AH661" s="184"/>
      <c r="AI661" s="184"/>
      <c r="AJ661" s="184"/>
      <c r="AK661" s="184"/>
      <c r="AL661" s="184"/>
      <c r="AM661" s="184"/>
      <c r="AN661" s="184"/>
      <c r="AO661" s="184"/>
      <c r="AP661" s="184"/>
      <c r="AQ661" s="184"/>
      <c r="AR661" s="184"/>
    </row>
    <row r="662" spans="1:44" s="331" customFormat="1" ht="12" customHeight="1">
      <c r="A662" s="184"/>
      <c r="P662" s="402"/>
      <c r="X662" s="184"/>
      <c r="Y662" s="184"/>
      <c r="Z662" s="184"/>
      <c r="AA662" s="184"/>
      <c r="AB662" s="184"/>
      <c r="AC662" s="184"/>
      <c r="AD662" s="184"/>
      <c r="AE662" s="184"/>
      <c r="AF662" s="184"/>
      <c r="AG662" s="184"/>
      <c r="AH662" s="184"/>
      <c r="AI662" s="184"/>
      <c r="AJ662" s="184"/>
      <c r="AK662" s="184"/>
      <c r="AL662" s="184"/>
      <c r="AM662" s="184"/>
      <c r="AN662" s="184"/>
      <c r="AO662" s="184"/>
      <c r="AP662" s="184"/>
      <c r="AQ662" s="184"/>
      <c r="AR662" s="184"/>
    </row>
    <row r="663" spans="1:44" s="331" customFormat="1" ht="12" customHeight="1">
      <c r="A663" s="184"/>
      <c r="P663" s="277"/>
      <c r="X663" s="184"/>
      <c r="Y663" s="184"/>
      <c r="Z663" s="184"/>
      <c r="AA663" s="184"/>
      <c r="AB663" s="184"/>
      <c r="AC663" s="184"/>
      <c r="AD663" s="184"/>
      <c r="AE663" s="184"/>
      <c r="AF663" s="184"/>
      <c r="AG663" s="184"/>
      <c r="AH663" s="184"/>
      <c r="AI663" s="184"/>
      <c r="AJ663" s="184"/>
      <c r="AK663" s="184"/>
      <c r="AL663" s="184"/>
      <c r="AM663" s="184"/>
      <c r="AN663" s="184"/>
      <c r="AO663" s="184"/>
      <c r="AP663" s="184"/>
      <c r="AQ663" s="184"/>
      <c r="AR663" s="184"/>
    </row>
    <row r="664" spans="1:44" s="331" customFormat="1" ht="12" customHeight="1">
      <c r="A664" s="184"/>
      <c r="P664" s="277"/>
      <c r="X664" s="184"/>
      <c r="Y664" s="184"/>
      <c r="Z664" s="184"/>
      <c r="AA664" s="184"/>
      <c r="AB664" s="184"/>
      <c r="AC664" s="184"/>
      <c r="AD664" s="184"/>
      <c r="AE664" s="184"/>
      <c r="AF664" s="184"/>
      <c r="AG664" s="184"/>
      <c r="AH664" s="184"/>
      <c r="AI664" s="184"/>
      <c r="AJ664" s="184"/>
      <c r="AK664" s="184"/>
      <c r="AL664" s="184"/>
      <c r="AM664" s="184"/>
      <c r="AN664" s="184"/>
      <c r="AO664" s="184"/>
      <c r="AP664" s="184"/>
      <c r="AQ664" s="184"/>
      <c r="AR664" s="184"/>
    </row>
    <row r="665" spans="1:44" s="331" customFormat="1" ht="12" customHeight="1">
      <c r="A665" s="184"/>
      <c r="P665" s="277"/>
      <c r="X665" s="184"/>
      <c r="Y665" s="184"/>
      <c r="Z665" s="184"/>
      <c r="AA665" s="184"/>
      <c r="AB665" s="184"/>
      <c r="AC665" s="184"/>
      <c r="AD665" s="184"/>
      <c r="AE665" s="184"/>
      <c r="AF665" s="184"/>
      <c r="AG665" s="184"/>
      <c r="AH665" s="184"/>
      <c r="AI665" s="184"/>
      <c r="AJ665" s="184"/>
      <c r="AK665" s="184"/>
      <c r="AL665" s="184"/>
      <c r="AM665" s="184"/>
      <c r="AN665" s="184"/>
      <c r="AO665" s="184"/>
      <c r="AP665" s="184"/>
      <c r="AQ665" s="184"/>
      <c r="AR665" s="184"/>
    </row>
    <row r="666" spans="1:44" s="331" customFormat="1" ht="12" customHeight="1">
      <c r="A666" s="184"/>
      <c r="P666" s="277"/>
      <c r="X666" s="184"/>
      <c r="Y666" s="184"/>
      <c r="Z666" s="184"/>
      <c r="AA666" s="184"/>
      <c r="AB666" s="184"/>
      <c r="AC666" s="184"/>
      <c r="AD666" s="184"/>
      <c r="AE666" s="184"/>
      <c r="AF666" s="184"/>
      <c r="AG666" s="184"/>
      <c r="AH666" s="184"/>
      <c r="AI666" s="184"/>
      <c r="AJ666" s="184"/>
      <c r="AK666" s="184"/>
      <c r="AL666" s="184"/>
      <c r="AM666" s="184"/>
      <c r="AN666" s="184"/>
      <c r="AO666" s="184"/>
      <c r="AP666" s="184"/>
      <c r="AQ666" s="184"/>
      <c r="AR666" s="184"/>
    </row>
    <row r="667" spans="1:44" s="331" customFormat="1" ht="12" customHeight="1">
      <c r="A667" s="184"/>
      <c r="P667" s="277"/>
      <c r="X667" s="184"/>
      <c r="Y667" s="184"/>
      <c r="Z667" s="184"/>
      <c r="AA667" s="184"/>
      <c r="AB667" s="184"/>
      <c r="AC667" s="184"/>
      <c r="AD667" s="184"/>
      <c r="AE667" s="184"/>
      <c r="AF667" s="184"/>
      <c r="AG667" s="184"/>
      <c r="AH667" s="184"/>
      <c r="AI667" s="184"/>
      <c r="AJ667" s="184"/>
      <c r="AK667" s="184"/>
      <c r="AL667" s="184"/>
      <c r="AM667" s="184"/>
      <c r="AN667" s="184"/>
      <c r="AO667" s="184"/>
      <c r="AP667" s="184"/>
      <c r="AQ667" s="184"/>
      <c r="AR667" s="184"/>
    </row>
    <row r="668" spans="1:44" s="331" customFormat="1" ht="12" customHeight="1">
      <c r="A668" s="184"/>
      <c r="P668" s="277"/>
      <c r="X668" s="184"/>
      <c r="Y668" s="184"/>
      <c r="Z668" s="184"/>
      <c r="AA668" s="184"/>
      <c r="AB668" s="184"/>
      <c r="AC668" s="184"/>
      <c r="AD668" s="184"/>
      <c r="AE668" s="184"/>
      <c r="AF668" s="184"/>
      <c r="AG668" s="184"/>
      <c r="AH668" s="184"/>
      <c r="AI668" s="184"/>
      <c r="AJ668" s="184"/>
      <c r="AK668" s="184"/>
      <c r="AL668" s="184"/>
      <c r="AM668" s="184"/>
      <c r="AN668" s="184"/>
      <c r="AO668" s="184"/>
      <c r="AP668" s="184"/>
      <c r="AQ668" s="184"/>
      <c r="AR668" s="184"/>
    </row>
    <row r="669" spans="1:44" s="331" customFormat="1" ht="12" customHeight="1">
      <c r="A669" s="184"/>
      <c r="P669" s="277"/>
      <c r="X669" s="184"/>
      <c r="Y669" s="184"/>
      <c r="Z669" s="184"/>
      <c r="AA669" s="184"/>
      <c r="AB669" s="184"/>
      <c r="AC669" s="184"/>
      <c r="AD669" s="184"/>
      <c r="AE669" s="184"/>
      <c r="AF669" s="184"/>
      <c r="AG669" s="184"/>
      <c r="AH669" s="184"/>
      <c r="AI669" s="184"/>
      <c r="AJ669" s="184"/>
      <c r="AK669" s="184"/>
      <c r="AL669" s="184"/>
      <c r="AM669" s="184"/>
      <c r="AN669" s="184"/>
      <c r="AO669" s="184"/>
      <c r="AP669" s="184"/>
      <c r="AQ669" s="184"/>
      <c r="AR669" s="184"/>
    </row>
    <row r="670" spans="1:44" s="331" customFormat="1" ht="12" customHeight="1">
      <c r="A670" s="184"/>
      <c r="P670" s="277"/>
      <c r="X670" s="184"/>
      <c r="Y670" s="184"/>
      <c r="Z670" s="184"/>
      <c r="AA670" s="184"/>
      <c r="AB670" s="184"/>
      <c r="AC670" s="184"/>
      <c r="AD670" s="184"/>
      <c r="AE670" s="184"/>
      <c r="AF670" s="184"/>
      <c r="AG670" s="184"/>
      <c r="AH670" s="184"/>
      <c r="AI670" s="184"/>
      <c r="AJ670" s="184"/>
      <c r="AK670" s="184"/>
      <c r="AL670" s="184"/>
      <c r="AM670" s="184"/>
      <c r="AN670" s="184"/>
      <c r="AO670" s="184"/>
      <c r="AP670" s="184"/>
      <c r="AQ670" s="184"/>
      <c r="AR670" s="184"/>
    </row>
    <row r="671" spans="1:44" s="331" customFormat="1" ht="12" customHeight="1">
      <c r="A671" s="184"/>
      <c r="P671" s="277"/>
      <c r="X671" s="184"/>
      <c r="Y671" s="184"/>
      <c r="Z671" s="184"/>
      <c r="AA671" s="184"/>
      <c r="AB671" s="184"/>
      <c r="AC671" s="184"/>
      <c r="AD671" s="184"/>
      <c r="AE671" s="184"/>
      <c r="AF671" s="184"/>
      <c r="AG671" s="184"/>
      <c r="AH671" s="184"/>
      <c r="AI671" s="184"/>
      <c r="AJ671" s="184"/>
      <c r="AK671" s="184"/>
      <c r="AL671" s="184"/>
      <c r="AM671" s="184"/>
      <c r="AN671" s="184"/>
      <c r="AO671" s="184"/>
      <c r="AP671" s="184"/>
      <c r="AQ671" s="184"/>
      <c r="AR671" s="184"/>
    </row>
    <row r="672" spans="1:44" s="331" customFormat="1" ht="12" customHeight="1">
      <c r="A672" s="184"/>
      <c r="P672" s="277"/>
      <c r="X672" s="184"/>
      <c r="Y672" s="184"/>
      <c r="Z672" s="184"/>
      <c r="AA672" s="184"/>
      <c r="AB672" s="184"/>
      <c r="AC672" s="184"/>
      <c r="AD672" s="184"/>
      <c r="AE672" s="184"/>
      <c r="AF672" s="184"/>
      <c r="AG672" s="184"/>
      <c r="AH672" s="184"/>
      <c r="AI672" s="184"/>
      <c r="AJ672" s="184"/>
      <c r="AK672" s="184"/>
      <c r="AL672" s="184"/>
      <c r="AM672" s="184"/>
      <c r="AN672" s="184"/>
      <c r="AO672" s="184"/>
      <c r="AP672" s="184"/>
      <c r="AQ672" s="184"/>
      <c r="AR672" s="184"/>
    </row>
    <row r="673" spans="1:44" s="331" customFormat="1" ht="12" customHeight="1">
      <c r="A673" s="184"/>
      <c r="P673" s="277"/>
      <c r="X673" s="184"/>
      <c r="Y673" s="184"/>
      <c r="Z673" s="184"/>
      <c r="AA673" s="184"/>
      <c r="AB673" s="184"/>
      <c r="AC673" s="184"/>
      <c r="AD673" s="184"/>
      <c r="AE673" s="184"/>
      <c r="AF673" s="184"/>
      <c r="AG673" s="184"/>
      <c r="AH673" s="184"/>
      <c r="AI673" s="184"/>
      <c r="AJ673" s="184"/>
      <c r="AK673" s="184"/>
      <c r="AL673" s="184"/>
      <c r="AM673" s="184"/>
      <c r="AN673" s="184"/>
      <c r="AO673" s="184"/>
      <c r="AP673" s="184"/>
      <c r="AQ673" s="184"/>
      <c r="AR673" s="184"/>
    </row>
    <row r="674" spans="1:44" s="331" customFormat="1" ht="12" customHeight="1">
      <c r="A674" s="184"/>
      <c r="P674" s="403"/>
      <c r="X674" s="184"/>
      <c r="Y674" s="184"/>
      <c r="Z674" s="184"/>
      <c r="AA674" s="184"/>
      <c r="AB674" s="184"/>
      <c r="AC674" s="184"/>
      <c r="AD674" s="184"/>
      <c r="AE674" s="184"/>
      <c r="AF674" s="184"/>
      <c r="AG674" s="184"/>
      <c r="AH674" s="184"/>
      <c r="AI674" s="184"/>
      <c r="AJ674" s="184"/>
      <c r="AK674" s="184"/>
      <c r="AL674" s="184"/>
      <c r="AM674" s="184"/>
      <c r="AN674" s="184"/>
      <c r="AO674" s="184"/>
      <c r="AP674" s="184"/>
      <c r="AQ674" s="184"/>
      <c r="AR674" s="184"/>
    </row>
    <row r="675" spans="1:44" s="331" customFormat="1" ht="12" customHeight="1">
      <c r="A675" s="184"/>
      <c r="P675" s="277"/>
      <c r="X675" s="184"/>
      <c r="Y675" s="184"/>
      <c r="Z675" s="184"/>
      <c r="AA675" s="184"/>
      <c r="AB675" s="184"/>
      <c r="AC675" s="184"/>
      <c r="AD675" s="184"/>
      <c r="AE675" s="184"/>
      <c r="AF675" s="184"/>
      <c r="AG675" s="184"/>
      <c r="AH675" s="184"/>
      <c r="AI675" s="184"/>
      <c r="AJ675" s="184"/>
      <c r="AK675" s="184"/>
      <c r="AL675" s="184"/>
      <c r="AM675" s="184"/>
      <c r="AN675" s="184"/>
      <c r="AO675" s="184"/>
      <c r="AP675" s="184"/>
      <c r="AQ675" s="184"/>
      <c r="AR675" s="184"/>
    </row>
    <row r="676" spans="1:44" s="331" customFormat="1" ht="12" customHeight="1">
      <c r="A676" s="184"/>
      <c r="P676" s="277"/>
      <c r="X676" s="184"/>
      <c r="Y676" s="184"/>
      <c r="Z676" s="184"/>
      <c r="AA676" s="184"/>
      <c r="AB676" s="184"/>
      <c r="AC676" s="184"/>
      <c r="AD676" s="184"/>
      <c r="AE676" s="184"/>
      <c r="AF676" s="184"/>
      <c r="AG676" s="184"/>
      <c r="AH676" s="184"/>
      <c r="AI676" s="184"/>
      <c r="AJ676" s="184"/>
      <c r="AK676" s="184"/>
      <c r="AL676" s="184"/>
      <c r="AM676" s="184"/>
      <c r="AN676" s="184"/>
      <c r="AO676" s="184"/>
      <c r="AP676" s="184"/>
      <c r="AQ676" s="184"/>
      <c r="AR676" s="184"/>
    </row>
    <row r="677" spans="1:44" s="331" customFormat="1" ht="12" customHeight="1">
      <c r="A677" s="184"/>
      <c r="P677" s="277"/>
      <c r="X677" s="184"/>
      <c r="Y677" s="184"/>
      <c r="Z677" s="184"/>
      <c r="AA677" s="184"/>
      <c r="AB677" s="184"/>
      <c r="AC677" s="184"/>
      <c r="AD677" s="184"/>
      <c r="AE677" s="184"/>
      <c r="AF677" s="184"/>
      <c r="AG677" s="184"/>
      <c r="AH677" s="184"/>
      <c r="AI677" s="184"/>
      <c r="AJ677" s="184"/>
      <c r="AK677" s="184"/>
      <c r="AL677" s="184"/>
      <c r="AM677" s="184"/>
      <c r="AN677" s="184"/>
      <c r="AO677" s="184"/>
      <c r="AP677" s="184"/>
      <c r="AQ677" s="184"/>
      <c r="AR677" s="184"/>
    </row>
    <row r="678" spans="1:44" s="331" customFormat="1" ht="12" customHeight="1">
      <c r="A678" s="184"/>
      <c r="P678" s="277"/>
      <c r="X678" s="184"/>
      <c r="Y678" s="184"/>
      <c r="Z678" s="184"/>
      <c r="AA678" s="184"/>
      <c r="AB678" s="184"/>
      <c r="AC678" s="184"/>
      <c r="AD678" s="184"/>
      <c r="AE678" s="184"/>
      <c r="AF678" s="184"/>
      <c r="AG678" s="184"/>
      <c r="AH678" s="184"/>
      <c r="AI678" s="184"/>
      <c r="AJ678" s="184"/>
      <c r="AK678" s="184"/>
      <c r="AL678" s="184"/>
      <c r="AM678" s="184"/>
      <c r="AN678" s="184"/>
      <c r="AO678" s="184"/>
      <c r="AP678" s="184"/>
      <c r="AQ678" s="184"/>
      <c r="AR678" s="184"/>
    </row>
    <row r="679" spans="1:44" s="331" customFormat="1" ht="12" customHeight="1">
      <c r="A679" s="184"/>
      <c r="P679" s="277"/>
      <c r="X679" s="184"/>
      <c r="Y679" s="184"/>
      <c r="Z679" s="184"/>
      <c r="AA679" s="184"/>
      <c r="AB679" s="184"/>
      <c r="AC679" s="184"/>
      <c r="AD679" s="184"/>
      <c r="AE679" s="184"/>
      <c r="AF679" s="184"/>
      <c r="AG679" s="184"/>
      <c r="AH679" s="184"/>
      <c r="AI679" s="184"/>
      <c r="AJ679" s="184"/>
      <c r="AK679" s="184"/>
      <c r="AL679" s="184"/>
      <c r="AM679" s="184"/>
      <c r="AN679" s="184"/>
      <c r="AO679" s="184"/>
      <c r="AP679" s="184"/>
      <c r="AQ679" s="184"/>
      <c r="AR679" s="184"/>
    </row>
    <row r="680" spans="1:44" s="331" customFormat="1" ht="12" customHeight="1">
      <c r="A680" s="184"/>
      <c r="P680" s="277"/>
      <c r="X680" s="184"/>
      <c r="Y680" s="184"/>
      <c r="Z680" s="184"/>
      <c r="AA680" s="184"/>
      <c r="AB680" s="184"/>
      <c r="AC680" s="184"/>
      <c r="AD680" s="184"/>
      <c r="AE680" s="184"/>
      <c r="AF680" s="184"/>
      <c r="AG680" s="184"/>
      <c r="AH680" s="184"/>
      <c r="AI680" s="184"/>
      <c r="AJ680" s="184"/>
      <c r="AK680" s="184"/>
      <c r="AL680" s="184"/>
      <c r="AM680" s="184"/>
      <c r="AN680" s="184"/>
      <c r="AO680" s="184"/>
      <c r="AP680" s="184"/>
      <c r="AQ680" s="184"/>
      <c r="AR680" s="184"/>
    </row>
    <row r="681" spans="1:44" s="331" customFormat="1" ht="12" customHeight="1">
      <c r="A681" s="184"/>
      <c r="P681" s="277"/>
      <c r="X681" s="184"/>
      <c r="Y681" s="184"/>
      <c r="Z681" s="184"/>
      <c r="AA681" s="184"/>
      <c r="AB681" s="184"/>
      <c r="AC681" s="184"/>
      <c r="AD681" s="184"/>
      <c r="AE681" s="184"/>
      <c r="AF681" s="184"/>
      <c r="AG681" s="184"/>
      <c r="AH681" s="184"/>
      <c r="AI681" s="184"/>
      <c r="AJ681" s="184"/>
      <c r="AK681" s="184"/>
      <c r="AL681" s="184"/>
      <c r="AM681" s="184"/>
      <c r="AN681" s="184"/>
      <c r="AO681" s="184"/>
      <c r="AP681" s="184"/>
      <c r="AQ681" s="184"/>
      <c r="AR681" s="184"/>
    </row>
    <row r="682" spans="1:44" s="331" customFormat="1" ht="12" customHeight="1">
      <c r="A682" s="184"/>
      <c r="P682" s="277"/>
      <c r="X682" s="184"/>
      <c r="Y682" s="184"/>
      <c r="Z682" s="184"/>
      <c r="AA682" s="184"/>
      <c r="AB682" s="184"/>
      <c r="AC682" s="184"/>
      <c r="AD682" s="184"/>
      <c r="AE682" s="184"/>
      <c r="AF682" s="184"/>
      <c r="AG682" s="184"/>
      <c r="AH682" s="184"/>
      <c r="AI682" s="184"/>
      <c r="AJ682" s="184"/>
      <c r="AK682" s="184"/>
      <c r="AL682" s="184"/>
      <c r="AM682" s="184"/>
      <c r="AN682" s="184"/>
      <c r="AO682" s="184"/>
      <c r="AP682" s="184"/>
      <c r="AQ682" s="184"/>
      <c r="AR682" s="184"/>
    </row>
    <row r="683" spans="1:44" s="331" customFormat="1" ht="12" customHeight="1">
      <c r="A683" s="184"/>
      <c r="P683" s="277"/>
      <c r="X683" s="184"/>
      <c r="Y683" s="184"/>
      <c r="Z683" s="184"/>
      <c r="AA683" s="184"/>
      <c r="AB683" s="184"/>
      <c r="AC683" s="184"/>
      <c r="AD683" s="184"/>
      <c r="AE683" s="184"/>
      <c r="AF683" s="184"/>
      <c r="AG683" s="184"/>
      <c r="AH683" s="184"/>
      <c r="AI683" s="184"/>
      <c r="AJ683" s="184"/>
      <c r="AK683" s="184"/>
      <c r="AL683" s="184"/>
      <c r="AM683" s="184"/>
      <c r="AN683" s="184"/>
      <c r="AO683" s="184"/>
      <c r="AP683" s="184"/>
      <c r="AQ683" s="184"/>
      <c r="AR683" s="184"/>
    </row>
    <row r="684" spans="1:44" s="331" customFormat="1" ht="12" customHeight="1">
      <c r="A684" s="184"/>
      <c r="P684" s="403"/>
      <c r="X684" s="184"/>
      <c r="Y684" s="184"/>
      <c r="Z684" s="184"/>
      <c r="AA684" s="184"/>
      <c r="AB684" s="184"/>
      <c r="AC684" s="184"/>
      <c r="AD684" s="184"/>
      <c r="AE684" s="184"/>
      <c r="AF684" s="184"/>
      <c r="AG684" s="184"/>
      <c r="AH684" s="184"/>
      <c r="AI684" s="184"/>
      <c r="AJ684" s="184"/>
      <c r="AK684" s="184"/>
      <c r="AL684" s="184"/>
      <c r="AM684" s="184"/>
      <c r="AN684" s="184"/>
      <c r="AO684" s="184"/>
      <c r="AP684" s="184"/>
      <c r="AQ684" s="184"/>
      <c r="AR684" s="184"/>
    </row>
    <row r="685" spans="1:44" s="331" customFormat="1" ht="12" customHeight="1">
      <c r="A685" s="184"/>
      <c r="P685" s="277"/>
      <c r="X685" s="184"/>
      <c r="Y685" s="184"/>
      <c r="Z685" s="184"/>
      <c r="AA685" s="184"/>
      <c r="AB685" s="184"/>
      <c r="AC685" s="184"/>
      <c r="AD685" s="184"/>
      <c r="AE685" s="184"/>
      <c r="AF685" s="184"/>
      <c r="AG685" s="184"/>
      <c r="AH685" s="184"/>
      <c r="AI685" s="184"/>
      <c r="AJ685" s="184"/>
      <c r="AK685" s="184"/>
      <c r="AL685" s="184"/>
      <c r="AM685" s="184"/>
      <c r="AN685" s="184"/>
      <c r="AO685" s="184"/>
      <c r="AP685" s="184"/>
      <c r="AQ685" s="184"/>
      <c r="AR685" s="184"/>
    </row>
    <row r="686" spans="1:44" s="331" customFormat="1" ht="12" customHeight="1">
      <c r="A686" s="184"/>
      <c r="P686" s="277"/>
      <c r="X686" s="184"/>
      <c r="Y686" s="184"/>
      <c r="Z686" s="184"/>
      <c r="AA686" s="184"/>
      <c r="AB686" s="184"/>
      <c r="AC686" s="184"/>
      <c r="AD686" s="184"/>
      <c r="AE686" s="184"/>
      <c r="AF686" s="184"/>
      <c r="AG686" s="184"/>
      <c r="AH686" s="184"/>
      <c r="AI686" s="184"/>
      <c r="AJ686" s="184"/>
      <c r="AK686" s="184"/>
      <c r="AL686" s="184"/>
      <c r="AM686" s="184"/>
      <c r="AN686" s="184"/>
      <c r="AO686" s="184"/>
      <c r="AP686" s="184"/>
      <c r="AQ686" s="184"/>
      <c r="AR686" s="184"/>
    </row>
    <row r="687" spans="1:44" s="331" customFormat="1" ht="12" customHeight="1">
      <c r="A687" s="184"/>
      <c r="P687" s="277"/>
      <c r="X687" s="184"/>
      <c r="Y687" s="184"/>
      <c r="Z687" s="184"/>
      <c r="AA687" s="184"/>
      <c r="AB687" s="184"/>
      <c r="AC687" s="184"/>
      <c r="AD687" s="184"/>
      <c r="AE687" s="184"/>
      <c r="AF687" s="184"/>
      <c r="AG687" s="184"/>
      <c r="AH687" s="184"/>
      <c r="AI687" s="184"/>
      <c r="AJ687" s="184"/>
      <c r="AK687" s="184"/>
      <c r="AL687" s="184"/>
      <c r="AM687" s="184"/>
      <c r="AN687" s="184"/>
      <c r="AO687" s="184"/>
      <c r="AP687" s="184"/>
      <c r="AQ687" s="184"/>
      <c r="AR687" s="184"/>
    </row>
    <row r="688" spans="1:44" s="331" customFormat="1" ht="12" customHeight="1">
      <c r="A688" s="184"/>
      <c r="P688" s="277"/>
      <c r="X688" s="184"/>
      <c r="Y688" s="184"/>
      <c r="Z688" s="184"/>
      <c r="AA688" s="184"/>
      <c r="AB688" s="184"/>
      <c r="AC688" s="184"/>
      <c r="AD688" s="184"/>
      <c r="AE688" s="184"/>
      <c r="AF688" s="184"/>
      <c r="AG688" s="184"/>
      <c r="AH688" s="184"/>
      <c r="AI688" s="184"/>
      <c r="AJ688" s="184"/>
      <c r="AK688" s="184"/>
      <c r="AL688" s="184"/>
      <c r="AM688" s="184"/>
      <c r="AN688" s="184"/>
      <c r="AO688" s="184"/>
      <c r="AP688" s="184"/>
      <c r="AQ688" s="184"/>
      <c r="AR688" s="184"/>
    </row>
    <row r="689" spans="1:44" s="331" customFormat="1" ht="12" customHeight="1">
      <c r="A689" s="184"/>
      <c r="P689" s="277"/>
      <c r="X689" s="184"/>
      <c r="Y689" s="184"/>
      <c r="Z689" s="184"/>
      <c r="AA689" s="184"/>
      <c r="AB689" s="184"/>
      <c r="AC689" s="184"/>
      <c r="AD689" s="184"/>
      <c r="AE689" s="184"/>
      <c r="AF689" s="184"/>
      <c r="AG689" s="184"/>
      <c r="AH689" s="184"/>
      <c r="AI689" s="184"/>
      <c r="AJ689" s="184"/>
      <c r="AK689" s="184"/>
      <c r="AL689" s="184"/>
      <c r="AM689" s="184"/>
      <c r="AN689" s="184"/>
      <c r="AO689" s="184"/>
      <c r="AP689" s="184"/>
      <c r="AQ689" s="184"/>
      <c r="AR689" s="184"/>
    </row>
    <row r="690" spans="1:44" s="331" customFormat="1" ht="12" customHeight="1">
      <c r="A690" s="184"/>
      <c r="P690" s="402"/>
      <c r="X690" s="184"/>
      <c r="Y690" s="184"/>
      <c r="Z690" s="184"/>
      <c r="AA690" s="184"/>
      <c r="AB690" s="184"/>
      <c r="AC690" s="184"/>
      <c r="AD690" s="184"/>
      <c r="AE690" s="184"/>
      <c r="AF690" s="184"/>
      <c r="AG690" s="184"/>
      <c r="AH690" s="184"/>
      <c r="AI690" s="184"/>
      <c r="AJ690" s="184"/>
      <c r="AK690" s="184"/>
      <c r="AL690" s="184"/>
      <c r="AM690" s="184"/>
      <c r="AN690" s="184"/>
      <c r="AO690" s="184"/>
      <c r="AP690" s="184"/>
      <c r="AQ690" s="184"/>
      <c r="AR690" s="184"/>
    </row>
    <row r="691" spans="1:44" s="331" customFormat="1" ht="12" customHeight="1">
      <c r="A691" s="184"/>
      <c r="P691" s="277"/>
      <c r="X691" s="184"/>
      <c r="Y691" s="184"/>
      <c r="Z691" s="184"/>
      <c r="AA691" s="184"/>
      <c r="AB691" s="184"/>
      <c r="AC691" s="184"/>
      <c r="AD691" s="184"/>
      <c r="AE691" s="184"/>
      <c r="AF691" s="184"/>
      <c r="AG691" s="184"/>
      <c r="AH691" s="184"/>
      <c r="AI691" s="184"/>
      <c r="AJ691" s="184"/>
      <c r="AK691" s="184"/>
      <c r="AL691" s="184"/>
      <c r="AM691" s="184"/>
      <c r="AN691" s="184"/>
      <c r="AO691" s="184"/>
      <c r="AP691" s="184"/>
      <c r="AQ691" s="184"/>
      <c r="AR691" s="184"/>
    </row>
    <row r="692" spans="1:44" s="331" customFormat="1" ht="12" customHeight="1">
      <c r="A692" s="184"/>
      <c r="P692" s="277"/>
      <c r="X692" s="184"/>
      <c r="Y692" s="184"/>
      <c r="Z692" s="184"/>
      <c r="AA692" s="184"/>
      <c r="AB692" s="184"/>
      <c r="AC692" s="184"/>
      <c r="AD692" s="184"/>
      <c r="AE692" s="184"/>
      <c r="AF692" s="184"/>
      <c r="AG692" s="184"/>
      <c r="AH692" s="184"/>
      <c r="AI692" s="184"/>
      <c r="AJ692" s="184"/>
      <c r="AK692" s="184"/>
      <c r="AL692" s="184"/>
      <c r="AM692" s="184"/>
      <c r="AN692" s="184"/>
      <c r="AO692" s="184"/>
      <c r="AP692" s="184"/>
      <c r="AQ692" s="184"/>
      <c r="AR692" s="184"/>
    </row>
    <row r="693" spans="1:44" s="331" customFormat="1" ht="12" customHeight="1">
      <c r="A693" s="184"/>
      <c r="P693" s="403"/>
      <c r="X693" s="184"/>
      <c r="Y693" s="184"/>
      <c r="Z693" s="184"/>
      <c r="AA693" s="184"/>
      <c r="AB693" s="184"/>
      <c r="AC693" s="184"/>
      <c r="AD693" s="184"/>
      <c r="AE693" s="184"/>
      <c r="AF693" s="184"/>
      <c r="AG693" s="184"/>
      <c r="AH693" s="184"/>
      <c r="AI693" s="184"/>
      <c r="AJ693" s="184"/>
      <c r="AK693" s="184"/>
      <c r="AL693" s="184"/>
      <c r="AM693" s="184"/>
      <c r="AN693" s="184"/>
      <c r="AO693" s="184"/>
      <c r="AP693" s="184"/>
      <c r="AQ693" s="184"/>
      <c r="AR693" s="184"/>
    </row>
    <row r="694" spans="1:44" s="331" customFormat="1" ht="12" customHeight="1">
      <c r="A694" s="184"/>
      <c r="P694" s="277"/>
      <c r="X694" s="184"/>
      <c r="Y694" s="184"/>
      <c r="Z694" s="184"/>
      <c r="AA694" s="184"/>
      <c r="AB694" s="184"/>
      <c r="AC694" s="184"/>
      <c r="AD694" s="184"/>
      <c r="AE694" s="184"/>
      <c r="AF694" s="184"/>
      <c r="AG694" s="184"/>
      <c r="AH694" s="184"/>
      <c r="AI694" s="184"/>
      <c r="AJ694" s="184"/>
      <c r="AK694" s="184"/>
      <c r="AL694" s="184"/>
      <c r="AM694" s="184"/>
      <c r="AN694" s="184"/>
      <c r="AO694" s="184"/>
      <c r="AP694" s="184"/>
      <c r="AQ694" s="184"/>
      <c r="AR694" s="184"/>
    </row>
    <row r="695" spans="1:44" s="331" customFormat="1" ht="12" customHeight="1">
      <c r="A695" s="184"/>
      <c r="P695" s="277"/>
      <c r="X695" s="184"/>
      <c r="Y695" s="184"/>
      <c r="Z695" s="184"/>
      <c r="AA695" s="184"/>
      <c r="AB695" s="184"/>
      <c r="AC695" s="184"/>
      <c r="AD695" s="184"/>
      <c r="AE695" s="184"/>
      <c r="AF695" s="184"/>
      <c r="AG695" s="184"/>
      <c r="AH695" s="184"/>
      <c r="AI695" s="184"/>
      <c r="AJ695" s="184"/>
      <c r="AK695" s="184"/>
      <c r="AL695" s="184"/>
      <c r="AM695" s="184"/>
      <c r="AN695" s="184"/>
      <c r="AO695" s="184"/>
      <c r="AP695" s="184"/>
      <c r="AQ695" s="184"/>
      <c r="AR695" s="184"/>
    </row>
    <row r="696" spans="1:44" s="331" customFormat="1" ht="12" customHeight="1">
      <c r="A696" s="184"/>
      <c r="P696" s="277"/>
      <c r="X696" s="184"/>
      <c r="Y696" s="184"/>
      <c r="Z696" s="184"/>
      <c r="AA696" s="184"/>
      <c r="AB696" s="184"/>
      <c r="AC696" s="184"/>
      <c r="AD696" s="184"/>
      <c r="AE696" s="184"/>
      <c r="AF696" s="184"/>
      <c r="AG696" s="184"/>
      <c r="AH696" s="184"/>
      <c r="AI696" s="184"/>
      <c r="AJ696" s="184"/>
      <c r="AK696" s="184"/>
      <c r="AL696" s="184"/>
      <c r="AM696" s="184"/>
      <c r="AN696" s="184"/>
      <c r="AO696" s="184"/>
      <c r="AP696" s="184"/>
      <c r="AQ696" s="184"/>
      <c r="AR696" s="184"/>
    </row>
    <row r="697" spans="1:44" s="331" customFormat="1" ht="12" customHeight="1">
      <c r="A697" s="184"/>
      <c r="P697" s="277"/>
      <c r="X697" s="184"/>
      <c r="Y697" s="184"/>
      <c r="Z697" s="184"/>
      <c r="AA697" s="184"/>
      <c r="AB697" s="184"/>
      <c r="AC697" s="184"/>
      <c r="AD697" s="184"/>
      <c r="AE697" s="184"/>
      <c r="AF697" s="184"/>
      <c r="AG697" s="184"/>
      <c r="AH697" s="184"/>
      <c r="AI697" s="184"/>
      <c r="AJ697" s="184"/>
      <c r="AK697" s="184"/>
      <c r="AL697" s="184"/>
      <c r="AM697" s="184"/>
      <c r="AN697" s="184"/>
      <c r="AO697" s="184"/>
      <c r="AP697" s="184"/>
      <c r="AQ697" s="184"/>
      <c r="AR697" s="184"/>
    </row>
    <row r="698" spans="1:44" s="331" customFormat="1" ht="12" customHeight="1">
      <c r="A698" s="184"/>
      <c r="P698" s="277"/>
      <c r="X698" s="184"/>
      <c r="Y698" s="184"/>
      <c r="Z698" s="184"/>
      <c r="AA698" s="184"/>
      <c r="AB698" s="184"/>
      <c r="AC698" s="184"/>
      <c r="AD698" s="184"/>
      <c r="AE698" s="184"/>
      <c r="AF698" s="184"/>
      <c r="AG698" s="184"/>
      <c r="AH698" s="184"/>
      <c r="AI698" s="184"/>
      <c r="AJ698" s="184"/>
      <c r="AK698" s="184"/>
      <c r="AL698" s="184"/>
      <c r="AM698" s="184"/>
      <c r="AN698" s="184"/>
      <c r="AO698" s="184"/>
      <c r="AP698" s="184"/>
      <c r="AQ698" s="184"/>
      <c r="AR698" s="184"/>
    </row>
    <row r="699" spans="1:44" s="331" customFormat="1" ht="12" customHeight="1">
      <c r="A699" s="184"/>
      <c r="P699" s="277"/>
      <c r="X699" s="184"/>
      <c r="Y699" s="184"/>
      <c r="Z699" s="184"/>
      <c r="AA699" s="184"/>
      <c r="AB699" s="184"/>
      <c r="AC699" s="184"/>
      <c r="AD699" s="184"/>
      <c r="AE699" s="184"/>
      <c r="AF699" s="184"/>
      <c r="AG699" s="184"/>
      <c r="AH699" s="184"/>
      <c r="AI699" s="184"/>
      <c r="AJ699" s="184"/>
      <c r="AK699" s="184"/>
      <c r="AL699" s="184"/>
      <c r="AM699" s="184"/>
      <c r="AN699" s="184"/>
      <c r="AO699" s="184"/>
      <c r="AP699" s="184"/>
      <c r="AQ699" s="184"/>
      <c r="AR699" s="184"/>
    </row>
    <row r="700" spans="1:44" s="331" customFormat="1" ht="12" customHeight="1">
      <c r="A700" s="184"/>
      <c r="P700" s="277"/>
      <c r="X700" s="184"/>
      <c r="Y700" s="184"/>
      <c r="Z700" s="184"/>
      <c r="AA700" s="184"/>
      <c r="AB700" s="184"/>
      <c r="AC700" s="184"/>
      <c r="AD700" s="184"/>
      <c r="AE700" s="184"/>
      <c r="AF700" s="184"/>
      <c r="AG700" s="184"/>
      <c r="AH700" s="184"/>
      <c r="AI700" s="184"/>
      <c r="AJ700" s="184"/>
      <c r="AK700" s="184"/>
      <c r="AL700" s="184"/>
      <c r="AM700" s="184"/>
      <c r="AN700" s="184"/>
      <c r="AO700" s="184"/>
      <c r="AP700" s="184"/>
      <c r="AQ700" s="184"/>
      <c r="AR700" s="184"/>
    </row>
    <row r="701" spans="1:44" s="331" customFormat="1" ht="12" customHeight="1">
      <c r="A701" s="184"/>
      <c r="P701" s="277"/>
      <c r="X701" s="184"/>
      <c r="Y701" s="184"/>
      <c r="Z701" s="184"/>
      <c r="AA701" s="184"/>
      <c r="AB701" s="184"/>
      <c r="AC701" s="184"/>
      <c r="AD701" s="184"/>
      <c r="AE701" s="184"/>
      <c r="AF701" s="184"/>
      <c r="AG701" s="184"/>
      <c r="AH701" s="184"/>
      <c r="AI701" s="184"/>
      <c r="AJ701" s="184"/>
      <c r="AK701" s="184"/>
      <c r="AL701" s="184"/>
      <c r="AM701" s="184"/>
      <c r="AN701" s="184"/>
      <c r="AO701" s="184"/>
      <c r="AP701" s="184"/>
      <c r="AQ701" s="184"/>
      <c r="AR701" s="184"/>
    </row>
    <row r="702" spans="1:44" s="331" customFormat="1" ht="12" customHeight="1">
      <c r="A702" s="184"/>
      <c r="P702" s="277"/>
      <c r="X702" s="184"/>
      <c r="Y702" s="184"/>
      <c r="Z702" s="184"/>
      <c r="AA702" s="184"/>
      <c r="AB702" s="184"/>
      <c r="AC702" s="184"/>
      <c r="AD702" s="184"/>
      <c r="AE702" s="184"/>
      <c r="AF702" s="184"/>
      <c r="AG702" s="184"/>
      <c r="AH702" s="184"/>
      <c r="AI702" s="184"/>
      <c r="AJ702" s="184"/>
      <c r="AK702" s="184"/>
      <c r="AL702" s="184"/>
      <c r="AM702" s="184"/>
      <c r="AN702" s="184"/>
      <c r="AO702" s="184"/>
      <c r="AP702" s="184"/>
      <c r="AQ702" s="184"/>
      <c r="AR702" s="184"/>
    </row>
    <row r="703" spans="1:44" s="331" customFormat="1" ht="12" customHeight="1">
      <c r="A703" s="184"/>
      <c r="P703" s="277"/>
      <c r="X703" s="184"/>
      <c r="Y703" s="184"/>
      <c r="Z703" s="184"/>
      <c r="AA703" s="184"/>
      <c r="AB703" s="184"/>
      <c r="AC703" s="184"/>
      <c r="AD703" s="184"/>
      <c r="AE703" s="184"/>
      <c r="AF703" s="184"/>
      <c r="AG703" s="184"/>
      <c r="AH703" s="184"/>
      <c r="AI703" s="184"/>
      <c r="AJ703" s="184"/>
      <c r="AK703" s="184"/>
      <c r="AL703" s="184"/>
      <c r="AM703" s="184"/>
      <c r="AN703" s="184"/>
      <c r="AO703" s="184"/>
      <c r="AP703" s="184"/>
      <c r="AQ703" s="184"/>
      <c r="AR703" s="184"/>
    </row>
    <row r="704" spans="1:44" s="331" customFormat="1" ht="12" customHeight="1">
      <c r="A704" s="184"/>
      <c r="P704" s="277"/>
      <c r="X704" s="184"/>
      <c r="Y704" s="184"/>
      <c r="Z704" s="184"/>
      <c r="AA704" s="184"/>
      <c r="AB704" s="184"/>
      <c r="AC704" s="184"/>
      <c r="AD704" s="184"/>
      <c r="AE704" s="184"/>
      <c r="AF704" s="184"/>
      <c r="AG704" s="184"/>
      <c r="AH704" s="184"/>
      <c r="AI704" s="184"/>
      <c r="AJ704" s="184"/>
      <c r="AK704" s="184"/>
      <c r="AL704" s="184"/>
      <c r="AM704" s="184"/>
      <c r="AN704" s="184"/>
      <c r="AO704" s="184"/>
      <c r="AP704" s="184"/>
      <c r="AQ704" s="184"/>
      <c r="AR704" s="184"/>
    </row>
    <row r="705" spans="1:44" s="331" customFormat="1" ht="12" customHeight="1">
      <c r="A705" s="184"/>
      <c r="P705" s="277"/>
      <c r="X705" s="184"/>
      <c r="Y705" s="184"/>
      <c r="Z705" s="184"/>
      <c r="AA705" s="184"/>
      <c r="AB705" s="184"/>
      <c r="AC705" s="184"/>
      <c r="AD705" s="184"/>
      <c r="AE705" s="184"/>
      <c r="AF705" s="184"/>
      <c r="AG705" s="184"/>
      <c r="AH705" s="184"/>
      <c r="AI705" s="184"/>
      <c r="AJ705" s="184"/>
      <c r="AK705" s="184"/>
      <c r="AL705" s="184"/>
      <c r="AM705" s="184"/>
      <c r="AN705" s="184"/>
      <c r="AO705" s="184"/>
      <c r="AP705" s="184"/>
      <c r="AQ705" s="184"/>
      <c r="AR705" s="184"/>
    </row>
    <row r="706" spans="1:44" s="331" customFormat="1" ht="12" customHeight="1">
      <c r="A706" s="184"/>
      <c r="P706" s="277"/>
      <c r="X706" s="184"/>
      <c r="Y706" s="184"/>
      <c r="Z706" s="184"/>
      <c r="AA706" s="184"/>
      <c r="AB706" s="184"/>
      <c r="AC706" s="184"/>
      <c r="AD706" s="184"/>
      <c r="AE706" s="184"/>
      <c r="AF706" s="184"/>
      <c r="AG706" s="184"/>
      <c r="AH706" s="184"/>
      <c r="AI706" s="184"/>
      <c r="AJ706" s="184"/>
      <c r="AK706" s="184"/>
      <c r="AL706" s="184"/>
      <c r="AM706" s="184"/>
      <c r="AN706" s="184"/>
      <c r="AO706" s="184"/>
      <c r="AP706" s="184"/>
      <c r="AQ706" s="184"/>
      <c r="AR706" s="184"/>
    </row>
    <row r="707" spans="1:44" s="331" customFormat="1" ht="12" customHeight="1">
      <c r="A707" s="184"/>
      <c r="P707" s="277"/>
      <c r="X707" s="184"/>
      <c r="Y707" s="184"/>
      <c r="Z707" s="184"/>
      <c r="AA707" s="184"/>
      <c r="AB707" s="184"/>
      <c r="AC707" s="184"/>
      <c r="AD707" s="184"/>
      <c r="AE707" s="184"/>
      <c r="AF707" s="184"/>
      <c r="AG707" s="184"/>
      <c r="AH707" s="184"/>
      <c r="AI707" s="184"/>
      <c r="AJ707" s="184"/>
      <c r="AK707" s="184"/>
      <c r="AL707" s="184"/>
      <c r="AM707" s="184"/>
      <c r="AN707" s="184"/>
      <c r="AO707" s="184"/>
      <c r="AP707" s="184"/>
      <c r="AQ707" s="184"/>
      <c r="AR707" s="184"/>
    </row>
    <row r="708" spans="1:44" s="331" customFormat="1" ht="12" customHeight="1">
      <c r="A708" s="184"/>
      <c r="P708" s="277"/>
      <c r="X708" s="184"/>
      <c r="Y708" s="184"/>
      <c r="Z708" s="184"/>
      <c r="AA708" s="184"/>
      <c r="AB708" s="184"/>
      <c r="AC708" s="184"/>
      <c r="AD708" s="184"/>
      <c r="AE708" s="184"/>
      <c r="AF708" s="184"/>
      <c r="AG708" s="184"/>
      <c r="AH708" s="184"/>
      <c r="AI708" s="184"/>
      <c r="AJ708" s="184"/>
      <c r="AK708" s="184"/>
      <c r="AL708" s="184"/>
      <c r="AM708" s="184"/>
      <c r="AN708" s="184"/>
      <c r="AO708" s="184"/>
      <c r="AP708" s="184"/>
      <c r="AQ708" s="184"/>
      <c r="AR708" s="184"/>
    </row>
    <row r="709" spans="1:44" s="331" customFormat="1" ht="12" customHeight="1">
      <c r="A709" s="184"/>
      <c r="P709" s="402"/>
      <c r="X709" s="184"/>
      <c r="Y709" s="184"/>
      <c r="Z709" s="184"/>
      <c r="AA709" s="184"/>
      <c r="AB709" s="184"/>
      <c r="AC709" s="184"/>
      <c r="AD709" s="184"/>
      <c r="AE709" s="184"/>
      <c r="AF709" s="184"/>
      <c r="AG709" s="184"/>
      <c r="AH709" s="184"/>
      <c r="AI709" s="184"/>
      <c r="AJ709" s="184"/>
      <c r="AK709" s="184"/>
      <c r="AL709" s="184"/>
      <c r="AM709" s="184"/>
      <c r="AN709" s="184"/>
      <c r="AO709" s="184"/>
      <c r="AP709" s="184"/>
      <c r="AQ709" s="184"/>
      <c r="AR709" s="184"/>
    </row>
    <row r="710" spans="1:44" s="331" customFormat="1" ht="12" customHeight="1">
      <c r="A710" s="184"/>
      <c r="P710" s="277"/>
      <c r="X710" s="184"/>
      <c r="Y710" s="184"/>
      <c r="Z710" s="184"/>
      <c r="AA710" s="184"/>
      <c r="AB710" s="184"/>
      <c r="AC710" s="184"/>
      <c r="AD710" s="184"/>
      <c r="AE710" s="184"/>
      <c r="AF710" s="184"/>
      <c r="AG710" s="184"/>
      <c r="AH710" s="184"/>
      <c r="AI710" s="184"/>
      <c r="AJ710" s="184"/>
      <c r="AK710" s="184"/>
      <c r="AL710" s="184"/>
      <c r="AM710" s="184"/>
      <c r="AN710" s="184"/>
      <c r="AO710" s="184"/>
      <c r="AP710" s="184"/>
      <c r="AQ710" s="184"/>
      <c r="AR710" s="184"/>
    </row>
    <row r="711" spans="1:44" s="331" customFormat="1" ht="12" customHeight="1">
      <c r="A711" s="184"/>
      <c r="P711" s="277"/>
      <c r="X711" s="184"/>
      <c r="Y711" s="184"/>
      <c r="Z711" s="184"/>
      <c r="AA711" s="184"/>
      <c r="AB711" s="184"/>
      <c r="AC711" s="184"/>
      <c r="AD711" s="184"/>
      <c r="AE711" s="184"/>
      <c r="AF711" s="184"/>
      <c r="AG711" s="184"/>
      <c r="AH711" s="184"/>
      <c r="AI711" s="184"/>
      <c r="AJ711" s="184"/>
      <c r="AK711" s="184"/>
      <c r="AL711" s="184"/>
      <c r="AM711" s="184"/>
      <c r="AN711" s="184"/>
      <c r="AO711" s="184"/>
      <c r="AP711" s="184"/>
      <c r="AQ711" s="184"/>
      <c r="AR711" s="184"/>
    </row>
    <row r="712" spans="1:44" s="331" customFormat="1" ht="12" customHeight="1">
      <c r="A712" s="184"/>
      <c r="P712" s="277"/>
      <c r="X712" s="184"/>
      <c r="Y712" s="184"/>
      <c r="Z712" s="184"/>
      <c r="AA712" s="184"/>
      <c r="AB712" s="184"/>
      <c r="AC712" s="184"/>
      <c r="AD712" s="184"/>
      <c r="AE712" s="184"/>
      <c r="AF712" s="184"/>
      <c r="AG712" s="184"/>
      <c r="AH712" s="184"/>
      <c r="AI712" s="184"/>
      <c r="AJ712" s="184"/>
      <c r="AK712" s="184"/>
      <c r="AL712" s="184"/>
      <c r="AM712" s="184"/>
      <c r="AN712" s="184"/>
      <c r="AO712" s="184"/>
      <c r="AP712" s="184"/>
      <c r="AQ712" s="184"/>
      <c r="AR712" s="184"/>
    </row>
    <row r="713" spans="1:44" s="331" customFormat="1" ht="12" customHeight="1">
      <c r="A713" s="184"/>
      <c r="P713" s="403"/>
      <c r="X713" s="184"/>
      <c r="Y713" s="184"/>
      <c r="Z713" s="184"/>
      <c r="AA713" s="184"/>
      <c r="AB713" s="184"/>
      <c r="AC713" s="184"/>
      <c r="AD713" s="184"/>
      <c r="AE713" s="184"/>
      <c r="AF713" s="184"/>
      <c r="AG713" s="184"/>
      <c r="AH713" s="184"/>
      <c r="AI713" s="184"/>
      <c r="AJ713" s="184"/>
      <c r="AK713" s="184"/>
      <c r="AL713" s="184"/>
      <c r="AM713" s="184"/>
      <c r="AN713" s="184"/>
      <c r="AO713" s="184"/>
      <c r="AP713" s="184"/>
      <c r="AQ713" s="184"/>
      <c r="AR713" s="184"/>
    </row>
    <row r="714" spans="1:44" s="331" customFormat="1" ht="12" customHeight="1">
      <c r="A714" s="184"/>
      <c r="P714" s="277"/>
      <c r="X714" s="184"/>
      <c r="Y714" s="184"/>
      <c r="Z714" s="184"/>
      <c r="AA714" s="184"/>
      <c r="AB714" s="184"/>
      <c r="AC714" s="184"/>
      <c r="AD714" s="184"/>
      <c r="AE714" s="184"/>
      <c r="AF714" s="184"/>
      <c r="AG714" s="184"/>
      <c r="AH714" s="184"/>
      <c r="AI714" s="184"/>
      <c r="AJ714" s="184"/>
      <c r="AK714" s="184"/>
      <c r="AL714" s="184"/>
      <c r="AM714" s="184"/>
      <c r="AN714" s="184"/>
      <c r="AO714" s="184"/>
      <c r="AP714" s="184"/>
      <c r="AQ714" s="184"/>
      <c r="AR714" s="184"/>
    </row>
    <row r="715" spans="1:44" s="331" customFormat="1" ht="12" customHeight="1">
      <c r="A715" s="184"/>
      <c r="P715" s="277"/>
      <c r="X715" s="184"/>
      <c r="Y715" s="184"/>
      <c r="Z715" s="184"/>
      <c r="AA715" s="184"/>
      <c r="AB715" s="184"/>
      <c r="AC715" s="184"/>
      <c r="AD715" s="184"/>
      <c r="AE715" s="184"/>
      <c r="AF715" s="184"/>
      <c r="AG715" s="184"/>
      <c r="AH715" s="184"/>
      <c r="AI715" s="184"/>
      <c r="AJ715" s="184"/>
      <c r="AK715" s="184"/>
      <c r="AL715" s="184"/>
      <c r="AM715" s="184"/>
      <c r="AN715" s="184"/>
      <c r="AO715" s="184"/>
      <c r="AP715" s="184"/>
      <c r="AQ715" s="184"/>
      <c r="AR715" s="184"/>
    </row>
    <row r="716" spans="1:44" s="331" customFormat="1" ht="12" customHeight="1">
      <c r="A716" s="184"/>
      <c r="P716" s="277"/>
      <c r="X716" s="184"/>
      <c r="Y716" s="184"/>
      <c r="Z716" s="184"/>
      <c r="AA716" s="184"/>
      <c r="AB716" s="184"/>
      <c r="AC716" s="184"/>
      <c r="AD716" s="184"/>
      <c r="AE716" s="184"/>
      <c r="AF716" s="184"/>
      <c r="AG716" s="184"/>
      <c r="AH716" s="184"/>
      <c r="AI716" s="184"/>
      <c r="AJ716" s="184"/>
      <c r="AK716" s="184"/>
      <c r="AL716" s="184"/>
      <c r="AM716" s="184"/>
      <c r="AN716" s="184"/>
      <c r="AO716" s="184"/>
      <c r="AP716" s="184"/>
      <c r="AQ716" s="184"/>
      <c r="AR716" s="184"/>
    </row>
    <row r="717" spans="1:44" s="331" customFormat="1" ht="12" customHeight="1">
      <c r="A717" s="184"/>
      <c r="P717" s="403"/>
      <c r="X717" s="184"/>
      <c r="Y717" s="184"/>
      <c r="Z717" s="184"/>
      <c r="AA717" s="184"/>
      <c r="AB717" s="184"/>
      <c r="AC717" s="184"/>
      <c r="AD717" s="184"/>
      <c r="AE717" s="184"/>
      <c r="AF717" s="184"/>
      <c r="AG717" s="184"/>
      <c r="AH717" s="184"/>
      <c r="AI717" s="184"/>
      <c r="AJ717" s="184"/>
      <c r="AK717" s="184"/>
      <c r="AL717" s="184"/>
      <c r="AM717" s="184"/>
      <c r="AN717" s="184"/>
      <c r="AO717" s="184"/>
      <c r="AP717" s="184"/>
      <c r="AQ717" s="184"/>
      <c r="AR717" s="184"/>
    </row>
    <row r="718" spans="1:44" s="331" customFormat="1" ht="12" customHeight="1">
      <c r="A718" s="184"/>
      <c r="P718" s="277"/>
      <c r="X718" s="184"/>
      <c r="Y718" s="184"/>
      <c r="Z718" s="184"/>
      <c r="AA718" s="184"/>
      <c r="AB718" s="184"/>
      <c r="AC718" s="184"/>
      <c r="AD718" s="184"/>
      <c r="AE718" s="184"/>
      <c r="AF718" s="184"/>
      <c r="AG718" s="184"/>
      <c r="AH718" s="184"/>
      <c r="AI718" s="184"/>
      <c r="AJ718" s="184"/>
      <c r="AK718" s="184"/>
      <c r="AL718" s="184"/>
      <c r="AM718" s="184"/>
      <c r="AN718" s="184"/>
      <c r="AO718" s="184"/>
      <c r="AP718" s="184"/>
      <c r="AQ718" s="184"/>
      <c r="AR718" s="184"/>
    </row>
    <row r="719" spans="1:44" s="331" customFormat="1" ht="12" customHeight="1">
      <c r="A719" s="184"/>
      <c r="P719" s="277"/>
      <c r="X719" s="184"/>
      <c r="Y719" s="184"/>
      <c r="Z719" s="184"/>
      <c r="AA719" s="184"/>
      <c r="AB719" s="184"/>
      <c r="AC719" s="184"/>
      <c r="AD719" s="184"/>
      <c r="AE719" s="184"/>
      <c r="AF719" s="184"/>
      <c r="AG719" s="184"/>
      <c r="AH719" s="184"/>
      <c r="AI719" s="184"/>
      <c r="AJ719" s="184"/>
      <c r="AK719" s="184"/>
      <c r="AL719" s="184"/>
      <c r="AM719" s="184"/>
      <c r="AN719" s="184"/>
      <c r="AO719" s="184"/>
      <c r="AP719" s="184"/>
      <c r="AQ719" s="184"/>
      <c r="AR719" s="184"/>
    </row>
    <row r="720" spans="1:44" s="331" customFormat="1" ht="12" customHeight="1">
      <c r="A720" s="184"/>
      <c r="P720" s="277"/>
      <c r="X720" s="184"/>
      <c r="Y720" s="184"/>
      <c r="Z720" s="184"/>
      <c r="AA720" s="184"/>
      <c r="AB720" s="184"/>
      <c r="AC720" s="184"/>
      <c r="AD720" s="184"/>
      <c r="AE720" s="184"/>
      <c r="AF720" s="184"/>
      <c r="AG720" s="184"/>
      <c r="AH720" s="184"/>
      <c r="AI720" s="184"/>
      <c r="AJ720" s="184"/>
      <c r="AK720" s="184"/>
      <c r="AL720" s="184"/>
      <c r="AM720" s="184"/>
      <c r="AN720" s="184"/>
      <c r="AO720" s="184"/>
      <c r="AP720" s="184"/>
      <c r="AQ720" s="184"/>
      <c r="AR720" s="184"/>
    </row>
    <row r="721" spans="1:44" s="331" customFormat="1" ht="12" customHeight="1">
      <c r="A721" s="184"/>
      <c r="P721" s="277"/>
      <c r="X721" s="184"/>
      <c r="Y721" s="184"/>
      <c r="Z721" s="184"/>
      <c r="AA721" s="184"/>
      <c r="AB721" s="184"/>
      <c r="AC721" s="184"/>
      <c r="AD721" s="184"/>
      <c r="AE721" s="184"/>
      <c r="AF721" s="184"/>
      <c r="AG721" s="184"/>
      <c r="AH721" s="184"/>
      <c r="AI721" s="184"/>
      <c r="AJ721" s="184"/>
      <c r="AK721" s="184"/>
      <c r="AL721" s="184"/>
      <c r="AM721" s="184"/>
      <c r="AN721" s="184"/>
      <c r="AO721" s="184"/>
      <c r="AP721" s="184"/>
      <c r="AQ721" s="184"/>
      <c r="AR721" s="184"/>
    </row>
    <row r="722" spans="1:44" s="331" customFormat="1" ht="12" customHeight="1">
      <c r="A722" s="184"/>
      <c r="P722" s="277"/>
      <c r="X722" s="184"/>
      <c r="Y722" s="184"/>
      <c r="Z722" s="184"/>
      <c r="AA722" s="184"/>
      <c r="AB722" s="184"/>
      <c r="AC722" s="184"/>
      <c r="AD722" s="184"/>
      <c r="AE722" s="184"/>
      <c r="AF722" s="184"/>
      <c r="AG722" s="184"/>
      <c r="AH722" s="184"/>
      <c r="AI722" s="184"/>
      <c r="AJ722" s="184"/>
      <c r="AK722" s="184"/>
      <c r="AL722" s="184"/>
      <c r="AM722" s="184"/>
      <c r="AN722" s="184"/>
      <c r="AO722" s="184"/>
      <c r="AP722" s="184"/>
      <c r="AQ722" s="184"/>
      <c r="AR722" s="184"/>
    </row>
    <row r="723" spans="1:44" s="331" customFormat="1" ht="12" customHeight="1">
      <c r="A723" s="184"/>
      <c r="P723" s="277"/>
      <c r="X723" s="184"/>
      <c r="Y723" s="184"/>
      <c r="Z723" s="184"/>
      <c r="AA723" s="184"/>
      <c r="AB723" s="184"/>
      <c r="AC723" s="184"/>
      <c r="AD723" s="184"/>
      <c r="AE723" s="184"/>
      <c r="AF723" s="184"/>
      <c r="AG723" s="184"/>
      <c r="AH723" s="184"/>
      <c r="AI723" s="184"/>
      <c r="AJ723" s="184"/>
      <c r="AK723" s="184"/>
      <c r="AL723" s="184"/>
      <c r="AM723" s="184"/>
      <c r="AN723" s="184"/>
      <c r="AO723" s="184"/>
      <c r="AP723" s="184"/>
      <c r="AQ723" s="184"/>
      <c r="AR723" s="184"/>
    </row>
    <row r="724" spans="1:44" s="331" customFormat="1" ht="12" customHeight="1">
      <c r="A724" s="184"/>
      <c r="P724" s="277"/>
      <c r="X724" s="184"/>
      <c r="Y724" s="184"/>
      <c r="Z724" s="184"/>
      <c r="AA724" s="184"/>
      <c r="AB724" s="184"/>
      <c r="AC724" s="184"/>
      <c r="AD724" s="184"/>
      <c r="AE724" s="184"/>
      <c r="AF724" s="184"/>
      <c r="AG724" s="184"/>
      <c r="AH724" s="184"/>
      <c r="AI724" s="184"/>
      <c r="AJ724" s="184"/>
      <c r="AK724" s="184"/>
      <c r="AL724" s="184"/>
      <c r="AM724" s="184"/>
      <c r="AN724" s="184"/>
      <c r="AO724" s="184"/>
      <c r="AP724" s="184"/>
      <c r="AQ724" s="184"/>
      <c r="AR724" s="184"/>
    </row>
    <row r="725" spans="1:44" s="331" customFormat="1" ht="12" customHeight="1">
      <c r="A725" s="184"/>
      <c r="P725" s="277"/>
      <c r="X725" s="184"/>
      <c r="Y725" s="184"/>
      <c r="Z725" s="184"/>
      <c r="AA725" s="184"/>
      <c r="AB725" s="184"/>
      <c r="AC725" s="184"/>
      <c r="AD725" s="184"/>
      <c r="AE725" s="184"/>
      <c r="AF725" s="184"/>
      <c r="AG725" s="184"/>
      <c r="AH725" s="184"/>
      <c r="AI725" s="184"/>
      <c r="AJ725" s="184"/>
      <c r="AK725" s="184"/>
      <c r="AL725" s="184"/>
      <c r="AM725" s="184"/>
      <c r="AN725" s="184"/>
      <c r="AO725" s="184"/>
      <c r="AP725" s="184"/>
      <c r="AQ725" s="184"/>
      <c r="AR725" s="184"/>
    </row>
    <row r="726" spans="1:44" s="331" customFormat="1" ht="12" customHeight="1">
      <c r="A726" s="184"/>
      <c r="P726" s="277"/>
      <c r="X726" s="184"/>
      <c r="Y726" s="184"/>
      <c r="Z726" s="184"/>
      <c r="AA726" s="184"/>
      <c r="AB726" s="184"/>
      <c r="AC726" s="184"/>
      <c r="AD726" s="184"/>
      <c r="AE726" s="184"/>
      <c r="AF726" s="184"/>
      <c r="AG726" s="184"/>
      <c r="AH726" s="184"/>
      <c r="AI726" s="184"/>
      <c r="AJ726" s="184"/>
      <c r="AK726" s="184"/>
      <c r="AL726" s="184"/>
      <c r="AM726" s="184"/>
      <c r="AN726" s="184"/>
      <c r="AO726" s="184"/>
      <c r="AP726" s="184"/>
      <c r="AQ726" s="184"/>
      <c r="AR726" s="184"/>
    </row>
    <row r="727" spans="1:44" s="331" customFormat="1" ht="12" customHeight="1">
      <c r="A727" s="184"/>
      <c r="P727" s="277"/>
      <c r="X727" s="184"/>
      <c r="Y727" s="184"/>
      <c r="Z727" s="184"/>
      <c r="AA727" s="184"/>
      <c r="AB727" s="184"/>
      <c r="AC727" s="184"/>
      <c r="AD727" s="184"/>
      <c r="AE727" s="184"/>
      <c r="AF727" s="184"/>
      <c r="AG727" s="184"/>
      <c r="AH727" s="184"/>
      <c r="AI727" s="184"/>
      <c r="AJ727" s="184"/>
      <c r="AK727" s="184"/>
      <c r="AL727" s="184"/>
      <c r="AM727" s="184"/>
      <c r="AN727" s="184"/>
      <c r="AO727" s="184"/>
      <c r="AP727" s="184"/>
      <c r="AQ727" s="184"/>
      <c r="AR727" s="184"/>
    </row>
    <row r="728" spans="1:44" s="331" customFormat="1" ht="12" customHeight="1">
      <c r="A728" s="184"/>
      <c r="P728" s="277"/>
      <c r="X728" s="184"/>
      <c r="Y728" s="184"/>
      <c r="Z728" s="184"/>
      <c r="AA728" s="184"/>
      <c r="AB728" s="184"/>
      <c r="AC728" s="184"/>
      <c r="AD728" s="184"/>
      <c r="AE728" s="184"/>
      <c r="AF728" s="184"/>
      <c r="AG728" s="184"/>
      <c r="AH728" s="184"/>
      <c r="AI728" s="184"/>
      <c r="AJ728" s="184"/>
      <c r="AK728" s="184"/>
      <c r="AL728" s="184"/>
      <c r="AM728" s="184"/>
      <c r="AN728" s="184"/>
      <c r="AO728" s="184"/>
      <c r="AP728" s="184"/>
      <c r="AQ728" s="184"/>
      <c r="AR728" s="184"/>
    </row>
    <row r="729" spans="1:44" s="331" customFormat="1" ht="12" customHeight="1">
      <c r="A729" s="184"/>
      <c r="P729" s="277"/>
      <c r="X729" s="184"/>
      <c r="Y729" s="184"/>
      <c r="Z729" s="184"/>
      <c r="AA729" s="184"/>
      <c r="AB729" s="184"/>
      <c r="AC729" s="184"/>
      <c r="AD729" s="184"/>
      <c r="AE729" s="184"/>
      <c r="AF729" s="184"/>
      <c r="AG729" s="184"/>
      <c r="AH729" s="184"/>
      <c r="AI729" s="184"/>
      <c r="AJ729" s="184"/>
      <c r="AK729" s="184"/>
      <c r="AL729" s="184"/>
      <c r="AM729" s="184"/>
      <c r="AN729" s="184"/>
      <c r="AO729" s="184"/>
      <c r="AP729" s="184"/>
      <c r="AQ729" s="184"/>
      <c r="AR729" s="184"/>
    </row>
    <row r="730" spans="1:44" s="331" customFormat="1" ht="12" customHeight="1">
      <c r="A730" s="184"/>
      <c r="P730" s="277"/>
      <c r="X730" s="184"/>
      <c r="Y730" s="184"/>
      <c r="Z730" s="184"/>
      <c r="AA730" s="184"/>
      <c r="AB730" s="184"/>
      <c r="AC730" s="184"/>
      <c r="AD730" s="184"/>
      <c r="AE730" s="184"/>
      <c r="AF730" s="184"/>
      <c r="AG730" s="184"/>
      <c r="AH730" s="184"/>
      <c r="AI730" s="184"/>
      <c r="AJ730" s="184"/>
      <c r="AK730" s="184"/>
      <c r="AL730" s="184"/>
      <c r="AM730" s="184"/>
      <c r="AN730" s="184"/>
      <c r="AO730" s="184"/>
      <c r="AP730" s="184"/>
      <c r="AQ730" s="184"/>
      <c r="AR730" s="184"/>
    </row>
    <row r="731" spans="1:44" s="331" customFormat="1" ht="12" customHeight="1">
      <c r="A731" s="184"/>
      <c r="P731" s="184"/>
      <c r="X731" s="184"/>
      <c r="Y731" s="184"/>
      <c r="Z731" s="184"/>
      <c r="AA731" s="184"/>
      <c r="AB731" s="184"/>
      <c r="AC731" s="184"/>
      <c r="AD731" s="184"/>
      <c r="AE731" s="184"/>
      <c r="AF731" s="184"/>
      <c r="AG731" s="184"/>
      <c r="AH731" s="184"/>
      <c r="AI731" s="184"/>
      <c r="AJ731" s="184"/>
      <c r="AK731" s="184"/>
      <c r="AL731" s="184"/>
      <c r="AM731" s="184"/>
      <c r="AN731" s="184"/>
      <c r="AO731" s="184"/>
      <c r="AP731" s="184"/>
      <c r="AQ731" s="184"/>
      <c r="AR731" s="184"/>
    </row>
    <row r="732" spans="1:44" s="331" customFormat="1" ht="12" customHeight="1">
      <c r="A732" s="184"/>
      <c r="P732" s="184"/>
      <c r="X732" s="184"/>
      <c r="Y732" s="184"/>
      <c r="Z732" s="184"/>
      <c r="AA732" s="184"/>
      <c r="AB732" s="184"/>
      <c r="AC732" s="184"/>
      <c r="AD732" s="184"/>
      <c r="AE732" s="184"/>
      <c r="AF732" s="184"/>
      <c r="AG732" s="184"/>
      <c r="AH732" s="184"/>
      <c r="AI732" s="184"/>
      <c r="AJ732" s="184"/>
      <c r="AK732" s="184"/>
      <c r="AL732" s="184"/>
      <c r="AM732" s="184"/>
      <c r="AN732" s="184"/>
      <c r="AO732" s="184"/>
      <c r="AP732" s="184"/>
      <c r="AQ732" s="184"/>
      <c r="AR732" s="184"/>
    </row>
    <row r="733" spans="1:44" s="331" customFormat="1" ht="12" customHeight="1">
      <c r="A733" s="184"/>
      <c r="P733" s="184"/>
      <c r="X733" s="184"/>
      <c r="Y733" s="184"/>
      <c r="Z733" s="184"/>
      <c r="AA733" s="184"/>
      <c r="AB733" s="184"/>
      <c r="AC733" s="184"/>
      <c r="AD733" s="184"/>
      <c r="AE733" s="184"/>
      <c r="AF733" s="184"/>
      <c r="AG733" s="184"/>
      <c r="AH733" s="184"/>
      <c r="AI733" s="184"/>
      <c r="AJ733" s="184"/>
      <c r="AK733" s="184"/>
      <c r="AL733" s="184"/>
      <c r="AM733" s="184"/>
      <c r="AN733" s="184"/>
      <c r="AO733" s="184"/>
      <c r="AP733" s="184"/>
      <c r="AQ733" s="184"/>
      <c r="AR733" s="184"/>
    </row>
    <row r="734" spans="1:44" s="331" customFormat="1" ht="12" customHeight="1">
      <c r="A734" s="184"/>
      <c r="P734" s="184"/>
      <c r="X734" s="184"/>
      <c r="Y734" s="184"/>
      <c r="Z734" s="184"/>
      <c r="AA734" s="184"/>
      <c r="AB734" s="184"/>
      <c r="AC734" s="184"/>
      <c r="AD734" s="184"/>
      <c r="AE734" s="184"/>
      <c r="AF734" s="184"/>
      <c r="AG734" s="184"/>
      <c r="AH734" s="184"/>
      <c r="AI734" s="184"/>
      <c r="AJ734" s="184"/>
      <c r="AK734" s="184"/>
      <c r="AL734" s="184"/>
      <c r="AM734" s="184"/>
      <c r="AN734" s="184"/>
      <c r="AO734" s="184"/>
      <c r="AP734" s="184"/>
      <c r="AQ734" s="184"/>
      <c r="AR734" s="184"/>
    </row>
    <row r="735" spans="1:44" s="331" customFormat="1" ht="12" customHeight="1">
      <c r="A735" s="184"/>
      <c r="P735" s="184"/>
      <c r="X735" s="184"/>
      <c r="Y735" s="184"/>
      <c r="Z735" s="184"/>
      <c r="AA735" s="184"/>
      <c r="AB735" s="184"/>
      <c r="AC735" s="184"/>
      <c r="AD735" s="184"/>
      <c r="AE735" s="184"/>
      <c r="AF735" s="184"/>
      <c r="AG735" s="184"/>
      <c r="AH735" s="184"/>
      <c r="AI735" s="184"/>
      <c r="AJ735" s="184"/>
      <c r="AK735" s="184"/>
      <c r="AL735" s="184"/>
      <c r="AM735" s="184"/>
      <c r="AN735" s="184"/>
      <c r="AO735" s="184"/>
      <c r="AP735" s="184"/>
      <c r="AQ735" s="184"/>
      <c r="AR735" s="184"/>
    </row>
    <row r="736" spans="1:44" s="331" customFormat="1" ht="12" customHeight="1">
      <c r="A736" s="184"/>
      <c r="P736" s="184"/>
      <c r="X736" s="184"/>
      <c r="Y736" s="184"/>
      <c r="Z736" s="184"/>
      <c r="AA736" s="184"/>
      <c r="AB736" s="184"/>
      <c r="AC736" s="184"/>
      <c r="AD736" s="184"/>
      <c r="AE736" s="184"/>
      <c r="AF736" s="184"/>
      <c r="AG736" s="184"/>
      <c r="AH736" s="184"/>
      <c r="AI736" s="184"/>
      <c r="AJ736" s="184"/>
      <c r="AK736" s="184"/>
      <c r="AL736" s="184"/>
      <c r="AM736" s="184"/>
      <c r="AN736" s="184"/>
      <c r="AO736" s="184"/>
      <c r="AP736" s="184"/>
      <c r="AQ736" s="184"/>
      <c r="AR736" s="184"/>
    </row>
    <row r="737" spans="1:44" s="331" customFormat="1" ht="12" customHeight="1">
      <c r="A737" s="184"/>
      <c r="P737" s="184"/>
      <c r="X737" s="184"/>
      <c r="Y737" s="184"/>
      <c r="Z737" s="184"/>
      <c r="AA737" s="184"/>
      <c r="AB737" s="184"/>
      <c r="AC737" s="184"/>
      <c r="AD737" s="184"/>
      <c r="AE737" s="184"/>
      <c r="AF737" s="184"/>
      <c r="AG737" s="184"/>
      <c r="AH737" s="184"/>
      <c r="AI737" s="184"/>
      <c r="AJ737" s="184"/>
      <c r="AK737" s="184"/>
      <c r="AL737" s="184"/>
      <c r="AM737" s="184"/>
      <c r="AN737" s="184"/>
      <c r="AO737" s="184"/>
      <c r="AP737" s="184"/>
      <c r="AQ737" s="184"/>
      <c r="AR737" s="184"/>
    </row>
    <row r="738" spans="1:44" s="331" customFormat="1" ht="12" customHeight="1">
      <c r="A738" s="184"/>
      <c r="P738" s="184"/>
      <c r="X738" s="184"/>
      <c r="Y738" s="184"/>
      <c r="Z738" s="184"/>
      <c r="AA738" s="184"/>
      <c r="AB738" s="184"/>
      <c r="AC738" s="184"/>
      <c r="AD738" s="184"/>
      <c r="AE738" s="184"/>
      <c r="AF738" s="184"/>
      <c r="AG738" s="184"/>
      <c r="AH738" s="184"/>
      <c r="AI738" s="184"/>
      <c r="AJ738" s="184"/>
      <c r="AK738" s="184"/>
      <c r="AL738" s="184"/>
      <c r="AM738" s="184"/>
      <c r="AN738" s="184"/>
      <c r="AO738" s="184"/>
      <c r="AP738" s="184"/>
      <c r="AQ738" s="184"/>
      <c r="AR738" s="184"/>
    </row>
    <row r="739" spans="1:44" s="331" customFormat="1" ht="12" customHeight="1">
      <c r="A739" s="184"/>
      <c r="P739" s="184"/>
      <c r="X739" s="184"/>
      <c r="Y739" s="184"/>
      <c r="Z739" s="184"/>
      <c r="AA739" s="184"/>
      <c r="AB739" s="184"/>
      <c r="AC739" s="184"/>
      <c r="AD739" s="184"/>
      <c r="AE739" s="184"/>
      <c r="AF739" s="184"/>
      <c r="AG739" s="184"/>
      <c r="AH739" s="184"/>
      <c r="AI739" s="184"/>
      <c r="AJ739" s="184"/>
      <c r="AK739" s="184"/>
      <c r="AL739" s="184"/>
      <c r="AM739" s="184"/>
      <c r="AN739" s="184"/>
      <c r="AO739" s="184"/>
      <c r="AP739" s="184"/>
      <c r="AQ739" s="184"/>
      <c r="AR739" s="184"/>
    </row>
    <row r="740" spans="1:44" s="331" customFormat="1" ht="12" customHeight="1">
      <c r="A740" s="184"/>
      <c r="P740" s="184"/>
      <c r="X740" s="184"/>
      <c r="Y740" s="184"/>
      <c r="Z740" s="184"/>
      <c r="AA740" s="184"/>
      <c r="AB740" s="184"/>
      <c r="AC740" s="184"/>
      <c r="AD740" s="184"/>
      <c r="AE740" s="184"/>
      <c r="AF740" s="184"/>
      <c r="AG740" s="184"/>
      <c r="AH740" s="184"/>
      <c r="AI740" s="184"/>
      <c r="AJ740" s="184"/>
      <c r="AK740" s="184"/>
      <c r="AL740" s="184"/>
      <c r="AM740" s="184"/>
      <c r="AN740" s="184"/>
      <c r="AO740" s="184"/>
      <c r="AP740" s="184"/>
      <c r="AQ740" s="184"/>
      <c r="AR740" s="184"/>
    </row>
    <row r="741" spans="1:44" s="331" customFormat="1" ht="12" customHeight="1">
      <c r="A741" s="184"/>
      <c r="P741" s="184"/>
      <c r="X741" s="184"/>
      <c r="Y741" s="184"/>
      <c r="Z741" s="184"/>
      <c r="AA741" s="184"/>
      <c r="AB741" s="184"/>
      <c r="AC741" s="184"/>
      <c r="AD741" s="184"/>
      <c r="AE741" s="184"/>
      <c r="AF741" s="184"/>
      <c r="AG741" s="184"/>
      <c r="AH741" s="184"/>
      <c r="AI741" s="184"/>
      <c r="AJ741" s="184"/>
      <c r="AK741" s="184"/>
      <c r="AL741" s="184"/>
      <c r="AM741" s="184"/>
      <c r="AN741" s="184"/>
      <c r="AO741" s="184"/>
      <c r="AP741" s="184"/>
      <c r="AQ741" s="184"/>
      <c r="AR741" s="184"/>
    </row>
    <row r="742" spans="1:44" s="331" customFormat="1" ht="12" customHeight="1">
      <c r="A742" s="184"/>
      <c r="P742" s="184"/>
      <c r="X742" s="184"/>
      <c r="Y742" s="184"/>
      <c r="Z742" s="184"/>
      <c r="AA742" s="184"/>
      <c r="AB742" s="184"/>
      <c r="AC742" s="184"/>
      <c r="AD742" s="184"/>
      <c r="AE742" s="184"/>
      <c r="AF742" s="184"/>
      <c r="AG742" s="184"/>
      <c r="AH742" s="184"/>
      <c r="AI742" s="184"/>
      <c r="AJ742" s="184"/>
      <c r="AK742" s="184"/>
      <c r="AL742" s="184"/>
      <c r="AM742" s="184"/>
      <c r="AN742" s="184"/>
      <c r="AO742" s="184"/>
      <c r="AP742" s="184"/>
      <c r="AQ742" s="184"/>
      <c r="AR742" s="184"/>
    </row>
    <row r="743" spans="1:44" s="331" customFormat="1" ht="12" customHeight="1">
      <c r="A743" s="184"/>
      <c r="P743" s="184"/>
      <c r="X743" s="184"/>
      <c r="Y743" s="184"/>
      <c r="Z743" s="184"/>
      <c r="AA743" s="184"/>
      <c r="AB743" s="184"/>
      <c r="AC743" s="184"/>
      <c r="AD743" s="184"/>
      <c r="AE743" s="184"/>
      <c r="AF743" s="184"/>
      <c r="AG743" s="184"/>
      <c r="AH743" s="184"/>
      <c r="AI743" s="184"/>
      <c r="AJ743" s="184"/>
      <c r="AK743" s="184"/>
      <c r="AL743" s="184"/>
      <c r="AM743" s="184"/>
      <c r="AN743" s="184"/>
      <c r="AO743" s="184"/>
      <c r="AP743" s="184"/>
      <c r="AQ743" s="184"/>
      <c r="AR743" s="184"/>
    </row>
    <row r="744" spans="1:44" s="331" customFormat="1" ht="12" customHeight="1">
      <c r="A744" s="184"/>
      <c r="P744" s="184"/>
      <c r="X744" s="184"/>
      <c r="Y744" s="184"/>
      <c r="Z744" s="184"/>
      <c r="AA744" s="184"/>
      <c r="AB744" s="184"/>
      <c r="AC744" s="184"/>
      <c r="AD744" s="184"/>
      <c r="AE744" s="184"/>
      <c r="AF744" s="184"/>
      <c r="AG744" s="184"/>
      <c r="AH744" s="184"/>
      <c r="AI744" s="184"/>
      <c r="AJ744" s="184"/>
      <c r="AK744" s="184"/>
      <c r="AL744" s="184"/>
      <c r="AM744" s="184"/>
      <c r="AN744" s="184"/>
      <c r="AO744" s="184"/>
      <c r="AP744" s="184"/>
      <c r="AQ744" s="184"/>
      <c r="AR744" s="184"/>
    </row>
    <row r="745" spans="1:44" s="331" customFormat="1" ht="12" customHeight="1">
      <c r="A745" s="184"/>
      <c r="P745" s="184"/>
      <c r="X745" s="184"/>
      <c r="Y745" s="184"/>
      <c r="Z745" s="184"/>
      <c r="AA745" s="184"/>
      <c r="AB745" s="184"/>
      <c r="AC745" s="184"/>
      <c r="AD745" s="184"/>
      <c r="AE745" s="184"/>
      <c r="AF745" s="184"/>
      <c r="AG745" s="184"/>
    </row>
    <row r="746" spans="1:44" s="331" customFormat="1" ht="12" customHeight="1">
      <c r="A746" s="184"/>
      <c r="P746" s="184"/>
      <c r="X746" s="184"/>
      <c r="Y746" s="184"/>
      <c r="Z746" s="184"/>
      <c r="AA746" s="184"/>
      <c r="AB746" s="184"/>
      <c r="AC746" s="184"/>
      <c r="AD746" s="184"/>
      <c r="AE746" s="184"/>
      <c r="AF746" s="184"/>
      <c r="AG746" s="184"/>
    </row>
    <row r="747" spans="1:44" s="331" customFormat="1" ht="12" customHeight="1">
      <c r="A747" s="184"/>
      <c r="P747" s="184"/>
      <c r="X747" s="184"/>
      <c r="Y747" s="184"/>
      <c r="Z747" s="184"/>
      <c r="AA747" s="184"/>
      <c r="AB747" s="184"/>
      <c r="AC747" s="184"/>
      <c r="AD747" s="184"/>
      <c r="AE747" s="184"/>
      <c r="AF747" s="184"/>
      <c r="AG747" s="184"/>
    </row>
    <row r="748" spans="1:44" s="331" customFormat="1" ht="12" customHeight="1">
      <c r="A748" s="184"/>
      <c r="P748" s="184"/>
      <c r="X748" s="184"/>
      <c r="Y748" s="184"/>
      <c r="Z748" s="184"/>
      <c r="AA748" s="184"/>
      <c r="AB748" s="184"/>
      <c r="AC748" s="184"/>
      <c r="AD748" s="184"/>
      <c r="AE748" s="184"/>
      <c r="AF748" s="184"/>
      <c r="AG748" s="184"/>
    </row>
    <row r="749" spans="1:44" s="331" customFormat="1" ht="12" customHeight="1">
      <c r="A749" s="184"/>
      <c r="P749" s="184"/>
      <c r="X749" s="184"/>
      <c r="Y749" s="184"/>
      <c r="Z749" s="184"/>
      <c r="AA749" s="184"/>
      <c r="AB749" s="184"/>
      <c r="AC749" s="184"/>
      <c r="AD749" s="184"/>
      <c r="AE749" s="184"/>
      <c r="AF749" s="184"/>
      <c r="AG749" s="184"/>
    </row>
    <row r="750" spans="1:44" s="331" customFormat="1" ht="12" customHeight="1">
      <c r="A750" s="184"/>
      <c r="P750" s="184"/>
      <c r="X750" s="184"/>
      <c r="Y750" s="184"/>
      <c r="Z750" s="184"/>
      <c r="AA750" s="184"/>
      <c r="AB750" s="184"/>
      <c r="AC750" s="184"/>
      <c r="AD750" s="184"/>
      <c r="AE750" s="184"/>
      <c r="AF750" s="184"/>
      <c r="AG750" s="184"/>
    </row>
    <row r="751" spans="1:44" s="331" customFormat="1" ht="12" customHeight="1">
      <c r="A751" s="184"/>
      <c r="P751" s="184"/>
      <c r="X751" s="184"/>
      <c r="Y751" s="184"/>
      <c r="Z751" s="184"/>
      <c r="AA751" s="184"/>
      <c r="AB751" s="184"/>
      <c r="AC751" s="184"/>
      <c r="AD751" s="184"/>
      <c r="AE751" s="184"/>
      <c r="AF751" s="184"/>
      <c r="AG751" s="184"/>
    </row>
    <row r="752" spans="1:44" s="331" customFormat="1" ht="12" customHeight="1">
      <c r="A752" s="184"/>
      <c r="P752" s="184"/>
      <c r="X752" s="184"/>
      <c r="Y752" s="184"/>
      <c r="Z752" s="184"/>
      <c r="AA752" s="184"/>
      <c r="AB752" s="184"/>
      <c r="AC752" s="184"/>
      <c r="AD752" s="184"/>
      <c r="AE752" s="184"/>
      <c r="AF752" s="184"/>
      <c r="AG752" s="184"/>
    </row>
    <row r="753" spans="1:33" s="331" customFormat="1" ht="12" customHeight="1">
      <c r="A753" s="184"/>
      <c r="P753" s="184"/>
      <c r="X753" s="184"/>
      <c r="Y753" s="184"/>
      <c r="Z753" s="184"/>
      <c r="AA753" s="184"/>
      <c r="AB753" s="184"/>
      <c r="AC753" s="184"/>
      <c r="AD753" s="184"/>
      <c r="AE753" s="184"/>
      <c r="AF753" s="184"/>
      <c r="AG753" s="184"/>
    </row>
    <row r="754" spans="1:33" s="331" customFormat="1" ht="12" customHeight="1">
      <c r="A754" s="184"/>
      <c r="P754" s="184"/>
      <c r="X754" s="184"/>
      <c r="Y754" s="184"/>
      <c r="Z754" s="184"/>
      <c r="AA754" s="184"/>
      <c r="AB754" s="184"/>
      <c r="AC754" s="184"/>
      <c r="AD754" s="184"/>
      <c r="AE754" s="184"/>
      <c r="AF754" s="184"/>
      <c r="AG754" s="184"/>
    </row>
    <row r="755" spans="1:33" s="331" customFormat="1" ht="12" customHeight="1">
      <c r="A755" s="184"/>
      <c r="P755" s="184"/>
      <c r="X755" s="184"/>
      <c r="Y755" s="184"/>
      <c r="Z755" s="184"/>
      <c r="AA755" s="184"/>
      <c r="AB755" s="184"/>
      <c r="AC755" s="184"/>
      <c r="AD755" s="184"/>
      <c r="AE755" s="184"/>
      <c r="AF755" s="184"/>
      <c r="AG755" s="184"/>
    </row>
    <row r="756" spans="1:33" s="331" customFormat="1" ht="12" customHeight="1">
      <c r="A756" s="184"/>
      <c r="P756" s="184"/>
      <c r="X756" s="184"/>
      <c r="Y756" s="184"/>
      <c r="Z756" s="184"/>
      <c r="AA756" s="184"/>
      <c r="AB756" s="184"/>
      <c r="AC756" s="184"/>
      <c r="AD756" s="184"/>
      <c r="AE756" s="184"/>
      <c r="AF756" s="184"/>
      <c r="AG756" s="184"/>
    </row>
    <row r="757" spans="1:33" s="331" customFormat="1" ht="12" customHeight="1">
      <c r="A757" s="184"/>
      <c r="P757" s="184"/>
      <c r="X757" s="184"/>
      <c r="Y757" s="184"/>
      <c r="Z757" s="184"/>
      <c r="AA757" s="184"/>
      <c r="AB757" s="184"/>
      <c r="AC757" s="184"/>
      <c r="AD757" s="184"/>
      <c r="AE757" s="184"/>
      <c r="AF757" s="184"/>
      <c r="AG757" s="184"/>
    </row>
    <row r="758" spans="1:33" s="331" customFormat="1" ht="12" customHeight="1">
      <c r="A758" s="184"/>
      <c r="P758" s="184"/>
      <c r="X758" s="184"/>
      <c r="Y758" s="184"/>
      <c r="Z758" s="184"/>
      <c r="AA758" s="184"/>
      <c r="AB758" s="184"/>
      <c r="AC758" s="184"/>
      <c r="AD758" s="184"/>
      <c r="AE758" s="184"/>
      <c r="AF758" s="184"/>
      <c r="AG758" s="184"/>
    </row>
    <row r="759" spans="1:33" s="331" customFormat="1" ht="12" customHeight="1">
      <c r="A759" s="184"/>
      <c r="P759" s="184"/>
      <c r="X759" s="184"/>
      <c r="Y759" s="184"/>
      <c r="Z759" s="184"/>
      <c r="AA759" s="184"/>
      <c r="AB759" s="184"/>
      <c r="AC759" s="184"/>
      <c r="AD759" s="184"/>
      <c r="AE759" s="184"/>
      <c r="AF759" s="184"/>
      <c r="AG759" s="184"/>
    </row>
    <row r="760" spans="1:33" s="331" customFormat="1" ht="12" customHeight="1">
      <c r="B760" s="330"/>
      <c r="X760" s="184"/>
      <c r="Y760" s="184"/>
      <c r="Z760" s="184"/>
      <c r="AA760" s="184"/>
      <c r="AB760" s="184"/>
      <c r="AC760" s="184"/>
      <c r="AD760" s="184"/>
      <c r="AE760" s="184"/>
      <c r="AF760" s="184"/>
      <c r="AG760" s="184"/>
    </row>
    <row r="761" spans="1:33" s="331" customFormat="1" ht="12" customHeight="1">
      <c r="B761" s="330"/>
    </row>
    <row r="762" spans="1:33" s="331" customFormat="1" ht="12" customHeight="1">
      <c r="B762" s="330"/>
    </row>
    <row r="763" spans="1:33" s="331" customFormat="1" ht="12" customHeight="1">
      <c r="B763" s="330"/>
    </row>
    <row r="764" spans="1:33" s="331" customFormat="1" ht="12" customHeight="1">
      <c r="B764" s="330"/>
    </row>
    <row r="765" spans="1:33" s="331" customFormat="1" ht="12" customHeight="1">
      <c r="B765" s="330"/>
    </row>
    <row r="766" spans="1:33" s="331" customFormat="1" ht="12" customHeight="1">
      <c r="B766" s="330"/>
    </row>
    <row r="767" spans="1:33" s="331" customFormat="1" ht="12" customHeight="1">
      <c r="B767" s="330"/>
    </row>
    <row r="768" spans="1:33" s="331" customFormat="1" ht="12" customHeight="1">
      <c r="B768" s="330"/>
    </row>
    <row r="769" spans="2:2" s="331" customFormat="1" ht="12" customHeight="1">
      <c r="B769" s="330"/>
    </row>
    <row r="770" spans="2:2" s="331" customFormat="1" ht="12" customHeight="1">
      <c r="B770" s="330"/>
    </row>
    <row r="771" spans="2:2" s="331" customFormat="1" ht="12" customHeight="1">
      <c r="B771" s="330"/>
    </row>
    <row r="772" spans="2:2" s="331" customFormat="1" ht="12" customHeight="1">
      <c r="B772" s="330"/>
    </row>
    <row r="773" spans="2:2" s="331" customFormat="1" ht="12" customHeight="1">
      <c r="B773" s="330"/>
    </row>
    <row r="774" spans="2:2" s="331" customFormat="1" ht="12" customHeight="1">
      <c r="B774" s="330"/>
    </row>
    <row r="775" spans="2:2" s="331" customFormat="1" ht="12" customHeight="1">
      <c r="B775" s="330"/>
    </row>
    <row r="776" spans="2:2" s="331" customFormat="1" ht="12" customHeight="1">
      <c r="B776" s="330"/>
    </row>
    <row r="777" spans="2:2" s="331" customFormat="1" ht="12" customHeight="1">
      <c r="B777" s="330"/>
    </row>
    <row r="778" spans="2:2" s="331" customFormat="1" ht="12" customHeight="1">
      <c r="B778" s="330"/>
    </row>
    <row r="779" spans="2:2" s="331" customFormat="1" ht="12" customHeight="1">
      <c r="B779" s="330"/>
    </row>
    <row r="780" spans="2:2" s="331" customFormat="1" ht="12" customHeight="1">
      <c r="B780" s="330"/>
    </row>
    <row r="781" spans="2:2" s="331" customFormat="1" ht="12" customHeight="1">
      <c r="B781" s="330"/>
    </row>
    <row r="782" spans="2:2" s="331" customFormat="1" ht="12" customHeight="1">
      <c r="B782" s="330"/>
    </row>
    <row r="783" spans="2:2" s="331" customFormat="1" ht="12" customHeight="1">
      <c r="B783" s="330"/>
    </row>
    <row r="784" spans="2:2" s="331" customFormat="1" ht="12" customHeight="1">
      <c r="B784" s="330"/>
    </row>
    <row r="785" spans="2:27" s="331" customFormat="1" ht="12" customHeight="1">
      <c r="B785" s="330"/>
    </row>
    <row r="786" spans="2:27" s="331" customFormat="1" ht="12" customHeight="1">
      <c r="B786" s="330"/>
    </row>
    <row r="787" spans="2:27" s="331" customFormat="1" ht="12" customHeight="1">
      <c r="B787" s="330"/>
    </row>
    <row r="788" spans="2:27" s="331" customFormat="1" ht="12" customHeight="1">
      <c r="B788" s="330"/>
      <c r="N788" s="184"/>
      <c r="O788" s="184"/>
    </row>
    <row r="789" spans="2:27" ht="12" customHeight="1">
      <c r="I789" s="331"/>
      <c r="Z789" s="279"/>
      <c r="AA789" s="279"/>
    </row>
    <row r="790" spans="2:27" ht="12" customHeight="1">
      <c r="Z790" s="279"/>
      <c r="AA790" s="279"/>
    </row>
    <row r="791" spans="2:27" ht="12" customHeight="1">
      <c r="Z791" s="279"/>
      <c r="AA791" s="279"/>
    </row>
    <row r="792" spans="2:27" ht="12" customHeight="1">
      <c r="Z792" s="279"/>
      <c r="AA792" s="279"/>
    </row>
  </sheetData>
  <sheetProtection algorithmName="SHA-512" hashValue="G4FsMqJCSABIlrWRpGJBK4uEOBN9DLwaeWvnyip8eEAFHENPE7muTscurbOLko3aB0SsbckKFqqO6BeuEuXzSQ==" saltValue="zeiQO7ULHuY+CoMWNIx1uw==" spinCount="100000" sheet="1" objects="1" scenarios="1" formatRows="0"/>
  <sortState xmlns:xlrd2="http://schemas.microsoft.com/office/spreadsheetml/2017/richdata2" ref="C194:H353">
    <sortCondition ref="C194:C353"/>
    <sortCondition ref="E194:E353"/>
  </sortState>
  <mergeCells count="79">
    <mergeCell ref="I102:J102"/>
    <mergeCell ref="E99:L99"/>
    <mergeCell ref="F38:G38"/>
    <mergeCell ref="E98:L98"/>
    <mergeCell ref="M98:N98"/>
    <mergeCell ref="L102:P102"/>
    <mergeCell ref="K100:L100"/>
    <mergeCell ref="Q119:U120"/>
    <mergeCell ref="O3:P3"/>
    <mergeCell ref="M101:P101"/>
    <mergeCell ref="O107:P107"/>
    <mergeCell ref="N35:P35"/>
    <mergeCell ref="M99:N99"/>
    <mergeCell ref="N71:P71"/>
    <mergeCell ref="O98:P98"/>
    <mergeCell ref="N36:P36"/>
    <mergeCell ref="O24:P24"/>
    <mergeCell ref="N15:P15"/>
    <mergeCell ref="O16:P16"/>
    <mergeCell ref="N37:P37"/>
    <mergeCell ref="A1:P1"/>
    <mergeCell ref="O18:P18"/>
    <mergeCell ref="H31:I31"/>
    <mergeCell ref="O4:P4"/>
    <mergeCell ref="F24:L24"/>
    <mergeCell ref="F25:L25"/>
    <mergeCell ref="J27:K27"/>
    <mergeCell ref="O17:P17"/>
    <mergeCell ref="O26:P26"/>
    <mergeCell ref="F27:H27"/>
    <mergeCell ref="L19:P19"/>
    <mergeCell ref="J28:K28"/>
    <mergeCell ref="F19:H19"/>
    <mergeCell ref="J31:K31"/>
    <mergeCell ref="J7:K7"/>
    <mergeCell ref="O10:P10"/>
    <mergeCell ref="A119:J119"/>
    <mergeCell ref="K119:P119"/>
    <mergeCell ref="O108:P108"/>
    <mergeCell ref="H111:I111"/>
    <mergeCell ref="J8:K8"/>
    <mergeCell ref="F17:H17"/>
    <mergeCell ref="J18:K18"/>
    <mergeCell ref="G29:H29"/>
    <mergeCell ref="F15:L15"/>
    <mergeCell ref="F16:L16"/>
    <mergeCell ref="F26:L26"/>
    <mergeCell ref="F10:H10"/>
    <mergeCell ref="E102:G102"/>
    <mergeCell ref="H83:J83"/>
    <mergeCell ref="H94:I94"/>
    <mergeCell ref="O99:P99"/>
    <mergeCell ref="H32:I32"/>
    <mergeCell ref="O27:P27"/>
    <mergeCell ref="F32:G32"/>
    <mergeCell ref="N32:P32"/>
    <mergeCell ref="N33:O33"/>
    <mergeCell ref="F33:G33"/>
    <mergeCell ref="J32:K32"/>
    <mergeCell ref="F28:H28"/>
    <mergeCell ref="O29:P29"/>
    <mergeCell ref="J33:K33"/>
    <mergeCell ref="H33:I33"/>
    <mergeCell ref="F31:G31"/>
    <mergeCell ref="F35:K35"/>
    <mergeCell ref="E101:G101"/>
    <mergeCell ref="F36:H36"/>
    <mergeCell ref="N38:O38"/>
    <mergeCell ref="F37:K37"/>
    <mergeCell ref="I38:K38"/>
    <mergeCell ref="K71:L71"/>
    <mergeCell ref="J36:L36"/>
    <mergeCell ref="E100:G100"/>
    <mergeCell ref="H71:I71"/>
    <mergeCell ref="I101:K101"/>
    <mergeCell ref="K76:L76"/>
    <mergeCell ref="K79:L79"/>
    <mergeCell ref="K73:K74"/>
    <mergeCell ref="O100:P100"/>
  </mergeCells>
  <phoneticPr fontId="7" type="noConversion"/>
  <dataValidations count="18">
    <dataValidation type="list" showInputMessage="1" showErrorMessage="1" sqref="H47 O25 F29 H106" xr:uid="{00000000-0002-0000-0200-000000000000}">
      <formula1>"Yes, No"</formula1>
    </dataValidation>
    <dataValidation type="whole" operator="greaterThanOrEqual" showInputMessage="1" showErrorMessage="1" error="Please enter a whole number or leave this cell empty." sqref="H44 F32:H33 L30:P30 I32:K34 M48:P48 K48" xr:uid="{00000000-0002-0000-0200-000001000000}">
      <formula1>0</formula1>
    </dataValidation>
    <dataValidation type="list" allowBlank="1" showInputMessage="1" showErrorMessage="1" sqref="H113:H114 H92 D39 O116 H104 H110 O113 H116 H89:H90 P89:P90" xr:uid="{00000000-0002-0000-0200-00000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38:G38 J27:K27 J18:K18 K100:L100" xr:uid="{00000000-0002-0000-0200-000003000000}">
      <formula1>1000000</formula1>
      <formula2>999999999</formula2>
    </dataValidation>
    <dataValidation type="whole" showInputMessage="1" showErrorMessage="1" error="This cell is formatted for 10 digit phone numbers.  Please enter only numeric characters.  Do not enter hyphens, parentheses, periods, or spaces." sqref="F19 E102" xr:uid="{00000000-0002-0000-0200-000004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6:O18 I102" xr:uid="{00000000-0002-0000-0200-00000500000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0" xr:uid="{00000000-0002-0000-0200-000006000000}"/>
    <dataValidation type="list" allowBlank="1" showInputMessage="1" showErrorMessage="1" sqref="N93 N62 N86 N83:N84 S49 N72 N80 N75" xr:uid="{00000000-0002-0000-0200-000007000000}">
      <formula1>"Elderly, Housing for Older Persons"</formula1>
    </dataValidation>
    <dataValidation type="list" allowBlank="1" showInputMessage="1" showErrorMessage="1" sqref="H94:I94" xr:uid="{00000000-0002-0000-0200-000008000000}">
      <formula1>"&lt;&lt;Select Pool&gt;&gt;, Flexible, Rural, N/A - 4% Bond"</formula1>
    </dataValidation>
    <dataValidation type="list" allowBlank="1" showInputMessage="1" showErrorMessage="1" sqref="H71:I71" xr:uid="{00000000-0002-0000-0200-000009000000}">
      <formula1>"&lt;&lt; Select Tenancy &gt;&gt;,Family,Elderly,HFOP,Other Senior/Elderly, Other Non-Senior"</formula1>
    </dataValidation>
    <dataValidation type="list" operator="greaterThanOrEqual" showInputMessage="1" showErrorMessage="1" error="Please enter a whole number or leave this cell empty." sqref="N28 P28" xr:uid="{00000000-0002-0000-0200-00000A000000}">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xr:uid="{00000000-0002-0000-0200-00000B000000}"/>
    <dataValidation type="list" showInputMessage="1" showErrorMessage="1" sqref="O24:P24" xr:uid="{00000000-0002-0000-0200-00000C000000}">
      <formula1>"Yes - no Master Plan, Yes- w/Master Plan, No"</formula1>
    </dataValidation>
    <dataValidation type="list" allowBlank="1" showInputMessage="1" showErrorMessage="1" sqref="O10:P10" xr:uid="{00000000-0002-0000-0200-00000D000000}">
      <formula1>"&lt;&lt;Select&gt;&gt;,Yes - see Tab IX Changes, No"</formula1>
    </dataValidation>
    <dataValidation type="list" allowBlank="1" showInputMessage="1" showErrorMessage="1" sqref="F28:H28" xr:uid="{00000000-0002-0000-0200-00000E000000}">
      <formula1>"&lt;&lt; Select from list &gt;&gt;, Within City Limits, In Unincorporated County"</formula1>
    </dataValidation>
    <dataValidation type="list" allowBlank="1" showInputMessage="1" showErrorMessage="1" sqref="H83:J83" xr:uid="{00000000-0002-0000-0200-00000F000000}">
      <formula1>"&lt;&lt; Select LIHTC Election &gt;&gt;,Income Averaging, 20% of Units at 50% of AMI, 40% of Units at 60% of AMI"</formula1>
    </dataValidation>
    <dataValidation type="list" showInputMessage="1" showErrorMessage="1" sqref="P85" xr:uid="{00000000-0002-0000-0200-000010000000}">
      <formula1>"Select, Yes, No, N/a"</formula1>
    </dataValidation>
    <dataValidation type="list" allowBlank="1" showInputMessage="1" showErrorMessage="1" sqref="F10:H10" xr:uid="{00000000-0002-0000-0200-000011000000}">
      <formula1>"(Select an Application Type),9% Credit Competitive Round only, 9% Credit &amp; HOME, 9% Credit &amp; NHTF, 9% Credit &amp; NHTF &amp; HOME, 4% Credit/TE Bond, 4% Credit/TE Bond &amp; HOME, 4% Credit/TE Bond &amp; HOME NOFA"</formula1>
    </dataValidation>
  </dataValidations>
  <hyperlinks>
    <hyperlink ref="N32" r:id="rId1" xr:uid="{00000000-0004-0000-0200-000000000000}"/>
    <hyperlink ref="N33" r:id="rId2" xr:uid="{00000000-0004-0000-0200-000001000000}"/>
  </hyperlinks>
  <printOptions horizontalCentered="1"/>
  <pageMargins left="0.25" right="0.25" top="0.75" bottom="0.75" header="0.5" footer="0.5"/>
  <pageSetup fitToHeight="0" orientation="landscape" r:id="rId3"/>
  <headerFooter alignWithMargins="0">
    <oddHeader>&amp;L&amp;11Georgia Department of Community Affairs&amp;C&amp;11OHF Final Cost Certification Application&amp;R&amp;11Housing Finance and Development Division</oddHeader>
    <oddFooter>&amp;L&amp;"Arial Narrow,Regular"&amp;G &amp;F&amp;C&amp;"Arial Narrow,Regular"&amp;A&amp;R&amp;"Arial Narrow,Regular"&amp;P of &amp;N</oddFooter>
  </headerFooter>
  <rowBreaks count="2" manualBreakCount="2">
    <brk id="48" max="16383" man="1"/>
    <brk id="103"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12000000}">
          <x14:formula1>
            <xm:f>'DCA Underwriting Assumptions'!$F$158:$F$208</xm:f>
          </x14:formula1>
          <xm:sqref>F18</xm:sqref>
        </x14:dataValidation>
        <x14:dataValidation type="list" allowBlank="1" showInputMessage="1" showErrorMessage="1" xr:uid="{00000000-0002-0000-0200-000013000000}">
          <x14:formula1>
            <xm:f>'DCA Underwriting Assumptions'!$T$158:$T$786</xm:f>
          </x14:formula1>
          <xm:sqref>F27:H27</xm:sqref>
        </x14:dataValidation>
        <x14:dataValidation type="list" allowBlank="1" showInputMessage="1" showErrorMessage="1" xr:uid="{00000000-0002-0000-0200-000014000000}">
          <x14:formula1>
            <xm:f>'DCA Underwriting Assumptions'!$P$158:$P$697</xm:f>
          </x14:formula1>
          <xm:sqref>E98:L98</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AD863"/>
  <sheetViews>
    <sheetView showGridLines="0" zoomScale="120" zoomScaleNormal="120" workbookViewId="0">
      <selection activeCell="T16" sqref="T16"/>
    </sheetView>
  </sheetViews>
  <sheetFormatPr defaultColWidth="8.85546875" defaultRowHeight="12.75"/>
  <cols>
    <col min="1" max="1" width="1.85546875" style="7" customWidth="1"/>
    <col min="2" max="2" width="5.140625" style="7" customWidth="1"/>
    <col min="3" max="3" width="9.85546875" style="7" customWidth="1"/>
    <col min="4" max="6" width="7.85546875" style="7" customWidth="1"/>
    <col min="7" max="7" width="10.85546875" style="7" customWidth="1"/>
    <col min="8" max="8" width="7.85546875" style="7" customWidth="1"/>
    <col min="9" max="9" width="17.5703125" style="7" customWidth="1"/>
    <col min="10" max="10" width="7.85546875" style="7" customWidth="1"/>
    <col min="11" max="11" width="7.140625" style="7" customWidth="1"/>
    <col min="12" max="12" width="7.85546875" style="7" customWidth="1"/>
    <col min="13" max="13" width="7.42578125" style="7" customWidth="1"/>
    <col min="14" max="16" width="7.85546875" style="7" customWidth="1"/>
    <col min="17" max="17" width="8.140625" style="7" customWidth="1"/>
    <col min="18" max="18" width="8.42578125" style="7" customWidth="1"/>
    <col min="19" max="26" width="8.85546875" style="7"/>
    <col min="27" max="28" width="8.85546875" style="387"/>
    <col min="29" max="16384" width="8.85546875" style="7"/>
  </cols>
  <sheetData>
    <row r="1" spans="1:28" s="51" customFormat="1" ht="3" customHeight="1">
      <c r="A1" s="52"/>
      <c r="B1" s="52"/>
      <c r="C1" s="52"/>
      <c r="D1" s="52"/>
      <c r="E1" s="52"/>
      <c r="F1" s="52"/>
      <c r="G1" s="52"/>
      <c r="H1" s="52"/>
      <c r="I1" s="52"/>
      <c r="J1" s="52"/>
      <c r="K1" s="52"/>
      <c r="L1" s="52"/>
      <c r="M1" s="52"/>
      <c r="N1" s="52"/>
      <c r="O1" s="52"/>
      <c r="P1" s="52"/>
      <c r="AA1" s="1375"/>
      <c r="AB1" s="1375"/>
    </row>
    <row r="2" spans="1:28" s="137" customFormat="1" ht="13.35" customHeight="1">
      <c r="A2" s="2655" t="s">
        <v>668</v>
      </c>
      <c r="B2" s="2656"/>
      <c r="C2" s="2656"/>
      <c r="D2" s="2656"/>
      <c r="E2" s="2656"/>
      <c r="F2" s="2656"/>
      <c r="G2" s="2656"/>
      <c r="H2" s="2656"/>
      <c r="I2" s="2656"/>
      <c r="J2" s="2656"/>
      <c r="K2" s="2656"/>
      <c r="L2" s="2656"/>
      <c r="M2" s="2656"/>
      <c r="N2" s="2656"/>
      <c r="O2" s="2656"/>
      <c r="P2" s="2656"/>
      <c r="Q2" s="2656"/>
      <c r="R2" s="2657"/>
      <c r="S2" s="53"/>
      <c r="T2" s="53"/>
      <c r="U2" s="53"/>
      <c r="AA2" s="387"/>
      <c r="AB2" s="387"/>
    </row>
    <row r="3" spans="1:28" s="137" customFormat="1" ht="4.3499999999999996" customHeight="1">
      <c r="A3" s="55"/>
      <c r="B3" s="55"/>
      <c r="C3" s="55"/>
      <c r="D3" s="55"/>
      <c r="E3" s="55"/>
      <c r="F3" s="55"/>
      <c r="G3" s="55"/>
      <c r="H3" s="55"/>
      <c r="I3" s="55"/>
      <c r="J3" s="55"/>
      <c r="K3" s="55"/>
      <c r="L3" s="55"/>
      <c r="M3" s="55"/>
      <c r="N3" s="55"/>
      <c r="O3" s="55"/>
      <c r="P3" s="55"/>
      <c r="Q3" s="53"/>
      <c r="R3" s="53"/>
      <c r="S3" s="53"/>
      <c r="T3" s="53"/>
      <c r="U3" s="53"/>
      <c r="AA3" s="387"/>
      <c r="AB3" s="387"/>
    </row>
    <row r="4" spans="1:28" s="137" customFormat="1" ht="12" customHeight="1">
      <c r="A4" s="138" t="s">
        <v>1555</v>
      </c>
      <c r="B4" s="138"/>
      <c r="C4" s="138"/>
      <c r="D4" s="53"/>
      <c r="E4" s="53"/>
      <c r="F4" s="138" t="s">
        <v>1556</v>
      </c>
      <c r="G4" s="138"/>
      <c r="H4" s="53"/>
      <c r="I4" s="53"/>
      <c r="J4" s="138" t="s">
        <v>1557</v>
      </c>
      <c r="K4" s="138"/>
      <c r="L4" s="138"/>
      <c r="M4" s="138"/>
      <c r="N4" s="138"/>
      <c r="O4" s="138"/>
      <c r="P4" s="53"/>
      <c r="Q4" s="57" t="s">
        <v>2604</v>
      </c>
      <c r="R4" s="57" t="s">
        <v>1558</v>
      </c>
      <c r="S4" s="53"/>
      <c r="T4" s="53"/>
      <c r="U4" s="53"/>
      <c r="W4" s="141"/>
      <c r="X4" s="141"/>
      <c r="Y4" s="141"/>
      <c r="Z4" s="141"/>
      <c r="AA4" s="387"/>
      <c r="AB4" s="387"/>
    </row>
    <row r="5" spans="1:28" s="137" customFormat="1" ht="4.3499999999999996" customHeight="1">
      <c r="A5" s="138"/>
      <c r="B5" s="138"/>
      <c r="C5" s="138"/>
      <c r="D5" s="138"/>
      <c r="E5" s="53"/>
      <c r="F5" s="138"/>
      <c r="G5" s="138"/>
      <c r="H5" s="53"/>
      <c r="I5" s="53"/>
      <c r="J5" s="138"/>
      <c r="K5" s="138"/>
      <c r="L5" s="138"/>
      <c r="M5" s="138"/>
      <c r="N5" s="138"/>
      <c r="O5" s="138"/>
      <c r="P5" s="53"/>
      <c r="Q5" s="139"/>
      <c r="R5" s="140"/>
      <c r="S5" s="53"/>
      <c r="T5" s="53"/>
      <c r="U5" s="53"/>
      <c r="W5" s="141"/>
      <c r="X5" s="141"/>
      <c r="Y5" s="141"/>
      <c r="Z5" s="141"/>
      <c r="AA5" s="387"/>
      <c r="AB5" s="387"/>
    </row>
    <row r="6" spans="1:28" s="137" customFormat="1" ht="11.45" customHeight="1">
      <c r="A6" s="142" t="s">
        <v>1559</v>
      </c>
      <c r="B6" s="56"/>
      <c r="C6" s="56"/>
      <c r="D6" s="53"/>
      <c r="E6" s="53"/>
      <c r="F6" s="56" t="s">
        <v>476</v>
      </c>
      <c r="G6" s="56"/>
      <c r="H6" s="53"/>
      <c r="I6" s="53"/>
      <c r="J6" s="56" t="s">
        <v>1560</v>
      </c>
      <c r="K6" s="56"/>
      <c r="L6" s="56" t="s">
        <v>2398</v>
      </c>
      <c r="M6" s="56"/>
      <c r="N6" s="56"/>
      <c r="O6" s="56"/>
      <c r="P6" s="53"/>
      <c r="Q6" s="553" t="s">
        <v>1561</v>
      </c>
      <c r="R6" s="553">
        <v>1000000</v>
      </c>
      <c r="S6" s="53"/>
      <c r="U6" s="53"/>
      <c r="V6" s="143"/>
      <c r="W6" s="143"/>
      <c r="X6" s="57"/>
      <c r="AA6" s="387"/>
      <c r="AB6" s="387"/>
    </row>
    <row r="7" spans="1:28" s="137" customFormat="1" ht="11.45" customHeight="1">
      <c r="A7" s="142"/>
      <c r="B7" s="56"/>
      <c r="C7" s="56"/>
      <c r="D7" s="53"/>
      <c r="E7" s="53"/>
      <c r="F7" s="56"/>
      <c r="G7" s="56"/>
      <c r="H7" s="53"/>
      <c r="I7" s="53"/>
      <c r="J7" s="56"/>
      <c r="K7" s="56"/>
      <c r="L7" s="56" t="s">
        <v>2399</v>
      </c>
      <c r="M7" s="56"/>
      <c r="N7" s="56"/>
      <c r="O7" s="56"/>
      <c r="P7" s="53"/>
      <c r="Q7" s="553" t="s">
        <v>1561</v>
      </c>
      <c r="R7" s="553">
        <v>900000</v>
      </c>
      <c r="S7" s="53"/>
      <c r="U7" s="53"/>
      <c r="V7" s="143"/>
      <c r="W7" s="143"/>
      <c r="X7" s="57"/>
      <c r="AA7" s="387"/>
      <c r="AB7" s="387"/>
    </row>
    <row r="8" spans="1:28" s="137" customFormat="1" ht="11.45" customHeight="1">
      <c r="F8" s="56"/>
      <c r="G8" s="56"/>
      <c r="H8" s="53"/>
      <c r="I8" s="53"/>
      <c r="J8" s="56" t="s">
        <v>1162</v>
      </c>
      <c r="K8" s="56"/>
      <c r="L8" s="56"/>
      <c r="M8" s="56"/>
      <c r="N8" s="56"/>
      <c r="O8" s="56"/>
      <c r="P8" s="53"/>
      <c r="Q8" s="553" t="s">
        <v>1561</v>
      </c>
      <c r="R8" s="553">
        <v>1800000</v>
      </c>
      <c r="S8" s="53"/>
      <c r="T8" s="53"/>
      <c r="U8" s="53"/>
      <c r="V8" s="143"/>
      <c r="W8" s="143"/>
      <c r="X8" s="57"/>
      <c r="AA8" s="387"/>
      <c r="AB8" s="387"/>
    </row>
    <row r="9" spans="1:28" s="137" customFormat="1" ht="11.45" customHeight="1">
      <c r="F9" s="56" t="s">
        <v>2138</v>
      </c>
      <c r="G9" s="56"/>
      <c r="H9" s="53"/>
      <c r="I9" s="53"/>
      <c r="J9" s="56" t="s">
        <v>1587</v>
      </c>
      <c r="K9" s="56"/>
      <c r="L9" s="56"/>
      <c r="M9" s="56"/>
      <c r="N9" s="56"/>
      <c r="O9" s="56"/>
      <c r="P9" s="53"/>
      <c r="Q9" s="553">
        <v>1000000</v>
      </c>
      <c r="R9" s="553">
        <v>2000000</v>
      </c>
      <c r="S9" s="144"/>
      <c r="T9" s="144"/>
      <c r="U9" s="53"/>
      <c r="V9" s="145"/>
      <c r="W9" s="145"/>
      <c r="X9" s="145"/>
      <c r="AA9" s="387"/>
      <c r="AB9" s="387"/>
    </row>
    <row r="10" spans="1:28" s="137" customFormat="1" ht="11.45" customHeight="1">
      <c r="F10" s="56"/>
      <c r="G10" s="56"/>
      <c r="H10" s="53"/>
      <c r="I10" s="53"/>
      <c r="J10" s="56" t="s">
        <v>2116</v>
      </c>
      <c r="K10" s="56"/>
      <c r="L10" s="56"/>
      <c r="M10" s="56"/>
      <c r="N10" s="56"/>
      <c r="O10" s="56"/>
      <c r="P10" s="53"/>
      <c r="Q10" s="553" t="s">
        <v>1561</v>
      </c>
      <c r="R10" s="1376">
        <v>0.25</v>
      </c>
      <c r="S10" s="53"/>
      <c r="T10" s="53"/>
      <c r="U10" s="53"/>
      <c r="V10" s="143"/>
      <c r="W10" s="143"/>
      <c r="X10" s="57"/>
      <c r="AA10" s="387"/>
      <c r="AB10" s="387"/>
    </row>
    <row r="11" spans="1:28" s="137" customFormat="1" ht="11.45" customHeight="1">
      <c r="A11" s="56"/>
      <c r="B11" s="56"/>
      <c r="C11" s="56"/>
      <c r="D11" s="53"/>
      <c r="E11" s="53"/>
      <c r="F11" s="56" t="s">
        <v>3427</v>
      </c>
      <c r="G11" s="56"/>
      <c r="H11" s="53"/>
      <c r="I11" s="53"/>
      <c r="J11" s="497" t="s">
        <v>3428</v>
      </c>
      <c r="K11" s="149"/>
      <c r="M11" s="149"/>
      <c r="N11" s="149"/>
      <c r="O11" s="56"/>
      <c r="Q11" s="147"/>
      <c r="R11" s="147"/>
      <c r="S11" s="154"/>
      <c r="T11" s="53"/>
      <c r="U11" s="53"/>
      <c r="V11" s="145"/>
      <c r="W11" s="145"/>
      <c r="X11" s="145"/>
      <c r="AA11" s="387"/>
      <c r="AB11" s="387"/>
    </row>
    <row r="12" spans="1:28" s="137" customFormat="1" ht="11.45" customHeight="1">
      <c r="A12" s="56"/>
      <c r="B12" s="56"/>
      <c r="C12" s="56"/>
      <c r="D12" s="53"/>
      <c r="E12" s="53"/>
      <c r="F12" s="56"/>
      <c r="G12" s="56"/>
      <c r="H12" s="53"/>
      <c r="I12" s="53"/>
      <c r="J12" s="497"/>
      <c r="K12" s="149"/>
      <c r="M12" s="149"/>
      <c r="N12" s="149"/>
      <c r="O12" s="56"/>
      <c r="Q12" s="147"/>
      <c r="R12" s="147"/>
      <c r="S12" s="154"/>
      <c r="T12" s="53"/>
      <c r="U12" s="53"/>
      <c r="V12" s="145"/>
      <c r="W12" s="145"/>
      <c r="X12" s="145"/>
      <c r="AA12" s="387"/>
      <c r="AB12" s="387"/>
    </row>
    <row r="13" spans="1:28" s="137" customFormat="1" ht="11.45" customHeight="1">
      <c r="A13" s="56"/>
      <c r="B13" s="56"/>
      <c r="C13" s="56"/>
      <c r="D13" s="1377">
        <v>2018</v>
      </c>
      <c r="E13" s="53"/>
      <c r="F13" s="2658" t="s">
        <v>2942</v>
      </c>
      <c r="G13" s="2659"/>
      <c r="H13" s="2659"/>
      <c r="I13" s="2659"/>
      <c r="J13" s="2660"/>
      <c r="K13" s="149"/>
      <c r="L13" s="498" t="s">
        <v>3429</v>
      </c>
      <c r="M13" s="149"/>
      <c r="N13" s="2658" t="s">
        <v>2942</v>
      </c>
      <c r="O13" s="2659"/>
      <c r="P13" s="2659"/>
      <c r="Q13" s="2659"/>
      <c r="R13" s="2660"/>
      <c r="S13" s="154"/>
      <c r="T13" s="53"/>
      <c r="U13" s="53"/>
      <c r="V13" s="145"/>
      <c r="W13" s="145"/>
      <c r="X13" s="145"/>
      <c r="AA13" s="387"/>
      <c r="AB13" s="387"/>
    </row>
    <row r="14" spans="1:28" s="137" customFormat="1" ht="11.45" customHeight="1">
      <c r="A14" s="56"/>
      <c r="D14" s="499" t="s">
        <v>2322</v>
      </c>
      <c r="E14" s="499" t="s">
        <v>1198</v>
      </c>
      <c r="F14" s="500">
        <v>0</v>
      </c>
      <c r="G14" s="501">
        <v>1</v>
      </c>
      <c r="H14" s="502">
        <v>2</v>
      </c>
      <c r="I14" s="502">
        <v>3</v>
      </c>
      <c r="J14" s="503" t="s">
        <v>2939</v>
      </c>
      <c r="L14" s="499" t="s">
        <v>2322</v>
      </c>
      <c r="M14" s="499" t="s">
        <v>1198</v>
      </c>
      <c r="N14" s="500">
        <v>0</v>
      </c>
      <c r="O14" s="501">
        <v>1</v>
      </c>
      <c r="P14" s="502">
        <v>2</v>
      </c>
      <c r="Q14" s="502">
        <v>3</v>
      </c>
      <c r="R14" s="503" t="s">
        <v>2939</v>
      </c>
      <c r="S14" s="154"/>
      <c r="T14" s="53"/>
      <c r="U14" s="53"/>
      <c r="V14" s="145"/>
      <c r="W14" s="145"/>
      <c r="X14" s="145"/>
      <c r="AA14" s="387"/>
      <c r="AB14" s="387"/>
    </row>
    <row r="15" spans="1:28" s="137" customFormat="1" ht="11.45" customHeight="1">
      <c r="A15" s="56"/>
      <c r="C15" s="184"/>
      <c r="D15" s="1378" t="s">
        <v>1606</v>
      </c>
      <c r="E15" s="1378" t="s">
        <v>2941</v>
      </c>
      <c r="F15" s="1379">
        <v>137262</v>
      </c>
      <c r="G15" s="1379">
        <v>177349</v>
      </c>
      <c r="H15" s="1379">
        <v>212078</v>
      </c>
      <c r="I15" s="1379">
        <v>252716</v>
      </c>
      <c r="J15" s="1379">
        <v>297120</v>
      </c>
      <c r="L15" s="154" t="s">
        <v>1606</v>
      </c>
      <c r="M15" s="154" t="s">
        <v>2941</v>
      </c>
      <c r="N15" s="1380">
        <f t="shared" ref="N15:R30" si="0">ROUNDDOWN(F15*1.1,0)</f>
        <v>150988</v>
      </c>
      <c r="O15" s="1380">
        <f t="shared" si="0"/>
        <v>195083</v>
      </c>
      <c r="P15" s="1380">
        <f t="shared" si="0"/>
        <v>233285</v>
      </c>
      <c r="Q15" s="1380">
        <f t="shared" si="0"/>
        <v>277987</v>
      </c>
      <c r="R15" s="1380">
        <f t="shared" si="0"/>
        <v>326832</v>
      </c>
      <c r="S15" s="154"/>
      <c r="T15" s="53"/>
      <c r="U15" s="53"/>
      <c r="V15" s="145"/>
      <c r="W15" s="145"/>
      <c r="X15" s="145"/>
      <c r="AA15" s="387"/>
      <c r="AB15" s="387"/>
    </row>
    <row r="16" spans="1:28" s="137" customFormat="1" ht="11.45" customHeight="1">
      <c r="A16" s="56"/>
      <c r="C16" s="184"/>
      <c r="D16" s="1378" t="s">
        <v>1606</v>
      </c>
      <c r="E16" s="1378" t="s">
        <v>2938</v>
      </c>
      <c r="F16" s="1379">
        <v>107293</v>
      </c>
      <c r="G16" s="1379">
        <v>150210</v>
      </c>
      <c r="H16" s="1379">
        <v>193128</v>
      </c>
      <c r="I16" s="1379">
        <v>257504</v>
      </c>
      <c r="J16" s="1379">
        <v>321879</v>
      </c>
      <c r="L16" s="154" t="s">
        <v>1606</v>
      </c>
      <c r="M16" s="154" t="s">
        <v>2938</v>
      </c>
      <c r="N16" s="1380">
        <f t="shared" si="0"/>
        <v>118022</v>
      </c>
      <c r="O16" s="1380">
        <f t="shared" si="0"/>
        <v>165231</v>
      </c>
      <c r="P16" s="1380">
        <f t="shared" si="0"/>
        <v>212440</v>
      </c>
      <c r="Q16" s="1380">
        <f t="shared" si="0"/>
        <v>283254</v>
      </c>
      <c r="R16" s="1380">
        <f t="shared" si="0"/>
        <v>354066</v>
      </c>
      <c r="S16" s="154"/>
      <c r="T16" s="53"/>
      <c r="U16" s="53"/>
      <c r="V16" s="145"/>
      <c r="W16" s="145"/>
      <c r="X16" s="145"/>
      <c r="AA16" s="387"/>
      <c r="AB16" s="387"/>
    </row>
    <row r="17" spans="1:28" s="137" customFormat="1" ht="11.45" customHeight="1">
      <c r="A17" s="56"/>
      <c r="C17" s="184"/>
      <c r="D17" s="1378" t="s">
        <v>1606</v>
      </c>
      <c r="E17" s="1378" t="s">
        <v>2936</v>
      </c>
      <c r="F17" s="1379">
        <v>121714</v>
      </c>
      <c r="G17" s="1379">
        <v>158836</v>
      </c>
      <c r="H17" s="1379">
        <v>192451</v>
      </c>
      <c r="I17" s="1379">
        <v>234909</v>
      </c>
      <c r="J17" s="1379">
        <v>278528</v>
      </c>
      <c r="L17" s="154" t="s">
        <v>1606</v>
      </c>
      <c r="M17" s="154" t="s">
        <v>2936</v>
      </c>
      <c r="N17" s="1380">
        <f t="shared" si="0"/>
        <v>133885</v>
      </c>
      <c r="O17" s="1380">
        <f t="shared" si="0"/>
        <v>174719</v>
      </c>
      <c r="P17" s="1380">
        <f t="shared" si="0"/>
        <v>211696</v>
      </c>
      <c r="Q17" s="1380">
        <f t="shared" si="0"/>
        <v>258399</v>
      </c>
      <c r="R17" s="1380">
        <f t="shared" si="0"/>
        <v>306380</v>
      </c>
      <c r="S17" s="154"/>
      <c r="T17" s="53"/>
      <c r="U17" s="53"/>
      <c r="V17" s="145"/>
      <c r="W17" s="145"/>
      <c r="X17" s="145"/>
      <c r="AA17" s="387"/>
      <c r="AB17" s="387"/>
    </row>
    <row r="18" spans="1:28" s="137" customFormat="1" ht="11.45" customHeight="1">
      <c r="A18" s="56"/>
      <c r="C18" s="184"/>
      <c r="D18" s="1378" t="s">
        <v>1606</v>
      </c>
      <c r="E18" s="1378" t="s">
        <v>2937</v>
      </c>
      <c r="F18" s="1379">
        <v>107065</v>
      </c>
      <c r="G18" s="1379">
        <v>146199</v>
      </c>
      <c r="H18" s="1379">
        <v>185055</v>
      </c>
      <c r="I18" s="1379">
        <v>243836</v>
      </c>
      <c r="J18" s="1379">
        <v>302233</v>
      </c>
      <c r="L18" s="154" t="s">
        <v>1606</v>
      </c>
      <c r="M18" s="154" t="s">
        <v>2937</v>
      </c>
      <c r="N18" s="1380">
        <f t="shared" si="0"/>
        <v>117771</v>
      </c>
      <c r="O18" s="1380">
        <f t="shared" si="0"/>
        <v>160818</v>
      </c>
      <c r="P18" s="1380">
        <f t="shared" si="0"/>
        <v>203560</v>
      </c>
      <c r="Q18" s="1380">
        <f t="shared" si="0"/>
        <v>268219</v>
      </c>
      <c r="R18" s="1380">
        <f t="shared" si="0"/>
        <v>332456</v>
      </c>
      <c r="S18" s="154"/>
      <c r="T18" s="53"/>
      <c r="U18" s="53"/>
      <c r="V18" s="145"/>
      <c r="W18" s="145"/>
      <c r="X18" s="145"/>
      <c r="AA18" s="387"/>
      <c r="AB18" s="387"/>
    </row>
    <row r="19" spans="1:28" s="137" customFormat="1" ht="11.45" customHeight="1">
      <c r="A19" s="56"/>
      <c r="C19" s="184"/>
      <c r="D19" s="1381" t="s">
        <v>148</v>
      </c>
      <c r="E19" s="1381" t="s">
        <v>2941</v>
      </c>
      <c r="F19" s="1382">
        <v>135505</v>
      </c>
      <c r="G19" s="1382">
        <v>175180</v>
      </c>
      <c r="H19" s="1382">
        <v>209551</v>
      </c>
      <c r="I19" s="1382">
        <v>249808</v>
      </c>
      <c r="J19" s="1382">
        <v>293789</v>
      </c>
      <c r="L19" s="154" t="s">
        <v>148</v>
      </c>
      <c r="M19" s="154" t="s">
        <v>2941</v>
      </c>
      <c r="N19" s="1380">
        <f t="shared" si="0"/>
        <v>149055</v>
      </c>
      <c r="O19" s="1380">
        <f t="shared" si="0"/>
        <v>192698</v>
      </c>
      <c r="P19" s="1380">
        <f t="shared" si="0"/>
        <v>230506</v>
      </c>
      <c r="Q19" s="1380">
        <f t="shared" si="0"/>
        <v>274788</v>
      </c>
      <c r="R19" s="1380">
        <f t="shared" si="0"/>
        <v>323167</v>
      </c>
      <c r="S19" s="154"/>
      <c r="T19" s="53"/>
      <c r="U19" s="53"/>
      <c r="V19" s="145"/>
      <c r="W19" s="145"/>
      <c r="X19" s="145"/>
      <c r="AA19" s="387"/>
      <c r="AB19" s="387"/>
    </row>
    <row r="20" spans="1:28" s="137" customFormat="1" ht="11.45" customHeight="1">
      <c r="A20" s="56"/>
      <c r="C20" s="184"/>
      <c r="D20" s="1381" t="s">
        <v>148</v>
      </c>
      <c r="E20" s="1381" t="s">
        <v>2938</v>
      </c>
      <c r="F20" s="1382">
        <v>105897</v>
      </c>
      <c r="G20" s="1382">
        <v>148256</v>
      </c>
      <c r="H20" s="1382">
        <v>190615</v>
      </c>
      <c r="I20" s="1382">
        <v>254153</v>
      </c>
      <c r="J20" s="1382">
        <v>317691</v>
      </c>
      <c r="L20" s="154" t="s">
        <v>148</v>
      </c>
      <c r="M20" s="154" t="s">
        <v>2938</v>
      </c>
      <c r="N20" s="1380">
        <f t="shared" si="0"/>
        <v>116486</v>
      </c>
      <c r="O20" s="1380">
        <f t="shared" si="0"/>
        <v>163081</v>
      </c>
      <c r="P20" s="1380">
        <f t="shared" si="0"/>
        <v>209676</v>
      </c>
      <c r="Q20" s="1380">
        <f t="shared" si="0"/>
        <v>279568</v>
      </c>
      <c r="R20" s="1380">
        <f t="shared" si="0"/>
        <v>349460</v>
      </c>
      <c r="S20" s="154"/>
      <c r="T20" s="53"/>
      <c r="U20" s="53"/>
      <c r="V20" s="145"/>
      <c r="W20" s="145"/>
      <c r="X20" s="145"/>
      <c r="AA20" s="387"/>
      <c r="AB20" s="387"/>
    </row>
    <row r="21" spans="1:28" s="137" customFormat="1" ht="11.45" customHeight="1">
      <c r="A21" s="56"/>
      <c r="C21" s="184"/>
      <c r="D21" s="1381" t="s">
        <v>148</v>
      </c>
      <c r="E21" s="1381" t="s">
        <v>2936</v>
      </c>
      <c r="F21" s="1382">
        <v>119770</v>
      </c>
      <c r="G21" s="1382">
        <v>156444</v>
      </c>
      <c r="H21" s="1382">
        <v>189688</v>
      </c>
      <c r="I21" s="1382">
        <v>231786</v>
      </c>
      <c r="J21" s="1382">
        <v>274973</v>
      </c>
      <c r="L21" s="154" t="s">
        <v>148</v>
      </c>
      <c r="M21" s="154" t="s">
        <v>2936</v>
      </c>
      <c r="N21" s="1380">
        <f t="shared" si="0"/>
        <v>131747</v>
      </c>
      <c r="O21" s="1380">
        <f t="shared" si="0"/>
        <v>172088</v>
      </c>
      <c r="P21" s="1380">
        <f t="shared" si="0"/>
        <v>208656</v>
      </c>
      <c r="Q21" s="1380">
        <f t="shared" si="0"/>
        <v>254964</v>
      </c>
      <c r="R21" s="1380">
        <f t="shared" si="0"/>
        <v>302470</v>
      </c>
      <c r="S21" s="154"/>
      <c r="T21" s="53"/>
      <c r="U21" s="53"/>
      <c r="V21" s="145"/>
      <c r="W21" s="145"/>
      <c r="X21" s="145"/>
      <c r="AA21" s="387"/>
      <c r="AB21" s="387"/>
    </row>
    <row r="22" spans="1:28" s="137" customFormat="1" ht="11.45" customHeight="1">
      <c r="A22" s="56"/>
      <c r="C22" s="184"/>
      <c r="D22" s="1381" t="s">
        <v>148</v>
      </c>
      <c r="E22" s="1381" t="s">
        <v>2937</v>
      </c>
      <c r="F22" s="1382">
        <v>104962</v>
      </c>
      <c r="G22" s="1382">
        <v>143211</v>
      </c>
      <c r="H22" s="1382">
        <v>181178</v>
      </c>
      <c r="I22" s="1382">
        <v>238632</v>
      </c>
      <c r="J22" s="1382">
        <v>295697</v>
      </c>
      <c r="L22" s="154" t="s">
        <v>148</v>
      </c>
      <c r="M22" s="154" t="s">
        <v>2937</v>
      </c>
      <c r="N22" s="1380">
        <f t="shared" si="0"/>
        <v>115458</v>
      </c>
      <c r="O22" s="1380">
        <f t="shared" si="0"/>
        <v>157532</v>
      </c>
      <c r="P22" s="1380">
        <f t="shared" si="0"/>
        <v>199295</v>
      </c>
      <c r="Q22" s="1380">
        <f t="shared" si="0"/>
        <v>262495</v>
      </c>
      <c r="R22" s="1380">
        <f t="shared" si="0"/>
        <v>325266</v>
      </c>
      <c r="S22" s="154"/>
      <c r="T22" s="53"/>
      <c r="U22" s="53"/>
      <c r="V22" s="145"/>
      <c r="W22" s="145"/>
      <c r="X22" s="145"/>
      <c r="AA22" s="387"/>
      <c r="AB22" s="387"/>
    </row>
    <row r="23" spans="1:28" s="137" customFormat="1" ht="11.45" customHeight="1">
      <c r="A23" s="56"/>
      <c r="C23" s="184"/>
      <c r="D23" s="1383" t="s">
        <v>1113</v>
      </c>
      <c r="E23" s="1383" t="s">
        <v>2941</v>
      </c>
      <c r="F23" s="1384">
        <v>147803</v>
      </c>
      <c r="G23" s="1384">
        <v>191097</v>
      </c>
      <c r="H23" s="1384">
        <v>228604</v>
      </c>
      <c r="I23" s="1384">
        <v>272539</v>
      </c>
      <c r="J23" s="1384">
        <v>320539</v>
      </c>
      <c r="L23" s="497" t="s">
        <v>1113</v>
      </c>
      <c r="M23" s="497" t="s">
        <v>2941</v>
      </c>
      <c r="N23" s="1380">
        <f t="shared" si="0"/>
        <v>162583</v>
      </c>
      <c r="O23" s="1380">
        <f t="shared" si="0"/>
        <v>210206</v>
      </c>
      <c r="P23" s="1380">
        <f t="shared" si="0"/>
        <v>251464</v>
      </c>
      <c r="Q23" s="1380">
        <f t="shared" si="0"/>
        <v>299792</v>
      </c>
      <c r="R23" s="1380">
        <f t="shared" si="0"/>
        <v>352592</v>
      </c>
      <c r="S23" s="154"/>
      <c r="T23" s="53"/>
      <c r="U23" s="53"/>
      <c r="V23" s="145"/>
      <c r="W23" s="145"/>
      <c r="X23" s="145"/>
      <c r="AA23" s="387"/>
      <c r="AB23" s="387"/>
    </row>
    <row r="24" spans="1:28" s="137" customFormat="1" ht="11.45" customHeight="1">
      <c r="A24" s="56"/>
      <c r="C24" s="184"/>
      <c r="D24" s="1383" t="s">
        <v>1113</v>
      </c>
      <c r="E24" s="1383" t="s">
        <v>2938</v>
      </c>
      <c r="F24" s="1384">
        <v>115504</v>
      </c>
      <c r="G24" s="1384">
        <v>161705</v>
      </c>
      <c r="H24" s="1384">
        <v>207907</v>
      </c>
      <c r="I24" s="1384">
        <v>277209</v>
      </c>
      <c r="J24" s="1384">
        <v>346512</v>
      </c>
      <c r="L24" s="497" t="s">
        <v>1113</v>
      </c>
      <c r="M24" s="497" t="s">
        <v>2938</v>
      </c>
      <c r="N24" s="1380">
        <f t="shared" si="0"/>
        <v>127054</v>
      </c>
      <c r="O24" s="1380">
        <f t="shared" si="0"/>
        <v>177875</v>
      </c>
      <c r="P24" s="1380">
        <f t="shared" si="0"/>
        <v>228697</v>
      </c>
      <c r="Q24" s="1380">
        <f t="shared" si="0"/>
        <v>304929</v>
      </c>
      <c r="R24" s="1380">
        <f t="shared" si="0"/>
        <v>381163</v>
      </c>
      <c r="S24" s="154"/>
      <c r="T24" s="53"/>
      <c r="U24" s="53"/>
      <c r="V24" s="145"/>
      <c r="W24" s="145"/>
      <c r="X24" s="145"/>
      <c r="AA24" s="387"/>
      <c r="AB24" s="387"/>
    </row>
    <row r="25" spans="1:28" s="137" customFormat="1" ht="11.45" customHeight="1">
      <c r="A25" s="56"/>
      <c r="C25" s="184"/>
      <c r="D25" s="1383" t="s">
        <v>1113</v>
      </c>
      <c r="E25" s="1383" t="s">
        <v>2936</v>
      </c>
      <c r="F25" s="1384">
        <v>130569</v>
      </c>
      <c r="G25" s="1384">
        <v>170576</v>
      </c>
      <c r="H25" s="1384">
        <v>206849</v>
      </c>
      <c r="I25" s="1384">
        <v>252801</v>
      </c>
      <c r="J25" s="1384">
        <v>299931</v>
      </c>
      <c r="L25" s="497" t="s">
        <v>1113</v>
      </c>
      <c r="M25" s="497" t="s">
        <v>2936</v>
      </c>
      <c r="N25" s="1380">
        <f t="shared" si="0"/>
        <v>143625</v>
      </c>
      <c r="O25" s="1380">
        <f t="shared" si="0"/>
        <v>187633</v>
      </c>
      <c r="P25" s="1380">
        <f t="shared" si="0"/>
        <v>227533</v>
      </c>
      <c r="Q25" s="1380">
        <f t="shared" si="0"/>
        <v>278081</v>
      </c>
      <c r="R25" s="1380">
        <f t="shared" si="0"/>
        <v>329924</v>
      </c>
      <c r="S25" s="154"/>
      <c r="T25" s="53"/>
      <c r="U25" s="53"/>
      <c r="V25" s="145"/>
      <c r="W25" s="145"/>
      <c r="X25" s="145"/>
      <c r="AA25" s="387"/>
      <c r="AB25" s="387"/>
    </row>
    <row r="26" spans="1:28" s="137" customFormat="1" ht="11.45" customHeight="1">
      <c r="A26" s="56"/>
      <c r="C26" s="184"/>
      <c r="D26" s="1383" t="s">
        <v>1113</v>
      </c>
      <c r="E26" s="1383" t="s">
        <v>2937</v>
      </c>
      <c r="F26" s="1384">
        <v>114354</v>
      </c>
      <c r="G26" s="1384">
        <v>156004</v>
      </c>
      <c r="H26" s="1384">
        <v>197346</v>
      </c>
      <c r="I26" s="1384">
        <v>259909</v>
      </c>
      <c r="J26" s="1384">
        <v>322047</v>
      </c>
      <c r="L26" s="497" t="s">
        <v>1113</v>
      </c>
      <c r="M26" s="497" t="s">
        <v>2937</v>
      </c>
      <c r="N26" s="1380">
        <f t="shared" si="0"/>
        <v>125789</v>
      </c>
      <c r="O26" s="1380">
        <f t="shared" si="0"/>
        <v>171604</v>
      </c>
      <c r="P26" s="1380">
        <f t="shared" si="0"/>
        <v>217080</v>
      </c>
      <c r="Q26" s="1380">
        <f t="shared" si="0"/>
        <v>285899</v>
      </c>
      <c r="R26" s="1380">
        <f t="shared" si="0"/>
        <v>354251</v>
      </c>
      <c r="S26" s="154"/>
      <c r="T26" s="53"/>
      <c r="U26" s="53"/>
      <c r="V26" s="145"/>
      <c r="W26" s="145"/>
      <c r="X26" s="145"/>
      <c r="AA26" s="387"/>
      <c r="AB26" s="387"/>
    </row>
    <row r="27" spans="1:28" s="137" customFormat="1" ht="11.45" customHeight="1">
      <c r="A27" s="56"/>
      <c r="C27" s="184"/>
      <c r="D27" s="1385" t="s">
        <v>1229</v>
      </c>
      <c r="E27" s="1385" t="s">
        <v>2941</v>
      </c>
      <c r="F27" s="1386">
        <v>137432</v>
      </c>
      <c r="G27" s="1386">
        <v>177418</v>
      </c>
      <c r="H27" s="1386">
        <v>212058</v>
      </c>
      <c r="I27" s="1386">
        <v>252539</v>
      </c>
      <c r="J27" s="1386">
        <v>296777</v>
      </c>
      <c r="L27" s="497" t="s">
        <v>1229</v>
      </c>
      <c r="M27" s="497" t="s">
        <v>2941</v>
      </c>
      <c r="N27" s="1380">
        <f t="shared" si="0"/>
        <v>151175</v>
      </c>
      <c r="O27" s="1380">
        <f t="shared" si="0"/>
        <v>195159</v>
      </c>
      <c r="P27" s="1380">
        <f t="shared" si="0"/>
        <v>233263</v>
      </c>
      <c r="Q27" s="1380">
        <f t="shared" si="0"/>
        <v>277792</v>
      </c>
      <c r="R27" s="1380">
        <f t="shared" si="0"/>
        <v>326454</v>
      </c>
      <c r="S27" s="154"/>
      <c r="T27" s="53"/>
      <c r="U27" s="53"/>
      <c r="V27" s="145"/>
      <c r="W27" s="145"/>
      <c r="X27" s="145"/>
      <c r="AA27" s="387"/>
      <c r="AB27" s="387"/>
    </row>
    <row r="28" spans="1:28" s="137" customFormat="1" ht="11.45" customHeight="1">
      <c r="A28" s="56"/>
      <c r="C28" s="184"/>
      <c r="D28" s="1385" t="s">
        <v>1229</v>
      </c>
      <c r="E28" s="1385" t="s">
        <v>2938</v>
      </c>
      <c r="F28" s="1386">
        <v>107460</v>
      </c>
      <c r="G28" s="1386">
        <v>150444</v>
      </c>
      <c r="H28" s="1386">
        <v>193428</v>
      </c>
      <c r="I28" s="1386">
        <v>257905</v>
      </c>
      <c r="J28" s="1386">
        <v>322381</v>
      </c>
      <c r="L28" s="497" t="s">
        <v>1229</v>
      </c>
      <c r="M28" s="497" t="s">
        <v>2938</v>
      </c>
      <c r="N28" s="1380">
        <f t="shared" si="0"/>
        <v>118206</v>
      </c>
      <c r="O28" s="1380">
        <f t="shared" si="0"/>
        <v>165488</v>
      </c>
      <c r="P28" s="1380">
        <f t="shared" si="0"/>
        <v>212770</v>
      </c>
      <c r="Q28" s="1380">
        <f t="shared" si="0"/>
        <v>283695</v>
      </c>
      <c r="R28" s="1380">
        <f t="shared" si="0"/>
        <v>354619</v>
      </c>
      <c r="S28" s="154"/>
      <c r="T28" s="53"/>
      <c r="U28" s="53"/>
      <c r="V28" s="145"/>
      <c r="W28" s="145"/>
      <c r="X28" s="145"/>
      <c r="AA28" s="387"/>
      <c r="AB28" s="387"/>
    </row>
    <row r="29" spans="1:28" s="137" customFormat="1" ht="11.45" customHeight="1">
      <c r="A29" s="56"/>
      <c r="C29" s="184"/>
      <c r="D29" s="1385" t="s">
        <v>1229</v>
      </c>
      <c r="E29" s="1385" t="s">
        <v>2936</v>
      </c>
      <c r="F29" s="1386">
        <v>122447</v>
      </c>
      <c r="G29" s="1386">
        <v>159574</v>
      </c>
      <c r="H29" s="1386">
        <v>193140</v>
      </c>
      <c r="I29" s="1386">
        <v>235376</v>
      </c>
      <c r="J29" s="1386">
        <v>278857</v>
      </c>
      <c r="L29" s="497" t="s">
        <v>1229</v>
      </c>
      <c r="M29" s="497" t="s">
        <v>2936</v>
      </c>
      <c r="N29" s="1380">
        <f t="shared" si="0"/>
        <v>134691</v>
      </c>
      <c r="O29" s="1380">
        <f t="shared" si="0"/>
        <v>175531</v>
      </c>
      <c r="P29" s="1380">
        <f t="shared" si="0"/>
        <v>212454</v>
      </c>
      <c r="Q29" s="1380">
        <f t="shared" si="0"/>
        <v>258913</v>
      </c>
      <c r="R29" s="1380">
        <f t="shared" si="0"/>
        <v>306742</v>
      </c>
      <c r="S29" s="154"/>
      <c r="T29" s="53"/>
      <c r="U29" s="53"/>
      <c r="V29" s="145"/>
      <c r="W29" s="145"/>
      <c r="X29" s="145"/>
      <c r="AA29" s="387"/>
      <c r="AB29" s="387"/>
    </row>
    <row r="30" spans="1:28" s="137" customFormat="1" ht="11.45" customHeight="1">
      <c r="A30" s="56"/>
      <c r="C30" s="184"/>
      <c r="D30" s="1385" t="s">
        <v>1229</v>
      </c>
      <c r="E30" s="1385" t="s">
        <v>2937</v>
      </c>
      <c r="F30" s="1386">
        <v>108299</v>
      </c>
      <c r="G30" s="1386">
        <v>148060</v>
      </c>
      <c r="H30" s="1386">
        <v>187554</v>
      </c>
      <c r="I30" s="1386">
        <v>247273</v>
      </c>
      <c r="J30" s="1386">
        <v>306622</v>
      </c>
      <c r="L30" s="497" t="s">
        <v>1229</v>
      </c>
      <c r="M30" s="497" t="s">
        <v>2937</v>
      </c>
      <c r="N30" s="1380">
        <f t="shared" si="0"/>
        <v>119128</v>
      </c>
      <c r="O30" s="1380">
        <f t="shared" si="0"/>
        <v>162866</v>
      </c>
      <c r="P30" s="1380">
        <f t="shared" si="0"/>
        <v>206309</v>
      </c>
      <c r="Q30" s="1380">
        <f t="shared" si="0"/>
        <v>272000</v>
      </c>
      <c r="R30" s="1380">
        <f t="shared" si="0"/>
        <v>337284</v>
      </c>
      <c r="S30" s="154"/>
      <c r="T30" s="53"/>
      <c r="U30" s="53"/>
      <c r="V30" s="145"/>
      <c r="W30" s="145"/>
      <c r="X30" s="145"/>
      <c r="AA30" s="387"/>
      <c r="AB30" s="387"/>
    </row>
    <row r="31" spans="1:28" s="137" customFormat="1" ht="11.45" customHeight="1">
      <c r="A31" s="56"/>
      <c r="C31" s="184"/>
      <c r="D31" s="1387" t="s">
        <v>1386</v>
      </c>
      <c r="E31" s="1387" t="s">
        <v>2941</v>
      </c>
      <c r="F31" s="829">
        <v>144345</v>
      </c>
      <c r="G31" s="829">
        <v>186781</v>
      </c>
      <c r="H31" s="829">
        <v>223544</v>
      </c>
      <c r="I31" s="829">
        <v>266662</v>
      </c>
      <c r="J31" s="829">
        <v>313764</v>
      </c>
      <c r="L31" s="1387" t="s">
        <v>1386</v>
      </c>
      <c r="M31" s="497" t="s">
        <v>2941</v>
      </c>
      <c r="N31" s="1380">
        <f t="shared" ref="N31:R46" si="1">ROUNDDOWN(F31*1.1,0)</f>
        <v>158779</v>
      </c>
      <c r="O31" s="1380">
        <f t="shared" si="1"/>
        <v>205459</v>
      </c>
      <c r="P31" s="1380">
        <f t="shared" si="1"/>
        <v>245898</v>
      </c>
      <c r="Q31" s="1380">
        <f t="shared" si="1"/>
        <v>293328</v>
      </c>
      <c r="R31" s="1380">
        <f t="shared" si="1"/>
        <v>345140</v>
      </c>
      <c r="S31" s="154"/>
      <c r="T31" s="53"/>
      <c r="U31" s="53"/>
      <c r="V31" s="145"/>
      <c r="W31" s="145"/>
      <c r="X31" s="145"/>
      <c r="AA31" s="387"/>
      <c r="AB31" s="387"/>
    </row>
    <row r="32" spans="1:28" s="137" customFormat="1" ht="11.45" customHeight="1">
      <c r="A32" s="56"/>
      <c r="C32" s="184"/>
      <c r="D32" s="1387" t="s">
        <v>1386</v>
      </c>
      <c r="E32" s="1387" t="s">
        <v>2938</v>
      </c>
      <c r="F32" s="829">
        <v>112768</v>
      </c>
      <c r="G32" s="829">
        <v>157875</v>
      </c>
      <c r="H32" s="829">
        <v>202982</v>
      </c>
      <c r="I32" s="829">
        <v>270642</v>
      </c>
      <c r="J32" s="829">
        <v>338303</v>
      </c>
      <c r="L32" s="1387" t="s">
        <v>1386</v>
      </c>
      <c r="M32" s="497" t="s">
        <v>2938</v>
      </c>
      <c r="N32" s="1380">
        <f t="shared" si="1"/>
        <v>124044</v>
      </c>
      <c r="O32" s="1380">
        <f t="shared" si="1"/>
        <v>173662</v>
      </c>
      <c r="P32" s="1380">
        <f t="shared" si="1"/>
        <v>223280</v>
      </c>
      <c r="Q32" s="1380">
        <f t="shared" si="1"/>
        <v>297706</v>
      </c>
      <c r="R32" s="1380">
        <f t="shared" si="1"/>
        <v>372133</v>
      </c>
      <c r="S32" s="154"/>
      <c r="T32" s="53"/>
      <c r="U32" s="53"/>
      <c r="V32" s="145"/>
      <c r="W32" s="145"/>
      <c r="X32" s="145"/>
      <c r="AA32" s="387"/>
      <c r="AB32" s="387"/>
    </row>
    <row r="33" spans="1:28" s="137" customFormat="1" ht="11.45" customHeight="1">
      <c r="A33" s="56"/>
      <c r="C33" s="184"/>
      <c r="D33" s="1387" t="s">
        <v>1386</v>
      </c>
      <c r="E33" s="1387" t="s">
        <v>2936</v>
      </c>
      <c r="F33" s="829">
        <v>126924</v>
      </c>
      <c r="G33" s="829">
        <v>166037</v>
      </c>
      <c r="H33" s="829">
        <v>201553</v>
      </c>
      <c r="I33" s="829">
        <v>246710</v>
      </c>
      <c r="J33" s="829">
        <v>292932</v>
      </c>
      <c r="L33" s="1387" t="s">
        <v>1386</v>
      </c>
      <c r="M33" s="497" t="s">
        <v>2936</v>
      </c>
      <c r="N33" s="1380">
        <f t="shared" si="1"/>
        <v>139616</v>
      </c>
      <c r="O33" s="1380">
        <f t="shared" si="1"/>
        <v>182640</v>
      </c>
      <c r="P33" s="1380">
        <f t="shared" si="1"/>
        <v>221708</v>
      </c>
      <c r="Q33" s="1380">
        <f t="shared" si="1"/>
        <v>271381</v>
      </c>
      <c r="R33" s="1380">
        <f t="shared" si="1"/>
        <v>322225</v>
      </c>
      <c r="S33" s="154"/>
      <c r="T33" s="53"/>
      <c r="U33" s="53"/>
      <c r="V33" s="145"/>
      <c r="W33" s="145"/>
      <c r="X33" s="145"/>
      <c r="AA33" s="387"/>
      <c r="AB33" s="387"/>
    </row>
    <row r="34" spans="1:28" s="137" customFormat="1" ht="11.45" customHeight="1">
      <c r="A34" s="56"/>
      <c r="C34" s="184"/>
      <c r="D34" s="1387" t="s">
        <v>1386</v>
      </c>
      <c r="E34" s="1387" t="s">
        <v>2937</v>
      </c>
      <c r="F34" s="829">
        <v>110561</v>
      </c>
      <c r="G34" s="829">
        <v>150648</v>
      </c>
      <c r="H34" s="829">
        <v>190425</v>
      </c>
      <c r="I34" s="829">
        <v>250646</v>
      </c>
      <c r="J34" s="829">
        <v>310437</v>
      </c>
      <c r="L34" s="1387" t="s">
        <v>1386</v>
      </c>
      <c r="M34" s="497" t="s">
        <v>2937</v>
      </c>
      <c r="N34" s="1380">
        <f t="shared" si="1"/>
        <v>121617</v>
      </c>
      <c r="O34" s="1380">
        <f t="shared" si="1"/>
        <v>165712</v>
      </c>
      <c r="P34" s="1380">
        <f t="shared" si="1"/>
        <v>209467</v>
      </c>
      <c r="Q34" s="1380">
        <f t="shared" si="1"/>
        <v>275710</v>
      </c>
      <c r="R34" s="1380">
        <f t="shared" si="1"/>
        <v>341480</v>
      </c>
      <c r="S34" s="154"/>
      <c r="T34" s="53"/>
      <c r="U34" s="53"/>
      <c r="V34" s="145"/>
      <c r="W34" s="145"/>
      <c r="X34" s="145"/>
      <c r="AA34" s="387"/>
      <c r="AB34" s="387"/>
    </row>
    <row r="35" spans="1:28" s="137" customFormat="1" ht="11.45" customHeight="1">
      <c r="A35" s="56"/>
      <c r="C35" s="184"/>
      <c r="D35" s="1388" t="s">
        <v>143</v>
      </c>
      <c r="E35" s="1388" t="s">
        <v>2941</v>
      </c>
      <c r="F35" s="1389">
        <v>136468</v>
      </c>
      <c r="G35" s="1389">
        <v>176299</v>
      </c>
      <c r="H35" s="1389">
        <v>210804</v>
      </c>
      <c r="I35" s="1389">
        <v>251173</v>
      </c>
      <c r="J35" s="1389">
        <v>295283</v>
      </c>
      <c r="L35" s="154" t="s">
        <v>143</v>
      </c>
      <c r="M35" s="154" t="s">
        <v>2941</v>
      </c>
      <c r="N35" s="1380">
        <f t="shared" si="1"/>
        <v>150114</v>
      </c>
      <c r="O35" s="1380">
        <f t="shared" si="1"/>
        <v>193928</v>
      </c>
      <c r="P35" s="1380">
        <f t="shared" si="1"/>
        <v>231884</v>
      </c>
      <c r="Q35" s="1380">
        <f t="shared" si="1"/>
        <v>276290</v>
      </c>
      <c r="R35" s="1380">
        <f t="shared" si="1"/>
        <v>324811</v>
      </c>
      <c r="S35" s="154"/>
      <c r="T35" s="53"/>
      <c r="U35" s="53"/>
      <c r="V35" s="145"/>
      <c r="W35" s="145"/>
      <c r="X35" s="145"/>
      <c r="AA35" s="387"/>
      <c r="AB35" s="387"/>
    </row>
    <row r="36" spans="1:28" s="137" customFormat="1" ht="11.45" customHeight="1">
      <c r="A36" s="56"/>
      <c r="C36" s="184"/>
      <c r="D36" s="1388" t="s">
        <v>143</v>
      </c>
      <c r="E36" s="1388" t="s">
        <v>2938</v>
      </c>
      <c r="F36" s="1389">
        <v>106679</v>
      </c>
      <c r="G36" s="1389">
        <v>149350</v>
      </c>
      <c r="H36" s="1389">
        <v>192022</v>
      </c>
      <c r="I36" s="1389">
        <v>256029</v>
      </c>
      <c r="J36" s="1389">
        <v>320036</v>
      </c>
      <c r="L36" s="154" t="s">
        <v>143</v>
      </c>
      <c r="M36" s="154" t="s">
        <v>2938</v>
      </c>
      <c r="N36" s="1380">
        <f t="shared" si="1"/>
        <v>117346</v>
      </c>
      <c r="O36" s="1380">
        <f t="shared" si="1"/>
        <v>164285</v>
      </c>
      <c r="P36" s="1380">
        <f t="shared" si="1"/>
        <v>211224</v>
      </c>
      <c r="Q36" s="1380">
        <f t="shared" si="1"/>
        <v>281631</v>
      </c>
      <c r="R36" s="1380">
        <f t="shared" si="1"/>
        <v>352039</v>
      </c>
      <c r="S36" s="154"/>
      <c r="T36" s="53"/>
      <c r="U36" s="53"/>
      <c r="V36" s="145"/>
      <c r="W36" s="145"/>
      <c r="X36" s="145"/>
      <c r="AA36" s="387"/>
      <c r="AB36" s="387"/>
    </row>
    <row r="37" spans="1:28" s="137" customFormat="1" ht="11.45" customHeight="1">
      <c r="A37" s="56"/>
      <c r="C37" s="184"/>
      <c r="D37" s="1388" t="s">
        <v>143</v>
      </c>
      <c r="E37" s="1388" t="s">
        <v>2936</v>
      </c>
      <c r="F37" s="1389">
        <v>121108</v>
      </c>
      <c r="G37" s="1389">
        <v>158009</v>
      </c>
      <c r="H37" s="1389">
        <v>191414</v>
      </c>
      <c r="I37" s="1389">
        <v>233581</v>
      </c>
      <c r="J37" s="1389">
        <v>276915</v>
      </c>
      <c r="L37" s="154" t="s">
        <v>143</v>
      </c>
      <c r="M37" s="154" t="s">
        <v>2936</v>
      </c>
      <c r="N37" s="1380">
        <f t="shared" si="1"/>
        <v>133218</v>
      </c>
      <c r="O37" s="1380">
        <f t="shared" si="1"/>
        <v>173809</v>
      </c>
      <c r="P37" s="1380">
        <f t="shared" si="1"/>
        <v>210555</v>
      </c>
      <c r="Q37" s="1380">
        <f t="shared" si="1"/>
        <v>256939</v>
      </c>
      <c r="R37" s="1380">
        <f t="shared" si="1"/>
        <v>304606</v>
      </c>
      <c r="S37" s="154"/>
      <c r="T37" s="53"/>
      <c r="U37" s="53"/>
      <c r="V37" s="145"/>
      <c r="W37" s="145"/>
      <c r="X37" s="145"/>
      <c r="AA37" s="387"/>
      <c r="AB37" s="387"/>
    </row>
    <row r="38" spans="1:28" s="137" customFormat="1" ht="11.45" customHeight="1">
      <c r="A38" s="56"/>
      <c r="C38" s="184"/>
      <c r="D38" s="1388" t="s">
        <v>143</v>
      </c>
      <c r="E38" s="1388" t="s">
        <v>2937</v>
      </c>
      <c r="F38" s="1389">
        <v>106630</v>
      </c>
      <c r="G38" s="1389">
        <v>145635</v>
      </c>
      <c r="H38" s="1389">
        <v>184366</v>
      </c>
      <c r="I38" s="1389">
        <v>242953</v>
      </c>
      <c r="J38" s="1389">
        <v>301159</v>
      </c>
      <c r="L38" s="154" t="s">
        <v>143</v>
      </c>
      <c r="M38" s="154" t="s">
        <v>2937</v>
      </c>
      <c r="N38" s="1380">
        <f t="shared" si="1"/>
        <v>117293</v>
      </c>
      <c r="O38" s="1380">
        <f t="shared" si="1"/>
        <v>160198</v>
      </c>
      <c r="P38" s="1380">
        <f t="shared" si="1"/>
        <v>202802</v>
      </c>
      <c r="Q38" s="1380">
        <f t="shared" si="1"/>
        <v>267248</v>
      </c>
      <c r="R38" s="1380">
        <f t="shared" si="1"/>
        <v>331274</v>
      </c>
      <c r="S38" s="154"/>
      <c r="T38" s="53"/>
      <c r="U38" s="53"/>
      <c r="V38" s="145"/>
      <c r="W38" s="145"/>
      <c r="X38" s="145"/>
      <c r="AA38" s="387"/>
      <c r="AB38" s="387"/>
    </row>
    <row r="39" spans="1:28" s="137" customFormat="1" ht="11.45" customHeight="1">
      <c r="A39" s="56"/>
      <c r="C39" s="184"/>
      <c r="D39" s="1390" t="s">
        <v>1219</v>
      </c>
      <c r="E39" s="1390" t="s">
        <v>2941</v>
      </c>
      <c r="F39" s="1391">
        <v>138055</v>
      </c>
      <c r="G39" s="1391">
        <v>178400</v>
      </c>
      <c r="H39" s="1391">
        <v>213351</v>
      </c>
      <c r="I39" s="1391">
        <v>254259</v>
      </c>
      <c r="J39" s="1391">
        <v>298956</v>
      </c>
      <c r="L39" s="497" t="s">
        <v>1219</v>
      </c>
      <c r="M39" s="497" t="s">
        <v>2941</v>
      </c>
      <c r="N39" s="1380">
        <f t="shared" si="1"/>
        <v>151860</v>
      </c>
      <c r="O39" s="1380">
        <f t="shared" si="1"/>
        <v>196240</v>
      </c>
      <c r="P39" s="1380">
        <f t="shared" si="1"/>
        <v>234686</v>
      </c>
      <c r="Q39" s="1380">
        <f t="shared" si="1"/>
        <v>279684</v>
      </c>
      <c r="R39" s="1380">
        <f t="shared" si="1"/>
        <v>328851</v>
      </c>
      <c r="S39" s="154"/>
      <c r="T39" s="53"/>
      <c r="U39" s="53"/>
      <c r="V39" s="145"/>
      <c r="W39" s="145"/>
      <c r="X39" s="145"/>
      <c r="AA39" s="387"/>
      <c r="AB39" s="387"/>
    </row>
    <row r="40" spans="1:28" s="137" customFormat="1" ht="11.45" customHeight="1">
      <c r="A40" s="56"/>
      <c r="C40" s="184"/>
      <c r="D40" s="1390" t="s">
        <v>1219</v>
      </c>
      <c r="E40" s="1390" t="s">
        <v>2938</v>
      </c>
      <c r="F40" s="1391">
        <v>107908</v>
      </c>
      <c r="G40" s="1391">
        <v>151071</v>
      </c>
      <c r="H40" s="1391">
        <v>194234</v>
      </c>
      <c r="I40" s="1391">
        <v>258978</v>
      </c>
      <c r="J40" s="1391">
        <v>323723</v>
      </c>
      <c r="L40" s="497" t="s">
        <v>1219</v>
      </c>
      <c r="M40" s="497" t="s">
        <v>2938</v>
      </c>
      <c r="N40" s="1380">
        <f t="shared" si="1"/>
        <v>118698</v>
      </c>
      <c r="O40" s="1380">
        <f t="shared" si="1"/>
        <v>166178</v>
      </c>
      <c r="P40" s="1380">
        <f t="shared" si="1"/>
        <v>213657</v>
      </c>
      <c r="Q40" s="1380">
        <f t="shared" si="1"/>
        <v>284875</v>
      </c>
      <c r="R40" s="1380">
        <f t="shared" si="1"/>
        <v>356095</v>
      </c>
      <c r="S40" s="154"/>
      <c r="T40" s="53"/>
      <c r="U40" s="53"/>
      <c r="V40" s="145"/>
      <c r="W40" s="145"/>
      <c r="X40" s="145"/>
      <c r="AA40" s="387"/>
      <c r="AB40" s="387"/>
    </row>
    <row r="41" spans="1:28" s="137" customFormat="1" ht="11.45" customHeight="1">
      <c r="A41" s="56"/>
      <c r="C41" s="184"/>
      <c r="D41" s="1390" t="s">
        <v>1219</v>
      </c>
      <c r="E41" s="1390" t="s">
        <v>2936</v>
      </c>
      <c r="F41" s="1391">
        <v>122320</v>
      </c>
      <c r="G41" s="1391">
        <v>159663</v>
      </c>
      <c r="H41" s="1391">
        <v>193488</v>
      </c>
      <c r="I41" s="1391">
        <v>236238</v>
      </c>
      <c r="J41" s="1391">
        <v>280140</v>
      </c>
      <c r="L41" s="497" t="s">
        <v>1219</v>
      </c>
      <c r="M41" s="497" t="s">
        <v>2936</v>
      </c>
      <c r="N41" s="1380">
        <f t="shared" si="1"/>
        <v>134552</v>
      </c>
      <c r="O41" s="1380">
        <f t="shared" si="1"/>
        <v>175629</v>
      </c>
      <c r="P41" s="1380">
        <f t="shared" si="1"/>
        <v>212836</v>
      </c>
      <c r="Q41" s="1380">
        <f t="shared" si="1"/>
        <v>259861</v>
      </c>
      <c r="R41" s="1380">
        <f t="shared" si="1"/>
        <v>308154</v>
      </c>
      <c r="S41" s="154"/>
      <c r="T41" s="53"/>
      <c r="U41" s="53"/>
      <c r="V41" s="145"/>
      <c r="W41" s="145"/>
      <c r="X41" s="145"/>
      <c r="AA41" s="387"/>
      <c r="AB41" s="387"/>
    </row>
    <row r="42" spans="1:28" s="137" customFormat="1" ht="11.45" customHeight="1">
      <c r="A42" s="56"/>
      <c r="C42" s="184"/>
      <c r="D42" s="1390" t="s">
        <v>1219</v>
      </c>
      <c r="E42" s="1390" t="s">
        <v>2937</v>
      </c>
      <c r="F42" s="1391">
        <v>107499</v>
      </c>
      <c r="G42" s="1391">
        <v>146762</v>
      </c>
      <c r="H42" s="1391">
        <v>185744</v>
      </c>
      <c r="I42" s="1391">
        <v>244720</v>
      </c>
      <c r="J42" s="1391">
        <v>303307</v>
      </c>
      <c r="L42" s="497" t="s">
        <v>1219</v>
      </c>
      <c r="M42" s="497" t="s">
        <v>2937</v>
      </c>
      <c r="N42" s="1380">
        <f t="shared" si="1"/>
        <v>118248</v>
      </c>
      <c r="O42" s="1380">
        <f t="shared" si="1"/>
        <v>161438</v>
      </c>
      <c r="P42" s="1380">
        <f t="shared" si="1"/>
        <v>204318</v>
      </c>
      <c r="Q42" s="1380">
        <f t="shared" si="1"/>
        <v>269192</v>
      </c>
      <c r="R42" s="1380">
        <f t="shared" si="1"/>
        <v>333637</v>
      </c>
      <c r="S42" s="154"/>
      <c r="T42" s="53"/>
      <c r="U42" s="53"/>
      <c r="V42" s="145"/>
      <c r="W42" s="145"/>
      <c r="X42" s="145"/>
      <c r="AA42" s="387"/>
      <c r="AB42" s="387"/>
    </row>
    <row r="43" spans="1:28" s="137" customFormat="1" ht="11.45" customHeight="1">
      <c r="A43" s="56"/>
      <c r="C43" s="184"/>
      <c r="D43" s="1383" t="s">
        <v>1225</v>
      </c>
      <c r="E43" s="1383" t="s">
        <v>2941</v>
      </c>
      <c r="F43" s="1384">
        <v>141285</v>
      </c>
      <c r="G43" s="1384">
        <v>182625</v>
      </c>
      <c r="H43" s="1384">
        <v>218438</v>
      </c>
      <c r="I43" s="1384">
        <v>260372</v>
      </c>
      <c r="J43" s="1384">
        <v>306189</v>
      </c>
      <c r="L43" s="497" t="s">
        <v>1225</v>
      </c>
      <c r="M43" s="497" t="s">
        <v>2941</v>
      </c>
      <c r="N43" s="1380">
        <f t="shared" si="1"/>
        <v>155413</v>
      </c>
      <c r="O43" s="1380">
        <f t="shared" si="1"/>
        <v>200887</v>
      </c>
      <c r="P43" s="1380">
        <f t="shared" si="1"/>
        <v>240281</v>
      </c>
      <c r="Q43" s="1380">
        <f t="shared" si="1"/>
        <v>286409</v>
      </c>
      <c r="R43" s="1380">
        <f t="shared" si="1"/>
        <v>336807</v>
      </c>
      <c r="S43" s="154"/>
      <c r="T43" s="53"/>
      <c r="U43" s="53"/>
      <c r="V43" s="145"/>
      <c r="W43" s="145"/>
      <c r="X43" s="145"/>
      <c r="AA43" s="387"/>
      <c r="AB43" s="387"/>
    </row>
    <row r="44" spans="1:28" s="137" customFormat="1" ht="11.45" customHeight="1">
      <c r="A44" s="56"/>
      <c r="C44" s="184"/>
      <c r="D44" s="1383" t="s">
        <v>1225</v>
      </c>
      <c r="E44" s="1383" t="s">
        <v>2938</v>
      </c>
      <c r="F44" s="1384">
        <v>110421</v>
      </c>
      <c r="G44" s="1384">
        <v>154590</v>
      </c>
      <c r="H44" s="1384">
        <v>198758</v>
      </c>
      <c r="I44" s="1384">
        <v>265011</v>
      </c>
      <c r="J44" s="1384">
        <v>331263</v>
      </c>
      <c r="L44" s="497" t="s">
        <v>1225</v>
      </c>
      <c r="M44" s="497" t="s">
        <v>2938</v>
      </c>
      <c r="N44" s="1380">
        <f t="shared" si="1"/>
        <v>121463</v>
      </c>
      <c r="O44" s="1380">
        <f t="shared" si="1"/>
        <v>170049</v>
      </c>
      <c r="P44" s="1380">
        <f t="shared" si="1"/>
        <v>218633</v>
      </c>
      <c r="Q44" s="1380">
        <f t="shared" si="1"/>
        <v>291512</v>
      </c>
      <c r="R44" s="1380">
        <f t="shared" si="1"/>
        <v>364389</v>
      </c>
      <c r="S44" s="154"/>
      <c r="T44" s="53"/>
      <c r="U44" s="53"/>
      <c r="V44" s="145"/>
      <c r="W44" s="145"/>
      <c r="X44" s="145"/>
      <c r="AA44" s="387"/>
      <c r="AB44" s="387"/>
    </row>
    <row r="45" spans="1:28" s="137" customFormat="1" ht="11.45" customHeight="1">
      <c r="A45" s="56"/>
      <c r="C45" s="184"/>
      <c r="D45" s="1383" t="s">
        <v>1225</v>
      </c>
      <c r="E45" s="1383" t="s">
        <v>2936</v>
      </c>
      <c r="F45" s="1384">
        <v>124989</v>
      </c>
      <c r="G45" s="1384">
        <v>163219</v>
      </c>
      <c r="H45" s="1384">
        <v>197865</v>
      </c>
      <c r="I45" s="1384">
        <v>241707</v>
      </c>
      <c r="J45" s="1384">
        <v>286701</v>
      </c>
      <c r="L45" s="497" t="s">
        <v>1225</v>
      </c>
      <c r="M45" s="497" t="s">
        <v>2936</v>
      </c>
      <c r="N45" s="1380">
        <f t="shared" si="1"/>
        <v>137487</v>
      </c>
      <c r="O45" s="1380">
        <f t="shared" si="1"/>
        <v>179540</v>
      </c>
      <c r="P45" s="1380">
        <f t="shared" si="1"/>
        <v>217651</v>
      </c>
      <c r="Q45" s="1380">
        <f t="shared" si="1"/>
        <v>265877</v>
      </c>
      <c r="R45" s="1380">
        <f t="shared" si="1"/>
        <v>315371</v>
      </c>
      <c r="S45" s="154"/>
      <c r="T45" s="53"/>
      <c r="U45" s="53"/>
      <c r="V45" s="145"/>
      <c r="W45" s="145"/>
      <c r="X45" s="145"/>
      <c r="AA45" s="387"/>
      <c r="AB45" s="387"/>
    </row>
    <row r="46" spans="1:28" s="137" customFormat="1" ht="11.45" customHeight="1">
      <c r="A46" s="56"/>
      <c r="C46" s="184"/>
      <c r="D46" s="1383" t="s">
        <v>1225</v>
      </c>
      <c r="E46" s="1383" t="s">
        <v>2937</v>
      </c>
      <c r="F46" s="1384">
        <v>109647</v>
      </c>
      <c r="G46" s="1384">
        <v>149636</v>
      </c>
      <c r="H46" s="1384">
        <v>189334</v>
      </c>
      <c r="I46" s="1384">
        <v>249402</v>
      </c>
      <c r="J46" s="1384">
        <v>309066</v>
      </c>
      <c r="L46" s="497" t="s">
        <v>1225</v>
      </c>
      <c r="M46" s="497" t="s">
        <v>2937</v>
      </c>
      <c r="N46" s="1380">
        <f t="shared" si="1"/>
        <v>120611</v>
      </c>
      <c r="O46" s="1380">
        <f t="shared" si="1"/>
        <v>164599</v>
      </c>
      <c r="P46" s="1380">
        <f t="shared" si="1"/>
        <v>208267</v>
      </c>
      <c r="Q46" s="1380">
        <f t="shared" si="1"/>
        <v>274342</v>
      </c>
      <c r="R46" s="1380">
        <f t="shared" si="1"/>
        <v>339972</v>
      </c>
      <c r="S46" s="154"/>
      <c r="T46" s="53"/>
      <c r="U46" s="53"/>
      <c r="V46" s="145"/>
      <c r="W46" s="145"/>
      <c r="X46" s="145"/>
      <c r="AA46" s="387"/>
      <c r="AB46" s="387"/>
    </row>
    <row r="47" spans="1:28" s="137" customFormat="1" ht="11.45" customHeight="1">
      <c r="A47" s="56"/>
      <c r="C47" s="184"/>
      <c r="D47" s="1385" t="s">
        <v>1526</v>
      </c>
      <c r="E47" s="1385" t="s">
        <v>2941</v>
      </c>
      <c r="F47" s="1386">
        <v>129610</v>
      </c>
      <c r="G47" s="1386">
        <v>167690</v>
      </c>
      <c r="H47" s="1386">
        <v>200679</v>
      </c>
      <c r="I47" s="1386">
        <v>239361</v>
      </c>
      <c r="J47" s="1386">
        <v>281618</v>
      </c>
      <c r="L47" s="497" t="s">
        <v>1526</v>
      </c>
      <c r="M47" s="497" t="s">
        <v>2941</v>
      </c>
      <c r="N47" s="1380">
        <f t="shared" ref="N47:R50" si="2">ROUNDDOWN(F47*1.1,0)</f>
        <v>142571</v>
      </c>
      <c r="O47" s="1380">
        <f t="shared" si="2"/>
        <v>184459</v>
      </c>
      <c r="P47" s="1380">
        <f t="shared" si="2"/>
        <v>220746</v>
      </c>
      <c r="Q47" s="1380">
        <f t="shared" si="2"/>
        <v>263297</v>
      </c>
      <c r="R47" s="1380">
        <f t="shared" si="2"/>
        <v>309779</v>
      </c>
      <c r="S47" s="154"/>
      <c r="T47" s="53"/>
      <c r="U47" s="53"/>
      <c r="V47" s="145"/>
      <c r="W47" s="145"/>
      <c r="X47" s="145"/>
      <c r="AA47" s="387"/>
      <c r="AB47" s="387"/>
    </row>
    <row r="48" spans="1:28" s="137" customFormat="1" ht="11.45" customHeight="1">
      <c r="A48" s="56"/>
      <c r="C48" s="184"/>
      <c r="D48" s="1385" t="s">
        <v>1526</v>
      </c>
      <c r="E48" s="1385" t="s">
        <v>2938</v>
      </c>
      <c r="F48" s="1386">
        <v>101262</v>
      </c>
      <c r="G48" s="1386">
        <v>141766</v>
      </c>
      <c r="H48" s="1386">
        <v>182271</v>
      </c>
      <c r="I48" s="1386">
        <v>243028</v>
      </c>
      <c r="J48" s="1386">
        <v>303785</v>
      </c>
      <c r="L48" s="497" t="s">
        <v>1526</v>
      </c>
      <c r="M48" s="497" t="s">
        <v>2938</v>
      </c>
      <c r="N48" s="1380">
        <f t="shared" si="2"/>
        <v>111388</v>
      </c>
      <c r="O48" s="1380">
        <f t="shared" si="2"/>
        <v>155942</v>
      </c>
      <c r="P48" s="1380">
        <f t="shared" si="2"/>
        <v>200498</v>
      </c>
      <c r="Q48" s="1380">
        <f t="shared" si="2"/>
        <v>267330</v>
      </c>
      <c r="R48" s="1380">
        <f t="shared" si="2"/>
        <v>334163</v>
      </c>
      <c r="S48" s="154"/>
      <c r="T48" s="53"/>
      <c r="U48" s="53"/>
      <c r="V48" s="145"/>
      <c r="W48" s="145"/>
      <c r="X48" s="145"/>
      <c r="AA48" s="387"/>
      <c r="AB48" s="387"/>
    </row>
    <row r="49" spans="1:28" s="137" customFormat="1" ht="11.45" customHeight="1">
      <c r="A49" s="56"/>
      <c r="C49" s="184"/>
      <c r="D49" s="1385" t="s">
        <v>1526</v>
      </c>
      <c r="E49" s="1385" t="s">
        <v>2936</v>
      </c>
      <c r="F49" s="1386">
        <v>114063</v>
      </c>
      <c r="G49" s="1386">
        <v>149176</v>
      </c>
      <c r="H49" s="1386">
        <v>181052</v>
      </c>
      <c r="I49" s="1386">
        <v>221554</v>
      </c>
      <c r="J49" s="1386">
        <v>263026</v>
      </c>
      <c r="L49" s="497" t="s">
        <v>1526</v>
      </c>
      <c r="M49" s="497" t="s">
        <v>2936</v>
      </c>
      <c r="N49" s="1380">
        <f t="shared" si="2"/>
        <v>125469</v>
      </c>
      <c r="O49" s="1380">
        <f t="shared" si="2"/>
        <v>164093</v>
      </c>
      <c r="P49" s="1380">
        <f t="shared" si="2"/>
        <v>199157</v>
      </c>
      <c r="Q49" s="1380">
        <f t="shared" si="2"/>
        <v>243709</v>
      </c>
      <c r="R49" s="1380">
        <f t="shared" si="2"/>
        <v>289328</v>
      </c>
      <c r="S49" s="154"/>
      <c r="T49" s="53"/>
      <c r="U49" s="53"/>
      <c r="V49" s="145"/>
      <c r="W49" s="145"/>
      <c r="X49" s="145"/>
      <c r="AA49" s="387"/>
      <c r="AB49" s="387"/>
    </row>
    <row r="50" spans="1:28" s="137" customFormat="1" ht="11.45" customHeight="1">
      <c r="A50" s="56"/>
      <c r="C50" s="184"/>
      <c r="D50" s="1385" t="s">
        <v>1526</v>
      </c>
      <c r="E50" s="1385" t="s">
        <v>2937</v>
      </c>
      <c r="F50" s="1386">
        <v>99454</v>
      </c>
      <c r="G50" s="1386">
        <v>135544</v>
      </c>
      <c r="H50" s="1386">
        <v>171357</v>
      </c>
      <c r="I50" s="1386">
        <v>225572</v>
      </c>
      <c r="J50" s="1386">
        <v>279402</v>
      </c>
      <c r="L50" s="497" t="s">
        <v>1526</v>
      </c>
      <c r="M50" s="497" t="s">
        <v>2937</v>
      </c>
      <c r="N50" s="1380">
        <f t="shared" si="2"/>
        <v>109399</v>
      </c>
      <c r="O50" s="1380">
        <f t="shared" si="2"/>
        <v>149098</v>
      </c>
      <c r="P50" s="1380">
        <f t="shared" si="2"/>
        <v>188492</v>
      </c>
      <c r="Q50" s="1380">
        <f t="shared" si="2"/>
        <v>248129</v>
      </c>
      <c r="R50" s="1380">
        <f t="shared" si="2"/>
        <v>307342</v>
      </c>
      <c r="S50" s="154"/>
      <c r="T50" s="53"/>
      <c r="U50" s="53"/>
      <c r="V50" s="145"/>
      <c r="W50" s="145"/>
      <c r="X50" s="145"/>
      <c r="AA50" s="387"/>
      <c r="AB50" s="387"/>
    </row>
    <row r="51" spans="1:28" s="137" customFormat="1" ht="3" customHeight="1">
      <c r="A51" s="56"/>
      <c r="B51" s="56"/>
      <c r="C51" s="56"/>
      <c r="D51" s="56"/>
      <c r="E51" s="53"/>
      <c r="F51" s="56"/>
      <c r="G51" s="56"/>
      <c r="H51" s="148"/>
      <c r="I51" s="53"/>
      <c r="J51" s="56"/>
      <c r="K51" s="149"/>
      <c r="L51" s="149"/>
      <c r="M51" s="149"/>
      <c r="N51" s="149"/>
      <c r="O51" s="56"/>
      <c r="P51" s="53"/>
      <c r="Q51" s="147"/>
      <c r="R51" s="147"/>
      <c r="S51" s="53"/>
      <c r="T51" s="53"/>
      <c r="U51" s="53"/>
      <c r="AA51" s="387"/>
      <c r="AB51" s="387"/>
    </row>
    <row r="52" spans="1:28" s="137" customFormat="1" ht="11.25" customHeight="1">
      <c r="A52" s="56"/>
      <c r="B52" s="56"/>
      <c r="C52" s="56"/>
      <c r="D52" s="56"/>
      <c r="E52" s="53"/>
      <c r="F52" s="56" t="s">
        <v>3096</v>
      </c>
      <c r="G52" s="56"/>
      <c r="H52" s="148"/>
      <c r="I52" s="53"/>
      <c r="J52" s="56"/>
      <c r="K52" s="149"/>
      <c r="L52" s="149"/>
      <c r="M52" s="149"/>
      <c r="N52" s="149"/>
      <c r="O52" s="56"/>
      <c r="P52" s="53"/>
      <c r="Q52" s="147"/>
      <c r="R52" s="147"/>
      <c r="S52" s="53"/>
      <c r="T52" s="53"/>
      <c r="U52" s="53"/>
      <c r="AA52" s="387"/>
      <c r="AB52" s="387"/>
    </row>
    <row r="53" spans="1:28" s="137" customFormat="1" ht="11.45" customHeight="1">
      <c r="A53" s="56"/>
      <c r="B53" s="56"/>
      <c r="C53" s="56"/>
      <c r="D53" s="53"/>
      <c r="E53" s="53"/>
      <c r="F53" s="56"/>
      <c r="G53" s="56"/>
      <c r="H53" s="53"/>
      <c r="I53" s="53"/>
      <c r="J53" s="146" t="s">
        <v>456</v>
      </c>
      <c r="K53" s="146" t="s">
        <v>2165</v>
      </c>
      <c r="L53" s="146" t="s">
        <v>2166</v>
      </c>
      <c r="M53" s="146" t="s">
        <v>2167</v>
      </c>
      <c r="N53" s="146" t="s">
        <v>2168</v>
      </c>
      <c r="O53" s="56"/>
      <c r="P53" s="53"/>
      <c r="Q53" s="57" t="s">
        <v>2604</v>
      </c>
      <c r="R53" s="57" t="s">
        <v>1558</v>
      </c>
      <c r="S53" s="144"/>
      <c r="T53" s="144"/>
      <c r="U53" s="53"/>
      <c r="V53" s="145"/>
      <c r="W53" s="145"/>
      <c r="X53" s="145"/>
      <c r="AA53" s="387"/>
      <c r="AB53" s="387"/>
    </row>
    <row r="54" spans="1:28" s="137" customFormat="1" ht="11.45" customHeight="1">
      <c r="A54" s="56"/>
      <c r="B54" s="56"/>
      <c r="C54" s="56"/>
      <c r="D54" s="53"/>
      <c r="E54" s="53"/>
      <c r="F54" s="56" t="s">
        <v>3083</v>
      </c>
      <c r="G54" s="56"/>
      <c r="H54" s="53"/>
      <c r="I54" s="53"/>
      <c r="J54" s="552">
        <v>110481</v>
      </c>
      <c r="K54" s="552">
        <v>126647</v>
      </c>
      <c r="L54" s="552">
        <v>154003</v>
      </c>
      <c r="M54" s="552">
        <v>199229</v>
      </c>
      <c r="N54" s="552">
        <v>199229</v>
      </c>
      <c r="O54" s="56"/>
      <c r="P54" s="53"/>
      <c r="Q54" s="553">
        <v>1000</v>
      </c>
      <c r="R54" s="553">
        <v>0</v>
      </c>
      <c r="S54" s="154" t="s">
        <v>3082</v>
      </c>
      <c r="T54" s="144"/>
      <c r="U54" s="53"/>
      <c r="V54" s="145"/>
      <c r="W54" s="145"/>
      <c r="X54" s="145"/>
      <c r="AA54" s="387"/>
      <c r="AB54" s="387"/>
    </row>
    <row r="55" spans="1:28" s="137" customFormat="1" ht="11.45" customHeight="1">
      <c r="A55" s="56"/>
      <c r="B55" s="56"/>
      <c r="C55" s="56"/>
      <c r="D55" s="53"/>
      <c r="E55" s="53"/>
      <c r="O55" s="56"/>
      <c r="T55" s="144"/>
      <c r="U55" s="53"/>
      <c r="V55" s="145"/>
      <c r="W55" s="145"/>
      <c r="X55" s="145"/>
      <c r="AA55" s="387"/>
      <c r="AB55" s="387"/>
    </row>
    <row r="56" spans="1:28" s="137" customFormat="1" ht="11.45" customHeight="1">
      <c r="A56" s="138" t="s">
        <v>1555</v>
      </c>
      <c r="B56" s="138"/>
      <c r="C56" s="138"/>
      <c r="D56" s="53"/>
      <c r="E56" s="53"/>
      <c r="F56" s="138" t="s">
        <v>1556</v>
      </c>
      <c r="G56" s="138"/>
      <c r="H56" s="53"/>
      <c r="I56" s="53"/>
      <c r="J56" s="138" t="s">
        <v>1557</v>
      </c>
      <c r="K56" s="138"/>
      <c r="L56" s="138"/>
      <c r="M56" s="138"/>
      <c r="N56" s="138"/>
      <c r="O56" s="138"/>
      <c r="P56" s="53"/>
      <c r="Q56" s="57" t="s">
        <v>2604</v>
      </c>
      <c r="R56" s="57" t="s">
        <v>1558</v>
      </c>
      <c r="S56" s="154"/>
      <c r="T56" s="144"/>
      <c r="U56" s="53"/>
      <c r="V56" s="145"/>
      <c r="W56" s="145"/>
      <c r="X56" s="145"/>
      <c r="AA56" s="387"/>
      <c r="AB56" s="387"/>
    </row>
    <row r="57" spans="1:28" s="137" customFormat="1" ht="3" customHeight="1">
      <c r="A57" s="56"/>
      <c r="B57" s="56"/>
      <c r="C57" s="56"/>
      <c r="D57" s="56"/>
      <c r="E57" s="53"/>
      <c r="F57" s="56"/>
      <c r="G57" s="56"/>
      <c r="H57" s="148"/>
      <c r="I57" s="53"/>
      <c r="J57" s="56"/>
      <c r="K57" s="149"/>
      <c r="L57" s="149"/>
      <c r="M57" s="149"/>
      <c r="N57" s="149"/>
      <c r="O57" s="56"/>
      <c r="P57" s="53"/>
      <c r="Q57" s="147"/>
      <c r="R57" s="147"/>
      <c r="S57" s="53"/>
      <c r="T57" s="53"/>
      <c r="U57" s="53"/>
      <c r="AA57" s="387"/>
      <c r="AB57" s="387"/>
    </row>
    <row r="58" spans="1:28" s="137" customFormat="1" ht="12" customHeight="1">
      <c r="A58" s="142" t="s">
        <v>1102</v>
      </c>
      <c r="B58" s="138"/>
      <c r="C58" s="138"/>
      <c r="D58" s="138"/>
      <c r="E58" s="53"/>
      <c r="F58" s="138"/>
      <c r="G58" s="138"/>
      <c r="H58" s="138"/>
      <c r="I58" s="53"/>
      <c r="J58" s="56"/>
      <c r="K58" s="138"/>
      <c r="L58" s="138"/>
      <c r="M58" s="138"/>
      <c r="N58" s="138"/>
      <c r="O58" s="138"/>
      <c r="P58" s="53"/>
      <c r="Q58" s="139"/>
      <c r="R58" s="140"/>
      <c r="S58" s="141"/>
      <c r="AA58" s="387"/>
      <c r="AB58" s="387"/>
    </row>
    <row r="59" spans="1:28" s="137" customFormat="1" ht="11.45" customHeight="1">
      <c r="A59" s="53"/>
      <c r="B59" s="56" t="s">
        <v>1102</v>
      </c>
      <c r="C59" s="56"/>
      <c r="D59" s="53"/>
      <c r="E59" s="53"/>
      <c r="F59" s="56" t="s">
        <v>1103</v>
      </c>
      <c r="G59" s="56" t="s">
        <v>3430</v>
      </c>
      <c r="H59" s="53"/>
      <c r="I59" s="53"/>
      <c r="J59" s="56" t="s">
        <v>1393</v>
      </c>
      <c r="K59" s="56"/>
      <c r="L59" s="56"/>
      <c r="M59" s="56"/>
      <c r="N59" s="56"/>
      <c r="O59" s="56"/>
      <c r="P59" s="53"/>
      <c r="Q59" s="1392">
        <v>5000</v>
      </c>
      <c r="R59" s="1393" t="s">
        <v>1561</v>
      </c>
      <c r="S59" s="150"/>
      <c r="AA59" s="387"/>
      <c r="AB59" s="387"/>
    </row>
    <row r="60" spans="1:28" s="137" customFormat="1" ht="11.45" customHeight="1">
      <c r="A60" s="53"/>
      <c r="B60" s="56"/>
      <c r="C60" s="56"/>
      <c r="D60" s="53"/>
      <c r="E60" s="53"/>
      <c r="F60" s="56"/>
      <c r="G60" s="56" t="s">
        <v>3431</v>
      </c>
      <c r="H60" s="53"/>
      <c r="I60" s="53"/>
      <c r="J60" s="56" t="s">
        <v>1393</v>
      </c>
      <c r="K60" s="56"/>
      <c r="L60" s="56"/>
      <c r="M60" s="56"/>
      <c r="N60" s="56"/>
      <c r="O60" s="56"/>
      <c r="P60" s="53"/>
      <c r="Q60" s="1392">
        <v>4500</v>
      </c>
      <c r="R60" s="1393" t="s">
        <v>1561</v>
      </c>
      <c r="S60" s="150"/>
      <c r="AA60" s="387"/>
      <c r="AB60" s="387"/>
    </row>
    <row r="61" spans="1:28" s="137" customFormat="1" ht="11.45" customHeight="1">
      <c r="A61" s="53"/>
      <c r="B61" s="56"/>
      <c r="C61" s="56"/>
      <c r="D61" s="53"/>
      <c r="E61" s="53"/>
      <c r="F61" s="56" t="s">
        <v>2308</v>
      </c>
      <c r="G61" s="56" t="s">
        <v>2322</v>
      </c>
      <c r="H61" s="53"/>
      <c r="I61" s="53"/>
      <c r="J61" s="56" t="s">
        <v>1393</v>
      </c>
      <c r="K61" s="56"/>
      <c r="L61" s="56"/>
      <c r="M61" s="56"/>
      <c r="N61" s="56"/>
      <c r="O61" s="56"/>
      <c r="P61" s="53"/>
      <c r="Q61" s="1392">
        <v>3750</v>
      </c>
      <c r="R61" s="1393" t="s">
        <v>1561</v>
      </c>
      <c r="S61" s="150"/>
      <c r="AA61" s="387"/>
      <c r="AB61" s="387"/>
    </row>
    <row r="62" spans="1:28" s="137" customFormat="1" ht="11.45" customHeight="1">
      <c r="A62" s="56"/>
      <c r="B62" s="56"/>
      <c r="C62" s="56"/>
      <c r="D62" s="53"/>
      <c r="E62" s="53"/>
      <c r="G62" s="56" t="s">
        <v>2321</v>
      </c>
      <c r="H62" s="53"/>
      <c r="I62" s="53"/>
      <c r="J62" s="56" t="s">
        <v>1393</v>
      </c>
      <c r="K62" s="56"/>
      <c r="L62" s="56"/>
      <c r="M62" s="56"/>
      <c r="N62" s="56"/>
      <c r="O62" s="56"/>
      <c r="P62" s="53"/>
      <c r="Q62" s="1392">
        <v>3250</v>
      </c>
      <c r="R62" s="1393" t="s">
        <v>1561</v>
      </c>
      <c r="S62" s="150"/>
      <c r="AA62" s="387"/>
      <c r="AB62" s="387"/>
    </row>
    <row r="63" spans="1:28" s="137" customFormat="1" ht="11.45" customHeight="1">
      <c r="A63" s="56"/>
      <c r="B63" s="56"/>
      <c r="C63" s="56"/>
      <c r="D63" s="53"/>
      <c r="E63" s="53"/>
      <c r="G63" s="56" t="s">
        <v>3432</v>
      </c>
      <c r="H63" s="53"/>
      <c r="I63" s="53"/>
      <c r="J63" s="56" t="s">
        <v>1393</v>
      </c>
      <c r="K63" s="56"/>
      <c r="L63" s="56"/>
      <c r="M63" s="56"/>
      <c r="N63" s="56"/>
      <c r="O63" s="56"/>
      <c r="P63" s="53"/>
      <c r="Q63" s="1392">
        <v>3000</v>
      </c>
      <c r="R63" s="1393" t="s">
        <v>1561</v>
      </c>
      <c r="S63" s="150"/>
      <c r="T63" s="150"/>
      <c r="U63" s="150"/>
      <c r="AA63" s="387"/>
      <c r="AB63" s="387"/>
    </row>
    <row r="64" spans="1:28" s="137" customFormat="1" ht="11.45" customHeight="1">
      <c r="A64" s="56"/>
      <c r="B64" s="56" t="s">
        <v>1104</v>
      </c>
      <c r="C64" s="56"/>
      <c r="D64" s="53"/>
      <c r="E64" s="53"/>
      <c r="F64" s="56" t="s">
        <v>255</v>
      </c>
      <c r="G64" s="56"/>
      <c r="H64" s="53"/>
      <c r="I64" s="53"/>
      <c r="J64" s="56" t="s">
        <v>1393</v>
      </c>
      <c r="K64" s="56"/>
      <c r="L64" s="56"/>
      <c r="M64" s="56"/>
      <c r="N64" s="56"/>
      <c r="O64" s="56"/>
      <c r="P64" s="53"/>
      <c r="Q64" s="1394">
        <v>350</v>
      </c>
      <c r="R64" s="1393" t="s">
        <v>1561</v>
      </c>
      <c r="S64" s="150"/>
      <c r="T64" s="150"/>
      <c r="U64" s="150"/>
      <c r="AA64" s="387"/>
      <c r="AB64" s="387"/>
    </row>
    <row r="65" spans="1:28" s="137" customFormat="1" ht="11.45" customHeight="1">
      <c r="A65" s="56"/>
      <c r="B65" s="56"/>
      <c r="C65" s="56"/>
      <c r="D65" s="53"/>
      <c r="E65" s="53"/>
      <c r="F65" s="56" t="s">
        <v>1105</v>
      </c>
      <c r="G65" s="56"/>
      <c r="H65" s="53"/>
      <c r="I65" s="53"/>
      <c r="J65" s="56" t="s">
        <v>1393</v>
      </c>
      <c r="K65" s="56"/>
      <c r="L65" s="56"/>
      <c r="M65" s="56"/>
      <c r="N65" s="56"/>
      <c r="O65" s="56"/>
      <c r="P65" s="53"/>
      <c r="Q65" s="1394">
        <v>250</v>
      </c>
      <c r="R65" s="1393" t="s">
        <v>1561</v>
      </c>
      <c r="S65" s="150"/>
      <c r="T65" s="150"/>
      <c r="U65" s="150"/>
      <c r="AA65" s="387"/>
      <c r="AB65" s="387"/>
    </row>
    <row r="66" spans="1:28" s="137" customFormat="1" ht="11.45" customHeight="1">
      <c r="A66" s="56"/>
      <c r="B66" s="56"/>
      <c r="C66" s="56"/>
      <c r="D66" s="56"/>
      <c r="E66" s="53"/>
      <c r="F66" s="56" t="s">
        <v>2986</v>
      </c>
      <c r="G66" s="56"/>
      <c r="H66" s="53"/>
      <c r="I66" s="53"/>
      <c r="J66" s="56" t="s">
        <v>1393</v>
      </c>
      <c r="K66" s="56"/>
      <c r="L66" s="56"/>
      <c r="M66" s="56"/>
      <c r="N66" s="56"/>
      <c r="O66" s="56"/>
      <c r="P66" s="53"/>
      <c r="Q66" s="1394">
        <v>420</v>
      </c>
      <c r="R66" s="1393" t="s">
        <v>1561</v>
      </c>
      <c r="S66" s="150"/>
      <c r="T66" s="150"/>
      <c r="U66" s="150"/>
      <c r="AA66" s="387"/>
      <c r="AB66" s="387"/>
    </row>
    <row r="67" spans="1:28" s="137" customFormat="1" ht="11.45" customHeight="1">
      <c r="A67" s="56"/>
      <c r="B67" s="56"/>
      <c r="C67" s="56"/>
      <c r="D67" s="56"/>
      <c r="E67" s="53"/>
      <c r="F67" s="56" t="s">
        <v>344</v>
      </c>
      <c r="G67" s="56"/>
      <c r="H67" s="53"/>
      <c r="I67" s="53"/>
      <c r="J67" s="56" t="s">
        <v>1393</v>
      </c>
      <c r="K67" s="56"/>
      <c r="L67" s="56"/>
      <c r="M67" s="56"/>
      <c r="N67" s="56"/>
      <c r="O67" s="56"/>
      <c r="P67" s="53"/>
      <c r="Q67" s="1394">
        <v>420</v>
      </c>
      <c r="R67" s="1393" t="s">
        <v>1561</v>
      </c>
      <c r="S67" s="150"/>
      <c r="T67" s="150"/>
      <c r="U67" s="150"/>
      <c r="AA67" s="387"/>
      <c r="AB67" s="387"/>
    </row>
    <row r="68" spans="1:28" s="137" customFormat="1" ht="3" customHeight="1">
      <c r="A68" s="53"/>
      <c r="B68" s="56"/>
      <c r="C68" s="56"/>
      <c r="D68" s="56"/>
      <c r="E68" s="53"/>
      <c r="F68" s="56"/>
      <c r="G68" s="56"/>
      <c r="H68" s="53"/>
      <c r="I68" s="53"/>
      <c r="J68" s="56"/>
      <c r="K68" s="56"/>
      <c r="L68" s="56"/>
      <c r="M68" s="56"/>
      <c r="N68" s="56"/>
      <c r="O68" s="56"/>
      <c r="P68" s="53"/>
      <c r="Q68" s="56"/>
      <c r="R68" s="146"/>
      <c r="S68" s="150"/>
      <c r="T68" s="150"/>
      <c r="U68" s="150"/>
      <c r="AA68" s="387"/>
      <c r="AB68" s="387"/>
    </row>
    <row r="69" spans="1:28" s="137" customFormat="1" ht="12" customHeight="1">
      <c r="A69" s="142" t="s">
        <v>1106</v>
      </c>
      <c r="B69" s="56"/>
      <c r="C69" s="56"/>
      <c r="D69" s="56"/>
      <c r="E69" s="53"/>
      <c r="F69" s="56"/>
      <c r="G69" s="56"/>
      <c r="H69" s="53"/>
      <c r="I69" s="53"/>
      <c r="J69" s="56"/>
      <c r="K69" s="56"/>
      <c r="L69" s="56"/>
      <c r="M69" s="56"/>
      <c r="N69" s="56"/>
      <c r="O69" s="56"/>
      <c r="P69" s="53"/>
      <c r="Q69" s="56"/>
      <c r="R69" s="146"/>
      <c r="S69" s="150"/>
      <c r="T69" s="150"/>
      <c r="U69" s="150"/>
      <c r="AA69" s="387"/>
      <c r="AB69" s="387"/>
    </row>
    <row r="70" spans="1:28" s="137" customFormat="1" ht="11.45" customHeight="1">
      <c r="A70" s="56"/>
      <c r="B70" s="56" t="s">
        <v>704</v>
      </c>
      <c r="C70" s="56"/>
      <c r="D70" s="53"/>
      <c r="E70" s="53"/>
      <c r="F70" s="56" t="s">
        <v>255</v>
      </c>
      <c r="G70" s="56"/>
      <c r="H70" s="53"/>
      <c r="I70" s="53"/>
      <c r="J70" s="56" t="s">
        <v>3433</v>
      </c>
      <c r="K70" s="56"/>
      <c r="L70" s="56"/>
      <c r="M70" s="56"/>
      <c r="N70" s="56"/>
      <c r="O70" s="56"/>
      <c r="P70" s="53"/>
      <c r="Q70" s="553">
        <v>25000</v>
      </c>
      <c r="R70" s="1393" t="s">
        <v>3434</v>
      </c>
      <c r="S70" s="150"/>
      <c r="T70" s="150"/>
      <c r="U70" s="150"/>
      <c r="AA70" s="387"/>
      <c r="AB70" s="387"/>
    </row>
    <row r="71" spans="1:28" s="137" customFormat="1" ht="11.45" customHeight="1">
      <c r="A71" s="56"/>
      <c r="B71" s="56" t="s">
        <v>1764</v>
      </c>
      <c r="C71" s="56"/>
      <c r="D71" s="53"/>
      <c r="E71" s="53"/>
      <c r="F71" s="56" t="s">
        <v>1105</v>
      </c>
      <c r="G71" s="56"/>
      <c r="H71" s="53"/>
      <c r="I71" s="53"/>
      <c r="J71" s="56" t="s">
        <v>3435</v>
      </c>
      <c r="K71" s="56"/>
      <c r="L71" s="56"/>
      <c r="M71" s="56"/>
      <c r="N71" s="56"/>
      <c r="O71" s="56"/>
      <c r="P71" s="53"/>
      <c r="Q71" s="1376" t="s">
        <v>3436</v>
      </c>
      <c r="R71" s="1376">
        <v>0.05</v>
      </c>
      <c r="S71" s="150"/>
      <c r="T71" s="150"/>
      <c r="U71" s="150"/>
      <c r="AA71" s="387"/>
      <c r="AB71" s="387"/>
    </row>
    <row r="72" spans="1:28" s="137" customFormat="1" ht="11.45" customHeight="1">
      <c r="A72" s="56"/>
      <c r="B72" s="56"/>
      <c r="C72" s="56"/>
      <c r="D72" s="53"/>
      <c r="E72" s="53"/>
      <c r="F72" s="56" t="s">
        <v>255</v>
      </c>
      <c r="G72" s="56"/>
      <c r="H72" s="53"/>
      <c r="I72" s="53"/>
      <c r="J72" s="56" t="s">
        <v>3435</v>
      </c>
      <c r="K72" s="56"/>
      <c r="L72" s="56"/>
      <c r="M72" s="56"/>
      <c r="N72" s="56"/>
      <c r="O72" s="56"/>
      <c r="P72" s="53"/>
      <c r="Q72" s="1376" t="s">
        <v>3436</v>
      </c>
      <c r="R72" s="1376">
        <v>0.1</v>
      </c>
      <c r="S72" s="150"/>
      <c r="T72" s="150"/>
      <c r="U72" s="150"/>
      <c r="AA72" s="387"/>
      <c r="AB72" s="387"/>
    </row>
    <row r="73" spans="1:28" s="137" customFormat="1" ht="11.45" customHeight="1">
      <c r="A73" s="56"/>
      <c r="B73" s="56" t="s">
        <v>1823</v>
      </c>
      <c r="C73" s="56"/>
      <c r="D73" s="53"/>
      <c r="E73" s="53"/>
      <c r="F73" s="56" t="s">
        <v>1561</v>
      </c>
      <c r="G73" s="56"/>
      <c r="H73" s="53"/>
      <c r="I73" s="53"/>
      <c r="J73" s="56" t="s">
        <v>3437</v>
      </c>
      <c r="K73" s="56"/>
      <c r="L73" s="56"/>
      <c r="M73" s="56"/>
      <c r="N73" s="56"/>
      <c r="O73" s="56"/>
      <c r="P73" s="53"/>
      <c r="Q73" s="1393" t="s">
        <v>1561</v>
      </c>
      <c r="R73" s="1376">
        <v>0.06</v>
      </c>
      <c r="S73" s="150"/>
      <c r="T73" s="150"/>
      <c r="U73" s="150"/>
      <c r="AA73" s="387"/>
      <c r="AB73" s="387"/>
    </row>
    <row r="74" spans="1:28" s="137" customFormat="1" ht="11.45" customHeight="1">
      <c r="A74" s="56"/>
      <c r="B74" s="56" t="s">
        <v>1824</v>
      </c>
      <c r="C74" s="56"/>
      <c r="D74" s="53"/>
      <c r="E74" s="53"/>
      <c r="F74" s="56" t="s">
        <v>1561</v>
      </c>
      <c r="G74" s="56"/>
      <c r="H74" s="53"/>
      <c r="I74" s="53"/>
      <c r="J74" s="56" t="s">
        <v>3437</v>
      </c>
      <c r="K74" s="56"/>
      <c r="L74" s="56"/>
      <c r="M74" s="56"/>
      <c r="N74" s="56"/>
      <c r="O74" s="56"/>
      <c r="P74" s="53"/>
      <c r="Q74" s="1393" t="s">
        <v>1561</v>
      </c>
      <c r="R74" s="1376">
        <v>0.02</v>
      </c>
      <c r="S74" s="150"/>
      <c r="T74" s="150"/>
      <c r="U74" s="150"/>
      <c r="AA74" s="387"/>
      <c r="AB74" s="387"/>
    </row>
    <row r="75" spans="1:28" s="137" customFormat="1" ht="11.45" customHeight="1">
      <c r="A75" s="56"/>
      <c r="B75" s="56" t="s">
        <v>2402</v>
      </c>
      <c r="C75" s="56"/>
      <c r="D75" s="53"/>
      <c r="E75" s="53"/>
      <c r="F75" s="56" t="s">
        <v>1561</v>
      </c>
      <c r="G75" s="56"/>
      <c r="H75" s="53"/>
      <c r="I75" s="53"/>
      <c r="J75" s="56" t="s">
        <v>3437</v>
      </c>
      <c r="K75" s="56"/>
      <c r="L75" s="56"/>
      <c r="M75" s="56"/>
      <c r="N75" s="56"/>
      <c r="O75" s="56"/>
      <c r="P75" s="53"/>
      <c r="Q75" s="1393" t="s">
        <v>1561</v>
      </c>
      <c r="R75" s="1376">
        <v>0.06</v>
      </c>
      <c r="S75" s="150"/>
      <c r="T75" s="150"/>
      <c r="U75" s="150"/>
      <c r="AA75" s="387"/>
      <c r="AB75" s="387"/>
    </row>
    <row r="76" spans="1:28" s="137" customFormat="1" ht="11.45" customHeight="1">
      <c r="A76" s="56"/>
      <c r="B76" s="56" t="s">
        <v>1194</v>
      </c>
      <c r="C76" s="56"/>
      <c r="D76" s="53"/>
      <c r="E76" s="53"/>
      <c r="F76" s="56" t="s">
        <v>1047</v>
      </c>
      <c r="G76" s="56"/>
      <c r="H76" s="53"/>
      <c r="I76" s="53"/>
      <c r="J76" s="56"/>
      <c r="K76" s="56"/>
      <c r="L76" s="56"/>
      <c r="M76" s="56"/>
      <c r="N76" s="56"/>
      <c r="O76" s="56"/>
      <c r="P76" s="53"/>
      <c r="Q76" s="1393" t="s">
        <v>1561</v>
      </c>
      <c r="R76" s="553">
        <v>20000</v>
      </c>
      <c r="S76" s="150"/>
      <c r="T76" s="150"/>
      <c r="U76" s="150"/>
      <c r="AA76" s="387"/>
      <c r="AB76" s="387"/>
    </row>
    <row r="77" spans="1:28" s="137" customFormat="1" ht="11.45" customHeight="1">
      <c r="A77" s="53"/>
      <c r="B77" s="150" t="s">
        <v>3438</v>
      </c>
      <c r="C77" s="56"/>
      <c r="D77" s="56"/>
      <c r="E77" s="53"/>
      <c r="F77" s="58" t="s">
        <v>3019</v>
      </c>
      <c r="G77" s="56"/>
      <c r="H77" s="53"/>
      <c r="I77" s="53"/>
      <c r="J77" s="56" t="s">
        <v>1108</v>
      </c>
      <c r="K77" s="56"/>
      <c r="L77" s="56"/>
      <c r="M77" s="56"/>
      <c r="N77" s="56"/>
      <c r="O77" s="56"/>
      <c r="P77" s="53"/>
      <c r="Q77" s="2653">
        <v>1000</v>
      </c>
      <c r="R77" s="2654"/>
      <c r="S77" s="150"/>
      <c r="T77" s="150"/>
      <c r="U77" s="150"/>
      <c r="AA77" s="387"/>
      <c r="AB77" s="387"/>
    </row>
    <row r="78" spans="1:28" s="137" customFormat="1" ht="11.45" customHeight="1">
      <c r="A78" s="56"/>
      <c r="B78" s="56"/>
      <c r="C78" s="56"/>
      <c r="D78" s="56"/>
      <c r="E78" s="53"/>
      <c r="G78" s="56"/>
      <c r="H78" s="53"/>
      <c r="I78" s="53"/>
      <c r="J78" s="56" t="s">
        <v>1109</v>
      </c>
      <c r="K78" s="56"/>
      <c r="L78" s="56"/>
      <c r="M78" s="56"/>
      <c r="N78" s="56"/>
      <c r="O78" s="56"/>
      <c r="P78" s="53"/>
      <c r="Q78" s="2653">
        <v>500</v>
      </c>
      <c r="R78" s="2654"/>
      <c r="S78" s="150"/>
      <c r="T78" s="150"/>
      <c r="U78" s="150"/>
      <c r="AA78" s="387"/>
      <c r="AB78" s="387"/>
    </row>
    <row r="79" spans="1:28" s="137" customFormat="1" ht="11.45" customHeight="1">
      <c r="A79" s="56"/>
      <c r="B79" s="56"/>
      <c r="C79" s="56"/>
      <c r="D79" s="56"/>
      <c r="E79" s="53"/>
      <c r="F79" s="58" t="s">
        <v>3439</v>
      </c>
      <c r="G79" s="56"/>
      <c r="H79" s="53"/>
      <c r="I79" s="53"/>
      <c r="J79" s="58" t="s">
        <v>3440</v>
      </c>
      <c r="K79" s="56"/>
      <c r="L79" s="56"/>
      <c r="M79" s="56"/>
      <c r="N79" s="56"/>
      <c r="O79" s="56"/>
      <c r="P79" s="53"/>
      <c r="Q79" s="2653">
        <v>1500</v>
      </c>
      <c r="R79" s="2654"/>
      <c r="S79" s="150"/>
      <c r="T79" s="150"/>
      <c r="U79" s="150"/>
      <c r="AA79" s="387"/>
      <c r="AB79" s="387"/>
    </row>
    <row r="80" spans="1:28" s="137" customFormat="1" ht="11.45" customHeight="1">
      <c r="A80" s="56"/>
      <c r="B80" s="56"/>
      <c r="C80" s="56"/>
      <c r="D80" s="56"/>
      <c r="E80" s="53"/>
      <c r="G80" s="56"/>
      <c r="H80" s="53"/>
      <c r="I80" s="53"/>
      <c r="J80" s="58" t="s">
        <v>3441</v>
      </c>
      <c r="K80" s="56"/>
      <c r="L80" s="56"/>
      <c r="M80" s="56"/>
      <c r="N80" s="56"/>
      <c r="O80" s="56"/>
      <c r="P80" s="53"/>
      <c r="Q80" s="2653">
        <v>1500</v>
      </c>
      <c r="R80" s="2654"/>
      <c r="S80" s="150"/>
      <c r="T80" s="150"/>
      <c r="U80" s="150"/>
      <c r="AA80" s="387"/>
      <c r="AB80" s="387"/>
    </row>
    <row r="81" spans="1:28" s="137" customFormat="1" ht="11.45" customHeight="1">
      <c r="A81" s="56"/>
      <c r="B81" s="56"/>
      <c r="C81" s="56"/>
      <c r="D81" s="56"/>
      <c r="E81" s="53"/>
      <c r="G81" s="56"/>
      <c r="H81" s="53"/>
      <c r="I81" s="53"/>
      <c r="J81" s="58" t="s">
        <v>3442</v>
      </c>
      <c r="K81" s="56"/>
      <c r="L81" s="56"/>
      <c r="M81" s="56"/>
      <c r="N81" s="56"/>
      <c r="O81" s="56"/>
      <c r="P81" s="53"/>
      <c r="Q81" s="2653">
        <v>1500</v>
      </c>
      <c r="R81" s="2654"/>
      <c r="S81" s="150"/>
      <c r="T81" s="150"/>
      <c r="U81" s="150"/>
      <c r="AA81" s="387"/>
      <c r="AB81" s="387"/>
    </row>
    <row r="82" spans="1:28" s="137" customFormat="1" ht="11.45" customHeight="1">
      <c r="A82" s="56"/>
      <c r="B82" s="56"/>
      <c r="C82" s="56"/>
      <c r="D82" s="56"/>
      <c r="E82" s="53"/>
      <c r="G82" s="56"/>
      <c r="H82" s="53"/>
      <c r="I82" s="53"/>
      <c r="J82" s="58" t="s">
        <v>3443</v>
      </c>
      <c r="K82" s="56"/>
      <c r="L82" s="56"/>
      <c r="M82" s="56"/>
      <c r="N82" s="56"/>
      <c r="O82" s="56"/>
      <c r="P82" s="53"/>
      <c r="Q82" s="2653">
        <v>1500</v>
      </c>
      <c r="R82" s="2654"/>
      <c r="S82" s="150"/>
      <c r="T82" s="150"/>
      <c r="U82" s="150"/>
      <c r="AA82" s="387"/>
      <c r="AB82" s="387"/>
    </row>
    <row r="83" spans="1:28" s="137" customFormat="1" ht="11.45" customHeight="1">
      <c r="A83" s="56"/>
      <c r="B83" s="56"/>
      <c r="C83" s="56"/>
      <c r="D83" s="56"/>
      <c r="E83" s="53"/>
      <c r="F83" s="58" t="s">
        <v>3444</v>
      </c>
      <c r="G83" s="56"/>
      <c r="H83" s="53"/>
      <c r="I83" s="53"/>
      <c r="J83" s="56" t="s">
        <v>1108</v>
      </c>
      <c r="K83" s="56"/>
      <c r="L83" s="56"/>
      <c r="M83" s="56"/>
      <c r="N83" s="56"/>
      <c r="O83" s="56"/>
      <c r="P83" s="53"/>
      <c r="Q83" s="2653">
        <v>6500</v>
      </c>
      <c r="R83" s="2654"/>
      <c r="S83" s="150"/>
      <c r="T83" s="150"/>
      <c r="U83" s="150"/>
      <c r="AA83" s="387"/>
      <c r="AB83" s="387"/>
    </row>
    <row r="84" spans="1:28" s="137" customFormat="1" ht="11.45" customHeight="1">
      <c r="A84" s="56"/>
      <c r="B84" s="56"/>
      <c r="C84" s="56"/>
      <c r="D84" s="56"/>
      <c r="E84" s="53"/>
      <c r="F84" s="58" t="s">
        <v>3444</v>
      </c>
      <c r="G84" s="56"/>
      <c r="H84" s="53"/>
      <c r="I84" s="53"/>
      <c r="J84" s="56" t="s">
        <v>1109</v>
      </c>
      <c r="K84" s="56"/>
      <c r="L84" s="56"/>
      <c r="M84" s="56"/>
      <c r="N84" s="56"/>
      <c r="O84" s="56"/>
      <c r="P84" s="53"/>
      <c r="Q84" s="2653">
        <v>5500</v>
      </c>
      <c r="R84" s="2654"/>
      <c r="S84" s="150"/>
      <c r="T84" s="150"/>
      <c r="U84" s="150"/>
      <c r="AA84" s="387"/>
      <c r="AB84" s="387"/>
    </row>
    <row r="85" spans="1:28" s="137" customFormat="1" ht="11.45" customHeight="1">
      <c r="A85" s="56"/>
      <c r="B85" s="56"/>
      <c r="C85" s="56"/>
      <c r="D85" s="56"/>
      <c r="E85" s="53"/>
      <c r="F85" s="58" t="s">
        <v>2994</v>
      </c>
      <c r="G85" s="56"/>
      <c r="H85" s="53"/>
      <c r="I85" s="53"/>
      <c r="J85" s="56"/>
      <c r="K85" s="56"/>
      <c r="L85" s="56"/>
      <c r="M85" s="56"/>
      <c r="N85" s="56"/>
      <c r="O85" s="56"/>
      <c r="P85" s="53"/>
      <c r="Q85" s="2653">
        <v>5000</v>
      </c>
      <c r="R85" s="2654"/>
      <c r="S85" s="150"/>
      <c r="T85" s="150"/>
      <c r="U85" s="150"/>
      <c r="AA85" s="387"/>
      <c r="AB85" s="387"/>
    </row>
    <row r="86" spans="1:28" s="137" customFormat="1" ht="11.45" customHeight="1">
      <c r="A86" s="56"/>
      <c r="B86" s="56"/>
      <c r="C86" s="56"/>
      <c r="D86" s="56"/>
      <c r="E86" s="53"/>
      <c r="F86" s="58"/>
      <c r="G86" s="56" t="s">
        <v>3445</v>
      </c>
      <c r="H86" s="53"/>
      <c r="I86" s="53"/>
      <c r="J86" s="56" t="s">
        <v>3446</v>
      </c>
      <c r="K86" s="56"/>
      <c r="L86" s="56"/>
      <c r="M86" s="56"/>
      <c r="N86" s="56"/>
      <c r="O86" s="56"/>
      <c r="P86" s="53"/>
      <c r="Q86" s="2653">
        <v>500</v>
      </c>
      <c r="R86" s="2654"/>
      <c r="S86" s="150"/>
      <c r="T86" s="150"/>
      <c r="U86" s="150"/>
      <c r="AA86" s="387"/>
      <c r="AB86" s="387"/>
    </row>
    <row r="87" spans="1:28" s="137" customFormat="1" ht="11.45" customHeight="1">
      <c r="A87" s="56"/>
      <c r="B87" s="56"/>
      <c r="C87" s="56"/>
      <c r="D87" s="56"/>
      <c r="E87" s="53"/>
      <c r="F87" s="58" t="s">
        <v>3447</v>
      </c>
      <c r="G87" s="56"/>
      <c r="H87" s="53"/>
      <c r="I87" s="53"/>
      <c r="J87" s="56"/>
      <c r="K87" s="56"/>
      <c r="L87" s="56"/>
      <c r="M87" s="56"/>
      <c r="N87" s="56"/>
      <c r="O87" s="56"/>
      <c r="P87" s="53"/>
      <c r="Q87" s="2653">
        <v>1500</v>
      </c>
      <c r="R87" s="2654"/>
      <c r="S87" s="150"/>
      <c r="T87" s="150"/>
      <c r="U87" s="150"/>
      <c r="AA87" s="387"/>
      <c r="AB87" s="387"/>
    </row>
    <row r="88" spans="1:28" s="137" customFormat="1" ht="11.45" customHeight="1">
      <c r="A88" s="56"/>
      <c r="C88" s="56"/>
      <c r="D88" s="53"/>
      <c r="E88" s="53"/>
      <c r="F88" s="58" t="s">
        <v>879</v>
      </c>
      <c r="H88" s="56"/>
      <c r="I88" s="53"/>
      <c r="J88" s="56" t="s">
        <v>880</v>
      </c>
      <c r="K88" s="56"/>
      <c r="L88" s="56"/>
      <c r="M88" s="56"/>
      <c r="N88" s="56"/>
      <c r="O88" s="56"/>
      <c r="P88" s="53"/>
      <c r="Q88" s="2661">
        <v>0.08</v>
      </c>
      <c r="R88" s="2661"/>
      <c r="S88" s="150"/>
      <c r="T88" s="150"/>
      <c r="U88" s="150"/>
      <c r="AA88" s="387"/>
      <c r="AB88" s="387"/>
    </row>
    <row r="89" spans="1:28" s="137" customFormat="1" ht="11.45" customHeight="1">
      <c r="A89" s="56"/>
      <c r="C89" s="56"/>
      <c r="D89" s="53"/>
      <c r="E89" s="53"/>
      <c r="F89" s="58" t="s">
        <v>881</v>
      </c>
      <c r="H89" s="56"/>
      <c r="I89" s="53"/>
      <c r="J89" s="56" t="s">
        <v>880</v>
      </c>
      <c r="K89" s="56"/>
      <c r="L89" s="56"/>
      <c r="M89" s="56"/>
      <c r="N89" s="56"/>
      <c r="O89" s="56"/>
      <c r="P89" s="53"/>
      <c r="Q89" s="2661">
        <v>0.08</v>
      </c>
      <c r="R89" s="2661"/>
      <c r="S89" s="150"/>
      <c r="T89" s="150"/>
      <c r="U89" s="150"/>
      <c r="AA89" s="387"/>
      <c r="AB89" s="387"/>
    </row>
    <row r="90" spans="1:28" s="137" customFormat="1" ht="11.45" customHeight="1">
      <c r="A90" s="56"/>
      <c r="C90" s="56"/>
      <c r="D90" s="53"/>
      <c r="E90" s="53"/>
      <c r="F90" s="58" t="s">
        <v>3448</v>
      </c>
      <c r="H90" s="56"/>
      <c r="I90" s="53"/>
      <c r="J90" s="56"/>
      <c r="K90" s="56"/>
      <c r="L90" s="56"/>
      <c r="M90" s="56"/>
      <c r="N90" s="56"/>
      <c r="O90" s="56"/>
      <c r="P90" s="53"/>
      <c r="Q90" s="2653">
        <v>3000</v>
      </c>
      <c r="R90" s="2654"/>
      <c r="S90" s="150"/>
      <c r="T90" s="150"/>
      <c r="U90" s="150"/>
      <c r="AA90" s="387"/>
      <c r="AB90" s="387"/>
    </row>
    <row r="91" spans="1:28" s="137" customFormat="1" ht="11.45" customHeight="1">
      <c r="A91" s="56"/>
      <c r="C91" s="56"/>
      <c r="D91" s="53"/>
      <c r="E91" s="53"/>
      <c r="F91" s="58" t="s">
        <v>3449</v>
      </c>
      <c r="H91" s="56"/>
      <c r="I91" s="53"/>
      <c r="J91" s="56"/>
      <c r="K91" s="56"/>
      <c r="L91" s="56"/>
      <c r="M91" s="56"/>
      <c r="N91" s="56"/>
      <c r="O91" s="56"/>
      <c r="P91" s="53"/>
      <c r="Q91" s="2653">
        <v>1500</v>
      </c>
      <c r="R91" s="2654"/>
      <c r="S91" s="150"/>
      <c r="T91" s="150"/>
      <c r="U91" s="150"/>
      <c r="AA91" s="387"/>
      <c r="AB91" s="387"/>
    </row>
    <row r="92" spans="1:28" s="137" customFormat="1" ht="11.45" customHeight="1">
      <c r="A92" s="56"/>
      <c r="C92" s="56"/>
      <c r="D92" s="53"/>
      <c r="E92" s="53"/>
      <c r="F92" s="56" t="s">
        <v>882</v>
      </c>
      <c r="H92" s="56" t="s">
        <v>1462</v>
      </c>
      <c r="I92" s="53"/>
      <c r="J92" s="56" t="s">
        <v>1393</v>
      </c>
      <c r="K92" s="56"/>
      <c r="L92" s="56"/>
      <c r="M92" s="56"/>
      <c r="N92" s="56"/>
      <c r="O92" s="56"/>
      <c r="P92" s="53"/>
      <c r="Q92" s="2653">
        <v>800</v>
      </c>
      <c r="R92" s="2654"/>
      <c r="S92" s="150"/>
      <c r="T92" s="150"/>
      <c r="U92" s="150"/>
      <c r="AA92" s="387"/>
      <c r="AB92" s="387"/>
    </row>
    <row r="93" spans="1:28" s="137" customFormat="1" ht="11.45" customHeight="1">
      <c r="A93" s="56"/>
      <c r="C93" s="56"/>
      <c r="D93" s="53"/>
      <c r="E93" s="53"/>
      <c r="F93" s="56"/>
      <c r="H93" s="56"/>
      <c r="I93" s="56" t="s">
        <v>3450</v>
      </c>
      <c r="J93" s="56" t="s">
        <v>1393</v>
      </c>
      <c r="K93" s="56"/>
      <c r="L93" s="56"/>
      <c r="M93" s="56"/>
      <c r="N93" s="56"/>
      <c r="O93" s="56"/>
      <c r="P93" s="53"/>
      <c r="Q93" s="2653">
        <v>1000</v>
      </c>
      <c r="R93" s="2654"/>
      <c r="S93" s="150"/>
      <c r="T93" s="150"/>
      <c r="U93" s="150"/>
      <c r="AA93" s="387"/>
      <c r="AB93" s="387"/>
    </row>
    <row r="94" spans="1:28" s="137" customFormat="1" ht="11.45" customHeight="1">
      <c r="A94" s="56"/>
      <c r="B94" s="56"/>
      <c r="C94" s="56"/>
      <c r="D94" s="53"/>
      <c r="E94" s="53"/>
      <c r="H94" s="58" t="s">
        <v>2337</v>
      </c>
      <c r="I94" s="156"/>
      <c r="J94" s="58" t="s">
        <v>1393</v>
      </c>
      <c r="K94" s="58" t="s">
        <v>3451</v>
      </c>
      <c r="L94" s="58"/>
      <c r="M94" s="58"/>
      <c r="N94" s="58"/>
      <c r="O94" s="58"/>
      <c r="P94" s="156"/>
      <c r="Q94" s="2653">
        <v>800</v>
      </c>
      <c r="R94" s="2654"/>
      <c r="S94" s="150"/>
      <c r="T94" s="150"/>
      <c r="U94" s="150"/>
      <c r="AA94" s="387"/>
      <c r="AB94" s="387"/>
    </row>
    <row r="95" spans="1:28" s="137" customFormat="1" ht="11.45" customHeight="1">
      <c r="A95" s="56"/>
      <c r="B95" s="56"/>
      <c r="C95" s="56"/>
      <c r="D95" s="53"/>
      <c r="E95" s="53"/>
      <c r="H95" s="56" t="s">
        <v>2406</v>
      </c>
      <c r="I95" s="53"/>
      <c r="J95" s="56" t="s">
        <v>2336</v>
      </c>
      <c r="K95" s="56"/>
      <c r="L95" s="56"/>
      <c r="M95" s="56"/>
      <c r="N95" s="56"/>
      <c r="O95" s="56"/>
      <c r="P95" s="53"/>
      <c r="Q95" s="2653">
        <v>1500</v>
      </c>
      <c r="R95" s="2654"/>
      <c r="S95" s="150"/>
      <c r="T95" s="150"/>
      <c r="U95" s="150"/>
      <c r="AA95" s="387"/>
      <c r="AB95" s="387"/>
    </row>
    <row r="96" spans="1:28" s="137" customFormat="1" ht="11.45" customHeight="1">
      <c r="A96" s="56"/>
      <c r="B96" s="56"/>
      <c r="C96" s="56"/>
      <c r="D96" s="53"/>
      <c r="E96" s="53"/>
      <c r="F96" s="56" t="s">
        <v>3452</v>
      </c>
      <c r="I96" s="53"/>
      <c r="J96" s="56" t="s">
        <v>3453</v>
      </c>
      <c r="K96" s="56"/>
      <c r="L96" s="56"/>
      <c r="M96" s="56"/>
      <c r="N96" s="56"/>
      <c r="O96" s="56"/>
      <c r="P96" s="53"/>
      <c r="Q96" s="1393">
        <v>750</v>
      </c>
      <c r="R96" s="1393" t="s">
        <v>1561</v>
      </c>
      <c r="S96" s="150"/>
      <c r="T96" s="150"/>
      <c r="U96" s="150"/>
      <c r="AA96" s="387"/>
      <c r="AB96" s="387"/>
    </row>
    <row r="97" spans="1:28" s="137" customFormat="1" ht="11.45" customHeight="1">
      <c r="A97" s="56"/>
      <c r="B97" s="56"/>
      <c r="C97" s="56"/>
      <c r="D97" s="53"/>
      <c r="E97" s="53"/>
      <c r="F97" s="56" t="s">
        <v>3454</v>
      </c>
      <c r="I97" s="53"/>
      <c r="J97" s="56" t="s">
        <v>1587</v>
      </c>
      <c r="K97" s="56"/>
      <c r="L97" s="56"/>
      <c r="M97" s="56"/>
      <c r="N97" s="56"/>
      <c r="O97" s="56"/>
      <c r="P97" s="53"/>
      <c r="Q97" s="2653">
        <v>3000</v>
      </c>
      <c r="R97" s="2654"/>
      <c r="S97" s="150"/>
      <c r="T97" s="150"/>
      <c r="U97" s="150"/>
      <c r="AA97" s="387"/>
      <c r="AB97" s="387"/>
    </row>
    <row r="98" spans="1:28" s="137" customFormat="1" ht="11.45" customHeight="1">
      <c r="A98" s="56"/>
      <c r="B98" s="58"/>
      <c r="C98" s="56"/>
      <c r="D98" s="53"/>
      <c r="E98" s="53"/>
      <c r="F98" s="56" t="s">
        <v>2995</v>
      </c>
      <c r="I98" s="53"/>
      <c r="J98" s="56" t="s">
        <v>2996</v>
      </c>
      <c r="K98" s="56"/>
      <c r="L98" s="56" t="s">
        <v>2405</v>
      </c>
      <c r="M98" s="56"/>
      <c r="N98" s="56"/>
      <c r="O98" s="56"/>
      <c r="P98" s="53"/>
      <c r="Q98" s="2653">
        <v>75</v>
      </c>
      <c r="R98" s="2654"/>
      <c r="S98" s="150"/>
      <c r="T98" s="150"/>
      <c r="U98" s="150"/>
      <c r="AA98" s="387"/>
      <c r="AB98" s="387"/>
    </row>
    <row r="99" spans="1:28" s="137" customFormat="1" ht="13.5">
      <c r="A99" s="56"/>
      <c r="B99" s="56" t="s">
        <v>1676</v>
      </c>
      <c r="C99" s="56"/>
      <c r="D99" s="1395" t="s">
        <v>3455</v>
      </c>
      <c r="E99" s="53"/>
      <c r="F99" s="56"/>
      <c r="G99" s="56"/>
      <c r="H99" s="56"/>
      <c r="I99" s="53"/>
      <c r="J99" s="56" t="s">
        <v>1558</v>
      </c>
      <c r="K99" s="56"/>
      <c r="L99" s="56"/>
      <c r="M99" s="56"/>
      <c r="N99" s="56"/>
      <c r="O99" s="56"/>
      <c r="P99" s="53"/>
      <c r="Q99" s="2653">
        <v>1800000</v>
      </c>
      <c r="R99" s="2654"/>
      <c r="S99" s="150"/>
      <c r="T99" s="150"/>
      <c r="U99" s="150"/>
      <c r="AA99" s="387"/>
      <c r="AB99" s="387"/>
    </row>
    <row r="100" spans="1:28" s="137" customFormat="1" ht="13.5">
      <c r="A100" s="56"/>
      <c r="B100" s="56"/>
      <c r="C100" s="56"/>
      <c r="D100" s="53"/>
      <c r="E100" s="53"/>
      <c r="F100" s="56"/>
      <c r="G100" s="56"/>
      <c r="H100" s="56"/>
      <c r="I100" s="53"/>
      <c r="J100" s="56" t="s">
        <v>2972</v>
      </c>
      <c r="K100" s="56"/>
      <c r="L100" s="56"/>
      <c r="M100" s="56"/>
      <c r="N100" s="56"/>
      <c r="O100" s="56"/>
      <c r="P100" s="53"/>
      <c r="Q100" s="2653">
        <v>3500000</v>
      </c>
      <c r="R100" s="2654"/>
      <c r="S100" s="150"/>
      <c r="T100" s="150"/>
      <c r="U100" s="150"/>
      <c r="AA100" s="387"/>
      <c r="AB100" s="387"/>
    </row>
    <row r="101" spans="1:28" s="137" customFormat="1" ht="13.5" hidden="1">
      <c r="A101" s="56"/>
      <c r="B101" s="56"/>
      <c r="C101" s="56"/>
      <c r="D101" s="53"/>
      <c r="E101" s="53"/>
      <c r="F101" s="56" t="s">
        <v>1545</v>
      </c>
      <c r="G101" s="56"/>
      <c r="H101" s="56" t="s">
        <v>2039</v>
      </c>
      <c r="I101" s="53"/>
      <c r="J101" s="56" t="s">
        <v>902</v>
      </c>
      <c r="K101" s="56"/>
      <c r="L101" s="56"/>
      <c r="M101" s="56"/>
      <c r="N101" s="56"/>
      <c r="O101" s="56"/>
      <c r="P101" s="53"/>
      <c r="Q101" s="2662">
        <v>0.15</v>
      </c>
      <c r="R101" s="2663"/>
      <c r="S101" s="150"/>
      <c r="T101" s="150"/>
      <c r="U101" s="150"/>
      <c r="AA101" s="387"/>
      <c r="AB101" s="387"/>
    </row>
    <row r="102" spans="1:28" s="137" customFormat="1" ht="13.5" hidden="1">
      <c r="A102" s="56"/>
      <c r="B102" s="275"/>
      <c r="C102" s="56"/>
      <c r="D102" s="53"/>
      <c r="E102" s="53"/>
      <c r="F102" s="56"/>
      <c r="G102" s="56"/>
      <c r="H102" s="56" t="s">
        <v>3456</v>
      </c>
      <c r="I102" s="56" t="s">
        <v>899</v>
      </c>
      <c r="J102" s="56" t="s">
        <v>901</v>
      </c>
      <c r="K102" s="56"/>
      <c r="L102" s="56"/>
      <c r="M102" s="56"/>
      <c r="N102" s="56"/>
      <c r="O102" s="56"/>
      <c r="P102" s="53"/>
      <c r="Q102" s="2662">
        <v>0.15</v>
      </c>
      <c r="R102" s="2663"/>
      <c r="S102" s="150"/>
      <c r="T102" s="150"/>
      <c r="U102" s="150"/>
      <c r="AA102" s="387"/>
      <c r="AB102" s="387"/>
    </row>
    <row r="103" spans="1:28" s="137" customFormat="1" ht="13.5" hidden="1">
      <c r="A103" s="56"/>
      <c r="B103" s="275"/>
      <c r="C103" s="56"/>
      <c r="D103" s="53"/>
      <c r="E103" s="53"/>
      <c r="F103" s="56"/>
      <c r="G103" s="56"/>
      <c r="H103" s="56"/>
      <c r="I103" s="56" t="s">
        <v>900</v>
      </c>
      <c r="J103" s="56" t="s">
        <v>903</v>
      </c>
      <c r="K103" s="56"/>
      <c r="L103" s="56"/>
      <c r="M103" s="56"/>
      <c r="N103" s="56"/>
      <c r="O103" s="56"/>
      <c r="P103" s="53"/>
      <c r="Q103" s="2662">
        <v>0.15</v>
      </c>
      <c r="R103" s="2663"/>
      <c r="S103" s="150"/>
      <c r="T103" s="150"/>
      <c r="U103" s="150"/>
      <c r="AA103" s="387"/>
      <c r="AB103" s="387"/>
    </row>
    <row r="104" spans="1:28" s="137" customFormat="1" ht="13.5" hidden="1">
      <c r="A104" s="56"/>
      <c r="B104" s="275"/>
      <c r="C104" s="56"/>
      <c r="D104" s="53"/>
      <c r="E104" s="53"/>
      <c r="F104" s="56"/>
      <c r="G104" s="56"/>
      <c r="H104" s="56" t="s">
        <v>898</v>
      </c>
      <c r="I104" s="53"/>
      <c r="J104" s="56" t="s">
        <v>903</v>
      </c>
      <c r="K104" s="56"/>
      <c r="L104" s="56"/>
      <c r="M104" s="56"/>
      <c r="N104" s="56"/>
      <c r="O104" s="56"/>
      <c r="P104" s="53"/>
      <c r="Q104" s="2662">
        <v>0.15</v>
      </c>
      <c r="R104" s="2663"/>
      <c r="S104" s="150"/>
      <c r="T104" s="150"/>
      <c r="U104" s="150"/>
      <c r="AA104" s="387"/>
      <c r="AB104" s="387"/>
    </row>
    <row r="105" spans="1:28" s="137" customFormat="1" ht="13.5" hidden="1">
      <c r="A105" s="56"/>
      <c r="B105" s="275"/>
      <c r="C105" s="56"/>
      <c r="D105" s="53"/>
      <c r="E105" s="53"/>
      <c r="F105" s="56"/>
      <c r="G105" s="56"/>
      <c r="H105" s="56"/>
      <c r="I105" s="56" t="s">
        <v>904</v>
      </c>
      <c r="J105" s="56" t="s">
        <v>905</v>
      </c>
      <c r="K105" s="56"/>
      <c r="L105" s="56"/>
      <c r="M105" s="56"/>
      <c r="N105" s="56"/>
      <c r="O105" s="56"/>
      <c r="P105" s="53"/>
      <c r="Q105" s="2662">
        <v>0.15</v>
      </c>
      <c r="R105" s="2663"/>
      <c r="S105" s="150"/>
      <c r="T105" s="150"/>
      <c r="U105" s="150"/>
      <c r="AA105" s="387"/>
      <c r="AB105" s="387"/>
    </row>
    <row r="106" spans="1:28" s="137" customFormat="1" ht="13.5" hidden="1">
      <c r="A106" s="56"/>
      <c r="B106" s="275"/>
      <c r="C106" s="56"/>
      <c r="D106" s="53"/>
      <c r="E106" s="53"/>
      <c r="F106" s="56" t="s">
        <v>1583</v>
      </c>
      <c r="G106" s="56"/>
      <c r="H106" s="56"/>
      <c r="I106" s="53"/>
      <c r="J106" s="56" t="s">
        <v>2107</v>
      </c>
      <c r="K106" s="56"/>
      <c r="L106" s="56"/>
      <c r="M106" s="56"/>
      <c r="N106" s="56"/>
      <c r="O106" s="56"/>
      <c r="P106" s="53"/>
      <c r="Q106" s="2662">
        <v>0.15</v>
      </c>
      <c r="R106" s="2663"/>
      <c r="S106" s="150"/>
      <c r="T106" s="150"/>
      <c r="U106" s="150"/>
      <c r="AA106" s="387"/>
      <c r="AB106" s="387"/>
    </row>
    <row r="107" spans="1:28" s="137" customFormat="1" ht="13.5" hidden="1">
      <c r="A107" s="56"/>
      <c r="B107" s="275"/>
      <c r="C107" s="56"/>
      <c r="D107" s="53"/>
      <c r="E107" s="53"/>
      <c r="G107" s="56"/>
      <c r="H107" s="56"/>
      <c r="I107" s="53"/>
      <c r="J107" s="56" t="s">
        <v>2108</v>
      </c>
      <c r="K107" s="56"/>
      <c r="L107" s="56"/>
      <c r="M107" s="56"/>
      <c r="N107" s="56"/>
      <c r="O107" s="56"/>
      <c r="P107" s="53"/>
      <c r="Q107" s="2662" t="s">
        <v>3457</v>
      </c>
      <c r="R107" s="2663"/>
      <c r="S107" s="150"/>
      <c r="T107" s="150"/>
      <c r="U107" s="150"/>
      <c r="AA107" s="387"/>
      <c r="AB107" s="387"/>
    </row>
    <row r="108" spans="1:28" s="137" customFormat="1" ht="13.5">
      <c r="A108" s="56"/>
      <c r="B108" s="275"/>
      <c r="C108" s="56"/>
      <c r="D108" s="53"/>
      <c r="E108" s="53"/>
      <c r="F108" s="56" t="s">
        <v>1820</v>
      </c>
      <c r="G108" s="56"/>
      <c r="H108" s="56"/>
      <c r="I108" s="53"/>
      <c r="J108" s="56"/>
      <c r="K108" s="56"/>
      <c r="L108" s="56"/>
      <c r="M108" s="56"/>
      <c r="N108" s="56"/>
      <c r="O108" s="56"/>
      <c r="P108" s="53"/>
      <c r="Q108" s="1396">
        <v>0</v>
      </c>
      <c r="R108" s="1396">
        <v>15</v>
      </c>
      <c r="S108" s="150"/>
      <c r="T108" s="150"/>
      <c r="U108" s="150"/>
      <c r="AA108" s="387"/>
      <c r="AB108" s="387"/>
    </row>
    <row r="109" spans="1:28" s="137" customFormat="1" ht="11.25" hidden="1" customHeight="1">
      <c r="A109" s="56"/>
      <c r="B109" s="275"/>
      <c r="C109" s="56"/>
      <c r="D109" s="53"/>
      <c r="E109" s="53"/>
      <c r="F109" s="56" t="s">
        <v>1819</v>
      </c>
      <c r="G109" s="56"/>
      <c r="I109" s="53"/>
      <c r="J109" s="56"/>
      <c r="K109" s="56"/>
      <c r="L109" s="56"/>
      <c r="M109" s="56"/>
      <c r="N109" s="56"/>
      <c r="O109" s="56"/>
      <c r="P109" s="53"/>
      <c r="Q109" s="1376">
        <v>0</v>
      </c>
      <c r="R109" s="1376">
        <v>0.5</v>
      </c>
      <c r="S109" s="150"/>
      <c r="T109" s="150"/>
      <c r="U109" s="150"/>
      <c r="AA109" s="387"/>
      <c r="AB109" s="387"/>
    </row>
    <row r="110" spans="1:28" s="137" customFormat="1" ht="11.45" customHeight="1">
      <c r="A110" s="56"/>
      <c r="B110" s="56" t="s">
        <v>1584</v>
      </c>
      <c r="C110" s="56"/>
      <c r="D110" s="56"/>
      <c r="E110" s="56"/>
      <c r="F110" s="56"/>
      <c r="G110" s="56"/>
      <c r="H110" s="53"/>
      <c r="I110" s="53"/>
      <c r="J110" s="56" t="s">
        <v>1585</v>
      </c>
      <c r="K110" s="56"/>
      <c r="L110" s="56"/>
      <c r="M110" s="56"/>
      <c r="N110" s="56"/>
      <c r="O110" s="56"/>
      <c r="P110" s="53"/>
      <c r="Q110" s="1397">
        <v>6</v>
      </c>
      <c r="R110" s="1393" t="s">
        <v>1561</v>
      </c>
      <c r="S110" s="150"/>
      <c r="T110" s="150"/>
      <c r="U110" s="150"/>
      <c r="AA110" s="387"/>
      <c r="AB110" s="387"/>
    </row>
    <row r="111" spans="1:28" s="137" customFormat="1" ht="11.45" customHeight="1">
      <c r="A111" s="56"/>
      <c r="B111" s="56"/>
      <c r="C111" s="56"/>
      <c r="D111" s="56"/>
      <c r="E111" s="56"/>
      <c r="F111" s="56"/>
      <c r="G111" s="56"/>
      <c r="H111" s="53"/>
      <c r="I111" s="53"/>
      <c r="J111" s="56" t="s">
        <v>1586</v>
      </c>
      <c r="K111" s="56"/>
      <c r="L111" s="56"/>
      <c r="M111" s="56"/>
      <c r="N111" s="56"/>
      <c r="O111" s="56"/>
      <c r="P111" s="53"/>
      <c r="Q111" s="1397">
        <v>6</v>
      </c>
      <c r="R111" s="1393" t="s">
        <v>1561</v>
      </c>
      <c r="S111" s="150"/>
      <c r="T111" s="150"/>
      <c r="U111" s="150"/>
      <c r="AA111" s="387"/>
      <c r="AB111" s="387"/>
    </row>
    <row r="112" spans="1:28" s="137" customFormat="1" ht="11.45" customHeight="1">
      <c r="A112" s="56"/>
      <c r="B112" s="276" t="s">
        <v>1821</v>
      </c>
      <c r="C112" s="56"/>
      <c r="D112" s="53"/>
      <c r="E112" s="53"/>
      <c r="F112" s="56"/>
      <c r="G112" s="56"/>
      <c r="I112" s="53"/>
      <c r="J112" s="56" t="s">
        <v>1822</v>
      </c>
      <c r="K112" s="56"/>
      <c r="L112" s="56"/>
      <c r="M112" s="56"/>
      <c r="N112" s="56"/>
      <c r="O112" s="56"/>
      <c r="P112" s="53"/>
      <c r="Q112" s="1397">
        <v>3</v>
      </c>
      <c r="R112" s="1393" t="s">
        <v>1561</v>
      </c>
      <c r="S112" s="150"/>
      <c r="T112" s="150"/>
      <c r="U112" s="150"/>
      <c r="AA112" s="387"/>
      <c r="AB112" s="387"/>
    </row>
    <row r="113" spans="1:28" s="137" customFormat="1" ht="11.45" customHeight="1">
      <c r="A113" s="56"/>
      <c r="B113" s="58" t="s">
        <v>3020</v>
      </c>
      <c r="C113" s="56"/>
      <c r="D113" s="53"/>
      <c r="E113" s="56"/>
      <c r="F113" s="56"/>
      <c r="G113" s="56"/>
      <c r="H113" s="53"/>
      <c r="I113" s="53"/>
      <c r="J113" s="56" t="s">
        <v>1587</v>
      </c>
      <c r="K113" s="56"/>
      <c r="L113" s="56"/>
      <c r="M113" s="56"/>
      <c r="N113" s="56"/>
      <c r="O113" s="56"/>
      <c r="P113" s="53"/>
      <c r="Q113" s="2653">
        <v>3000</v>
      </c>
      <c r="R113" s="2654"/>
      <c r="S113" s="150"/>
      <c r="T113" s="150"/>
      <c r="U113" s="150"/>
      <c r="AA113" s="387"/>
      <c r="AB113" s="387"/>
    </row>
    <row r="114" spans="1:28" s="137" customFormat="1" ht="11.45" customHeight="1">
      <c r="A114" s="56"/>
      <c r="B114" s="56"/>
      <c r="C114" s="56"/>
      <c r="D114" s="53"/>
      <c r="E114" s="53"/>
      <c r="O114" s="56"/>
      <c r="T114" s="144"/>
      <c r="U114" s="53"/>
      <c r="V114" s="145"/>
      <c r="W114" s="145"/>
      <c r="X114" s="145"/>
      <c r="AA114" s="387"/>
      <c r="AB114" s="387"/>
    </row>
    <row r="115" spans="1:28" s="137" customFormat="1" ht="11.45" customHeight="1">
      <c r="A115" s="138" t="s">
        <v>1555</v>
      </c>
      <c r="B115" s="138"/>
      <c r="C115" s="138"/>
      <c r="D115" s="53"/>
      <c r="E115" s="53"/>
      <c r="F115" s="138" t="s">
        <v>1556</v>
      </c>
      <c r="G115" s="138"/>
      <c r="H115" s="53"/>
      <c r="I115" s="53"/>
      <c r="J115" s="138" t="s">
        <v>1557</v>
      </c>
      <c r="K115" s="138"/>
      <c r="L115" s="138"/>
      <c r="M115" s="138"/>
      <c r="N115" s="138"/>
      <c r="O115" s="138"/>
      <c r="P115" s="53"/>
      <c r="Q115" s="57" t="s">
        <v>2604</v>
      </c>
      <c r="R115" s="57" t="s">
        <v>1558</v>
      </c>
      <c r="S115" s="154"/>
      <c r="T115" s="144"/>
      <c r="U115" s="53"/>
      <c r="V115" s="145"/>
      <c r="W115" s="145"/>
      <c r="X115" s="145"/>
      <c r="AA115" s="387"/>
      <c r="AB115" s="387"/>
    </row>
    <row r="116" spans="1:28" s="137" customFormat="1" ht="3" customHeight="1">
      <c r="A116" s="56"/>
      <c r="B116" s="56"/>
      <c r="C116" s="56"/>
      <c r="D116" s="56"/>
      <c r="E116" s="53"/>
      <c r="F116" s="56"/>
      <c r="G116" s="56"/>
      <c r="H116" s="148"/>
      <c r="I116" s="53"/>
      <c r="J116" s="56"/>
      <c r="K116" s="149"/>
      <c r="L116" s="149"/>
      <c r="M116" s="149"/>
      <c r="N116" s="149"/>
      <c r="O116" s="56"/>
      <c r="P116" s="53"/>
      <c r="Q116" s="147"/>
      <c r="R116" s="147"/>
      <c r="S116" s="53"/>
      <c r="T116" s="53"/>
      <c r="U116" s="53"/>
      <c r="AA116" s="387"/>
      <c r="AB116" s="387"/>
    </row>
    <row r="117" spans="1:28" s="137" customFormat="1" ht="3" customHeight="1">
      <c r="A117" s="53"/>
      <c r="B117" s="56"/>
      <c r="C117" s="56"/>
      <c r="D117" s="56"/>
      <c r="E117" s="56"/>
      <c r="F117" s="56"/>
      <c r="G117" s="56"/>
      <c r="H117" s="56"/>
      <c r="I117" s="53"/>
      <c r="J117" s="56"/>
      <c r="K117" s="56"/>
      <c r="L117" s="56"/>
      <c r="M117" s="56"/>
      <c r="N117" s="56"/>
      <c r="O117" s="56"/>
      <c r="P117" s="53"/>
      <c r="Q117" s="56"/>
      <c r="R117" s="56"/>
      <c r="S117" s="150"/>
      <c r="T117" s="150"/>
      <c r="U117" s="150"/>
      <c r="AA117" s="387"/>
      <c r="AB117" s="387"/>
    </row>
    <row r="118" spans="1:28" s="137" customFormat="1" ht="12" customHeight="1">
      <c r="A118" s="142" t="s">
        <v>1588</v>
      </c>
      <c r="B118" s="56"/>
      <c r="C118" s="56"/>
      <c r="D118" s="56"/>
      <c r="E118" s="56"/>
      <c r="F118" s="56"/>
      <c r="G118" s="56"/>
      <c r="H118" s="56"/>
      <c r="I118" s="53"/>
      <c r="J118" s="56"/>
      <c r="K118" s="56"/>
      <c r="L118" s="56"/>
      <c r="M118" s="56"/>
      <c r="N118" s="56"/>
      <c r="O118" s="56"/>
      <c r="P118" s="53"/>
      <c r="Q118" s="56"/>
      <c r="R118" s="56"/>
      <c r="S118" s="150"/>
      <c r="T118" s="150"/>
      <c r="U118" s="150"/>
      <c r="AA118" s="387"/>
      <c r="AB118" s="387"/>
    </row>
    <row r="119" spans="1:28" ht="11.45" customHeight="1">
      <c r="B119" s="151" t="s">
        <v>2140</v>
      </c>
      <c r="C119" s="34"/>
      <c r="D119" s="34"/>
      <c r="E119" s="34"/>
      <c r="F119" s="34"/>
      <c r="G119" s="34"/>
      <c r="J119" s="1398">
        <v>1</v>
      </c>
      <c r="K119" s="1398">
        <v>2</v>
      </c>
      <c r="L119" s="1398">
        <v>3</v>
      </c>
      <c r="M119" s="1398">
        <v>4</v>
      </c>
      <c r="N119" s="1398">
        <v>5</v>
      </c>
      <c r="O119" s="1398">
        <v>6</v>
      </c>
      <c r="P119" s="1398">
        <v>7</v>
      </c>
      <c r="Q119" s="1398">
        <v>8</v>
      </c>
    </row>
    <row r="120" spans="1:28" ht="11.1" customHeight="1">
      <c r="B120" s="34"/>
      <c r="C120" s="34"/>
      <c r="D120" s="34"/>
      <c r="E120" s="34"/>
      <c r="F120" s="34"/>
      <c r="G120" s="34"/>
      <c r="J120" s="1399">
        <v>0.7</v>
      </c>
      <c r="K120" s="1399">
        <v>0.8</v>
      </c>
      <c r="L120" s="1399">
        <v>0.9</v>
      </c>
      <c r="M120" s="1398" t="s">
        <v>124</v>
      </c>
      <c r="N120" s="1399">
        <v>1.08</v>
      </c>
      <c r="O120" s="1399">
        <v>1.1599999999999999</v>
      </c>
      <c r="P120" s="1399">
        <v>1.24</v>
      </c>
      <c r="Q120" s="1399">
        <v>1.32</v>
      </c>
    </row>
    <row r="121" spans="1:28" s="150" customFormat="1" ht="11.45" customHeight="1">
      <c r="A121" s="56"/>
      <c r="B121" s="56" t="s">
        <v>1589</v>
      </c>
      <c r="C121" s="56"/>
      <c r="D121" s="56"/>
      <c r="E121" s="56"/>
      <c r="F121" s="56"/>
      <c r="G121" s="56"/>
      <c r="H121" s="56"/>
      <c r="J121" s="56" t="s">
        <v>1590</v>
      </c>
      <c r="K121" s="56"/>
      <c r="L121" s="56"/>
      <c r="M121" s="56"/>
      <c r="N121" s="56"/>
      <c r="O121" s="56"/>
      <c r="Q121" s="2661">
        <v>0.02</v>
      </c>
      <c r="R121" s="2661"/>
      <c r="AA121" s="387"/>
      <c r="AB121" s="387"/>
    </row>
    <row r="122" spans="1:28" s="150" customFormat="1" ht="11.45" customHeight="1">
      <c r="A122" s="56"/>
      <c r="B122" s="56" t="s">
        <v>1591</v>
      </c>
      <c r="C122" s="56"/>
      <c r="D122" s="56"/>
      <c r="E122" s="56"/>
      <c r="F122" s="56"/>
      <c r="G122" s="56"/>
      <c r="H122" s="56"/>
      <c r="J122" s="56" t="s">
        <v>1590</v>
      </c>
      <c r="K122" s="56"/>
      <c r="L122" s="56"/>
      <c r="M122" s="56"/>
      <c r="N122" s="56"/>
      <c r="O122" s="56"/>
      <c r="Q122" s="2661">
        <v>7.0000000000000007E-2</v>
      </c>
      <c r="R122" s="2661"/>
      <c r="AA122" s="387"/>
      <c r="AB122" s="387"/>
    </row>
    <row r="123" spans="1:28" s="150" customFormat="1" ht="11.45" customHeight="1">
      <c r="A123" s="56"/>
      <c r="B123" s="56" t="s">
        <v>1592</v>
      </c>
      <c r="C123" s="56"/>
      <c r="D123" s="56"/>
      <c r="E123" s="56"/>
      <c r="F123" s="56"/>
      <c r="G123" s="56"/>
      <c r="H123" s="56"/>
      <c r="J123" s="56" t="s">
        <v>1590</v>
      </c>
      <c r="K123" s="56"/>
      <c r="L123" s="56"/>
      <c r="M123" s="56"/>
      <c r="N123" s="56"/>
      <c r="O123" s="56"/>
      <c r="Q123" s="2661">
        <v>7.0000000000000007E-2</v>
      </c>
      <c r="R123" s="2661"/>
      <c r="AA123" s="387"/>
      <c r="AB123" s="387"/>
    </row>
    <row r="124" spans="1:28" s="137" customFormat="1" ht="11.45" customHeight="1">
      <c r="A124" s="56"/>
      <c r="B124" s="56" t="s">
        <v>121</v>
      </c>
      <c r="C124" s="56"/>
      <c r="D124" s="53"/>
      <c r="E124" s="53"/>
      <c r="F124" s="53"/>
      <c r="G124" s="56"/>
      <c r="H124" s="53"/>
      <c r="I124" s="53"/>
      <c r="J124" s="56" t="s">
        <v>1590</v>
      </c>
      <c r="K124" s="56"/>
      <c r="L124" s="56"/>
      <c r="M124" s="56"/>
      <c r="N124" s="56"/>
      <c r="O124" s="56"/>
      <c r="P124" s="53"/>
      <c r="Q124" s="2661">
        <v>0.03</v>
      </c>
      <c r="R124" s="2661"/>
      <c r="S124" s="150"/>
      <c r="T124" s="150"/>
      <c r="U124" s="150"/>
      <c r="AA124" s="387"/>
      <c r="AB124" s="387"/>
    </row>
    <row r="125" spans="1:28" s="137" customFormat="1" ht="11.45" customHeight="1">
      <c r="A125" s="56"/>
      <c r="B125" s="56" t="s">
        <v>122</v>
      </c>
      <c r="C125" s="56"/>
      <c r="D125" s="53"/>
      <c r="E125" s="53"/>
      <c r="F125" s="53"/>
      <c r="G125" s="56"/>
      <c r="H125" s="53"/>
      <c r="I125" s="53"/>
      <c r="J125" s="56" t="s">
        <v>1590</v>
      </c>
      <c r="K125" s="56"/>
      <c r="L125" s="56"/>
      <c r="M125" s="56"/>
      <c r="N125" s="56"/>
      <c r="O125" s="56"/>
      <c r="P125" s="53"/>
      <c r="Q125" s="2661">
        <v>0.03</v>
      </c>
      <c r="R125" s="2661"/>
      <c r="S125" s="150"/>
      <c r="T125" s="150"/>
      <c r="U125" s="150"/>
      <c r="AA125" s="387"/>
      <c r="AB125" s="387"/>
    </row>
    <row r="126" spans="1:28" s="137" customFormat="1" ht="11.45" customHeight="1">
      <c r="A126" s="56"/>
      <c r="B126" s="56" t="s">
        <v>123</v>
      </c>
      <c r="C126" s="56"/>
      <c r="D126" s="53"/>
      <c r="E126" s="53"/>
      <c r="F126" s="53"/>
      <c r="G126" s="56"/>
      <c r="H126" s="53"/>
      <c r="I126" s="53"/>
      <c r="J126" s="56" t="s">
        <v>1590</v>
      </c>
      <c r="K126" s="56"/>
      <c r="L126" s="56"/>
      <c r="M126" s="56"/>
      <c r="N126" s="56"/>
      <c r="O126" s="56"/>
      <c r="P126" s="53"/>
      <c r="Q126" s="2661">
        <v>0</v>
      </c>
      <c r="R126" s="2661"/>
      <c r="S126" s="150"/>
      <c r="T126" s="150"/>
      <c r="U126" s="150"/>
      <c r="AA126" s="387"/>
      <c r="AB126" s="387"/>
    </row>
    <row r="127" spans="1:28" s="137" customFormat="1" ht="4.3499999999999996" customHeight="1">
      <c r="A127" s="138"/>
      <c r="B127" s="138"/>
      <c r="C127" s="138"/>
      <c r="D127" s="138"/>
      <c r="E127" s="53"/>
      <c r="F127" s="138"/>
      <c r="G127" s="138"/>
      <c r="H127" s="53"/>
      <c r="I127" s="53"/>
      <c r="J127" s="138"/>
      <c r="K127" s="138"/>
      <c r="L127" s="138"/>
      <c r="M127" s="138"/>
      <c r="N127" s="138"/>
      <c r="O127" s="138"/>
      <c r="P127" s="53"/>
      <c r="Q127" s="139"/>
      <c r="R127" s="140"/>
      <c r="S127" s="53"/>
      <c r="T127" s="53"/>
      <c r="U127" s="53"/>
      <c r="W127" s="141"/>
      <c r="X127" s="141"/>
      <c r="Y127" s="141"/>
      <c r="Z127" s="141"/>
      <c r="AA127" s="387"/>
      <c r="AB127" s="387"/>
    </row>
    <row r="128" spans="1:28" s="137" customFormat="1" ht="11.45" customHeight="1">
      <c r="A128" s="142" t="s">
        <v>2333</v>
      </c>
      <c r="B128" s="56"/>
      <c r="C128" s="56"/>
      <c r="D128" s="53"/>
      <c r="E128" s="53"/>
      <c r="F128" s="56" t="s">
        <v>476</v>
      </c>
      <c r="G128" s="56"/>
      <c r="H128" s="56" t="s">
        <v>2309</v>
      </c>
      <c r="I128" s="53"/>
      <c r="J128" s="56" t="s">
        <v>2335</v>
      </c>
      <c r="K128" s="56"/>
      <c r="L128" s="56"/>
      <c r="M128" s="56"/>
      <c r="N128" s="56"/>
      <c r="O128" s="56"/>
      <c r="P128" s="53"/>
      <c r="Q128" s="2661">
        <v>0.1</v>
      </c>
      <c r="R128" s="2661"/>
      <c r="S128" s="53"/>
      <c r="T128" s="53"/>
      <c r="U128" s="53"/>
      <c r="V128" s="143"/>
      <c r="W128" s="143"/>
      <c r="X128" s="57"/>
      <c r="AA128" s="387"/>
      <c r="AB128" s="387"/>
    </row>
    <row r="129" spans="1:28" s="137" customFormat="1" ht="11.45" customHeight="1">
      <c r="A129" s="142"/>
      <c r="B129" s="56"/>
      <c r="C129" s="56"/>
      <c r="D129" s="53"/>
      <c r="E129" s="53"/>
      <c r="F129" s="56"/>
      <c r="G129" s="56"/>
      <c r="H129" s="56" t="s">
        <v>2971</v>
      </c>
      <c r="I129" s="53"/>
      <c r="J129" s="56" t="s">
        <v>3458</v>
      </c>
      <c r="K129" s="56"/>
      <c r="L129" s="56"/>
      <c r="M129" s="56"/>
      <c r="N129" s="56"/>
      <c r="O129" s="56"/>
      <c r="P129" s="53"/>
      <c r="Q129" s="2664">
        <v>1000000</v>
      </c>
      <c r="R129" s="2664"/>
      <c r="S129" s="53"/>
      <c r="T129" s="53"/>
      <c r="U129" s="53"/>
      <c r="V129" s="143"/>
      <c r="W129" s="143"/>
      <c r="X129" s="57"/>
      <c r="AA129" s="387"/>
      <c r="AB129" s="387"/>
    </row>
    <row r="130" spans="1:28" s="137" customFormat="1" ht="11.45" customHeight="1">
      <c r="A130" s="56"/>
      <c r="B130" s="56"/>
      <c r="C130" s="56"/>
      <c r="D130" s="53"/>
      <c r="E130" s="53"/>
      <c r="F130" s="56"/>
      <c r="G130" s="56"/>
      <c r="H130" s="56" t="s">
        <v>3459</v>
      </c>
      <c r="I130" s="53"/>
      <c r="J130" s="56" t="s">
        <v>3460</v>
      </c>
      <c r="K130" s="56"/>
      <c r="L130" s="56"/>
      <c r="M130" s="56"/>
      <c r="N130" s="56"/>
      <c r="O130" s="56"/>
      <c r="P130" s="53"/>
      <c r="Q130" s="2664">
        <v>1500000</v>
      </c>
      <c r="R130" s="2664"/>
      <c r="S130" s="144"/>
      <c r="T130" s="144"/>
      <c r="U130" s="53"/>
      <c r="V130" s="145"/>
      <c r="W130" s="145"/>
      <c r="X130" s="145"/>
      <c r="AA130" s="387"/>
      <c r="AB130" s="387"/>
    </row>
    <row r="131" spans="1:28" s="137" customFormat="1" ht="11.45" customHeight="1">
      <c r="A131" s="56"/>
      <c r="B131" s="56"/>
      <c r="C131" s="56"/>
      <c r="D131" s="53"/>
      <c r="E131" s="53"/>
      <c r="F131" s="56"/>
      <c r="G131" s="56"/>
      <c r="H131" s="56"/>
      <c r="I131" s="53"/>
      <c r="J131" s="56" t="s">
        <v>3461</v>
      </c>
      <c r="K131" s="56"/>
      <c r="L131" s="56"/>
      <c r="M131" s="56"/>
      <c r="N131" s="56"/>
      <c r="O131" s="56"/>
      <c r="P131" s="53"/>
      <c r="Q131" s="2664">
        <v>375000</v>
      </c>
      <c r="R131" s="2664"/>
      <c r="S131" s="144"/>
      <c r="T131" s="144"/>
      <c r="U131" s="53"/>
      <c r="V131" s="145"/>
      <c r="W131" s="145"/>
      <c r="X131" s="145"/>
      <c r="AA131" s="387"/>
      <c r="AB131" s="387"/>
    </row>
    <row r="132" spans="1:28" s="137" customFormat="1" ht="11.45" customHeight="1">
      <c r="A132" s="56"/>
      <c r="B132" s="56"/>
      <c r="C132" s="56"/>
      <c r="D132" s="53"/>
      <c r="E132" s="53"/>
      <c r="F132" s="56"/>
      <c r="G132" s="56"/>
      <c r="H132" s="56" t="s">
        <v>3462</v>
      </c>
      <c r="I132" s="53"/>
      <c r="J132" s="56"/>
      <c r="K132" s="56"/>
      <c r="L132" s="56"/>
      <c r="M132" s="56"/>
      <c r="N132" s="56"/>
      <c r="O132" s="56"/>
      <c r="P132" s="53"/>
      <c r="Q132" s="2664"/>
      <c r="R132" s="2664"/>
      <c r="S132" s="144"/>
      <c r="T132" s="144"/>
      <c r="U132" s="53"/>
      <c r="V132" s="145"/>
      <c r="W132" s="145"/>
      <c r="X132" s="145"/>
      <c r="AA132" s="387"/>
      <c r="AB132" s="387"/>
    </row>
    <row r="133" spans="1:28" s="137" customFormat="1" ht="11.45" customHeight="1">
      <c r="A133" s="56"/>
      <c r="B133" s="56"/>
      <c r="C133" s="56"/>
      <c r="D133" s="53"/>
      <c r="E133" s="53"/>
      <c r="F133" s="56" t="s">
        <v>2138</v>
      </c>
      <c r="G133" s="56"/>
      <c r="H133" s="56" t="s">
        <v>2334</v>
      </c>
      <c r="I133" s="53"/>
      <c r="J133" s="56" t="s">
        <v>3463</v>
      </c>
      <c r="K133" s="56"/>
      <c r="L133" s="56"/>
      <c r="M133" s="56"/>
      <c r="N133" s="56"/>
      <c r="O133" s="56"/>
      <c r="P133" s="53"/>
      <c r="Q133" s="2664">
        <v>4000000</v>
      </c>
      <c r="R133" s="2664"/>
      <c r="S133" s="144"/>
      <c r="T133" s="144"/>
      <c r="U133" s="53"/>
      <c r="V133" s="145"/>
      <c r="W133" s="145"/>
      <c r="X133" s="145"/>
      <c r="AA133" s="387"/>
      <c r="AB133" s="387"/>
    </row>
    <row r="134" spans="1:28" s="137" customFormat="1" ht="11.45" customHeight="1">
      <c r="A134" s="56"/>
      <c r="B134" s="56"/>
      <c r="C134" s="56"/>
      <c r="D134" s="53"/>
      <c r="E134" s="53"/>
      <c r="F134" s="56"/>
      <c r="G134" s="56"/>
      <c r="H134" s="53"/>
      <c r="I134" s="53"/>
      <c r="J134" s="56"/>
      <c r="K134" s="56"/>
      <c r="L134" s="56"/>
      <c r="M134" s="56"/>
      <c r="N134" s="56"/>
      <c r="O134" s="56"/>
      <c r="P134" s="53"/>
      <c r="Q134" s="147"/>
      <c r="R134" s="147"/>
      <c r="S134" s="144"/>
      <c r="T134" s="144"/>
      <c r="U134" s="53"/>
      <c r="V134" s="145"/>
      <c r="W134" s="145"/>
      <c r="X134" s="145"/>
      <c r="AA134" s="387"/>
      <c r="AB134" s="387"/>
    </row>
    <row r="135" spans="1:28" ht="4.5" customHeight="1"/>
    <row r="136" spans="1:28">
      <c r="A136" s="142" t="s">
        <v>2403</v>
      </c>
      <c r="F136" s="56" t="s">
        <v>2308</v>
      </c>
      <c r="G136" s="56"/>
      <c r="H136" s="53"/>
      <c r="I136" s="53"/>
      <c r="J136" s="56" t="s">
        <v>3464</v>
      </c>
      <c r="K136" s="56"/>
      <c r="L136" s="56"/>
      <c r="M136" s="56"/>
      <c r="N136" s="56"/>
      <c r="O136" s="56"/>
      <c r="P136" s="53"/>
      <c r="Q136" s="2661">
        <v>0.35</v>
      </c>
      <c r="R136" s="2661"/>
    </row>
    <row r="137" spans="1:28" s="137" customFormat="1" ht="12.75" customHeight="1">
      <c r="A137" s="142"/>
      <c r="B137" s="56"/>
      <c r="C137" s="56"/>
      <c r="D137" s="53"/>
      <c r="E137" s="53"/>
      <c r="F137" s="56" t="s">
        <v>2404</v>
      </c>
      <c r="G137" s="56"/>
      <c r="H137" s="53"/>
      <c r="I137" s="53"/>
      <c r="J137" s="56" t="s">
        <v>2335</v>
      </c>
      <c r="K137" s="56"/>
      <c r="L137" s="56"/>
      <c r="M137" s="56"/>
      <c r="N137" s="56"/>
      <c r="O137" s="56"/>
      <c r="P137" s="53"/>
      <c r="Q137" s="2661" t="s">
        <v>3465</v>
      </c>
      <c r="R137" s="2661"/>
      <c r="S137" s="53"/>
      <c r="T137" s="53"/>
      <c r="U137" s="53"/>
      <c r="V137" s="143"/>
      <c r="W137" s="143"/>
      <c r="X137" s="57"/>
      <c r="AA137" s="387"/>
      <c r="AB137" s="387"/>
    </row>
    <row r="138" spans="1:28" s="137" customFormat="1" ht="12.75" customHeight="1">
      <c r="A138" s="142"/>
      <c r="B138" s="56"/>
      <c r="C138" s="56"/>
      <c r="D138" s="53"/>
      <c r="E138" s="53"/>
      <c r="F138" s="56"/>
      <c r="G138" s="56"/>
      <c r="H138" s="53"/>
      <c r="I138" s="53"/>
      <c r="J138" s="56"/>
      <c r="K138" s="56"/>
      <c r="L138" s="56"/>
      <c r="M138" s="56"/>
      <c r="N138" s="56"/>
      <c r="O138" s="56"/>
      <c r="P138" s="53"/>
      <c r="Q138" s="275"/>
      <c r="R138" s="275"/>
      <c r="S138" s="53"/>
      <c r="T138" s="53"/>
      <c r="U138" s="53"/>
      <c r="V138" s="143"/>
      <c r="W138" s="143"/>
      <c r="X138" s="57"/>
      <c r="AA138" s="387"/>
      <c r="AB138" s="387"/>
    </row>
    <row r="139" spans="1:28" s="137" customFormat="1" ht="12.75" customHeight="1">
      <c r="A139" s="142" t="s">
        <v>3466</v>
      </c>
      <c r="B139" s="56"/>
      <c r="C139" s="56"/>
      <c r="D139" s="53"/>
      <c r="E139" s="53"/>
      <c r="F139" s="56" t="s">
        <v>3467</v>
      </c>
      <c r="G139" s="56"/>
      <c r="H139" s="53"/>
      <c r="I139" s="53"/>
      <c r="J139" s="56" t="s">
        <v>3468</v>
      </c>
      <c r="K139" s="56"/>
      <c r="L139" s="56"/>
      <c r="M139" s="56"/>
      <c r="N139" s="56"/>
      <c r="O139" s="56"/>
      <c r="P139" s="53"/>
      <c r="Q139" s="2661">
        <v>0.05</v>
      </c>
      <c r="R139" s="2661"/>
      <c r="S139" s="53"/>
      <c r="T139" s="53"/>
      <c r="U139" s="53"/>
      <c r="V139" s="143"/>
      <c r="W139" s="143"/>
      <c r="X139" s="57"/>
      <c r="AA139" s="387"/>
      <c r="AB139" s="387"/>
    </row>
    <row r="140" spans="1:28" s="137" customFormat="1" ht="12.75" customHeight="1">
      <c r="A140" s="142"/>
      <c r="B140" s="56"/>
      <c r="C140" s="56"/>
      <c r="D140" s="53"/>
      <c r="E140" s="53"/>
      <c r="F140" s="56"/>
      <c r="G140" s="56" t="s">
        <v>3469</v>
      </c>
      <c r="H140" s="53"/>
      <c r="I140" s="53"/>
      <c r="J140" s="56" t="s">
        <v>3470</v>
      </c>
      <c r="K140" s="56"/>
      <c r="L140" s="56"/>
      <c r="M140" s="56"/>
      <c r="N140" s="56"/>
      <c r="O140" s="56"/>
      <c r="P140" s="53"/>
      <c r="Q140" s="2661">
        <v>0.4</v>
      </c>
      <c r="R140" s="2661"/>
      <c r="S140" s="53"/>
      <c r="T140" s="53"/>
      <c r="U140" s="53"/>
      <c r="V140" s="143"/>
      <c r="W140" s="143"/>
      <c r="X140" s="57"/>
      <c r="AA140" s="387"/>
      <c r="AB140" s="387"/>
    </row>
    <row r="141" spans="1:28" s="137" customFormat="1" ht="12.75" customHeight="1">
      <c r="A141" s="142"/>
      <c r="B141" s="56"/>
      <c r="C141" s="56"/>
      <c r="D141" s="53"/>
      <c r="E141" s="53"/>
      <c r="F141" s="56" t="s">
        <v>3471</v>
      </c>
      <c r="G141" s="56"/>
      <c r="H141" s="53"/>
      <c r="I141" s="53"/>
      <c r="J141" s="56" t="s">
        <v>3468</v>
      </c>
      <c r="K141" s="56"/>
      <c r="L141" s="56"/>
      <c r="M141" s="56"/>
      <c r="N141" s="56"/>
      <c r="O141" s="56"/>
      <c r="P141" s="53"/>
      <c r="Q141" s="2661">
        <v>0.02</v>
      </c>
      <c r="R141" s="2661"/>
      <c r="S141" s="53"/>
      <c r="T141" s="53"/>
      <c r="U141" s="53"/>
      <c r="V141" s="143"/>
      <c r="W141" s="143"/>
      <c r="X141" s="57"/>
      <c r="AA141" s="387"/>
      <c r="AB141" s="387"/>
    </row>
    <row r="142" spans="1:28" s="137" customFormat="1" ht="12.75" customHeight="1">
      <c r="A142" s="142"/>
      <c r="B142" s="56"/>
      <c r="C142" s="56"/>
      <c r="D142" s="53"/>
      <c r="E142" s="53"/>
      <c r="F142" s="56"/>
      <c r="G142" s="56"/>
      <c r="H142" s="53"/>
      <c r="I142" s="53"/>
      <c r="J142" s="56"/>
      <c r="K142" s="56"/>
      <c r="L142" s="56"/>
      <c r="M142" s="56"/>
      <c r="N142" s="56"/>
      <c r="O142" s="56"/>
      <c r="P142" s="53"/>
      <c r="Q142" s="275"/>
      <c r="R142" s="275"/>
      <c r="S142" s="53"/>
      <c r="T142" s="53"/>
      <c r="U142" s="53"/>
      <c r="V142" s="143"/>
      <c r="W142" s="143"/>
      <c r="X142" s="57"/>
      <c r="AA142" s="387"/>
      <c r="AB142" s="387"/>
    </row>
    <row r="143" spans="1:28" ht="13.35" customHeight="1">
      <c r="C143" s="56"/>
      <c r="D143" s="53"/>
      <c r="E143" s="152"/>
      <c r="F143" s="152"/>
      <c r="G143" s="152"/>
      <c r="H143" s="152"/>
      <c r="I143" s="152"/>
    </row>
    <row r="144" spans="1:28" ht="13.5">
      <c r="C144" s="56"/>
      <c r="D144" s="53"/>
      <c r="J144" s="272" t="s">
        <v>743</v>
      </c>
      <c r="K144" s="272"/>
      <c r="L144" s="135"/>
    </row>
    <row r="145" spans="2:30" ht="13.5">
      <c r="C145" s="56"/>
      <c r="D145" s="53"/>
      <c r="J145" s="273" t="s">
        <v>746</v>
      </c>
      <c r="K145" s="273" t="s">
        <v>744</v>
      </c>
      <c r="L145" s="274" t="s">
        <v>745</v>
      </c>
    </row>
    <row r="146" spans="2:30" ht="10.5" customHeight="1">
      <c r="C146" s="56"/>
      <c r="D146" s="53"/>
      <c r="E146" s="150"/>
      <c r="F146" s="150"/>
      <c r="J146" s="282">
        <v>0</v>
      </c>
      <c r="K146" s="282">
        <v>0.7</v>
      </c>
      <c r="L146" s="282">
        <v>1</v>
      </c>
    </row>
    <row r="147" spans="2:30" ht="10.5" customHeight="1">
      <c r="C147" s="152"/>
      <c r="D147" s="152"/>
      <c r="E147" s="150"/>
      <c r="F147" s="150"/>
      <c r="J147" s="282">
        <v>1</v>
      </c>
      <c r="K147" s="282">
        <v>0.75</v>
      </c>
      <c r="L147" s="282">
        <v>1.5</v>
      </c>
    </row>
    <row r="148" spans="2:30" ht="10.5" customHeight="1">
      <c r="C148" s="152"/>
      <c r="D148" s="152"/>
      <c r="E148" s="150"/>
      <c r="F148" s="150"/>
      <c r="J148" s="282">
        <v>2</v>
      </c>
      <c r="K148" s="282">
        <v>0.9</v>
      </c>
      <c r="L148" s="282">
        <v>3</v>
      </c>
    </row>
    <row r="149" spans="2:30" ht="10.5" customHeight="1">
      <c r="C149" s="152"/>
      <c r="D149" s="152"/>
      <c r="E149" s="150"/>
      <c r="F149" s="150"/>
      <c r="J149" s="282">
        <v>3</v>
      </c>
      <c r="K149" s="282">
        <v>1.04</v>
      </c>
      <c r="L149" s="282">
        <v>4.5</v>
      </c>
    </row>
    <row r="150" spans="2:30" ht="10.5" customHeight="1">
      <c r="C150" s="152"/>
      <c r="D150" s="152"/>
      <c r="E150" s="150"/>
      <c r="F150" s="150"/>
      <c r="J150" s="282">
        <v>4</v>
      </c>
      <c r="K150" s="282">
        <v>1.1599999999999999</v>
      </c>
      <c r="L150" s="282">
        <v>6</v>
      </c>
    </row>
    <row r="151" spans="2:30" ht="10.5" customHeight="1">
      <c r="E151" s="150"/>
      <c r="F151" s="150"/>
      <c r="J151" s="282">
        <v>5</v>
      </c>
      <c r="K151" s="282">
        <v>1.28</v>
      </c>
      <c r="L151" s="282">
        <v>7.5</v>
      </c>
    </row>
    <row r="152" spans="2:30" ht="10.5" customHeight="1">
      <c r="E152" s="150"/>
      <c r="F152" s="150"/>
      <c r="J152" s="282"/>
      <c r="K152" s="282"/>
      <c r="L152" s="282"/>
    </row>
    <row r="153" spans="2:30" ht="10.5" customHeight="1">
      <c r="E153" s="150"/>
      <c r="F153" s="150"/>
      <c r="J153" s="282"/>
      <c r="K153" s="282"/>
      <c r="L153" s="282"/>
    </row>
    <row r="154" spans="2:30" ht="10.5" customHeight="1">
      <c r="C154" s="2665" t="s">
        <v>3472</v>
      </c>
      <c r="E154" s="150"/>
      <c r="F154" s="150"/>
    </row>
    <row r="155" spans="2:30" ht="10.5" customHeight="1">
      <c r="C155" s="2665"/>
      <c r="E155" s="150"/>
      <c r="F155" s="150"/>
    </row>
    <row r="156" spans="2:30" ht="10.5" customHeight="1">
      <c r="C156" s="2665"/>
      <c r="D156" s="1400" t="s">
        <v>3473</v>
      </c>
      <c r="E156" s="517"/>
      <c r="F156" s="150"/>
    </row>
    <row r="157" spans="2:30" ht="39.75" customHeight="1">
      <c r="C157" s="334" t="s">
        <v>1181</v>
      </c>
      <c r="D157" s="271" t="s">
        <v>958</v>
      </c>
      <c r="E157" s="150"/>
      <c r="F157" s="431" t="s">
        <v>1619</v>
      </c>
      <c r="G157" s="431" t="s">
        <v>1115</v>
      </c>
      <c r="H157" s="431" t="s">
        <v>1116</v>
      </c>
      <c r="I157" s="432" t="s">
        <v>1117</v>
      </c>
      <c r="J157" s="432" t="s">
        <v>1066</v>
      </c>
      <c r="K157" s="431" t="s">
        <v>400</v>
      </c>
      <c r="L157" s="433" t="s">
        <v>1073</v>
      </c>
      <c r="M157" s="433" t="s">
        <v>2383</v>
      </c>
      <c r="N157" s="433" t="s">
        <v>3474</v>
      </c>
      <c r="O157" s="433" t="s">
        <v>3475</v>
      </c>
      <c r="P157" s="431" t="s">
        <v>2131</v>
      </c>
      <c r="Q157" s="431"/>
      <c r="R157" s="56"/>
      <c r="S157" s="277"/>
      <c r="T157" s="1401" t="s">
        <v>574</v>
      </c>
      <c r="U157" s="434" t="s">
        <v>575</v>
      </c>
      <c r="W157" s="509" t="s">
        <v>2962</v>
      </c>
      <c r="Z157" s="297"/>
      <c r="AA157" s="297"/>
      <c r="AB157" s="7"/>
      <c r="AC157" s="387"/>
      <c r="AD157" s="387"/>
    </row>
    <row r="158" spans="2:30" ht="10.5" customHeight="1">
      <c r="B158" s="150"/>
      <c r="C158" s="269" t="s">
        <v>1606</v>
      </c>
      <c r="D158" s="298">
        <v>53400</v>
      </c>
      <c r="E158" s="150"/>
      <c r="F158" s="150" t="s">
        <v>778</v>
      </c>
      <c r="G158" s="1402" t="s">
        <v>1118</v>
      </c>
      <c r="H158" s="1402" t="s">
        <v>1119</v>
      </c>
      <c r="I158" s="1403" t="s">
        <v>1120</v>
      </c>
      <c r="J158" s="1403" t="s">
        <v>2321</v>
      </c>
      <c r="K158" s="1404" t="s">
        <v>1074</v>
      </c>
      <c r="L158" s="1405" t="s">
        <v>398</v>
      </c>
      <c r="M158" s="1406" t="s">
        <v>2308</v>
      </c>
      <c r="N158" s="1406" t="s">
        <v>1225</v>
      </c>
      <c r="O158" s="1407" t="s">
        <v>3476</v>
      </c>
      <c r="P158" s="435" t="s">
        <v>1387</v>
      </c>
      <c r="Q158" s="154"/>
      <c r="R158" s="56"/>
      <c r="S158" s="277"/>
      <c r="T158" s="361" t="s">
        <v>2132</v>
      </c>
      <c r="U158" s="361" t="s">
        <v>1754</v>
      </c>
      <c r="W158" s="297" t="s">
        <v>2132</v>
      </c>
      <c r="X158" s="297" t="s">
        <v>2963</v>
      </c>
      <c r="Z158" s="297"/>
      <c r="AA158" s="7"/>
      <c r="AB158" s="7"/>
      <c r="AC158" s="1408"/>
      <c r="AD158" s="387"/>
    </row>
    <row r="159" spans="2:30" ht="10.5" customHeight="1">
      <c r="B159" s="150"/>
      <c r="C159" s="269" t="s">
        <v>1120</v>
      </c>
      <c r="D159" s="298">
        <v>48500</v>
      </c>
      <c r="E159" s="150"/>
      <c r="F159" s="150" t="s">
        <v>777</v>
      </c>
      <c r="G159" s="1402" t="s">
        <v>1601</v>
      </c>
      <c r="H159" s="1402" t="s">
        <v>1119</v>
      </c>
      <c r="I159" s="1403" t="s">
        <v>1602</v>
      </c>
      <c r="J159" s="1403" t="s">
        <v>2321</v>
      </c>
      <c r="K159" s="1404" t="s">
        <v>1075</v>
      </c>
      <c r="L159" s="1405" t="s">
        <v>398</v>
      </c>
      <c r="M159" s="1406" t="s">
        <v>2308</v>
      </c>
      <c r="N159" s="1406" t="s">
        <v>1526</v>
      </c>
      <c r="O159" s="1407" t="s">
        <v>3477</v>
      </c>
      <c r="P159" s="435" t="s">
        <v>1389</v>
      </c>
      <c r="Q159" s="154"/>
      <c r="R159" s="56"/>
      <c r="S159" s="277"/>
      <c r="T159" s="361" t="s">
        <v>1388</v>
      </c>
      <c r="U159" s="361" t="s">
        <v>2205</v>
      </c>
      <c r="W159" s="297" t="s">
        <v>1388</v>
      </c>
      <c r="X159" s="297" t="s">
        <v>2963</v>
      </c>
      <c r="Z159" s="297"/>
      <c r="AA159" s="7"/>
      <c r="AB159" s="7"/>
      <c r="AC159" s="1408"/>
      <c r="AD159" s="387"/>
    </row>
    <row r="160" spans="2:30" ht="10.5" customHeight="1">
      <c r="B160" s="150"/>
      <c r="C160" s="269" t="s">
        <v>959</v>
      </c>
      <c r="D160" s="298">
        <v>58900</v>
      </c>
      <c r="E160" s="150"/>
      <c r="F160" s="150" t="s">
        <v>780</v>
      </c>
      <c r="G160" s="1402" t="s">
        <v>1603</v>
      </c>
      <c r="H160" s="1402" t="s">
        <v>1119</v>
      </c>
      <c r="I160" s="1403" t="s">
        <v>1604</v>
      </c>
      <c r="J160" s="1403" t="s">
        <v>2321</v>
      </c>
      <c r="K160" s="1404" t="s">
        <v>1076</v>
      </c>
      <c r="L160" s="1405" t="s">
        <v>398</v>
      </c>
      <c r="M160" s="1406" t="s">
        <v>2308</v>
      </c>
      <c r="N160" s="1406" t="s">
        <v>1526</v>
      </c>
      <c r="O160" s="1407" t="s">
        <v>3478</v>
      </c>
      <c r="P160" s="435" t="s">
        <v>434</v>
      </c>
      <c r="Q160" s="154"/>
      <c r="R160" s="56"/>
      <c r="S160" s="277"/>
      <c r="T160" s="361" t="s">
        <v>878</v>
      </c>
      <c r="U160" s="361" t="s">
        <v>1213</v>
      </c>
      <c r="W160" s="297" t="s">
        <v>878</v>
      </c>
      <c r="X160" s="297" t="s">
        <v>2963</v>
      </c>
      <c r="Z160" s="297"/>
      <c r="AA160" s="7"/>
      <c r="AB160" s="7"/>
      <c r="AC160" s="1408"/>
      <c r="AD160" s="387"/>
    </row>
    <row r="161" spans="2:30" ht="10.5" customHeight="1">
      <c r="B161" s="150"/>
      <c r="C161" s="269" t="s">
        <v>1602</v>
      </c>
      <c r="D161" s="298">
        <v>40100</v>
      </c>
      <c r="E161" s="150"/>
      <c r="F161" s="150" t="s">
        <v>779</v>
      </c>
      <c r="G161" s="1402" t="s">
        <v>1605</v>
      </c>
      <c r="H161" s="1402" t="s">
        <v>1119</v>
      </c>
      <c r="I161" s="1409" t="s">
        <v>1606</v>
      </c>
      <c r="J161" s="1409" t="s">
        <v>2322</v>
      </c>
      <c r="K161" s="1404" t="s">
        <v>1077</v>
      </c>
      <c r="L161" s="1405" t="s">
        <v>399</v>
      </c>
      <c r="M161" s="1406" t="s">
        <v>1103</v>
      </c>
      <c r="N161" s="1406" t="s">
        <v>1606</v>
      </c>
      <c r="O161" s="1407" t="s">
        <v>3479</v>
      </c>
      <c r="P161" s="435" t="s">
        <v>1863</v>
      </c>
      <c r="Q161" s="154"/>
      <c r="R161" s="56"/>
      <c r="S161" s="277"/>
      <c r="T161" s="361" t="s">
        <v>435</v>
      </c>
      <c r="U161" s="361" t="s">
        <v>2241</v>
      </c>
      <c r="W161" s="297" t="s">
        <v>1864</v>
      </c>
      <c r="X161" s="297" t="s">
        <v>2963</v>
      </c>
      <c r="Z161" s="297"/>
      <c r="AA161" s="7"/>
      <c r="AB161" s="7"/>
      <c r="AC161" s="1408"/>
      <c r="AD161" s="387"/>
    </row>
    <row r="162" spans="2:30" ht="10.5" customHeight="1">
      <c r="B162" s="150"/>
      <c r="C162" s="269" t="s">
        <v>707</v>
      </c>
      <c r="D162" s="298">
        <v>74800</v>
      </c>
      <c r="E162" s="150"/>
      <c r="F162" s="150" t="s">
        <v>781</v>
      </c>
      <c r="G162" s="1402" t="s">
        <v>1607</v>
      </c>
      <c r="H162" s="1402" t="s">
        <v>1119</v>
      </c>
      <c r="I162" s="1409" t="s">
        <v>138</v>
      </c>
      <c r="J162" s="1409" t="s">
        <v>2321</v>
      </c>
      <c r="K162" s="1404" t="s">
        <v>1078</v>
      </c>
      <c r="L162" s="1405" t="s">
        <v>398</v>
      </c>
      <c r="M162" s="1406" t="s">
        <v>2308</v>
      </c>
      <c r="N162" s="1406" t="s">
        <v>1219</v>
      </c>
      <c r="O162" s="1407" t="s">
        <v>3480</v>
      </c>
      <c r="P162" s="435" t="s">
        <v>1865</v>
      </c>
      <c r="Q162" s="154"/>
      <c r="R162" s="56"/>
      <c r="S162" s="277"/>
      <c r="T162" s="361" t="s">
        <v>1864</v>
      </c>
      <c r="U162" s="361" t="s">
        <v>310</v>
      </c>
      <c r="W162" s="297" t="s">
        <v>1868</v>
      </c>
      <c r="X162" s="297" t="s">
        <v>2963</v>
      </c>
      <c r="Z162" s="297"/>
      <c r="AA162" s="7"/>
      <c r="AB162" s="7"/>
      <c r="AC162" s="1408"/>
      <c r="AD162" s="387"/>
    </row>
    <row r="163" spans="2:30" ht="10.5" customHeight="1">
      <c r="B163" s="150"/>
      <c r="C163" s="269" t="s">
        <v>708</v>
      </c>
      <c r="D163" s="298">
        <v>62300</v>
      </c>
      <c r="E163" s="150"/>
      <c r="F163" s="150" t="s">
        <v>782</v>
      </c>
      <c r="G163" s="1402" t="s">
        <v>1209</v>
      </c>
      <c r="H163" s="1402" t="s">
        <v>1210</v>
      </c>
      <c r="I163" s="1403" t="s">
        <v>1211</v>
      </c>
      <c r="J163" s="1403" t="s">
        <v>2321</v>
      </c>
      <c r="K163" s="1404" t="s">
        <v>1640</v>
      </c>
      <c r="L163" s="1405" t="s">
        <v>398</v>
      </c>
      <c r="M163" s="1406" t="s">
        <v>2308</v>
      </c>
      <c r="N163" s="1406" t="s">
        <v>148</v>
      </c>
      <c r="O163" s="1407" t="s">
        <v>3481</v>
      </c>
      <c r="P163" s="435" t="s">
        <v>1867</v>
      </c>
      <c r="Q163" s="154"/>
      <c r="R163" s="56"/>
      <c r="S163" s="277"/>
      <c r="T163" s="361" t="s">
        <v>1866</v>
      </c>
      <c r="U163" s="361" t="s">
        <v>164</v>
      </c>
      <c r="W163" s="297" t="s">
        <v>1606</v>
      </c>
      <c r="X163" s="297" t="s">
        <v>2963</v>
      </c>
      <c r="Z163" s="297"/>
      <c r="AA163" s="7"/>
      <c r="AB163" s="7"/>
      <c r="AC163" s="1408"/>
      <c r="AD163" s="387"/>
    </row>
    <row r="164" spans="2:30" ht="10.5" customHeight="1">
      <c r="B164" s="150"/>
      <c r="C164" s="269" t="s">
        <v>1604</v>
      </c>
      <c r="D164" s="298">
        <v>51200</v>
      </c>
      <c r="E164" s="150"/>
      <c r="F164" s="150" t="s">
        <v>783</v>
      </c>
      <c r="G164" s="1402" t="s">
        <v>1212</v>
      </c>
      <c r="H164" s="1402" t="s">
        <v>1210</v>
      </c>
      <c r="I164" s="1409" t="s">
        <v>707</v>
      </c>
      <c r="J164" s="1409" t="s">
        <v>2322</v>
      </c>
      <c r="K164" s="1404" t="s">
        <v>2286</v>
      </c>
      <c r="L164" s="1405" t="s">
        <v>399</v>
      </c>
      <c r="M164" s="1406" t="s">
        <v>1103</v>
      </c>
      <c r="N164" s="1406" t="s">
        <v>1113</v>
      </c>
      <c r="O164" s="1407" t="s">
        <v>3482</v>
      </c>
      <c r="P164" s="435" t="s">
        <v>1869</v>
      </c>
      <c r="Q164" s="154"/>
      <c r="R164" s="56"/>
      <c r="S164" s="277"/>
      <c r="T164" s="361" t="s">
        <v>1868</v>
      </c>
      <c r="U164" s="361" t="s">
        <v>104</v>
      </c>
      <c r="W164" s="297" t="s">
        <v>419</v>
      </c>
      <c r="X164" s="297" t="s">
        <v>2963</v>
      </c>
      <c r="Z164" s="297"/>
      <c r="AA164" s="7"/>
      <c r="AB164" s="7"/>
      <c r="AC164" s="1408"/>
      <c r="AD164" s="387"/>
    </row>
    <row r="165" spans="2:30" ht="10.5" customHeight="1">
      <c r="B165" s="150"/>
      <c r="C165" s="269" t="s">
        <v>138</v>
      </c>
      <c r="D165" s="298">
        <v>51500</v>
      </c>
      <c r="E165" s="150"/>
      <c r="F165" s="150" t="s">
        <v>785</v>
      </c>
      <c r="G165" s="1402" t="s">
        <v>1213</v>
      </c>
      <c r="H165" s="1402" t="s">
        <v>1210</v>
      </c>
      <c r="I165" s="1409" t="s">
        <v>707</v>
      </c>
      <c r="J165" s="1409" t="s">
        <v>2322</v>
      </c>
      <c r="K165" s="1404" t="s">
        <v>2286</v>
      </c>
      <c r="L165" s="1405" t="s">
        <v>399</v>
      </c>
      <c r="M165" s="1406" t="s">
        <v>1103</v>
      </c>
      <c r="N165" s="1406" t="s">
        <v>1113</v>
      </c>
      <c r="O165" s="1407" t="s">
        <v>3483</v>
      </c>
      <c r="P165" s="435" t="s">
        <v>1871</v>
      </c>
      <c r="Q165" s="154"/>
      <c r="R165" s="56"/>
      <c r="S165" s="277"/>
      <c r="T165" s="361" t="s">
        <v>1870</v>
      </c>
      <c r="U165" s="361" t="s">
        <v>1216</v>
      </c>
      <c r="W165" s="297" t="s">
        <v>421</v>
      </c>
      <c r="X165" s="297" t="s">
        <v>2963</v>
      </c>
      <c r="Z165" s="297"/>
      <c r="AA165" s="7"/>
      <c r="AB165" s="7"/>
      <c r="AC165" s="1408"/>
      <c r="AD165" s="387"/>
    </row>
    <row r="166" spans="2:30" ht="10.5" customHeight="1">
      <c r="B166" s="150"/>
      <c r="C166" s="269" t="s">
        <v>1211</v>
      </c>
      <c r="D166" s="298">
        <v>53300</v>
      </c>
      <c r="E166" s="150"/>
      <c r="F166" s="150" t="s">
        <v>784</v>
      </c>
      <c r="G166" s="1402" t="s">
        <v>1214</v>
      </c>
      <c r="H166" s="1402" t="s">
        <v>1119</v>
      </c>
      <c r="I166" s="1403" t="s">
        <v>1215</v>
      </c>
      <c r="J166" s="1403" t="s">
        <v>2321</v>
      </c>
      <c r="K166" s="1404" t="s">
        <v>2287</v>
      </c>
      <c r="L166" s="1405" t="s">
        <v>398</v>
      </c>
      <c r="M166" s="1406" t="s">
        <v>2308</v>
      </c>
      <c r="N166" s="1406" t="s">
        <v>1606</v>
      </c>
      <c r="O166" s="1407" t="s">
        <v>3484</v>
      </c>
      <c r="P166" s="435" t="s">
        <v>1765</v>
      </c>
      <c r="Q166" s="399"/>
      <c r="R166" s="56"/>
      <c r="S166" s="277"/>
      <c r="T166" s="361" t="s">
        <v>1606</v>
      </c>
      <c r="U166" s="361" t="s">
        <v>886</v>
      </c>
      <c r="W166" s="297" t="s">
        <v>1663</v>
      </c>
      <c r="X166" s="297" t="s">
        <v>2963</v>
      </c>
      <c r="Z166" s="297"/>
      <c r="AA166" s="7"/>
      <c r="AB166" s="7"/>
      <c r="AC166" s="1408"/>
      <c r="AD166" s="387"/>
    </row>
    <row r="167" spans="2:30" ht="10.5" customHeight="1">
      <c r="B167" s="150"/>
      <c r="C167" s="270" t="s">
        <v>962</v>
      </c>
      <c r="D167" s="298">
        <v>38200</v>
      </c>
      <c r="E167" s="150"/>
      <c r="F167" s="150" t="s">
        <v>786</v>
      </c>
      <c r="G167" s="1402" t="s">
        <v>1216</v>
      </c>
      <c r="H167" s="1402" t="s">
        <v>1119</v>
      </c>
      <c r="I167" s="1403" t="s">
        <v>1217</v>
      </c>
      <c r="J167" s="1403" t="s">
        <v>2321</v>
      </c>
      <c r="K167" s="1404" t="s">
        <v>2288</v>
      </c>
      <c r="L167" s="1405" t="s">
        <v>398</v>
      </c>
      <c r="M167" s="1406" t="s">
        <v>2308</v>
      </c>
      <c r="N167" s="1406" t="s">
        <v>1526</v>
      </c>
      <c r="O167" s="1407" t="s">
        <v>3485</v>
      </c>
      <c r="P167" s="435" t="s">
        <v>160</v>
      </c>
      <c r="Q167" s="399"/>
      <c r="R167" s="150"/>
      <c r="S167" s="277"/>
      <c r="T167" s="361" t="s">
        <v>1766</v>
      </c>
      <c r="U167" s="361" t="s">
        <v>403</v>
      </c>
      <c r="W167" s="297" t="s">
        <v>2258</v>
      </c>
      <c r="X167" s="297" t="s">
        <v>2963</v>
      </c>
      <c r="Z167" s="297"/>
      <c r="AA167" s="7"/>
      <c r="AB167" s="7"/>
      <c r="AC167" s="1408"/>
      <c r="AD167" s="387"/>
    </row>
    <row r="168" spans="2:30" ht="10.5" customHeight="1">
      <c r="B168" s="150"/>
      <c r="C168" s="270" t="s">
        <v>1217</v>
      </c>
      <c r="D168" s="298">
        <v>44300</v>
      </c>
      <c r="E168" s="150"/>
      <c r="F168" s="150" t="s">
        <v>787</v>
      </c>
      <c r="G168" s="1402" t="s">
        <v>1218</v>
      </c>
      <c r="H168" s="1402" t="s">
        <v>1617</v>
      </c>
      <c r="I168" s="1409" t="s">
        <v>1219</v>
      </c>
      <c r="J168" s="1409" t="s">
        <v>2322</v>
      </c>
      <c r="K168" s="1404" t="s">
        <v>2289</v>
      </c>
      <c r="L168" s="1405" t="s">
        <v>399</v>
      </c>
      <c r="M168" s="1406" t="s">
        <v>1103</v>
      </c>
      <c r="N168" s="1406" t="s">
        <v>1219</v>
      </c>
      <c r="O168" s="1407" t="s">
        <v>3486</v>
      </c>
      <c r="P168" s="435" t="s">
        <v>162</v>
      </c>
      <c r="Q168" s="399"/>
      <c r="R168" s="56"/>
      <c r="S168" s="277"/>
      <c r="T168" s="361" t="s">
        <v>161</v>
      </c>
      <c r="U168" s="361" t="s">
        <v>1337</v>
      </c>
      <c r="W168" s="297" t="s">
        <v>2264</v>
      </c>
      <c r="X168" s="297" t="s">
        <v>2963</v>
      </c>
      <c r="Z168" s="297"/>
      <c r="AA168" s="7"/>
      <c r="AB168" s="7"/>
      <c r="AC168" s="1408"/>
      <c r="AD168" s="387"/>
    </row>
    <row r="169" spans="2:30" ht="10.5" customHeight="1">
      <c r="B169" s="150"/>
      <c r="C169" s="270" t="s">
        <v>1221</v>
      </c>
      <c r="D169" s="298">
        <v>53100</v>
      </c>
      <c r="E169" s="150"/>
      <c r="F169" s="150" t="s">
        <v>788</v>
      </c>
      <c r="G169" s="1402" t="s">
        <v>1220</v>
      </c>
      <c r="H169" s="1402" t="s">
        <v>1119</v>
      </c>
      <c r="I169" s="1409" t="s">
        <v>1221</v>
      </c>
      <c r="J169" s="1409" t="s">
        <v>2321</v>
      </c>
      <c r="K169" s="1404" t="s">
        <v>2290</v>
      </c>
      <c r="L169" s="1405" t="s">
        <v>398</v>
      </c>
      <c r="M169" s="1406" t="s">
        <v>2308</v>
      </c>
      <c r="N169" s="1406" t="s">
        <v>1219</v>
      </c>
      <c r="O169" s="1407" t="s">
        <v>3487</v>
      </c>
      <c r="P169" s="435" t="s">
        <v>418</v>
      </c>
      <c r="Q169" s="154"/>
      <c r="R169" s="56"/>
      <c r="S169" s="277"/>
      <c r="T169" s="361" t="s">
        <v>163</v>
      </c>
      <c r="U169" s="361" t="s">
        <v>2128</v>
      </c>
      <c r="W169" s="297" t="s">
        <v>2269</v>
      </c>
      <c r="X169" s="297" t="s">
        <v>2963</v>
      </c>
      <c r="Z169" s="297"/>
      <c r="AA169" s="7"/>
      <c r="AB169" s="7"/>
      <c r="AC169" s="1408"/>
      <c r="AD169" s="387"/>
    </row>
    <row r="170" spans="2:30" ht="10.5" customHeight="1">
      <c r="B170" s="150"/>
      <c r="C170" s="269" t="s">
        <v>8</v>
      </c>
      <c r="D170" s="298">
        <v>53000</v>
      </c>
      <c r="E170" s="150"/>
      <c r="F170" s="150" t="s">
        <v>792</v>
      </c>
      <c r="G170" s="1402" t="s">
        <v>1222</v>
      </c>
      <c r="H170" s="1402" t="s">
        <v>1119</v>
      </c>
      <c r="I170" s="1403" t="s">
        <v>8</v>
      </c>
      <c r="J170" s="1403" t="s">
        <v>2322</v>
      </c>
      <c r="K170" s="1404" t="s">
        <v>2291</v>
      </c>
      <c r="L170" s="1405" t="s">
        <v>399</v>
      </c>
      <c r="M170" s="1406" t="s">
        <v>1103</v>
      </c>
      <c r="N170" s="1406" t="s">
        <v>1526</v>
      </c>
      <c r="O170" s="1407" t="s">
        <v>3488</v>
      </c>
      <c r="P170" s="435" t="s">
        <v>420</v>
      </c>
      <c r="Q170" s="154"/>
      <c r="R170" s="56"/>
      <c r="S170" s="277"/>
      <c r="T170" s="361" t="s">
        <v>419</v>
      </c>
      <c r="U170" s="361" t="s">
        <v>1603</v>
      </c>
      <c r="W170" s="297" t="s">
        <v>148</v>
      </c>
      <c r="X170" s="297" t="s">
        <v>2963</v>
      </c>
      <c r="Z170" s="297"/>
      <c r="AA170" s="7"/>
      <c r="AB170" s="7"/>
      <c r="AC170" s="1408"/>
      <c r="AD170" s="387"/>
    </row>
    <row r="171" spans="2:30" ht="10.5" customHeight="1">
      <c r="B171" s="150"/>
      <c r="C171" s="270" t="s">
        <v>1227</v>
      </c>
      <c r="D171" s="298">
        <v>46900</v>
      </c>
      <c r="E171" s="150"/>
      <c r="F171" s="150" t="s">
        <v>789</v>
      </c>
      <c r="G171" s="1402" t="s">
        <v>1223</v>
      </c>
      <c r="H171" s="1402" t="s">
        <v>1119</v>
      </c>
      <c r="I171" s="1403" t="s">
        <v>1526</v>
      </c>
      <c r="J171" s="1403" t="s">
        <v>2322</v>
      </c>
      <c r="K171" s="1404" t="s">
        <v>2292</v>
      </c>
      <c r="L171" s="1405" t="s">
        <v>399</v>
      </c>
      <c r="M171" s="1406" t="s">
        <v>1103</v>
      </c>
      <c r="N171" s="1406" t="s">
        <v>1526</v>
      </c>
      <c r="O171" s="1407" t="s">
        <v>3489</v>
      </c>
      <c r="P171" s="435" t="s">
        <v>422</v>
      </c>
      <c r="Q171" s="154"/>
      <c r="R171" s="56"/>
      <c r="S171" s="277"/>
      <c r="T171" s="361" t="s">
        <v>421</v>
      </c>
      <c r="U171" s="361" t="s">
        <v>1114</v>
      </c>
      <c r="W171" s="297" t="s">
        <v>1113</v>
      </c>
      <c r="X171" s="297" t="s">
        <v>2963</v>
      </c>
      <c r="Z171" s="297"/>
      <c r="AA171" s="7"/>
      <c r="AB171" s="7"/>
      <c r="AC171" s="1408"/>
      <c r="AD171" s="387"/>
    </row>
    <row r="172" spans="2:30" ht="10.5" customHeight="1">
      <c r="B172" s="150"/>
      <c r="C172" s="269" t="s">
        <v>960</v>
      </c>
      <c r="D172" s="298">
        <v>56600</v>
      </c>
      <c r="E172" s="150"/>
      <c r="F172" s="150" t="s">
        <v>790</v>
      </c>
      <c r="G172" s="1402" t="s">
        <v>1224</v>
      </c>
      <c r="H172" s="1402" t="s">
        <v>1119</v>
      </c>
      <c r="I172" s="1409" t="s">
        <v>1225</v>
      </c>
      <c r="J172" s="1409" t="s">
        <v>2322</v>
      </c>
      <c r="K172" s="1404" t="s">
        <v>1344</v>
      </c>
      <c r="L172" s="1405" t="s">
        <v>399</v>
      </c>
      <c r="M172" s="1406" t="s">
        <v>1103</v>
      </c>
      <c r="N172" s="1406" t="s">
        <v>1225</v>
      </c>
      <c r="O172" s="1407" t="s">
        <v>3490</v>
      </c>
      <c r="P172" s="435" t="s">
        <v>424</v>
      </c>
      <c r="Q172" s="154"/>
      <c r="R172" s="56"/>
      <c r="S172" s="277"/>
      <c r="T172" s="361" t="s">
        <v>423</v>
      </c>
      <c r="U172" s="361" t="s">
        <v>164</v>
      </c>
      <c r="W172" s="297" t="s">
        <v>1855</v>
      </c>
      <c r="X172" s="297" t="s">
        <v>2963</v>
      </c>
      <c r="Z172" s="297"/>
      <c r="AA172" s="7"/>
      <c r="AB172" s="7"/>
      <c r="AC172" s="1408"/>
      <c r="AD172" s="387"/>
    </row>
    <row r="173" spans="2:30" ht="10.5" customHeight="1">
      <c r="B173" s="150"/>
      <c r="C173" s="270" t="s">
        <v>1232</v>
      </c>
      <c r="D173" s="298">
        <v>35000</v>
      </c>
      <c r="E173" s="150"/>
      <c r="F173" s="150" t="s">
        <v>791</v>
      </c>
      <c r="G173" s="1402" t="s">
        <v>1226</v>
      </c>
      <c r="H173" s="1402" t="s">
        <v>1119</v>
      </c>
      <c r="I173" s="1409" t="s">
        <v>1227</v>
      </c>
      <c r="J173" s="1409" t="s">
        <v>2321</v>
      </c>
      <c r="K173" s="1404" t="s">
        <v>2306</v>
      </c>
      <c r="L173" s="1405" t="s">
        <v>398</v>
      </c>
      <c r="M173" s="1406" t="s">
        <v>2308</v>
      </c>
      <c r="N173" s="1406" t="s">
        <v>1225</v>
      </c>
      <c r="O173" s="1407" t="s">
        <v>3491</v>
      </c>
      <c r="P173" s="435" t="s">
        <v>2007</v>
      </c>
      <c r="Q173" s="154"/>
      <c r="R173" s="56"/>
      <c r="S173" s="277"/>
      <c r="T173" s="361" t="s">
        <v>425</v>
      </c>
      <c r="U173" s="361" t="s">
        <v>113</v>
      </c>
      <c r="W173" s="297" t="s">
        <v>1229</v>
      </c>
      <c r="X173" s="297" t="s">
        <v>2963</v>
      </c>
      <c r="Z173" s="297"/>
      <c r="AA173" s="7"/>
      <c r="AB173" s="7"/>
      <c r="AC173" s="1408"/>
      <c r="AD173" s="387"/>
    </row>
    <row r="174" spans="2:30" ht="10.5" customHeight="1">
      <c r="B174" s="150"/>
      <c r="C174" s="270" t="s">
        <v>676</v>
      </c>
      <c r="D174" s="298">
        <v>63800</v>
      </c>
      <c r="E174" s="150"/>
      <c r="F174" s="150" t="s">
        <v>793</v>
      </c>
      <c r="G174" s="1402" t="s">
        <v>1228</v>
      </c>
      <c r="H174" s="1402" t="s">
        <v>1119</v>
      </c>
      <c r="I174" s="1409" t="s">
        <v>708</v>
      </c>
      <c r="J174" s="1409" t="s">
        <v>2322</v>
      </c>
      <c r="K174" s="1404" t="s">
        <v>2307</v>
      </c>
      <c r="L174" s="1405" t="s">
        <v>399</v>
      </c>
      <c r="M174" s="1406" t="s">
        <v>2308</v>
      </c>
      <c r="N174" s="1406" t="s">
        <v>1229</v>
      </c>
      <c r="O174" s="1407" t="s">
        <v>3492</v>
      </c>
      <c r="P174" s="435" t="s">
        <v>2009</v>
      </c>
      <c r="Q174" s="154"/>
      <c r="R174" s="56"/>
      <c r="S174" s="277"/>
      <c r="T174" s="361" t="s">
        <v>2008</v>
      </c>
      <c r="U174" s="361" t="s">
        <v>2206</v>
      </c>
      <c r="W174" s="297" t="s">
        <v>1858</v>
      </c>
      <c r="X174" s="297" t="s">
        <v>2963</v>
      </c>
      <c r="Z174" s="297"/>
      <c r="AA174" s="7"/>
      <c r="AB174" s="7"/>
      <c r="AC174" s="1408"/>
      <c r="AD174" s="387"/>
    </row>
    <row r="175" spans="2:30" ht="10.5" customHeight="1">
      <c r="B175" s="150"/>
      <c r="C175" s="270" t="s">
        <v>678</v>
      </c>
      <c r="D175" s="298">
        <v>37200</v>
      </c>
      <c r="E175" s="150"/>
      <c r="F175" s="150" t="s">
        <v>794</v>
      </c>
      <c r="G175" s="1402" t="s">
        <v>1230</v>
      </c>
      <c r="H175" s="1402" t="s">
        <v>1210</v>
      </c>
      <c r="I175" s="1409" t="s">
        <v>960</v>
      </c>
      <c r="J175" s="1409" t="s">
        <v>2322</v>
      </c>
      <c r="K175" s="1404" t="s">
        <v>1163</v>
      </c>
      <c r="L175" s="1405" t="s">
        <v>399</v>
      </c>
      <c r="M175" s="1406" t="s">
        <v>2308</v>
      </c>
      <c r="N175" s="1406" t="s">
        <v>1113</v>
      </c>
      <c r="O175" s="1407" t="s">
        <v>3493</v>
      </c>
      <c r="P175" s="435" t="s">
        <v>346</v>
      </c>
      <c r="Q175" s="154"/>
      <c r="R175" s="56"/>
      <c r="S175" s="277"/>
      <c r="T175" s="361" t="s">
        <v>1663</v>
      </c>
      <c r="U175" s="361" t="s">
        <v>1940</v>
      </c>
      <c r="W175" s="297" t="s">
        <v>1882</v>
      </c>
      <c r="X175" s="297" t="s">
        <v>2963</v>
      </c>
      <c r="Z175" s="297"/>
      <c r="AA175" s="7"/>
      <c r="AB175" s="7"/>
      <c r="AC175" s="1408"/>
      <c r="AD175" s="387"/>
    </row>
    <row r="176" spans="2:30" ht="10.5" customHeight="1">
      <c r="B176" s="150"/>
      <c r="C176" s="269" t="s">
        <v>140</v>
      </c>
      <c r="D176" s="298">
        <v>55400</v>
      </c>
      <c r="E176" s="150"/>
      <c r="F176" s="150" t="s">
        <v>795</v>
      </c>
      <c r="G176" s="1402" t="s">
        <v>1231</v>
      </c>
      <c r="H176" s="1402" t="s">
        <v>1119</v>
      </c>
      <c r="I176" s="1403" t="s">
        <v>1232</v>
      </c>
      <c r="J176" s="1403" t="s">
        <v>2321</v>
      </c>
      <c r="K176" s="1404" t="s">
        <v>1164</v>
      </c>
      <c r="L176" s="1405" t="s">
        <v>398</v>
      </c>
      <c r="M176" s="1406" t="s">
        <v>2308</v>
      </c>
      <c r="N176" s="1406" t="s">
        <v>1606</v>
      </c>
      <c r="O176" s="1407" t="s">
        <v>3494</v>
      </c>
      <c r="P176" s="435" t="s">
        <v>348</v>
      </c>
      <c r="Q176" s="154"/>
      <c r="R176" s="56"/>
      <c r="S176" s="277"/>
      <c r="T176" s="361" t="s">
        <v>347</v>
      </c>
      <c r="U176" s="361" t="s">
        <v>1940</v>
      </c>
      <c r="W176" s="297" t="s">
        <v>1886</v>
      </c>
      <c r="X176" s="297" t="s">
        <v>2963</v>
      </c>
      <c r="Z176" s="297"/>
      <c r="AA176" s="7"/>
      <c r="AB176" s="7"/>
      <c r="AC176" s="1408"/>
      <c r="AD176" s="387"/>
    </row>
    <row r="177" spans="2:30" ht="10.5" customHeight="1">
      <c r="B177" s="150"/>
      <c r="C177" s="269" t="s">
        <v>1386</v>
      </c>
      <c r="D177" s="298">
        <v>61700</v>
      </c>
      <c r="E177" s="150"/>
      <c r="F177" s="150" t="s">
        <v>798</v>
      </c>
      <c r="G177" s="1402" t="s">
        <v>1233</v>
      </c>
      <c r="H177" s="1402" t="s">
        <v>1119</v>
      </c>
      <c r="I177" s="1409" t="s">
        <v>676</v>
      </c>
      <c r="J177" s="1409" t="s">
        <v>2321</v>
      </c>
      <c r="K177" s="1404" t="s">
        <v>1165</v>
      </c>
      <c r="L177" s="1405" t="s">
        <v>398</v>
      </c>
      <c r="M177" s="1406" t="s">
        <v>2308</v>
      </c>
      <c r="N177" s="1406" t="s">
        <v>1526</v>
      </c>
      <c r="O177" s="1407" t="s">
        <v>3495</v>
      </c>
      <c r="P177" s="435" t="s">
        <v>2255</v>
      </c>
      <c r="Q177" s="154"/>
      <c r="R177" s="56"/>
      <c r="S177" s="277"/>
      <c r="T177" s="361" t="s">
        <v>1118</v>
      </c>
      <c r="U177" s="361" t="s">
        <v>2240</v>
      </c>
      <c r="W177" s="297" t="s">
        <v>1607</v>
      </c>
      <c r="X177" s="297" t="s">
        <v>2963</v>
      </c>
      <c r="Z177" s="297"/>
      <c r="AA177" s="7"/>
      <c r="AB177" s="7"/>
      <c r="AC177" s="1408"/>
      <c r="AD177" s="387"/>
    </row>
    <row r="178" spans="2:30" ht="10.5" customHeight="1">
      <c r="B178" s="150"/>
      <c r="C178" s="269" t="s">
        <v>145</v>
      </c>
      <c r="D178" s="298">
        <v>42900</v>
      </c>
      <c r="E178" s="150"/>
      <c r="F178" s="150" t="s">
        <v>797</v>
      </c>
      <c r="G178" s="1402" t="s">
        <v>677</v>
      </c>
      <c r="H178" s="1402" t="s">
        <v>1119</v>
      </c>
      <c r="I178" s="1403" t="s">
        <v>678</v>
      </c>
      <c r="J178" s="1403" t="s">
        <v>2321</v>
      </c>
      <c r="K178" s="1404" t="s">
        <v>1541</v>
      </c>
      <c r="L178" s="1405" t="s">
        <v>398</v>
      </c>
      <c r="M178" s="1406" t="s">
        <v>2308</v>
      </c>
      <c r="N178" s="1406" t="s">
        <v>1225</v>
      </c>
      <c r="O178" s="1407" t="s">
        <v>3496</v>
      </c>
      <c r="P178" s="435" t="s">
        <v>2257</v>
      </c>
      <c r="Q178" s="154"/>
      <c r="R178" s="56"/>
      <c r="S178" s="277"/>
      <c r="T178" s="361" t="s">
        <v>2256</v>
      </c>
      <c r="U178" s="361" t="s">
        <v>2245</v>
      </c>
      <c r="W178" s="297" t="s">
        <v>933</v>
      </c>
      <c r="X178" s="297" t="s">
        <v>2963</v>
      </c>
      <c r="Z178" s="297"/>
      <c r="AA178" s="7"/>
      <c r="AB178" s="7"/>
      <c r="AC178" s="1408"/>
      <c r="AD178" s="387"/>
    </row>
    <row r="179" spans="2:30" ht="10.5" customHeight="1">
      <c r="B179" s="150"/>
      <c r="C179" s="269" t="s">
        <v>2201</v>
      </c>
      <c r="D179" s="298">
        <v>30600</v>
      </c>
      <c r="E179" s="150"/>
      <c r="F179" s="150" t="s">
        <v>796</v>
      </c>
      <c r="G179" s="1402" t="s">
        <v>679</v>
      </c>
      <c r="H179" s="1402" t="s">
        <v>1210</v>
      </c>
      <c r="I179" s="1409" t="s">
        <v>707</v>
      </c>
      <c r="J179" s="1409" t="s">
        <v>2322</v>
      </c>
      <c r="K179" s="1404" t="s">
        <v>2286</v>
      </c>
      <c r="L179" s="1405" t="s">
        <v>399</v>
      </c>
      <c r="M179" s="1406" t="s">
        <v>1103</v>
      </c>
      <c r="N179" s="1406" t="s">
        <v>1113</v>
      </c>
      <c r="O179" s="1407" t="s">
        <v>3497</v>
      </c>
      <c r="P179" s="435" t="s">
        <v>2259</v>
      </c>
      <c r="Q179" s="154"/>
      <c r="R179" s="56"/>
      <c r="S179" s="277"/>
      <c r="T179" s="361" t="s">
        <v>2258</v>
      </c>
      <c r="U179" s="361" t="s">
        <v>1017</v>
      </c>
      <c r="W179" s="297" t="s">
        <v>2170</v>
      </c>
      <c r="X179" s="297" t="s">
        <v>2963</v>
      </c>
      <c r="Z179" s="297"/>
      <c r="AA179" s="7"/>
      <c r="AB179" s="7"/>
      <c r="AC179" s="1408"/>
      <c r="AD179" s="387"/>
    </row>
    <row r="180" spans="2:30" ht="10.5" customHeight="1">
      <c r="B180" s="150"/>
      <c r="C180" s="270" t="s">
        <v>2204</v>
      </c>
      <c r="D180" s="298">
        <v>43100</v>
      </c>
      <c r="E180" s="150"/>
      <c r="F180" s="150" t="s">
        <v>799</v>
      </c>
      <c r="G180" s="1402" t="s">
        <v>1385</v>
      </c>
      <c r="H180" s="1402" t="s">
        <v>1210</v>
      </c>
      <c r="I180" s="1409" t="s">
        <v>1386</v>
      </c>
      <c r="J180" s="1409" t="s">
        <v>2322</v>
      </c>
      <c r="K180" s="1404" t="s">
        <v>1510</v>
      </c>
      <c r="L180" s="1405" t="s">
        <v>399</v>
      </c>
      <c r="M180" s="1406" t="s">
        <v>2308</v>
      </c>
      <c r="N180" s="1406" t="s">
        <v>1386</v>
      </c>
      <c r="O180" s="1407" t="s">
        <v>3498</v>
      </c>
      <c r="P180" s="435" t="s">
        <v>2261</v>
      </c>
      <c r="Q180" s="154"/>
      <c r="R180" s="56"/>
      <c r="S180" s="277"/>
      <c r="T180" s="361" t="s">
        <v>2260</v>
      </c>
      <c r="U180" s="361" t="s">
        <v>301</v>
      </c>
      <c r="W180" s="297" t="s">
        <v>2172</v>
      </c>
      <c r="X180" s="297" t="s">
        <v>2963</v>
      </c>
      <c r="Z180" s="297"/>
      <c r="AA180" s="7"/>
      <c r="AB180" s="7"/>
      <c r="AC180" s="1408"/>
      <c r="AD180" s="387"/>
    </row>
    <row r="181" spans="2:30" ht="10.5" customHeight="1">
      <c r="B181" s="150"/>
      <c r="C181" s="270" t="s">
        <v>2207</v>
      </c>
      <c r="D181" s="298">
        <v>44200</v>
      </c>
      <c r="E181" s="150"/>
      <c r="F181" s="150" t="s">
        <v>800</v>
      </c>
      <c r="G181" s="1402" t="s">
        <v>139</v>
      </c>
      <c r="H181" s="1402" t="s">
        <v>1119</v>
      </c>
      <c r="I181" s="1403" t="s">
        <v>140</v>
      </c>
      <c r="J181" s="1403" t="s">
        <v>2321</v>
      </c>
      <c r="K181" s="1404" t="s">
        <v>1511</v>
      </c>
      <c r="L181" s="1405" t="s">
        <v>398</v>
      </c>
      <c r="M181" s="1406" t="s">
        <v>2308</v>
      </c>
      <c r="N181" s="1406" t="s">
        <v>1526</v>
      </c>
      <c r="O181" s="1407" t="s">
        <v>3499</v>
      </c>
      <c r="P181" s="435" t="s">
        <v>2263</v>
      </c>
      <c r="Q181" s="154"/>
      <c r="R181" s="56"/>
      <c r="S181" s="277"/>
      <c r="T181" s="361" t="s">
        <v>2262</v>
      </c>
      <c r="U181" s="361" t="s">
        <v>2203</v>
      </c>
      <c r="W181" s="297" t="s">
        <v>2174</v>
      </c>
      <c r="X181" s="297" t="s">
        <v>2963</v>
      </c>
      <c r="Z181" s="297"/>
      <c r="AA181" s="7"/>
      <c r="AB181" s="7"/>
      <c r="AC181" s="1408"/>
      <c r="AD181" s="387"/>
    </row>
    <row r="182" spans="2:30" ht="10.5" customHeight="1">
      <c r="B182" s="150"/>
      <c r="C182" s="270" t="s">
        <v>2239</v>
      </c>
      <c r="D182" s="298">
        <v>40600</v>
      </c>
      <c r="E182" s="150"/>
      <c r="F182" s="150" t="s">
        <v>1240</v>
      </c>
      <c r="G182" s="1402" t="s">
        <v>141</v>
      </c>
      <c r="H182" s="1402" t="s">
        <v>1617</v>
      </c>
      <c r="I182" s="1409" t="s">
        <v>1225</v>
      </c>
      <c r="J182" s="1409" t="s">
        <v>2322</v>
      </c>
      <c r="K182" s="1404" t="s">
        <v>1344</v>
      </c>
      <c r="L182" s="1405" t="s">
        <v>399</v>
      </c>
      <c r="M182" s="1406" t="s">
        <v>1103</v>
      </c>
      <c r="N182" s="1406" t="s">
        <v>1225</v>
      </c>
      <c r="O182" s="1407" t="s">
        <v>3500</v>
      </c>
      <c r="P182" s="435" t="s">
        <v>2265</v>
      </c>
      <c r="Q182" s="154"/>
      <c r="R182" s="56"/>
      <c r="S182" s="277"/>
      <c r="T182" s="361" t="s">
        <v>2264</v>
      </c>
      <c r="U182" s="361" t="s">
        <v>1231</v>
      </c>
      <c r="W182" s="297" t="s">
        <v>2177</v>
      </c>
      <c r="X182" s="297" t="s">
        <v>2963</v>
      </c>
      <c r="Z182" s="297"/>
      <c r="AA182" s="7"/>
      <c r="AB182" s="7"/>
      <c r="AC182" s="1408"/>
      <c r="AD182" s="387"/>
    </row>
    <row r="183" spans="2:30" ht="10.5" customHeight="1">
      <c r="B183" s="150"/>
      <c r="C183" s="269" t="s">
        <v>143</v>
      </c>
      <c r="D183" s="298">
        <v>56000</v>
      </c>
      <c r="E183" s="150"/>
      <c r="F183" s="150" t="s">
        <v>801</v>
      </c>
      <c r="G183" s="1402" t="s">
        <v>142</v>
      </c>
      <c r="H183" s="1402" t="s">
        <v>1119</v>
      </c>
      <c r="I183" s="1409" t="s">
        <v>143</v>
      </c>
      <c r="J183" s="1409" t="s">
        <v>2322</v>
      </c>
      <c r="K183" s="1404" t="s">
        <v>1512</v>
      </c>
      <c r="L183" s="1405" t="s">
        <v>399</v>
      </c>
      <c r="M183" s="1406" t="s">
        <v>2308</v>
      </c>
      <c r="N183" s="1406" t="s">
        <v>143</v>
      </c>
      <c r="O183" s="1407" t="s">
        <v>3501</v>
      </c>
      <c r="P183" s="435" t="s">
        <v>2266</v>
      </c>
      <c r="Q183" s="154"/>
      <c r="R183" s="56"/>
      <c r="S183" s="277"/>
      <c r="T183" s="361" t="s">
        <v>2267</v>
      </c>
      <c r="U183" s="361" t="s">
        <v>2300</v>
      </c>
      <c r="W183" s="297" t="s">
        <v>1981</v>
      </c>
      <c r="X183" s="297" t="s">
        <v>2963</v>
      </c>
      <c r="Z183" s="297"/>
      <c r="AA183" s="7"/>
      <c r="AB183" s="7"/>
      <c r="AC183" s="1408"/>
      <c r="AD183" s="387"/>
    </row>
    <row r="184" spans="2:30" ht="10.5" customHeight="1">
      <c r="B184" s="150"/>
      <c r="C184" s="270" t="s">
        <v>2242</v>
      </c>
      <c r="D184" s="298">
        <v>43800</v>
      </c>
      <c r="E184" s="150"/>
      <c r="F184" s="150" t="s">
        <v>1241</v>
      </c>
      <c r="G184" s="1402" t="s">
        <v>144</v>
      </c>
      <c r="H184" s="1402" t="s">
        <v>1210</v>
      </c>
      <c r="I184" s="1403" t="s">
        <v>145</v>
      </c>
      <c r="J184" s="1403" t="s">
        <v>2321</v>
      </c>
      <c r="K184" s="1404" t="s">
        <v>1513</v>
      </c>
      <c r="L184" s="1405" t="s">
        <v>398</v>
      </c>
      <c r="M184" s="1406" t="s">
        <v>2308</v>
      </c>
      <c r="N184" s="1406" t="s">
        <v>1386</v>
      </c>
      <c r="O184" s="1407" t="s">
        <v>3502</v>
      </c>
      <c r="P184" s="435" t="s">
        <v>2268</v>
      </c>
      <c r="Q184" s="154"/>
      <c r="R184" s="56"/>
      <c r="S184" s="277"/>
      <c r="T184" s="361" t="s">
        <v>2269</v>
      </c>
      <c r="U184" s="361" t="s">
        <v>1725</v>
      </c>
      <c r="W184" s="297" t="s">
        <v>2072</v>
      </c>
      <c r="X184" s="297" t="s">
        <v>2963</v>
      </c>
      <c r="Z184" s="297"/>
      <c r="AA184" s="7"/>
      <c r="AB184" s="7"/>
      <c r="AC184" s="1408"/>
      <c r="AD184" s="387"/>
    </row>
    <row r="185" spans="2:30" ht="10.5" customHeight="1">
      <c r="B185" s="150"/>
      <c r="C185" s="270" t="s">
        <v>173</v>
      </c>
      <c r="D185" s="298">
        <v>43200</v>
      </c>
      <c r="E185" s="150"/>
      <c r="F185" s="150" t="s">
        <v>1248</v>
      </c>
      <c r="G185" s="1402" t="s">
        <v>146</v>
      </c>
      <c r="H185" s="1402" t="s">
        <v>1210</v>
      </c>
      <c r="I185" s="1409" t="s">
        <v>707</v>
      </c>
      <c r="J185" s="1409" t="s">
        <v>2322</v>
      </c>
      <c r="K185" s="1404" t="s">
        <v>2286</v>
      </c>
      <c r="L185" s="1405" t="s">
        <v>399</v>
      </c>
      <c r="M185" s="1406" t="s">
        <v>1103</v>
      </c>
      <c r="N185" s="1406" t="s">
        <v>1113</v>
      </c>
      <c r="O185" s="1407" t="s">
        <v>3503</v>
      </c>
      <c r="P185" s="435" t="s">
        <v>392</v>
      </c>
      <c r="Q185" s="154"/>
      <c r="R185" s="56"/>
      <c r="S185" s="277"/>
      <c r="T185" s="361" t="s">
        <v>148</v>
      </c>
      <c r="U185" s="361" t="s">
        <v>147</v>
      </c>
      <c r="W185" s="297" t="s">
        <v>284</v>
      </c>
      <c r="X185" s="297" t="s">
        <v>2963</v>
      </c>
      <c r="Z185" s="297"/>
      <c r="AA185" s="7"/>
      <c r="AB185" s="7"/>
      <c r="AC185" s="1408"/>
      <c r="AD185" s="387"/>
    </row>
    <row r="186" spans="2:30" ht="10.5" customHeight="1">
      <c r="B186" s="150"/>
      <c r="C186" s="270" t="s">
        <v>313</v>
      </c>
      <c r="D186" s="298">
        <v>55000</v>
      </c>
      <c r="E186" s="150"/>
      <c r="F186" s="150" t="s">
        <v>1249</v>
      </c>
      <c r="G186" s="1402" t="s">
        <v>147</v>
      </c>
      <c r="H186" s="1402" t="s">
        <v>1210</v>
      </c>
      <c r="I186" s="1403" t="s">
        <v>1828</v>
      </c>
      <c r="J186" s="1403" t="s">
        <v>2322</v>
      </c>
      <c r="K186" s="1404" t="s">
        <v>576</v>
      </c>
      <c r="L186" s="1405" t="s">
        <v>399</v>
      </c>
      <c r="M186" s="1410" t="s">
        <v>1103</v>
      </c>
      <c r="N186" s="1410" t="s">
        <v>148</v>
      </c>
      <c r="O186" s="1407" t="s">
        <v>3504</v>
      </c>
      <c r="P186" s="435" t="s">
        <v>393</v>
      </c>
      <c r="Q186" s="154"/>
      <c r="R186" s="150"/>
      <c r="S186" s="277"/>
      <c r="T186" s="361" t="s">
        <v>1113</v>
      </c>
      <c r="U186" s="361" t="s">
        <v>1114</v>
      </c>
      <c r="W186" s="297" t="s">
        <v>8</v>
      </c>
      <c r="X186" s="297" t="s">
        <v>2963</v>
      </c>
      <c r="Z186" s="297"/>
      <c r="AA186" s="7"/>
      <c r="AB186" s="7"/>
      <c r="AC186" s="1408"/>
      <c r="AD186" s="387"/>
    </row>
    <row r="187" spans="2:30" ht="10.5" customHeight="1">
      <c r="B187" s="150"/>
      <c r="C187" s="269" t="s">
        <v>177</v>
      </c>
      <c r="D187" s="298">
        <v>44000</v>
      </c>
      <c r="E187" s="150"/>
      <c r="F187" s="150" t="s">
        <v>1242</v>
      </c>
      <c r="G187" s="1402" t="s">
        <v>2200</v>
      </c>
      <c r="H187" s="1402" t="s">
        <v>1119</v>
      </c>
      <c r="I187" s="1403" t="s">
        <v>2201</v>
      </c>
      <c r="J187" s="1403" t="s">
        <v>2321</v>
      </c>
      <c r="K187" s="1404" t="s">
        <v>577</v>
      </c>
      <c r="L187" s="1405" t="s">
        <v>398</v>
      </c>
      <c r="M187" s="1410" t="s">
        <v>2308</v>
      </c>
      <c r="N187" s="1410" t="s">
        <v>1606</v>
      </c>
      <c r="O187" s="1407" t="s">
        <v>3505</v>
      </c>
      <c r="P187" s="435" t="s">
        <v>718</v>
      </c>
      <c r="Q187" s="399"/>
      <c r="R187" s="56"/>
      <c r="S187" s="277"/>
      <c r="T187" s="361" t="s">
        <v>719</v>
      </c>
      <c r="U187" s="361" t="s">
        <v>176</v>
      </c>
      <c r="W187" s="297" t="s">
        <v>10</v>
      </c>
      <c r="X187" s="297" t="s">
        <v>2963</v>
      </c>
      <c r="Z187" s="297"/>
      <c r="AA187" s="7"/>
      <c r="AB187" s="7"/>
      <c r="AC187" s="1408"/>
      <c r="AD187" s="387"/>
    </row>
    <row r="188" spans="2:30" ht="10.5" customHeight="1">
      <c r="B188" s="150"/>
      <c r="C188" s="269" t="s">
        <v>883</v>
      </c>
      <c r="D188" s="298">
        <v>46300</v>
      </c>
      <c r="E188" s="150"/>
      <c r="F188" s="150" t="s">
        <v>1244</v>
      </c>
      <c r="G188" s="1402" t="s">
        <v>2202</v>
      </c>
      <c r="H188" s="1402" t="s">
        <v>1617</v>
      </c>
      <c r="I188" s="1409" t="s">
        <v>707</v>
      </c>
      <c r="J188" s="1409" t="s">
        <v>2322</v>
      </c>
      <c r="K188" s="1404" t="s">
        <v>2286</v>
      </c>
      <c r="L188" s="1405" t="s">
        <v>399</v>
      </c>
      <c r="M188" s="1406" t="s">
        <v>1103</v>
      </c>
      <c r="N188" s="1406" t="s">
        <v>1113</v>
      </c>
      <c r="O188" s="1407" t="s">
        <v>3506</v>
      </c>
      <c r="P188" s="435" t="s">
        <v>720</v>
      </c>
      <c r="Q188" s="399"/>
      <c r="R188" s="56"/>
      <c r="S188" s="277"/>
      <c r="T188" s="361" t="s">
        <v>1855</v>
      </c>
      <c r="U188" s="361" t="s">
        <v>1212</v>
      </c>
      <c r="W188" s="297" t="s">
        <v>54</v>
      </c>
      <c r="X188" s="297" t="s">
        <v>2963</v>
      </c>
      <c r="Z188" s="297"/>
      <c r="AA188" s="7"/>
      <c r="AB188" s="7"/>
      <c r="AC188" s="1408"/>
      <c r="AD188" s="387"/>
    </row>
    <row r="189" spans="2:30" ht="10.5" customHeight="1">
      <c r="B189" s="150"/>
      <c r="C189" s="270" t="s">
        <v>885</v>
      </c>
      <c r="D189" s="298">
        <v>38800</v>
      </c>
      <c r="E189" s="150"/>
      <c r="F189" s="150" t="s">
        <v>1245</v>
      </c>
      <c r="G189" s="1402" t="s">
        <v>2203</v>
      </c>
      <c r="H189" s="1402" t="s">
        <v>1119</v>
      </c>
      <c r="I189" s="1403" t="s">
        <v>2204</v>
      </c>
      <c r="J189" s="1403" t="s">
        <v>2321</v>
      </c>
      <c r="K189" s="1404" t="s">
        <v>578</v>
      </c>
      <c r="L189" s="1405" t="s">
        <v>398</v>
      </c>
      <c r="M189" s="1410" t="s">
        <v>2308</v>
      </c>
      <c r="N189" s="1410" t="s">
        <v>1526</v>
      </c>
      <c r="O189" s="1407" t="s">
        <v>3507</v>
      </c>
      <c r="P189" s="435" t="s">
        <v>1856</v>
      </c>
      <c r="Q189" s="399"/>
      <c r="R189" s="56"/>
      <c r="S189" s="277"/>
      <c r="T189" s="361" t="s">
        <v>1229</v>
      </c>
      <c r="U189" s="361" t="s">
        <v>1029</v>
      </c>
      <c r="W189" s="297" t="s">
        <v>56</v>
      </c>
      <c r="X189" s="297" t="s">
        <v>2963</v>
      </c>
      <c r="Z189" s="297"/>
      <c r="AA189" s="7"/>
      <c r="AB189" s="7"/>
      <c r="AC189" s="1408"/>
      <c r="AD189" s="387"/>
    </row>
    <row r="190" spans="2:30" ht="10.5" customHeight="1">
      <c r="B190" s="150"/>
      <c r="C190" s="269" t="s">
        <v>814</v>
      </c>
      <c r="D190" s="298">
        <v>42400</v>
      </c>
      <c r="E190" s="150"/>
      <c r="F190" s="150" t="s">
        <v>1246</v>
      </c>
      <c r="G190" s="1402" t="s">
        <v>2205</v>
      </c>
      <c r="H190" s="1402" t="s">
        <v>1617</v>
      </c>
      <c r="I190" s="1409" t="s">
        <v>707</v>
      </c>
      <c r="J190" s="1409" t="s">
        <v>2322</v>
      </c>
      <c r="K190" s="1404" t="s">
        <v>2286</v>
      </c>
      <c r="L190" s="1405" t="s">
        <v>399</v>
      </c>
      <c r="M190" s="1406" t="s">
        <v>1103</v>
      </c>
      <c r="N190" s="1406" t="s">
        <v>1113</v>
      </c>
      <c r="O190" s="1407" t="s">
        <v>3508</v>
      </c>
      <c r="P190" s="435" t="s">
        <v>1857</v>
      </c>
      <c r="Q190" s="399"/>
      <c r="R190" s="56"/>
      <c r="S190" s="277"/>
      <c r="T190" s="361" t="s">
        <v>1858</v>
      </c>
      <c r="U190" s="361" t="s">
        <v>2205</v>
      </c>
      <c r="W190" s="297" t="s">
        <v>330</v>
      </c>
      <c r="X190" s="297" t="s">
        <v>2963</v>
      </c>
      <c r="Z190" s="297"/>
      <c r="AA190" s="7"/>
      <c r="AB190" s="7"/>
      <c r="AC190" s="1408"/>
      <c r="AD190" s="387"/>
    </row>
    <row r="191" spans="2:30" ht="10.5" customHeight="1">
      <c r="B191" s="150"/>
      <c r="C191" s="270" t="s">
        <v>818</v>
      </c>
      <c r="D191" s="298">
        <v>43800</v>
      </c>
      <c r="E191" s="150"/>
      <c r="F191" s="150" t="s">
        <v>1243</v>
      </c>
      <c r="G191" s="1402" t="s">
        <v>2206</v>
      </c>
      <c r="H191" s="1402" t="s">
        <v>1119</v>
      </c>
      <c r="I191" s="1403" t="s">
        <v>2207</v>
      </c>
      <c r="J191" s="1403" t="s">
        <v>2321</v>
      </c>
      <c r="K191" s="1404" t="s">
        <v>579</v>
      </c>
      <c r="L191" s="1405" t="s">
        <v>398</v>
      </c>
      <c r="M191" s="1410" t="s">
        <v>2308</v>
      </c>
      <c r="N191" s="1410" t="s">
        <v>1526</v>
      </c>
      <c r="O191" s="1407" t="s">
        <v>3509</v>
      </c>
      <c r="P191" s="435" t="s">
        <v>1859</v>
      </c>
      <c r="Q191" s="399"/>
      <c r="R191" s="56"/>
      <c r="S191" s="277"/>
      <c r="T191" s="361" t="s">
        <v>1802</v>
      </c>
      <c r="U191" s="361" t="s">
        <v>1936</v>
      </c>
      <c r="W191" s="297" t="s">
        <v>334</v>
      </c>
      <c r="X191" s="297" t="s">
        <v>2963</v>
      </c>
      <c r="Z191" s="297"/>
      <c r="AA191" s="7"/>
      <c r="AB191" s="7"/>
      <c r="AC191" s="1408"/>
      <c r="AD191" s="387"/>
    </row>
    <row r="192" spans="2:30" ht="10.5" customHeight="1">
      <c r="B192" s="150"/>
      <c r="C192" s="270" t="s">
        <v>1990</v>
      </c>
      <c r="D192" s="298">
        <v>41900</v>
      </c>
      <c r="E192" s="150"/>
      <c r="F192" s="150" t="s">
        <v>1247</v>
      </c>
      <c r="G192" s="1402" t="s">
        <v>2208</v>
      </c>
      <c r="H192" s="1402" t="s">
        <v>1119</v>
      </c>
      <c r="I192" s="1403" t="s">
        <v>2239</v>
      </c>
      <c r="J192" s="1403" t="s">
        <v>2321</v>
      </c>
      <c r="K192" s="1404" t="s">
        <v>580</v>
      </c>
      <c r="L192" s="1405" t="s">
        <v>398</v>
      </c>
      <c r="M192" s="1410" t="s">
        <v>2308</v>
      </c>
      <c r="N192" s="1410" t="s">
        <v>1606</v>
      </c>
      <c r="O192" s="1407" t="s">
        <v>3510</v>
      </c>
      <c r="P192" s="435" t="s">
        <v>1881</v>
      </c>
      <c r="Q192" s="399"/>
      <c r="R192" s="56"/>
      <c r="S192" s="277"/>
      <c r="T192" s="361" t="s">
        <v>1860</v>
      </c>
      <c r="U192" s="361" t="s">
        <v>306</v>
      </c>
      <c r="W192" s="297" t="s">
        <v>2034</v>
      </c>
      <c r="X192" s="297" t="s">
        <v>2963</v>
      </c>
      <c r="Z192" s="297"/>
      <c r="AA192" s="7"/>
      <c r="AB192" s="7"/>
      <c r="AC192" s="1408"/>
      <c r="AD192" s="387"/>
    </row>
    <row r="193" spans="2:30" ht="10.5" customHeight="1">
      <c r="B193" s="150"/>
      <c r="C193" s="270" t="s">
        <v>609</v>
      </c>
      <c r="D193" s="298">
        <v>44700</v>
      </c>
      <c r="E193" s="150"/>
      <c r="F193" s="150" t="s">
        <v>1250</v>
      </c>
      <c r="G193" s="1402" t="s">
        <v>2240</v>
      </c>
      <c r="H193" s="1402" t="s">
        <v>1210</v>
      </c>
      <c r="I193" s="1409" t="s">
        <v>708</v>
      </c>
      <c r="J193" s="1409" t="s">
        <v>2322</v>
      </c>
      <c r="K193" s="1404" t="s">
        <v>2307</v>
      </c>
      <c r="L193" s="1405" t="s">
        <v>399</v>
      </c>
      <c r="M193" s="1406" t="s">
        <v>2308</v>
      </c>
      <c r="N193" s="1406" t="s">
        <v>1229</v>
      </c>
      <c r="O193" s="1407" t="s">
        <v>3511</v>
      </c>
      <c r="P193" s="435" t="s">
        <v>1883</v>
      </c>
      <c r="Q193" s="399"/>
      <c r="R193" s="56"/>
      <c r="S193" s="277"/>
      <c r="T193" s="361" t="s">
        <v>1882</v>
      </c>
      <c r="U193" s="361" t="s">
        <v>584</v>
      </c>
      <c r="W193" s="297" t="s">
        <v>1231</v>
      </c>
      <c r="X193" s="297" t="s">
        <v>2963</v>
      </c>
      <c r="Z193" s="297"/>
      <c r="AA193" s="7"/>
      <c r="AB193" s="7"/>
      <c r="AC193" s="1408"/>
      <c r="AD193" s="387"/>
    </row>
    <row r="194" spans="2:30" ht="10.5" customHeight="1">
      <c r="B194" s="150"/>
      <c r="C194" s="270" t="s">
        <v>611</v>
      </c>
      <c r="D194" s="298">
        <v>48400</v>
      </c>
      <c r="E194" s="150"/>
      <c r="F194" s="150" t="s">
        <v>1251</v>
      </c>
      <c r="G194" s="1402" t="s">
        <v>2241</v>
      </c>
      <c r="H194" s="1402" t="s">
        <v>1119</v>
      </c>
      <c r="I194" s="1403" t="s">
        <v>2242</v>
      </c>
      <c r="J194" s="1403" t="s">
        <v>2321</v>
      </c>
      <c r="K194" s="1404" t="s">
        <v>581</v>
      </c>
      <c r="L194" s="1405" t="s">
        <v>398</v>
      </c>
      <c r="M194" s="1410" t="s">
        <v>2308</v>
      </c>
      <c r="N194" s="1410" t="s">
        <v>1526</v>
      </c>
      <c r="O194" s="1407" t="s">
        <v>3512</v>
      </c>
      <c r="P194" s="435" t="s">
        <v>1885</v>
      </c>
      <c r="Q194" s="399"/>
      <c r="R194" s="56"/>
      <c r="S194" s="277"/>
      <c r="T194" s="361" t="s">
        <v>1884</v>
      </c>
      <c r="U194" s="361" t="s">
        <v>1482</v>
      </c>
      <c r="W194" s="297" t="s">
        <v>1416</v>
      </c>
      <c r="X194" s="297" t="s">
        <v>2963</v>
      </c>
      <c r="Z194" s="297"/>
      <c r="AA194" s="7"/>
      <c r="AB194" s="7"/>
      <c r="AC194" s="1408"/>
      <c r="AD194" s="387"/>
    </row>
    <row r="195" spans="2:30" ht="10.5" customHeight="1">
      <c r="B195" s="150"/>
      <c r="C195" s="270" t="s">
        <v>616</v>
      </c>
      <c r="D195" s="298">
        <v>44700</v>
      </c>
      <c r="E195" s="150"/>
      <c r="F195" s="150" t="s">
        <v>1252</v>
      </c>
      <c r="G195" s="1402" t="s">
        <v>2243</v>
      </c>
      <c r="H195" s="1402" t="s">
        <v>1119</v>
      </c>
      <c r="I195" s="1409" t="s">
        <v>707</v>
      </c>
      <c r="J195" s="1409" t="s">
        <v>2322</v>
      </c>
      <c r="K195" s="1404" t="s">
        <v>2286</v>
      </c>
      <c r="L195" s="1405" t="s">
        <v>399</v>
      </c>
      <c r="M195" s="1406" t="s">
        <v>1103</v>
      </c>
      <c r="N195" s="1406" t="s">
        <v>1113</v>
      </c>
      <c r="O195" s="1407" t="s">
        <v>3513</v>
      </c>
      <c r="P195" s="435" t="s">
        <v>1887</v>
      </c>
      <c r="Q195" s="399"/>
      <c r="R195" s="56"/>
      <c r="S195" s="277"/>
      <c r="T195" s="361" t="s">
        <v>1886</v>
      </c>
      <c r="U195" s="361" t="s">
        <v>176</v>
      </c>
      <c r="W195" s="297" t="s">
        <v>1420</v>
      </c>
      <c r="X195" s="297" t="s">
        <v>2963</v>
      </c>
      <c r="Z195" s="297"/>
      <c r="AA195" s="7"/>
      <c r="AB195" s="7"/>
      <c r="AC195" s="1408"/>
      <c r="AD195" s="387"/>
    </row>
    <row r="196" spans="2:30" ht="10.5" customHeight="1">
      <c r="B196" s="150"/>
      <c r="C196" s="270" t="s">
        <v>1129</v>
      </c>
      <c r="D196" s="298">
        <v>64200</v>
      </c>
      <c r="E196" s="150"/>
      <c r="F196" s="150" t="s">
        <v>1253</v>
      </c>
      <c r="G196" s="1402" t="s">
        <v>2244</v>
      </c>
      <c r="H196" s="1402" t="s">
        <v>1210</v>
      </c>
      <c r="I196" s="1409" t="s">
        <v>1219</v>
      </c>
      <c r="J196" s="1409" t="s">
        <v>2322</v>
      </c>
      <c r="K196" s="1404" t="s">
        <v>2289</v>
      </c>
      <c r="L196" s="1405" t="s">
        <v>399</v>
      </c>
      <c r="M196" s="1406" t="s">
        <v>2308</v>
      </c>
      <c r="N196" s="1406" t="s">
        <v>1219</v>
      </c>
      <c r="O196" s="1407" t="s">
        <v>3514</v>
      </c>
      <c r="P196" s="435" t="s">
        <v>2251</v>
      </c>
      <c r="Q196" s="399"/>
      <c r="R196" s="56"/>
      <c r="S196" s="277"/>
      <c r="T196" s="361" t="s">
        <v>1607</v>
      </c>
      <c r="U196" s="361" t="s">
        <v>113</v>
      </c>
      <c r="W196" s="297" t="s">
        <v>1573</v>
      </c>
      <c r="X196" s="297" t="s">
        <v>2963</v>
      </c>
      <c r="Z196" s="297"/>
      <c r="AA196" s="7"/>
      <c r="AB196" s="7"/>
      <c r="AC196" s="1408"/>
      <c r="AD196" s="387"/>
    </row>
    <row r="197" spans="2:30" ht="10.5" customHeight="1">
      <c r="B197" s="150"/>
      <c r="C197" s="270" t="s">
        <v>618</v>
      </c>
      <c r="D197" s="298">
        <v>51500</v>
      </c>
      <c r="E197" s="150"/>
      <c r="F197" s="150" t="s">
        <v>1254</v>
      </c>
      <c r="G197" s="1402" t="s">
        <v>2245</v>
      </c>
      <c r="H197" s="1402" t="s">
        <v>1119</v>
      </c>
      <c r="I197" s="1403" t="s">
        <v>173</v>
      </c>
      <c r="J197" s="1403" t="s">
        <v>2321</v>
      </c>
      <c r="K197" s="1404" t="s">
        <v>582</v>
      </c>
      <c r="L197" s="1405" t="s">
        <v>398</v>
      </c>
      <c r="M197" s="1410" t="s">
        <v>2308</v>
      </c>
      <c r="N197" s="1410" t="s">
        <v>1606</v>
      </c>
      <c r="O197" s="1407" t="s">
        <v>3515</v>
      </c>
      <c r="P197" s="435" t="s">
        <v>932</v>
      </c>
      <c r="Q197" s="399"/>
      <c r="R197" s="56"/>
      <c r="S197" s="277"/>
      <c r="T197" s="361" t="s">
        <v>2252</v>
      </c>
      <c r="U197" s="361" t="s">
        <v>146</v>
      </c>
      <c r="W197" s="297" t="s">
        <v>946</v>
      </c>
      <c r="X197" s="297" t="s">
        <v>2963</v>
      </c>
      <c r="Z197" s="297"/>
      <c r="AA197" s="7"/>
      <c r="AB197" s="7"/>
      <c r="AC197" s="1408"/>
      <c r="AD197" s="387"/>
    </row>
    <row r="198" spans="2:30" ht="10.5" customHeight="1">
      <c r="B198" s="150"/>
      <c r="C198" s="270" t="s">
        <v>620</v>
      </c>
      <c r="D198" s="298">
        <v>52100</v>
      </c>
      <c r="E198" s="150"/>
      <c r="F198" s="150" t="s">
        <v>1255</v>
      </c>
      <c r="G198" s="1402" t="s">
        <v>174</v>
      </c>
      <c r="H198" s="1402" t="s">
        <v>1210</v>
      </c>
      <c r="I198" s="1409" t="s">
        <v>1386</v>
      </c>
      <c r="J198" s="1409" t="s">
        <v>2322</v>
      </c>
      <c r="K198" s="1404" t="s">
        <v>1510</v>
      </c>
      <c r="L198" s="1405" t="s">
        <v>399</v>
      </c>
      <c r="M198" s="1406" t="s">
        <v>2308</v>
      </c>
      <c r="N198" s="1406" t="s">
        <v>1386</v>
      </c>
      <c r="O198" s="1407" t="s">
        <v>3516</v>
      </c>
      <c r="P198" s="435" t="s">
        <v>1805</v>
      </c>
      <c r="Q198" s="399"/>
      <c r="R198" s="56"/>
      <c r="S198" s="277"/>
      <c r="T198" s="361" t="s">
        <v>933</v>
      </c>
      <c r="U198" s="361" t="s">
        <v>403</v>
      </c>
      <c r="W198" s="297" t="s">
        <v>949</v>
      </c>
      <c r="X198" s="297" t="s">
        <v>2963</v>
      </c>
      <c r="Z198" s="297"/>
      <c r="AA198" s="7"/>
      <c r="AB198" s="7"/>
      <c r="AC198" s="1408"/>
      <c r="AD198" s="387"/>
    </row>
    <row r="199" spans="2:30" ht="10.5" customHeight="1">
      <c r="B199" s="150"/>
      <c r="C199" s="270" t="s">
        <v>623</v>
      </c>
      <c r="D199" s="298">
        <v>48600</v>
      </c>
      <c r="E199" s="150"/>
      <c r="F199" s="150" t="s">
        <v>1256</v>
      </c>
      <c r="G199" s="1402" t="s">
        <v>175</v>
      </c>
      <c r="H199" s="1402" t="s">
        <v>1210</v>
      </c>
      <c r="I199" s="1409" t="s">
        <v>707</v>
      </c>
      <c r="J199" s="1409" t="s">
        <v>2322</v>
      </c>
      <c r="K199" s="1404" t="s">
        <v>2286</v>
      </c>
      <c r="L199" s="1405" t="s">
        <v>399</v>
      </c>
      <c r="M199" s="1406" t="s">
        <v>1103</v>
      </c>
      <c r="N199" s="1406" t="s">
        <v>1113</v>
      </c>
      <c r="O199" s="1407" t="s">
        <v>3517</v>
      </c>
      <c r="P199" s="435" t="s">
        <v>12</v>
      </c>
      <c r="Q199" s="399"/>
      <c r="R199" s="56"/>
      <c r="S199" s="277"/>
      <c r="T199" s="361" t="s">
        <v>1213</v>
      </c>
      <c r="U199" s="361" t="s">
        <v>306</v>
      </c>
      <c r="W199" s="297" t="s">
        <v>1582</v>
      </c>
      <c r="X199" s="297" t="s">
        <v>2963</v>
      </c>
      <c r="Z199" s="297"/>
      <c r="AA199" s="7"/>
      <c r="AB199" s="7"/>
      <c r="AC199" s="1408"/>
      <c r="AD199" s="387"/>
    </row>
    <row r="200" spans="2:30" ht="10.5" customHeight="1">
      <c r="B200" s="150"/>
      <c r="C200" s="270" t="s">
        <v>625</v>
      </c>
      <c r="D200" s="298">
        <v>41100</v>
      </c>
      <c r="E200" s="150"/>
      <c r="F200" s="150" t="s">
        <v>1257</v>
      </c>
      <c r="G200" s="1402" t="s">
        <v>176</v>
      </c>
      <c r="H200" s="1402" t="s">
        <v>1119</v>
      </c>
      <c r="I200" s="1403" t="s">
        <v>177</v>
      </c>
      <c r="J200" s="1403" t="s">
        <v>2321</v>
      </c>
      <c r="K200" s="1404" t="s">
        <v>583</v>
      </c>
      <c r="L200" s="1405" t="s">
        <v>398</v>
      </c>
      <c r="M200" s="1410" t="s">
        <v>2308</v>
      </c>
      <c r="N200" s="1410" t="s">
        <v>1606</v>
      </c>
      <c r="O200" s="1407" t="s">
        <v>3518</v>
      </c>
      <c r="P200" s="435" t="s">
        <v>1983</v>
      </c>
      <c r="Q200" s="399"/>
      <c r="R200" s="56"/>
      <c r="S200" s="277"/>
      <c r="T200" s="361" t="s">
        <v>13</v>
      </c>
      <c r="U200" s="361" t="s">
        <v>1496</v>
      </c>
      <c r="W200" s="297" t="s">
        <v>1848</v>
      </c>
      <c r="X200" s="297" t="s">
        <v>2963</v>
      </c>
      <c r="Z200" s="297"/>
      <c r="AA200" s="7"/>
      <c r="AB200" s="7"/>
      <c r="AC200" s="1408"/>
      <c r="AD200" s="387"/>
    </row>
    <row r="201" spans="2:30" ht="10.5" customHeight="1">
      <c r="B201" s="150"/>
      <c r="C201" s="270" t="s">
        <v>627</v>
      </c>
      <c r="D201" s="298">
        <v>55300</v>
      </c>
      <c r="E201" s="150"/>
      <c r="F201" s="150" t="s">
        <v>1258</v>
      </c>
      <c r="G201" s="1402" t="s">
        <v>178</v>
      </c>
      <c r="H201" s="1402" t="s">
        <v>1617</v>
      </c>
      <c r="I201" s="1409" t="s">
        <v>707</v>
      </c>
      <c r="J201" s="1409" t="s">
        <v>2322</v>
      </c>
      <c r="K201" s="1404" t="s">
        <v>2286</v>
      </c>
      <c r="L201" s="1405" t="s">
        <v>399</v>
      </c>
      <c r="M201" s="1406" t="s">
        <v>1103</v>
      </c>
      <c r="N201" s="1406" t="s">
        <v>1113</v>
      </c>
      <c r="O201" s="1407" t="s">
        <v>3519</v>
      </c>
      <c r="P201" s="435" t="s">
        <v>1985</v>
      </c>
      <c r="Q201" s="399"/>
      <c r="R201" s="56"/>
      <c r="S201" s="277"/>
      <c r="T201" s="361" t="s">
        <v>1984</v>
      </c>
      <c r="U201" s="361" t="s">
        <v>1118</v>
      </c>
      <c r="W201" s="297" t="s">
        <v>1850</v>
      </c>
      <c r="X201" s="297" t="s">
        <v>2963</v>
      </c>
      <c r="Z201" s="297"/>
      <c r="AA201" s="7"/>
      <c r="AB201" s="7"/>
      <c r="AC201" s="1408"/>
      <c r="AD201" s="387"/>
    </row>
    <row r="202" spans="2:30" ht="10.5" customHeight="1">
      <c r="B202" s="150"/>
      <c r="C202" s="270" t="s">
        <v>114</v>
      </c>
      <c r="D202" s="298">
        <v>52100</v>
      </c>
      <c r="E202" s="150"/>
      <c r="F202" s="150" t="s">
        <v>1259</v>
      </c>
      <c r="G202" s="1402" t="s">
        <v>179</v>
      </c>
      <c r="H202" s="1402" t="s">
        <v>1119</v>
      </c>
      <c r="I202" s="1403" t="s">
        <v>883</v>
      </c>
      <c r="J202" s="1403" t="s">
        <v>2321</v>
      </c>
      <c r="K202" s="1404" t="s">
        <v>1761</v>
      </c>
      <c r="L202" s="1405" t="s">
        <v>398</v>
      </c>
      <c r="M202" s="1410" t="s">
        <v>2308</v>
      </c>
      <c r="N202" s="1410" t="s">
        <v>1219</v>
      </c>
      <c r="O202" s="1407" t="s">
        <v>3520</v>
      </c>
      <c r="P202" s="435" t="s">
        <v>1987</v>
      </c>
      <c r="Q202" s="399"/>
      <c r="R202" s="56"/>
      <c r="S202" s="277"/>
      <c r="T202" s="436" t="s">
        <v>1986</v>
      </c>
      <c r="U202" s="436" t="s">
        <v>1991</v>
      </c>
      <c r="W202" s="297" t="s">
        <v>631</v>
      </c>
      <c r="X202" s="297" t="s">
        <v>2963</v>
      </c>
      <c r="Z202" s="297"/>
      <c r="AA202" s="7"/>
      <c r="AB202" s="7"/>
      <c r="AC202" s="1411"/>
      <c r="AD202" s="387"/>
    </row>
    <row r="203" spans="2:30" ht="10.5" customHeight="1">
      <c r="B203" s="150"/>
      <c r="C203" s="270" t="s">
        <v>291</v>
      </c>
      <c r="D203" s="298">
        <v>33600</v>
      </c>
      <c r="E203" s="150"/>
      <c r="F203" s="150" t="s">
        <v>1261</v>
      </c>
      <c r="G203" s="1402" t="s">
        <v>884</v>
      </c>
      <c r="H203" s="1402" t="s">
        <v>1119</v>
      </c>
      <c r="I203" s="1403" t="s">
        <v>885</v>
      </c>
      <c r="J203" s="1403" t="s">
        <v>2321</v>
      </c>
      <c r="K203" s="1404" t="s">
        <v>1762</v>
      </c>
      <c r="L203" s="1405" t="s">
        <v>398</v>
      </c>
      <c r="M203" s="1410" t="s">
        <v>2308</v>
      </c>
      <c r="N203" s="1410" t="s">
        <v>1606</v>
      </c>
      <c r="O203" s="1407" t="s">
        <v>3521</v>
      </c>
      <c r="P203" s="435" t="s">
        <v>2014</v>
      </c>
      <c r="Q203" s="399"/>
      <c r="R203" s="56"/>
      <c r="S203" s="277"/>
      <c r="T203" s="361" t="s">
        <v>2271</v>
      </c>
      <c r="U203" s="361" t="s">
        <v>584</v>
      </c>
      <c r="W203" s="297" t="s">
        <v>1154</v>
      </c>
      <c r="X203" s="297" t="s">
        <v>2963</v>
      </c>
      <c r="Z203" s="297"/>
      <c r="AA203" s="7"/>
      <c r="AB203" s="7"/>
      <c r="AC203" s="1408"/>
      <c r="AD203" s="387"/>
    </row>
    <row r="204" spans="2:30" ht="10.5" customHeight="1">
      <c r="B204" s="150"/>
      <c r="C204" s="270" t="s">
        <v>709</v>
      </c>
      <c r="D204" s="298">
        <v>56500</v>
      </c>
      <c r="E204" s="150"/>
      <c r="F204" s="150" t="s">
        <v>1260</v>
      </c>
      <c r="G204" s="1402" t="s">
        <v>886</v>
      </c>
      <c r="H204" s="1402" t="s">
        <v>1119</v>
      </c>
      <c r="I204" s="1409" t="s">
        <v>1606</v>
      </c>
      <c r="J204" s="1409" t="s">
        <v>2322</v>
      </c>
      <c r="K204" s="1404" t="s">
        <v>1077</v>
      </c>
      <c r="L204" s="1405" t="s">
        <v>399</v>
      </c>
      <c r="M204" s="1410" t="s">
        <v>1103</v>
      </c>
      <c r="N204" s="1410" t="s">
        <v>1606</v>
      </c>
      <c r="O204" s="1407" t="s">
        <v>3522</v>
      </c>
      <c r="P204" s="435" t="s">
        <v>1597</v>
      </c>
      <c r="Q204" s="399"/>
      <c r="R204" s="56"/>
      <c r="S204" s="277"/>
      <c r="T204" s="361" t="s">
        <v>1988</v>
      </c>
      <c r="U204" s="361" t="s">
        <v>112</v>
      </c>
      <c r="W204" s="297" t="s">
        <v>1156</v>
      </c>
      <c r="X204" s="297" t="s">
        <v>2963</v>
      </c>
      <c r="Z204" s="297"/>
      <c r="AA204" s="7"/>
      <c r="AB204" s="7"/>
      <c r="AC204" s="1408"/>
      <c r="AD204" s="387"/>
    </row>
    <row r="205" spans="2:30" ht="10.5" customHeight="1">
      <c r="B205" s="150"/>
      <c r="C205" s="270" t="s">
        <v>295</v>
      </c>
      <c r="D205" s="298">
        <v>49200</v>
      </c>
      <c r="E205" s="150"/>
      <c r="F205" s="150" t="s">
        <v>1262</v>
      </c>
      <c r="G205" s="1402" t="s">
        <v>812</v>
      </c>
      <c r="H205" s="1402" t="s">
        <v>1210</v>
      </c>
      <c r="I205" s="1409" t="s">
        <v>707</v>
      </c>
      <c r="J205" s="1409" t="s">
        <v>2322</v>
      </c>
      <c r="K205" s="1404" t="s">
        <v>2286</v>
      </c>
      <c r="L205" s="1405" t="s">
        <v>399</v>
      </c>
      <c r="M205" s="1406" t="s">
        <v>1103</v>
      </c>
      <c r="N205" s="1406" t="s">
        <v>1113</v>
      </c>
      <c r="O205" s="1407" t="s">
        <v>3523</v>
      </c>
      <c r="P205" s="435" t="s">
        <v>1599</v>
      </c>
      <c r="Q205" s="399"/>
      <c r="R205" s="56"/>
      <c r="S205" s="277"/>
      <c r="T205" s="361" t="s">
        <v>1577</v>
      </c>
      <c r="U205" s="361" t="s">
        <v>2208</v>
      </c>
      <c r="W205" s="297" t="s">
        <v>2202</v>
      </c>
      <c r="X205" s="297" t="s">
        <v>2963</v>
      </c>
      <c r="Z205" s="297"/>
      <c r="AA205" s="7"/>
      <c r="AB205" s="7"/>
      <c r="AC205" s="1408"/>
      <c r="AD205" s="387"/>
    </row>
    <row r="206" spans="2:30" ht="10.5" customHeight="1">
      <c r="B206" s="150"/>
      <c r="C206" s="270" t="s">
        <v>961</v>
      </c>
      <c r="D206" s="298">
        <v>40500</v>
      </c>
      <c r="E206" s="150"/>
      <c r="F206" s="150" t="s">
        <v>1264</v>
      </c>
      <c r="G206" s="1402" t="s">
        <v>813</v>
      </c>
      <c r="H206" s="1402" t="s">
        <v>1119</v>
      </c>
      <c r="I206" s="1403" t="s">
        <v>814</v>
      </c>
      <c r="J206" s="1403" t="s">
        <v>2321</v>
      </c>
      <c r="K206" s="1404" t="s">
        <v>1763</v>
      </c>
      <c r="L206" s="1405" t="s">
        <v>398</v>
      </c>
      <c r="M206" s="1410" t="s">
        <v>2308</v>
      </c>
      <c r="N206" s="1410" t="s">
        <v>1606</v>
      </c>
      <c r="O206" s="1407" t="s">
        <v>3524</v>
      </c>
      <c r="P206" s="435" t="s">
        <v>1921</v>
      </c>
      <c r="Q206" s="399"/>
      <c r="R206" s="56"/>
      <c r="S206" s="277"/>
      <c r="T206" s="361" t="s">
        <v>1598</v>
      </c>
      <c r="U206" s="361" t="s">
        <v>1212</v>
      </c>
      <c r="W206" s="297" t="s">
        <v>2211</v>
      </c>
      <c r="X206" s="297" t="s">
        <v>2963</v>
      </c>
      <c r="Z206" s="297"/>
      <c r="AA206" s="7"/>
      <c r="AB206" s="7"/>
      <c r="AC206" s="1408"/>
      <c r="AD206" s="387"/>
    </row>
    <row r="207" spans="2:30" ht="10.5" customHeight="1">
      <c r="B207" s="150"/>
      <c r="C207" s="270" t="s">
        <v>300</v>
      </c>
      <c r="D207" s="298">
        <v>48500</v>
      </c>
      <c r="E207" s="150"/>
      <c r="F207" s="150" t="s">
        <v>1263</v>
      </c>
      <c r="G207" s="1402" t="s">
        <v>815</v>
      </c>
      <c r="H207" s="1402" t="s">
        <v>1119</v>
      </c>
      <c r="I207" s="1403" t="s">
        <v>1526</v>
      </c>
      <c r="J207" s="1403" t="s">
        <v>2322</v>
      </c>
      <c r="K207" s="1404" t="s">
        <v>2292</v>
      </c>
      <c r="L207" s="1405" t="s">
        <v>399</v>
      </c>
      <c r="M207" s="1406" t="s">
        <v>2308</v>
      </c>
      <c r="N207" s="1406" t="s">
        <v>1526</v>
      </c>
      <c r="O207" s="1407" t="s">
        <v>3525</v>
      </c>
      <c r="P207" s="435" t="s">
        <v>1922</v>
      </c>
      <c r="Q207" s="399"/>
      <c r="R207" s="56"/>
      <c r="S207" s="277"/>
      <c r="T207" s="361" t="s">
        <v>1600</v>
      </c>
      <c r="U207" s="361" t="s">
        <v>1811</v>
      </c>
      <c r="W207" s="297" t="s">
        <v>82</v>
      </c>
      <c r="X207" s="297" t="s">
        <v>2963</v>
      </c>
      <c r="Z207" s="297"/>
      <c r="AA207" s="7"/>
      <c r="AB207" s="7"/>
      <c r="AC207" s="1408"/>
      <c r="AD207" s="387"/>
    </row>
    <row r="208" spans="2:30" ht="10.5" customHeight="1">
      <c r="B208" s="150"/>
      <c r="C208" s="269" t="s">
        <v>302</v>
      </c>
      <c r="D208" s="298">
        <v>65600</v>
      </c>
      <c r="E208" s="150"/>
      <c r="F208" s="150" t="s">
        <v>1265</v>
      </c>
      <c r="G208" s="1402" t="s">
        <v>816</v>
      </c>
      <c r="H208" s="1402" t="s">
        <v>1119</v>
      </c>
      <c r="I208" s="1409" t="s">
        <v>1225</v>
      </c>
      <c r="J208" s="1409" t="s">
        <v>2322</v>
      </c>
      <c r="K208" s="1404" t="s">
        <v>1344</v>
      </c>
      <c r="L208" s="1405" t="s">
        <v>399</v>
      </c>
      <c r="M208" s="1406" t="s">
        <v>2308</v>
      </c>
      <c r="N208" s="1406" t="s">
        <v>1225</v>
      </c>
      <c r="O208" s="1407" t="s">
        <v>3526</v>
      </c>
      <c r="P208" s="435" t="s">
        <v>2169</v>
      </c>
      <c r="Q208" s="154"/>
      <c r="R208" s="56"/>
      <c r="S208" s="277"/>
      <c r="T208" s="361" t="s">
        <v>764</v>
      </c>
      <c r="U208" s="361" t="s">
        <v>2297</v>
      </c>
      <c r="W208" s="297" t="s">
        <v>1141</v>
      </c>
      <c r="X208" s="297" t="s">
        <v>2963</v>
      </c>
      <c r="Z208" s="297"/>
      <c r="AA208" s="7"/>
      <c r="AB208" s="7"/>
      <c r="AC208" s="1408"/>
      <c r="AD208" s="1408"/>
    </row>
    <row r="209" spans="2:30" ht="10.5" customHeight="1">
      <c r="B209" s="150"/>
      <c r="C209" s="270" t="s">
        <v>305</v>
      </c>
      <c r="D209" s="298">
        <v>43100</v>
      </c>
      <c r="E209" s="150"/>
      <c r="F209" s="437"/>
      <c r="G209" s="1402" t="s">
        <v>817</v>
      </c>
      <c r="H209" s="1402" t="s">
        <v>1210</v>
      </c>
      <c r="I209" s="1403" t="s">
        <v>818</v>
      </c>
      <c r="J209" s="1403" t="s">
        <v>2321</v>
      </c>
      <c r="K209" s="1404" t="s">
        <v>1234</v>
      </c>
      <c r="L209" s="1405" t="s">
        <v>398</v>
      </c>
      <c r="M209" s="1410" t="s">
        <v>2308</v>
      </c>
      <c r="N209" s="1410" t="s">
        <v>148</v>
      </c>
      <c r="O209" s="1407" t="s">
        <v>3527</v>
      </c>
      <c r="P209" s="435" t="s">
        <v>2171</v>
      </c>
      <c r="Q209" s="154"/>
      <c r="R209" s="56"/>
      <c r="S209" s="277"/>
      <c r="T209" s="361" t="s">
        <v>1923</v>
      </c>
      <c r="U209" s="361" t="s">
        <v>2299</v>
      </c>
      <c r="W209" s="297" t="s">
        <v>143</v>
      </c>
      <c r="X209" s="297" t="s">
        <v>2963</v>
      </c>
      <c r="Z209" s="297"/>
      <c r="AA209" s="7"/>
      <c r="AB209" s="7"/>
      <c r="AC209" s="1408"/>
      <c r="AD209" s="387"/>
    </row>
    <row r="210" spans="2:30" ht="10.5" customHeight="1">
      <c r="B210" s="150"/>
      <c r="C210" s="269" t="s">
        <v>307</v>
      </c>
      <c r="D210" s="298">
        <v>38600</v>
      </c>
      <c r="E210" s="150"/>
      <c r="F210" s="437"/>
      <c r="G210" s="1402" t="s">
        <v>1989</v>
      </c>
      <c r="H210" s="1402" t="s">
        <v>1119</v>
      </c>
      <c r="I210" s="1403" t="s">
        <v>1990</v>
      </c>
      <c r="J210" s="1403" t="s">
        <v>2321</v>
      </c>
      <c r="K210" s="1404" t="s">
        <v>1235</v>
      </c>
      <c r="L210" s="1405" t="s">
        <v>398</v>
      </c>
      <c r="M210" s="1410" t="s">
        <v>2308</v>
      </c>
      <c r="N210" s="1410" t="s">
        <v>1229</v>
      </c>
      <c r="O210" s="1407" t="s">
        <v>3528</v>
      </c>
      <c r="P210" s="435" t="s">
        <v>2173</v>
      </c>
      <c r="Q210" s="154"/>
      <c r="R210" s="56"/>
      <c r="S210" s="277"/>
      <c r="T210" s="436" t="s">
        <v>2170</v>
      </c>
      <c r="U210" s="436" t="s">
        <v>1014</v>
      </c>
      <c r="W210" s="297" t="s">
        <v>834</v>
      </c>
      <c r="X210" s="297" t="s">
        <v>2963</v>
      </c>
      <c r="Z210" s="297"/>
      <c r="AA210" s="7"/>
      <c r="AB210" s="7"/>
      <c r="AC210" s="1411"/>
      <c r="AD210" s="387"/>
    </row>
    <row r="211" spans="2:30" ht="10.5" customHeight="1">
      <c r="B211" s="150"/>
      <c r="C211" s="270" t="s">
        <v>309</v>
      </c>
      <c r="D211" s="298">
        <v>32700</v>
      </c>
      <c r="E211" s="150"/>
      <c r="F211" s="437"/>
      <c r="G211" s="1402" t="s">
        <v>1991</v>
      </c>
      <c r="H211" s="1402" t="s">
        <v>1119</v>
      </c>
      <c r="I211" s="1403" t="s">
        <v>609</v>
      </c>
      <c r="J211" s="1403" t="s">
        <v>2321</v>
      </c>
      <c r="K211" s="1404" t="s">
        <v>1236</v>
      </c>
      <c r="L211" s="1405" t="s">
        <v>398</v>
      </c>
      <c r="M211" s="1410" t="s">
        <v>2308</v>
      </c>
      <c r="N211" s="1410" t="s">
        <v>1225</v>
      </c>
      <c r="O211" s="1407" t="s">
        <v>3529</v>
      </c>
      <c r="P211" s="435" t="s">
        <v>2175</v>
      </c>
      <c r="Q211" s="154"/>
      <c r="R211" s="56"/>
      <c r="S211" s="277"/>
      <c r="T211" s="361" t="s">
        <v>2272</v>
      </c>
      <c r="U211" s="361" t="s">
        <v>297</v>
      </c>
      <c r="W211" s="297" t="s">
        <v>1906</v>
      </c>
      <c r="X211" s="297" t="s">
        <v>2963</v>
      </c>
      <c r="Z211" s="297"/>
      <c r="AA211" s="7"/>
      <c r="AB211" s="7"/>
      <c r="AC211" s="1408"/>
      <c r="AD211" s="1412"/>
    </row>
    <row r="212" spans="2:30" ht="10.5" customHeight="1">
      <c r="B212" s="150"/>
      <c r="C212" s="270" t="s">
        <v>311</v>
      </c>
      <c r="D212" s="298">
        <v>46900</v>
      </c>
      <c r="E212" s="150"/>
      <c r="F212" s="437"/>
      <c r="G212" s="1402" t="s">
        <v>610</v>
      </c>
      <c r="H212" s="1402" t="s">
        <v>1210</v>
      </c>
      <c r="I212" s="1403" t="s">
        <v>611</v>
      </c>
      <c r="J212" s="1403" t="s">
        <v>2321</v>
      </c>
      <c r="K212" s="1404" t="s">
        <v>1237</v>
      </c>
      <c r="L212" s="1405" t="s">
        <v>398</v>
      </c>
      <c r="M212" s="1410" t="s">
        <v>2308</v>
      </c>
      <c r="N212" s="1410" t="s">
        <v>1113</v>
      </c>
      <c r="O212" s="1407" t="s">
        <v>3530</v>
      </c>
      <c r="P212" s="435" t="s">
        <v>2176</v>
      </c>
      <c r="Q212" s="154"/>
      <c r="R212" s="56"/>
      <c r="S212" s="277"/>
      <c r="T212" s="361" t="s">
        <v>2172</v>
      </c>
      <c r="U212" s="361" t="s">
        <v>1728</v>
      </c>
      <c r="W212" s="297" t="s">
        <v>1842</v>
      </c>
      <c r="X212" s="297" t="s">
        <v>2963</v>
      </c>
      <c r="Z212" s="297"/>
      <c r="AA212" s="7"/>
      <c r="AB212" s="7"/>
      <c r="AC212" s="1408"/>
      <c r="AD212" s="387"/>
    </row>
    <row r="213" spans="2:30" ht="10.5" customHeight="1">
      <c r="B213" s="150"/>
      <c r="C213" s="270" t="s">
        <v>710</v>
      </c>
      <c r="D213" s="298">
        <v>52100</v>
      </c>
      <c r="E213" s="150"/>
      <c r="F213" s="437"/>
      <c r="G213" s="1402" t="s">
        <v>612</v>
      </c>
      <c r="H213" s="1402" t="s">
        <v>1210</v>
      </c>
      <c r="I213" s="1409" t="s">
        <v>707</v>
      </c>
      <c r="J213" s="1409" t="s">
        <v>2322</v>
      </c>
      <c r="K213" s="1404" t="s">
        <v>2286</v>
      </c>
      <c r="L213" s="1405" t="s">
        <v>399</v>
      </c>
      <c r="M213" s="1406" t="s">
        <v>1103</v>
      </c>
      <c r="N213" s="1406" t="s">
        <v>1113</v>
      </c>
      <c r="O213" s="1407" t="s">
        <v>3531</v>
      </c>
      <c r="P213" s="435" t="s">
        <v>1980</v>
      </c>
      <c r="Q213" s="154"/>
      <c r="R213" s="56"/>
      <c r="S213" s="277"/>
      <c r="T213" s="361" t="s">
        <v>2174</v>
      </c>
      <c r="U213" s="361" t="s">
        <v>813</v>
      </c>
      <c r="W213" s="297" t="s">
        <v>556</v>
      </c>
      <c r="X213" s="297" t="s">
        <v>2963</v>
      </c>
      <c r="Z213" s="297"/>
      <c r="AA213" s="7"/>
      <c r="AB213" s="7"/>
      <c r="AC213" s="1408"/>
      <c r="AD213" s="387"/>
    </row>
    <row r="214" spans="2:30" ht="10.5" customHeight="1">
      <c r="B214" s="150"/>
      <c r="C214" s="270" t="s">
        <v>1335</v>
      </c>
      <c r="D214" s="298">
        <v>44200</v>
      </c>
      <c r="E214" s="150"/>
      <c r="F214" s="437"/>
      <c r="G214" s="1402" t="s">
        <v>613</v>
      </c>
      <c r="H214" s="1402" t="s">
        <v>1210</v>
      </c>
      <c r="I214" s="1409" t="s">
        <v>2013</v>
      </c>
      <c r="J214" s="1409" t="s">
        <v>2322</v>
      </c>
      <c r="K214" s="1404" t="s">
        <v>1238</v>
      </c>
      <c r="L214" s="1405" t="s">
        <v>399</v>
      </c>
      <c r="M214" s="1410" t="s">
        <v>1103</v>
      </c>
      <c r="N214" s="1410" t="s">
        <v>1113</v>
      </c>
      <c r="O214" s="1407" t="s">
        <v>3532</v>
      </c>
      <c r="P214" s="435" t="s">
        <v>657</v>
      </c>
      <c r="Q214" s="154"/>
      <c r="R214" s="56"/>
      <c r="S214" s="277"/>
      <c r="T214" s="361" t="s">
        <v>2177</v>
      </c>
      <c r="U214" s="361" t="s">
        <v>141</v>
      </c>
      <c r="W214" s="297" t="s">
        <v>558</v>
      </c>
      <c r="X214" s="297" t="s">
        <v>2963</v>
      </c>
      <c r="Z214" s="297"/>
      <c r="AA214" s="7"/>
      <c r="AB214" s="7"/>
      <c r="AC214" s="1408"/>
      <c r="AD214" s="387"/>
    </row>
    <row r="215" spans="2:30" ht="10.5" customHeight="1">
      <c r="B215" s="150"/>
      <c r="C215" s="270" t="s">
        <v>1339</v>
      </c>
      <c r="D215" s="298">
        <v>45700</v>
      </c>
      <c r="E215" s="150"/>
      <c r="F215" s="437"/>
      <c r="G215" s="1402" t="s">
        <v>614</v>
      </c>
      <c r="H215" s="1402" t="s">
        <v>1210</v>
      </c>
      <c r="I215" s="1409" t="s">
        <v>707</v>
      </c>
      <c r="J215" s="1409" t="s">
        <v>2322</v>
      </c>
      <c r="K215" s="1404" t="s">
        <v>2286</v>
      </c>
      <c r="L215" s="1405" t="s">
        <v>399</v>
      </c>
      <c r="M215" s="1406" t="s">
        <v>1103</v>
      </c>
      <c r="N215" s="1406" t="s">
        <v>1113</v>
      </c>
      <c r="O215" s="1407" t="s">
        <v>3533</v>
      </c>
      <c r="P215" s="435" t="s">
        <v>659</v>
      </c>
      <c r="Q215" s="154"/>
      <c r="R215" s="56"/>
      <c r="S215" s="277"/>
      <c r="T215" s="361" t="s">
        <v>1981</v>
      </c>
      <c r="U215" s="361" t="s">
        <v>610</v>
      </c>
      <c r="W215" s="297" t="s">
        <v>2244</v>
      </c>
      <c r="X215" s="297" t="s">
        <v>2963</v>
      </c>
      <c r="Z215" s="297"/>
      <c r="AA215" s="7"/>
      <c r="AB215" s="7"/>
      <c r="AC215" s="1408"/>
      <c r="AD215" s="387"/>
    </row>
    <row r="216" spans="2:30" ht="10.5" customHeight="1">
      <c r="B216" s="150"/>
      <c r="C216" s="270" t="s">
        <v>1341</v>
      </c>
      <c r="D216" s="298">
        <v>56600</v>
      </c>
      <c r="E216" s="150"/>
      <c r="F216" s="437"/>
      <c r="G216" s="1402" t="s">
        <v>615</v>
      </c>
      <c r="H216" s="1402" t="s">
        <v>1210</v>
      </c>
      <c r="I216" s="1409" t="s">
        <v>616</v>
      </c>
      <c r="J216" s="1409" t="s">
        <v>2321</v>
      </c>
      <c r="K216" s="1404" t="s">
        <v>1239</v>
      </c>
      <c r="L216" s="1405" t="s">
        <v>398</v>
      </c>
      <c r="M216" s="1410" t="s">
        <v>2308</v>
      </c>
      <c r="N216" s="1410" t="s">
        <v>148</v>
      </c>
      <c r="O216" s="1407" t="s">
        <v>3534</v>
      </c>
      <c r="P216" s="435" t="s">
        <v>661</v>
      </c>
      <c r="Q216" s="154"/>
      <c r="R216" s="56"/>
      <c r="S216" s="277"/>
      <c r="T216" s="361" t="s">
        <v>658</v>
      </c>
      <c r="U216" s="361" t="s">
        <v>2200</v>
      </c>
      <c r="W216" s="297" t="s">
        <v>562</v>
      </c>
      <c r="X216" s="297" t="s">
        <v>2963</v>
      </c>
      <c r="Z216" s="297"/>
      <c r="AA216" s="7"/>
      <c r="AB216" s="7"/>
      <c r="AC216" s="1408"/>
      <c r="AD216" s="387"/>
    </row>
    <row r="217" spans="2:30" ht="10.5" customHeight="1">
      <c r="B217" s="150"/>
      <c r="C217" s="270" t="s">
        <v>157</v>
      </c>
      <c r="D217" s="298">
        <v>60100</v>
      </c>
      <c r="E217" s="150"/>
      <c r="F217" s="437"/>
      <c r="G217" s="1402" t="s">
        <v>1114</v>
      </c>
      <c r="H217" s="1402" t="s">
        <v>1617</v>
      </c>
      <c r="I217" s="1409" t="s">
        <v>707</v>
      </c>
      <c r="J217" s="1409" t="s">
        <v>2322</v>
      </c>
      <c r="K217" s="1404" t="s">
        <v>2286</v>
      </c>
      <c r="L217" s="1405" t="s">
        <v>399</v>
      </c>
      <c r="M217" s="1406" t="s">
        <v>1103</v>
      </c>
      <c r="N217" s="1406" t="s">
        <v>1113</v>
      </c>
      <c r="O217" s="1407" t="s">
        <v>3535</v>
      </c>
      <c r="P217" s="435" t="s">
        <v>663</v>
      </c>
      <c r="Q217" s="154"/>
      <c r="R217" s="56"/>
      <c r="S217" s="277"/>
      <c r="T217" s="361" t="s">
        <v>660</v>
      </c>
      <c r="U217" s="361" t="s">
        <v>1029</v>
      </c>
      <c r="W217" s="297" t="s">
        <v>510</v>
      </c>
      <c r="X217" s="297" t="s">
        <v>2963</v>
      </c>
      <c r="Z217" s="297"/>
      <c r="AA217" s="7"/>
      <c r="AB217" s="7"/>
      <c r="AC217" s="1408"/>
      <c r="AD217" s="387"/>
    </row>
    <row r="218" spans="2:30" ht="10.5" customHeight="1">
      <c r="B218" s="150"/>
      <c r="C218" s="270" t="s">
        <v>1219</v>
      </c>
      <c r="D218" s="298">
        <v>53600</v>
      </c>
      <c r="E218" s="150"/>
      <c r="F218" s="437"/>
      <c r="G218" s="1402" t="s">
        <v>617</v>
      </c>
      <c r="H218" s="1402" t="s">
        <v>1210</v>
      </c>
      <c r="I218" s="1403" t="s">
        <v>618</v>
      </c>
      <c r="J218" s="1403" t="s">
        <v>2321</v>
      </c>
      <c r="K218" s="1404" t="s">
        <v>221</v>
      </c>
      <c r="L218" s="1405" t="s">
        <v>398</v>
      </c>
      <c r="M218" s="1410" t="s">
        <v>2308</v>
      </c>
      <c r="N218" s="1410" t="s">
        <v>1113</v>
      </c>
      <c r="O218" s="1407" t="s">
        <v>3536</v>
      </c>
      <c r="P218" s="435" t="s">
        <v>1972</v>
      </c>
      <c r="Q218" s="154"/>
      <c r="R218" s="56"/>
      <c r="S218" s="277"/>
      <c r="T218" s="436" t="s">
        <v>662</v>
      </c>
      <c r="U218" s="436" t="s">
        <v>2299</v>
      </c>
      <c r="W218" s="297" t="s">
        <v>691</v>
      </c>
      <c r="X218" s="297" t="s">
        <v>2963</v>
      </c>
      <c r="Z218" s="297"/>
      <c r="AA218" s="7"/>
      <c r="AB218" s="7"/>
      <c r="AC218" s="1411"/>
      <c r="AD218" s="387"/>
    </row>
    <row r="219" spans="2:30" ht="10.5" customHeight="1">
      <c r="B219" s="150"/>
      <c r="C219" s="270" t="s">
        <v>158</v>
      </c>
      <c r="D219" s="298">
        <v>40400</v>
      </c>
      <c r="E219" s="150"/>
      <c r="F219" s="437"/>
      <c r="G219" s="1402" t="s">
        <v>619</v>
      </c>
      <c r="H219" s="1402" t="s">
        <v>1210</v>
      </c>
      <c r="I219" s="1409" t="s">
        <v>620</v>
      </c>
      <c r="J219" s="1409" t="s">
        <v>2321</v>
      </c>
      <c r="K219" s="1404" t="s">
        <v>222</v>
      </c>
      <c r="L219" s="1405" t="s">
        <v>398</v>
      </c>
      <c r="M219" s="1410" t="s">
        <v>2308</v>
      </c>
      <c r="N219" s="1410" t="s">
        <v>1229</v>
      </c>
      <c r="O219" s="1407" t="s">
        <v>3537</v>
      </c>
      <c r="P219" s="435" t="s">
        <v>1973</v>
      </c>
      <c r="Q219" s="154"/>
      <c r="R219" s="56"/>
      <c r="S219" s="277"/>
      <c r="T219" s="361" t="s">
        <v>2273</v>
      </c>
      <c r="U219" s="361" t="s">
        <v>2202</v>
      </c>
      <c r="W219" s="297" t="s">
        <v>32</v>
      </c>
      <c r="X219" s="297" t="s">
        <v>2963</v>
      </c>
      <c r="Z219" s="297"/>
      <c r="AA219" s="7"/>
      <c r="AB219" s="7"/>
      <c r="AC219" s="1408"/>
      <c r="AD219" s="387"/>
    </row>
    <row r="220" spans="2:30" ht="10.5" customHeight="1">
      <c r="B220" s="150"/>
      <c r="C220" s="270" t="s">
        <v>712</v>
      </c>
      <c r="D220" s="298">
        <v>47600</v>
      </c>
      <c r="E220" s="150"/>
      <c r="F220" s="437"/>
      <c r="G220" s="1402" t="s">
        <v>621</v>
      </c>
      <c r="H220" s="1402" t="s">
        <v>1617</v>
      </c>
      <c r="I220" s="1403" t="s">
        <v>8</v>
      </c>
      <c r="J220" s="1403" t="s">
        <v>2322</v>
      </c>
      <c r="K220" s="1404" t="s">
        <v>2291</v>
      </c>
      <c r="L220" s="1405" t="s">
        <v>399</v>
      </c>
      <c r="M220" s="1410" t="s">
        <v>1103</v>
      </c>
      <c r="N220" s="1410" t="s">
        <v>1225</v>
      </c>
      <c r="O220" s="1407" t="s">
        <v>3538</v>
      </c>
      <c r="P220" s="435" t="s">
        <v>1975</v>
      </c>
      <c r="Q220" s="154"/>
      <c r="R220" s="56"/>
      <c r="S220" s="277"/>
      <c r="T220" s="361" t="s">
        <v>1974</v>
      </c>
      <c r="U220" s="361" t="s">
        <v>1496</v>
      </c>
      <c r="W220" s="297" t="s">
        <v>1770</v>
      </c>
      <c r="X220" s="297" t="s">
        <v>2963</v>
      </c>
      <c r="Z220" s="297"/>
      <c r="AA220" s="7"/>
      <c r="AB220" s="7"/>
      <c r="AC220" s="1408"/>
      <c r="AD220" s="387"/>
    </row>
    <row r="221" spans="2:30" ht="10.5" customHeight="1">
      <c r="B221" s="150"/>
      <c r="C221" s="270" t="s">
        <v>1481</v>
      </c>
      <c r="D221" s="298">
        <v>47400</v>
      </c>
      <c r="E221" s="150"/>
      <c r="F221" s="437"/>
      <c r="G221" s="1402" t="s">
        <v>622</v>
      </c>
      <c r="H221" s="1402" t="s">
        <v>1210</v>
      </c>
      <c r="I221" s="1403" t="s">
        <v>623</v>
      </c>
      <c r="J221" s="1403" t="s">
        <v>2321</v>
      </c>
      <c r="K221" s="1404" t="s">
        <v>223</v>
      </c>
      <c r="L221" s="1405" t="s">
        <v>398</v>
      </c>
      <c r="M221" s="1410" t="s">
        <v>2308</v>
      </c>
      <c r="N221" s="1410" t="s">
        <v>1113</v>
      </c>
      <c r="O221" s="1407" t="s">
        <v>3539</v>
      </c>
      <c r="P221" s="435" t="s">
        <v>636</v>
      </c>
      <c r="Q221" s="154"/>
      <c r="R221" s="56"/>
      <c r="S221" s="277"/>
      <c r="T221" s="361" t="s">
        <v>1976</v>
      </c>
      <c r="U221" s="361" t="s">
        <v>2293</v>
      </c>
      <c r="W221" s="297" t="s">
        <v>313</v>
      </c>
      <c r="X221" s="297" t="s">
        <v>2963</v>
      </c>
      <c r="Z221" s="297"/>
      <c r="AA221" s="7"/>
      <c r="AB221" s="7"/>
      <c r="AC221" s="1408"/>
      <c r="AD221" s="387"/>
    </row>
    <row r="222" spans="2:30" ht="10.5" customHeight="1">
      <c r="B222" s="150"/>
      <c r="C222" s="270" t="s">
        <v>1483</v>
      </c>
      <c r="D222" s="298">
        <v>44600</v>
      </c>
      <c r="E222" s="150"/>
      <c r="F222" s="437"/>
      <c r="G222" s="1402" t="s">
        <v>624</v>
      </c>
      <c r="H222" s="1402" t="s">
        <v>1119</v>
      </c>
      <c r="I222" s="1403" t="s">
        <v>625</v>
      </c>
      <c r="J222" s="1403" t="s">
        <v>2321</v>
      </c>
      <c r="K222" s="1404" t="s">
        <v>379</v>
      </c>
      <c r="L222" s="1405" t="s">
        <v>398</v>
      </c>
      <c r="M222" s="1410" t="s">
        <v>2308</v>
      </c>
      <c r="N222" s="1410" t="s">
        <v>1606</v>
      </c>
      <c r="O222" s="1407" t="s">
        <v>3540</v>
      </c>
      <c r="P222" s="435" t="s">
        <v>729</v>
      </c>
      <c r="Q222" s="154"/>
      <c r="R222" s="56"/>
      <c r="S222" s="277"/>
      <c r="T222" s="361" t="s">
        <v>637</v>
      </c>
      <c r="U222" s="361" t="s">
        <v>679</v>
      </c>
      <c r="W222" s="297" t="s">
        <v>321</v>
      </c>
      <c r="X222" s="297" t="s">
        <v>2963</v>
      </c>
      <c r="Z222" s="297"/>
      <c r="AA222" s="7"/>
      <c r="AB222" s="7"/>
      <c r="AC222" s="1408"/>
      <c r="AD222" s="387"/>
    </row>
    <row r="223" spans="2:30" ht="10.5" customHeight="1">
      <c r="B223" s="150"/>
      <c r="C223" s="270" t="s">
        <v>1827</v>
      </c>
      <c r="D223" s="298">
        <v>60900</v>
      </c>
      <c r="E223" s="150"/>
      <c r="F223" s="437"/>
      <c r="G223" s="1402" t="s">
        <v>626</v>
      </c>
      <c r="H223" s="1402" t="s">
        <v>1210</v>
      </c>
      <c r="I223" s="1403" t="s">
        <v>627</v>
      </c>
      <c r="J223" s="1403" t="s">
        <v>2321</v>
      </c>
      <c r="K223" s="1404" t="s">
        <v>380</v>
      </c>
      <c r="L223" s="1405" t="s">
        <v>398</v>
      </c>
      <c r="M223" s="1410" t="s">
        <v>2308</v>
      </c>
      <c r="N223" s="1410" t="s">
        <v>148</v>
      </c>
      <c r="O223" s="1407" t="s">
        <v>3541</v>
      </c>
      <c r="P223" s="435" t="s">
        <v>2016</v>
      </c>
      <c r="Q223" s="154"/>
      <c r="R223" s="56"/>
      <c r="S223" s="277"/>
      <c r="T223" s="361" t="s">
        <v>2015</v>
      </c>
      <c r="U223" s="361" t="s">
        <v>294</v>
      </c>
      <c r="W223" s="297" t="s">
        <v>175</v>
      </c>
      <c r="X223" s="297" t="s">
        <v>2963</v>
      </c>
      <c r="Z223" s="297"/>
      <c r="AA223" s="7"/>
      <c r="AB223" s="7"/>
      <c r="AC223" s="1408"/>
      <c r="AD223" s="387"/>
    </row>
    <row r="224" spans="2:30" ht="10.5" customHeight="1">
      <c r="B224" s="150"/>
      <c r="C224" s="270" t="s">
        <v>165</v>
      </c>
      <c r="D224" s="298">
        <v>44600</v>
      </c>
      <c r="E224" s="150"/>
      <c r="F224" s="437"/>
      <c r="G224" s="1402" t="s">
        <v>112</v>
      </c>
      <c r="H224" s="1402" t="s">
        <v>1210</v>
      </c>
      <c r="I224" s="1409" t="s">
        <v>707</v>
      </c>
      <c r="J224" s="1409" t="s">
        <v>2322</v>
      </c>
      <c r="K224" s="1404" t="s">
        <v>2286</v>
      </c>
      <c r="L224" s="1405" t="s">
        <v>399</v>
      </c>
      <c r="M224" s="1406" t="s">
        <v>1103</v>
      </c>
      <c r="N224" s="1406" t="s">
        <v>1113</v>
      </c>
      <c r="O224" s="1407" t="s">
        <v>3542</v>
      </c>
      <c r="P224" s="435" t="s">
        <v>2043</v>
      </c>
      <c r="Q224" s="154"/>
      <c r="R224" s="56"/>
      <c r="S224" s="277"/>
      <c r="T224" s="361" t="s">
        <v>2072</v>
      </c>
      <c r="U224" s="361" t="s">
        <v>817</v>
      </c>
      <c r="W224" s="297" t="s">
        <v>1920</v>
      </c>
      <c r="X224" s="297" t="s">
        <v>2963</v>
      </c>
      <c r="Z224" s="297"/>
      <c r="AA224" s="7"/>
      <c r="AB224" s="7"/>
      <c r="AC224" s="1408"/>
      <c r="AD224" s="387"/>
    </row>
    <row r="225" spans="2:30" ht="10.5" customHeight="1">
      <c r="B225" s="150"/>
      <c r="C225" s="269" t="s">
        <v>2294</v>
      </c>
      <c r="D225" s="298">
        <v>59200</v>
      </c>
      <c r="E225" s="150"/>
      <c r="F225" s="437"/>
      <c r="G225" s="1402" t="s">
        <v>113</v>
      </c>
      <c r="H225" s="1402" t="s">
        <v>1210</v>
      </c>
      <c r="I225" s="1403" t="s">
        <v>114</v>
      </c>
      <c r="J225" s="1403" t="s">
        <v>2321</v>
      </c>
      <c r="K225" s="1404" t="s">
        <v>381</v>
      </c>
      <c r="L225" s="1405" t="s">
        <v>398</v>
      </c>
      <c r="M225" s="1410" t="s">
        <v>2308</v>
      </c>
      <c r="N225" s="1410" t="s">
        <v>148</v>
      </c>
      <c r="O225" s="1407" t="s">
        <v>3543</v>
      </c>
      <c r="P225" s="435" t="s">
        <v>40</v>
      </c>
      <c r="Q225" s="154"/>
      <c r="R225" s="56"/>
      <c r="S225" s="277"/>
      <c r="T225" s="361" t="s">
        <v>41</v>
      </c>
      <c r="U225" s="361" t="s">
        <v>301</v>
      </c>
      <c r="W225" s="297" t="s">
        <v>176</v>
      </c>
      <c r="X225" s="297" t="s">
        <v>2963</v>
      </c>
      <c r="Z225" s="297"/>
      <c r="AA225" s="7"/>
      <c r="AB225" s="7"/>
      <c r="AC225" s="1413"/>
      <c r="AD225" s="387"/>
    </row>
    <row r="226" spans="2:30" ht="10.5" customHeight="1">
      <c r="B226" s="150"/>
      <c r="C226" s="270" t="s">
        <v>2296</v>
      </c>
      <c r="D226" s="298">
        <v>48100</v>
      </c>
      <c r="E226" s="150"/>
      <c r="F226" s="437"/>
      <c r="G226" s="1402" t="s">
        <v>289</v>
      </c>
      <c r="H226" s="1402" t="s">
        <v>1210</v>
      </c>
      <c r="I226" s="1403" t="s">
        <v>1129</v>
      </c>
      <c r="J226" s="1403" t="s">
        <v>2322</v>
      </c>
      <c r="K226" s="1404" t="s">
        <v>382</v>
      </c>
      <c r="L226" s="1405" t="s">
        <v>399</v>
      </c>
      <c r="M226" s="1410" t="s">
        <v>1103</v>
      </c>
      <c r="N226" s="1410" t="s">
        <v>1113</v>
      </c>
      <c r="O226" s="1407" t="s">
        <v>3544</v>
      </c>
      <c r="P226" s="435" t="s">
        <v>589</v>
      </c>
      <c r="Q226" s="154"/>
      <c r="R226" s="56"/>
      <c r="S226" s="277"/>
      <c r="T226" s="361" t="s">
        <v>590</v>
      </c>
      <c r="U226" s="361" t="s">
        <v>2301</v>
      </c>
      <c r="W226" s="297" t="s">
        <v>360</v>
      </c>
      <c r="X226" s="297" t="s">
        <v>2963</v>
      </c>
      <c r="Z226" s="297"/>
      <c r="AA226" s="7"/>
      <c r="AB226" s="7"/>
      <c r="AC226" s="1408"/>
      <c r="AD226" s="387"/>
    </row>
    <row r="227" spans="2:30" ht="10.5" customHeight="1">
      <c r="B227" s="150"/>
      <c r="C227" s="270" t="s">
        <v>1012</v>
      </c>
      <c r="D227" s="298">
        <v>56400</v>
      </c>
      <c r="E227" s="150"/>
      <c r="F227" s="437"/>
      <c r="G227" s="1414" t="s">
        <v>290</v>
      </c>
      <c r="H227" s="1402" t="s">
        <v>1210</v>
      </c>
      <c r="I227" s="1403" t="s">
        <v>291</v>
      </c>
      <c r="J227" s="1403" t="s">
        <v>2321</v>
      </c>
      <c r="K227" s="1404" t="s">
        <v>383</v>
      </c>
      <c r="L227" s="1405" t="s">
        <v>398</v>
      </c>
      <c r="M227" s="1410" t="s">
        <v>2308</v>
      </c>
      <c r="N227" s="1410" t="s">
        <v>1219</v>
      </c>
      <c r="O227" s="1407" t="s">
        <v>3545</v>
      </c>
      <c r="P227" s="435" t="s">
        <v>283</v>
      </c>
      <c r="Q227" s="154"/>
      <c r="R227" s="56"/>
      <c r="S227" s="277"/>
      <c r="T227" s="361" t="s">
        <v>284</v>
      </c>
      <c r="U227" s="361" t="s">
        <v>292</v>
      </c>
      <c r="W227" s="297" t="s">
        <v>812</v>
      </c>
      <c r="X227" s="297" t="s">
        <v>2963</v>
      </c>
      <c r="Z227" s="297"/>
      <c r="AA227" s="7"/>
      <c r="AB227" s="7"/>
      <c r="AC227" s="1408"/>
      <c r="AD227" s="387"/>
    </row>
    <row r="228" spans="2:30" ht="10.5" customHeight="1">
      <c r="B228" s="150"/>
      <c r="C228" s="270" t="s">
        <v>1015</v>
      </c>
      <c r="D228" s="298">
        <v>50800</v>
      </c>
      <c r="E228" s="150"/>
      <c r="F228" s="437"/>
      <c r="G228" s="1402" t="s">
        <v>292</v>
      </c>
      <c r="H228" s="1402" t="s">
        <v>1210</v>
      </c>
      <c r="I228" s="1409" t="s">
        <v>709</v>
      </c>
      <c r="J228" s="1409" t="s">
        <v>2322</v>
      </c>
      <c r="K228" s="1404" t="s">
        <v>384</v>
      </c>
      <c r="L228" s="1405" t="s">
        <v>399</v>
      </c>
      <c r="M228" s="1406" t="s">
        <v>2308</v>
      </c>
      <c r="N228" s="1406" t="s">
        <v>1113</v>
      </c>
      <c r="O228" s="1407" t="s">
        <v>3546</v>
      </c>
      <c r="P228" s="435" t="s">
        <v>2105</v>
      </c>
      <c r="Q228" s="154"/>
      <c r="R228" s="56"/>
      <c r="S228" s="277"/>
      <c r="T228" s="361" t="s">
        <v>2106</v>
      </c>
      <c r="U228" s="361" t="s">
        <v>176</v>
      </c>
      <c r="W228" s="297" t="s">
        <v>1732</v>
      </c>
      <c r="X228" s="297" t="s">
        <v>2963</v>
      </c>
      <c r="Z228" s="297"/>
      <c r="AA228" s="7"/>
      <c r="AB228" s="7"/>
      <c r="AC228" s="1408"/>
      <c r="AD228" s="387"/>
    </row>
    <row r="229" spans="2:30" ht="10.5" customHeight="1">
      <c r="B229" s="150"/>
      <c r="C229" s="270" t="s">
        <v>1018</v>
      </c>
      <c r="D229" s="298">
        <v>51300</v>
      </c>
      <c r="E229" s="150"/>
      <c r="F229" s="437"/>
      <c r="G229" s="1402" t="s">
        <v>293</v>
      </c>
      <c r="H229" s="1402" t="s">
        <v>1119</v>
      </c>
      <c r="I229" s="1409" t="s">
        <v>143</v>
      </c>
      <c r="J229" s="1409" t="s">
        <v>2322</v>
      </c>
      <c r="K229" s="1404" t="s">
        <v>1512</v>
      </c>
      <c r="L229" s="1405" t="s">
        <v>399</v>
      </c>
      <c r="M229" s="1406" t="s">
        <v>2308</v>
      </c>
      <c r="N229" s="1406" t="s">
        <v>143</v>
      </c>
      <c r="O229" s="1407" t="s">
        <v>3547</v>
      </c>
      <c r="P229" s="435" t="s">
        <v>2121</v>
      </c>
      <c r="Q229" s="154"/>
      <c r="R229" s="56"/>
      <c r="S229" s="277"/>
      <c r="T229" s="361" t="s">
        <v>2122</v>
      </c>
      <c r="U229" s="361" t="s">
        <v>1495</v>
      </c>
      <c r="W229" s="297" t="s">
        <v>1736</v>
      </c>
      <c r="X229" s="297" t="s">
        <v>2963</v>
      </c>
      <c r="Z229" s="297"/>
      <c r="AA229" s="7"/>
      <c r="AB229" s="7"/>
      <c r="AC229" s="1408"/>
      <c r="AD229" s="387"/>
    </row>
    <row r="230" spans="2:30" ht="10.5" customHeight="1">
      <c r="B230" s="150"/>
      <c r="C230" s="269" t="s">
        <v>1020</v>
      </c>
      <c r="D230" s="298">
        <v>48500</v>
      </c>
      <c r="E230" s="150"/>
      <c r="F230" s="437"/>
      <c r="G230" s="1402" t="s">
        <v>294</v>
      </c>
      <c r="H230" s="1402" t="s">
        <v>1210</v>
      </c>
      <c r="I230" s="1403" t="s">
        <v>295</v>
      </c>
      <c r="J230" s="1403" t="s">
        <v>2321</v>
      </c>
      <c r="K230" s="1404" t="s">
        <v>385</v>
      </c>
      <c r="L230" s="1405" t="s">
        <v>398</v>
      </c>
      <c r="M230" s="1410" t="s">
        <v>2308</v>
      </c>
      <c r="N230" s="1410" t="s">
        <v>148</v>
      </c>
      <c r="O230" s="1407" t="s">
        <v>3548</v>
      </c>
      <c r="P230" s="435" t="s">
        <v>2123</v>
      </c>
      <c r="Q230" s="154"/>
      <c r="R230" s="56"/>
      <c r="S230" s="277"/>
      <c r="T230" s="361" t="s">
        <v>2420</v>
      </c>
      <c r="U230" s="361" t="s">
        <v>584</v>
      </c>
      <c r="W230" s="297" t="s">
        <v>666</v>
      </c>
      <c r="X230" s="297" t="s">
        <v>2963</v>
      </c>
      <c r="Z230" s="297"/>
      <c r="AA230" s="7"/>
      <c r="AB230" s="7"/>
      <c r="AC230" s="1408"/>
      <c r="AD230" s="387"/>
    </row>
    <row r="231" spans="2:30" ht="10.5" customHeight="1">
      <c r="B231" s="150"/>
      <c r="C231" s="270" t="s">
        <v>1022</v>
      </c>
      <c r="D231" s="298">
        <v>58600</v>
      </c>
      <c r="E231" s="150"/>
      <c r="F231" s="437"/>
      <c r="G231" s="1402" t="s">
        <v>296</v>
      </c>
      <c r="H231" s="1402" t="s">
        <v>1119</v>
      </c>
      <c r="I231" s="1409" t="s">
        <v>707</v>
      </c>
      <c r="J231" s="1409" t="s">
        <v>2322</v>
      </c>
      <c r="K231" s="1404" t="s">
        <v>2286</v>
      </c>
      <c r="L231" s="1405" t="s">
        <v>399</v>
      </c>
      <c r="M231" s="1406" t="s">
        <v>1103</v>
      </c>
      <c r="N231" s="1406" t="s">
        <v>1113</v>
      </c>
      <c r="O231" s="1407" t="s">
        <v>3549</v>
      </c>
      <c r="P231" s="435" t="s">
        <v>2124</v>
      </c>
      <c r="Q231" s="154"/>
      <c r="R231" s="56"/>
      <c r="S231" s="277"/>
      <c r="T231" s="361" t="s">
        <v>585</v>
      </c>
      <c r="U231" s="361" t="s">
        <v>1226</v>
      </c>
      <c r="W231" s="297" t="s">
        <v>1056</v>
      </c>
      <c r="X231" s="297" t="s">
        <v>2963</v>
      </c>
      <c r="Z231" s="297"/>
      <c r="AA231" s="7"/>
      <c r="AB231" s="7"/>
      <c r="AC231" s="1408"/>
      <c r="AD231" s="387"/>
    </row>
    <row r="232" spans="2:30" ht="10.5" customHeight="1">
      <c r="B232" s="150"/>
      <c r="C232" s="270" t="s">
        <v>1024</v>
      </c>
      <c r="D232" s="298">
        <v>37400</v>
      </c>
      <c r="E232" s="150"/>
      <c r="F232" s="437"/>
      <c r="G232" s="1402" t="s">
        <v>297</v>
      </c>
      <c r="H232" s="1402" t="s">
        <v>1210</v>
      </c>
      <c r="I232" s="1409" t="s">
        <v>707</v>
      </c>
      <c r="J232" s="1409" t="s">
        <v>2322</v>
      </c>
      <c r="K232" s="1404" t="s">
        <v>2286</v>
      </c>
      <c r="L232" s="1405" t="s">
        <v>399</v>
      </c>
      <c r="M232" s="1406" t="s">
        <v>1103</v>
      </c>
      <c r="N232" s="1406" t="s">
        <v>1113</v>
      </c>
      <c r="O232" s="1407" t="s">
        <v>3550</v>
      </c>
      <c r="P232" s="435" t="s">
        <v>2099</v>
      </c>
      <c r="Q232" s="154"/>
      <c r="R232" s="56"/>
      <c r="S232" s="277"/>
      <c r="T232" s="361" t="s">
        <v>1223</v>
      </c>
      <c r="U232" s="361" t="s">
        <v>612</v>
      </c>
      <c r="W232" s="297" t="s">
        <v>1058</v>
      </c>
      <c r="X232" s="297" t="s">
        <v>2963</v>
      </c>
      <c r="Z232" s="297"/>
      <c r="AA232" s="7"/>
      <c r="AB232" s="7"/>
      <c r="AC232" s="1408"/>
      <c r="AD232" s="387"/>
    </row>
    <row r="233" spans="2:30" ht="10.5" customHeight="1">
      <c r="B233" s="150"/>
      <c r="C233" s="270" t="s">
        <v>1026</v>
      </c>
      <c r="D233" s="298">
        <v>49900</v>
      </c>
      <c r="E233" s="150"/>
      <c r="F233" s="437"/>
      <c r="G233" s="1402" t="s">
        <v>298</v>
      </c>
      <c r="H233" s="1402" t="s">
        <v>1210</v>
      </c>
      <c r="I233" s="1409" t="s">
        <v>1539</v>
      </c>
      <c r="J233" s="1409" t="s">
        <v>2322</v>
      </c>
      <c r="K233" s="1404" t="s">
        <v>386</v>
      </c>
      <c r="L233" s="1405" t="s">
        <v>399</v>
      </c>
      <c r="M233" s="1410" t="s">
        <v>1103</v>
      </c>
      <c r="N233" s="1410" t="s">
        <v>1219</v>
      </c>
      <c r="O233" s="1407" t="s">
        <v>3551</v>
      </c>
      <c r="P233" s="435" t="s">
        <v>7</v>
      </c>
      <c r="Q233" s="154"/>
      <c r="R233" s="56"/>
      <c r="S233" s="277"/>
      <c r="T233" s="361" t="s">
        <v>2100</v>
      </c>
      <c r="U233" s="361" t="s">
        <v>2206</v>
      </c>
      <c r="W233" s="297" t="s">
        <v>1060</v>
      </c>
      <c r="X233" s="297" t="s">
        <v>2963</v>
      </c>
      <c r="Z233" s="297"/>
      <c r="AA233" s="7"/>
      <c r="AB233" s="7"/>
      <c r="AC233" s="1408"/>
      <c r="AD233" s="387"/>
    </row>
    <row r="234" spans="2:30" ht="10.5" customHeight="1">
      <c r="B234" s="150"/>
      <c r="C234" s="269" t="s">
        <v>1028</v>
      </c>
      <c r="D234" s="298">
        <v>37100</v>
      </c>
      <c r="E234" s="150"/>
      <c r="F234" s="437"/>
      <c r="G234" s="1402" t="s">
        <v>299</v>
      </c>
      <c r="H234" s="1402" t="s">
        <v>1119</v>
      </c>
      <c r="I234" s="1403" t="s">
        <v>300</v>
      </c>
      <c r="J234" s="1403" t="s">
        <v>2321</v>
      </c>
      <c r="K234" s="1404" t="s">
        <v>602</v>
      </c>
      <c r="L234" s="1405" t="s">
        <v>398</v>
      </c>
      <c r="M234" s="1410" t="s">
        <v>2308</v>
      </c>
      <c r="N234" s="1410" t="s">
        <v>1606</v>
      </c>
      <c r="O234" s="1407" t="s">
        <v>3552</v>
      </c>
      <c r="P234" s="435" t="s">
        <v>9</v>
      </c>
      <c r="Q234" s="154"/>
      <c r="R234" s="56"/>
      <c r="S234" s="277"/>
      <c r="T234" s="361" t="s">
        <v>8</v>
      </c>
      <c r="U234" s="361" t="s">
        <v>621</v>
      </c>
      <c r="W234" s="297" t="s">
        <v>2227</v>
      </c>
      <c r="X234" s="297" t="s">
        <v>2963</v>
      </c>
      <c r="Z234" s="297"/>
      <c r="AA234" s="7"/>
      <c r="AB234" s="7"/>
      <c r="AC234" s="1408"/>
      <c r="AD234" s="387"/>
    </row>
    <row r="235" spans="2:30" ht="10.5" customHeight="1">
      <c r="B235" s="150"/>
      <c r="C235" s="269" t="s">
        <v>2013</v>
      </c>
      <c r="D235" s="298">
        <v>54400</v>
      </c>
      <c r="E235" s="150"/>
      <c r="F235" s="437"/>
      <c r="G235" s="1402" t="s">
        <v>301</v>
      </c>
      <c r="H235" s="1402" t="s">
        <v>1210</v>
      </c>
      <c r="I235" s="1403" t="s">
        <v>302</v>
      </c>
      <c r="J235" s="1403" t="s">
        <v>2321</v>
      </c>
      <c r="K235" s="1404" t="s">
        <v>603</v>
      </c>
      <c r="L235" s="1405" t="s">
        <v>398</v>
      </c>
      <c r="M235" s="1410" t="s">
        <v>2308</v>
      </c>
      <c r="N235" s="1410" t="s">
        <v>1113</v>
      </c>
      <c r="O235" s="1407" t="s">
        <v>3553</v>
      </c>
      <c r="P235" s="435" t="s">
        <v>51</v>
      </c>
      <c r="Q235" s="154"/>
      <c r="R235" s="56"/>
      <c r="S235" s="277"/>
      <c r="T235" s="361" t="s">
        <v>10</v>
      </c>
      <c r="U235" s="361" t="s">
        <v>292</v>
      </c>
      <c r="W235" s="297" t="s">
        <v>430</v>
      </c>
      <c r="X235" s="297" t="s">
        <v>2963</v>
      </c>
      <c r="Z235" s="297"/>
      <c r="AA235" s="7"/>
      <c r="AB235" s="7"/>
      <c r="AC235" s="1408"/>
      <c r="AD235" s="387"/>
    </row>
    <row r="236" spans="2:30" ht="10.5" customHeight="1">
      <c r="B236" s="150"/>
      <c r="C236" s="270" t="s">
        <v>1225</v>
      </c>
      <c r="D236" s="298">
        <v>65200</v>
      </c>
      <c r="E236" s="150"/>
      <c r="F236" s="437"/>
      <c r="G236" s="1402" t="s">
        <v>303</v>
      </c>
      <c r="H236" s="1402" t="s">
        <v>1210</v>
      </c>
      <c r="I236" s="1409" t="s">
        <v>707</v>
      </c>
      <c r="J236" s="1409" t="s">
        <v>2322</v>
      </c>
      <c r="K236" s="1404" t="s">
        <v>2286</v>
      </c>
      <c r="L236" s="1405" t="s">
        <v>399</v>
      </c>
      <c r="M236" s="1406" t="s">
        <v>1103</v>
      </c>
      <c r="N236" s="1406" t="s">
        <v>1113</v>
      </c>
      <c r="O236" s="1407" t="s">
        <v>3554</v>
      </c>
      <c r="P236" s="435" t="s">
        <v>53</v>
      </c>
      <c r="Q236" s="154"/>
      <c r="R236" s="56"/>
      <c r="S236" s="277"/>
      <c r="T236" s="361" t="s">
        <v>52</v>
      </c>
      <c r="U236" s="361" t="s">
        <v>2293</v>
      </c>
      <c r="W236" s="297" t="s">
        <v>281</v>
      </c>
      <c r="X236" s="297" t="s">
        <v>2963</v>
      </c>
      <c r="Z236" s="297"/>
      <c r="AA236" s="7"/>
      <c r="AB236" s="7"/>
      <c r="AC236" s="1408"/>
      <c r="AD236" s="387"/>
    </row>
    <row r="237" spans="2:30" ht="10.5" customHeight="1">
      <c r="B237" s="150"/>
      <c r="C237" s="270" t="s">
        <v>1930</v>
      </c>
      <c r="D237" s="298">
        <v>51700</v>
      </c>
      <c r="E237" s="150"/>
      <c r="F237" s="437"/>
      <c r="G237" s="1402" t="s">
        <v>304</v>
      </c>
      <c r="H237" s="1402" t="s">
        <v>1119</v>
      </c>
      <c r="I237" s="1403" t="s">
        <v>305</v>
      </c>
      <c r="J237" s="1403" t="s">
        <v>2321</v>
      </c>
      <c r="K237" s="1404" t="s">
        <v>604</v>
      </c>
      <c r="L237" s="1405" t="s">
        <v>398</v>
      </c>
      <c r="M237" s="1410" t="s">
        <v>2308</v>
      </c>
      <c r="N237" s="1410" t="s">
        <v>1526</v>
      </c>
      <c r="O237" s="1407" t="s">
        <v>3555</v>
      </c>
      <c r="P237" s="435" t="s">
        <v>55</v>
      </c>
      <c r="Q237" s="154"/>
      <c r="R237" s="56"/>
      <c r="S237" s="277"/>
      <c r="T237" s="361" t="s">
        <v>54</v>
      </c>
      <c r="U237" s="361" t="s">
        <v>335</v>
      </c>
      <c r="W237" s="297" t="s">
        <v>1642</v>
      </c>
      <c r="X237" s="297" t="s">
        <v>2963</v>
      </c>
      <c r="Z237" s="297"/>
      <c r="AA237" s="7"/>
      <c r="AB237" s="7"/>
      <c r="AC237" s="1408"/>
      <c r="AD237" s="387"/>
    </row>
    <row r="238" spans="2:30" ht="10.5" customHeight="1">
      <c r="B238" s="150"/>
      <c r="C238" s="270" t="s">
        <v>1932</v>
      </c>
      <c r="D238" s="298">
        <v>46800</v>
      </c>
      <c r="E238" s="150"/>
      <c r="F238" s="437"/>
      <c r="G238" s="1402" t="s">
        <v>306</v>
      </c>
      <c r="H238" s="1402" t="s">
        <v>1119</v>
      </c>
      <c r="I238" s="1403" t="s">
        <v>307</v>
      </c>
      <c r="J238" s="1403" t="s">
        <v>2321</v>
      </c>
      <c r="K238" s="1404" t="s">
        <v>243</v>
      </c>
      <c r="L238" s="1405" t="s">
        <v>398</v>
      </c>
      <c r="M238" s="1410" t="s">
        <v>2308</v>
      </c>
      <c r="N238" s="1410" t="s">
        <v>1229</v>
      </c>
      <c r="O238" s="1407" t="s">
        <v>3556</v>
      </c>
      <c r="P238" s="435" t="s">
        <v>329</v>
      </c>
      <c r="Q238" s="154"/>
      <c r="R238" s="56"/>
      <c r="S238" s="277"/>
      <c r="T238" s="361" t="s">
        <v>56</v>
      </c>
      <c r="U238" s="361" t="s">
        <v>112</v>
      </c>
      <c r="W238" s="297" t="s">
        <v>1644</v>
      </c>
      <c r="X238" s="297" t="s">
        <v>2963</v>
      </c>
      <c r="Z238" s="297"/>
      <c r="AA238" s="7"/>
      <c r="AB238" s="7"/>
      <c r="AC238" s="1408"/>
      <c r="AD238" s="387"/>
    </row>
    <row r="239" spans="2:30" ht="10.5" customHeight="1">
      <c r="B239" s="150"/>
      <c r="C239" s="270" t="s">
        <v>1934</v>
      </c>
      <c r="D239" s="298">
        <v>45600</v>
      </c>
      <c r="E239" s="150"/>
      <c r="F239" s="437"/>
      <c r="G239" s="1402" t="s">
        <v>308</v>
      </c>
      <c r="H239" s="1402" t="s">
        <v>1119</v>
      </c>
      <c r="I239" s="1403" t="s">
        <v>309</v>
      </c>
      <c r="J239" s="1403" t="s">
        <v>2321</v>
      </c>
      <c r="K239" s="1404" t="s">
        <v>244</v>
      </c>
      <c r="L239" s="1405" t="s">
        <v>398</v>
      </c>
      <c r="M239" s="1410" t="s">
        <v>2308</v>
      </c>
      <c r="N239" s="1410" t="s">
        <v>1229</v>
      </c>
      <c r="O239" s="1407" t="s">
        <v>3557</v>
      </c>
      <c r="P239" s="435" t="s">
        <v>331</v>
      </c>
      <c r="Q239" s="154"/>
      <c r="R239" s="56"/>
      <c r="S239" s="277"/>
      <c r="T239" s="361" t="s">
        <v>330</v>
      </c>
      <c r="U239" s="361" t="s">
        <v>1948</v>
      </c>
      <c r="W239" s="297" t="s">
        <v>1704</v>
      </c>
      <c r="X239" s="297" t="s">
        <v>2963</v>
      </c>
      <c r="Z239" s="297"/>
      <c r="AA239" s="7"/>
      <c r="AB239" s="7"/>
      <c r="AC239" s="1408"/>
      <c r="AD239" s="387"/>
    </row>
    <row r="240" spans="2:30" ht="10.5" customHeight="1">
      <c r="B240" s="150"/>
      <c r="C240" s="270" t="s">
        <v>1937</v>
      </c>
      <c r="D240" s="298">
        <v>53200</v>
      </c>
      <c r="E240" s="150"/>
      <c r="F240" s="437"/>
      <c r="G240" s="1402" t="s">
        <v>310</v>
      </c>
      <c r="H240" s="1402" t="s">
        <v>1119</v>
      </c>
      <c r="I240" s="1403" t="s">
        <v>311</v>
      </c>
      <c r="J240" s="1403" t="s">
        <v>2321</v>
      </c>
      <c r="K240" s="1404" t="s">
        <v>245</v>
      </c>
      <c r="L240" s="1405" t="s">
        <v>398</v>
      </c>
      <c r="M240" s="1410" t="s">
        <v>2308</v>
      </c>
      <c r="N240" s="1410" t="s">
        <v>1219</v>
      </c>
      <c r="O240" s="1407" t="s">
        <v>3558</v>
      </c>
      <c r="P240" s="435" t="s">
        <v>333</v>
      </c>
      <c r="Q240" s="154"/>
      <c r="R240" s="56"/>
      <c r="S240" s="277"/>
      <c r="T240" s="361" t="s">
        <v>332</v>
      </c>
      <c r="U240" s="361" t="s">
        <v>884</v>
      </c>
      <c r="W240" s="297" t="s">
        <v>1991</v>
      </c>
      <c r="X240" s="297" t="s">
        <v>2963</v>
      </c>
      <c r="Z240" s="297"/>
      <c r="AA240" s="7"/>
      <c r="AB240" s="7"/>
      <c r="AC240" s="1408"/>
      <c r="AD240" s="387"/>
    </row>
    <row r="241" spans="2:30" ht="10.5" customHeight="1">
      <c r="B241" s="150"/>
      <c r="C241" s="269" t="s">
        <v>1939</v>
      </c>
      <c r="D241" s="298">
        <v>29000</v>
      </c>
      <c r="E241" s="150"/>
      <c r="F241" s="437"/>
      <c r="G241" s="1402" t="s">
        <v>402</v>
      </c>
      <c r="H241" s="1402" t="s">
        <v>1119</v>
      </c>
      <c r="I241" s="1409" t="s">
        <v>1219</v>
      </c>
      <c r="J241" s="1409" t="s">
        <v>2322</v>
      </c>
      <c r="K241" s="1404" t="s">
        <v>2289</v>
      </c>
      <c r="L241" s="1405" t="s">
        <v>399</v>
      </c>
      <c r="M241" s="1406" t="s">
        <v>2308</v>
      </c>
      <c r="N241" s="1406" t="s">
        <v>1219</v>
      </c>
      <c r="O241" s="1407" t="s">
        <v>3559</v>
      </c>
      <c r="P241" s="435" t="s">
        <v>2033</v>
      </c>
      <c r="Q241" s="154"/>
      <c r="R241" s="56"/>
      <c r="S241" s="277"/>
      <c r="T241" s="361" t="s">
        <v>334</v>
      </c>
      <c r="U241" s="361" t="s">
        <v>1011</v>
      </c>
      <c r="W241" s="297" t="s">
        <v>395</v>
      </c>
      <c r="X241" s="297" t="s">
        <v>2963</v>
      </c>
      <c r="Z241" s="297"/>
      <c r="AA241" s="7"/>
      <c r="AB241" s="7"/>
      <c r="AC241" s="1408"/>
      <c r="AD241" s="387"/>
    </row>
    <row r="242" spans="2:30" ht="10.5" customHeight="1">
      <c r="B242" s="150"/>
      <c r="C242" s="269" t="s">
        <v>1941</v>
      </c>
      <c r="D242" s="298">
        <v>41200</v>
      </c>
      <c r="E242" s="150"/>
      <c r="F242" s="437"/>
      <c r="G242" s="1402" t="s">
        <v>403</v>
      </c>
      <c r="H242" s="1402" t="s">
        <v>1210</v>
      </c>
      <c r="I242" s="1409" t="s">
        <v>710</v>
      </c>
      <c r="J242" s="1409" t="s">
        <v>2322</v>
      </c>
      <c r="K242" s="1404" t="s">
        <v>246</v>
      </c>
      <c r="L242" s="1405" t="s">
        <v>399</v>
      </c>
      <c r="M242" s="1406" t="s">
        <v>2308</v>
      </c>
      <c r="N242" s="1406" t="s">
        <v>1113</v>
      </c>
      <c r="O242" s="1407" t="s">
        <v>3560</v>
      </c>
      <c r="P242" s="435" t="s">
        <v>2035</v>
      </c>
      <c r="Q242" s="154"/>
      <c r="R242" s="56"/>
      <c r="S242" s="277"/>
      <c r="T242" s="361" t="s">
        <v>586</v>
      </c>
      <c r="U242" s="361" t="s">
        <v>1334</v>
      </c>
      <c r="W242" s="297" t="s">
        <v>2026</v>
      </c>
      <c r="X242" s="297" t="s">
        <v>2963</v>
      </c>
      <c r="Z242" s="297"/>
      <c r="AA242" s="7"/>
      <c r="AB242" s="7"/>
      <c r="AC242" s="1408"/>
      <c r="AD242" s="387"/>
    </row>
    <row r="243" spans="2:30" ht="10.5" customHeight="1">
      <c r="B243" s="150"/>
      <c r="C243" s="270" t="s">
        <v>1943</v>
      </c>
      <c r="D243" s="298">
        <v>45700</v>
      </c>
      <c r="E243" s="150"/>
      <c r="F243" s="437"/>
      <c r="G243" s="1402" t="s">
        <v>1333</v>
      </c>
      <c r="H243" s="1402" t="s">
        <v>1119</v>
      </c>
      <c r="I243" s="1403" t="s">
        <v>1526</v>
      </c>
      <c r="J243" s="1403" t="s">
        <v>2322</v>
      </c>
      <c r="K243" s="1404" t="s">
        <v>2292</v>
      </c>
      <c r="L243" s="1405" t="s">
        <v>399</v>
      </c>
      <c r="M243" s="1406" t="s">
        <v>2308</v>
      </c>
      <c r="N243" s="1406" t="s">
        <v>1526</v>
      </c>
      <c r="O243" s="1407" t="s">
        <v>3561</v>
      </c>
      <c r="P243" s="435" t="s">
        <v>2036</v>
      </c>
      <c r="Q243" s="154"/>
      <c r="R243" s="56"/>
      <c r="S243" s="277"/>
      <c r="T243" s="361" t="s">
        <v>2034</v>
      </c>
      <c r="U243" s="361" t="s">
        <v>624</v>
      </c>
      <c r="W243" s="297" t="s">
        <v>2953</v>
      </c>
      <c r="X243" s="297" t="s">
        <v>2963</v>
      </c>
      <c r="Z243" s="297"/>
      <c r="AA243" s="7"/>
      <c r="AB243" s="7"/>
      <c r="AC243" s="1408"/>
      <c r="AD243" s="387"/>
    </row>
    <row r="244" spans="2:30" ht="10.5" customHeight="1">
      <c r="B244" s="150"/>
      <c r="C244" s="270" t="s">
        <v>1945</v>
      </c>
      <c r="D244" s="298">
        <v>39200</v>
      </c>
      <c r="E244" s="150"/>
      <c r="F244" s="437"/>
      <c r="G244" s="1402" t="s">
        <v>1334</v>
      </c>
      <c r="H244" s="1402" t="s">
        <v>1210</v>
      </c>
      <c r="I244" s="1403" t="s">
        <v>1335</v>
      </c>
      <c r="J244" s="1403" t="s">
        <v>2321</v>
      </c>
      <c r="K244" s="1404" t="s">
        <v>247</v>
      </c>
      <c r="L244" s="1405" t="s">
        <v>398</v>
      </c>
      <c r="M244" s="1410" t="s">
        <v>2308</v>
      </c>
      <c r="N244" s="1410" t="s">
        <v>1219</v>
      </c>
      <c r="O244" s="1407" t="s">
        <v>3562</v>
      </c>
      <c r="P244" s="435" t="s">
        <v>2037</v>
      </c>
      <c r="Q244" s="154"/>
      <c r="R244" s="56"/>
      <c r="S244" s="277"/>
      <c r="T244" s="361" t="s">
        <v>1231</v>
      </c>
      <c r="U244" s="361" t="s">
        <v>622</v>
      </c>
      <c r="W244" s="297" t="s">
        <v>629</v>
      </c>
      <c r="X244" s="297" t="s">
        <v>2963</v>
      </c>
      <c r="Z244" s="297"/>
      <c r="AA244" s="7"/>
      <c r="AB244" s="7"/>
      <c r="AC244" s="1408"/>
      <c r="AD244" s="387"/>
    </row>
    <row r="245" spans="2:30" ht="10.5" customHeight="1">
      <c r="B245" s="150"/>
      <c r="C245" s="270" t="s">
        <v>1947</v>
      </c>
      <c r="D245" s="298">
        <v>46300</v>
      </c>
      <c r="E245" s="150"/>
      <c r="F245" s="437"/>
      <c r="G245" s="1402" t="s">
        <v>1336</v>
      </c>
      <c r="H245" s="1402" t="s">
        <v>1119</v>
      </c>
      <c r="I245" s="1409" t="s">
        <v>1606</v>
      </c>
      <c r="J245" s="1409" t="s">
        <v>2322</v>
      </c>
      <c r="K245" s="1404" t="s">
        <v>1077</v>
      </c>
      <c r="L245" s="1405" t="s">
        <v>399</v>
      </c>
      <c r="M245" s="1406" t="s">
        <v>2308</v>
      </c>
      <c r="N245" s="1406" t="s">
        <v>1606</v>
      </c>
      <c r="O245" s="1407" t="s">
        <v>3563</v>
      </c>
      <c r="P245" s="435" t="s">
        <v>1415</v>
      </c>
      <c r="Q245" s="154"/>
      <c r="R245" s="56"/>
      <c r="S245" s="277"/>
      <c r="T245" s="361" t="s">
        <v>2421</v>
      </c>
      <c r="U245" s="361" t="s">
        <v>624</v>
      </c>
      <c r="W245" s="297" t="s">
        <v>2120</v>
      </c>
      <c r="X245" s="297" t="s">
        <v>2963</v>
      </c>
      <c r="Z245" s="297"/>
      <c r="AA245" s="7"/>
      <c r="AB245" s="7"/>
      <c r="AC245" s="1408"/>
      <c r="AD245" s="387"/>
    </row>
    <row r="246" spans="2:30" ht="10.5" customHeight="1">
      <c r="B246" s="150"/>
      <c r="C246" s="270" t="s">
        <v>809</v>
      </c>
      <c r="D246" s="298">
        <v>37300</v>
      </c>
      <c r="E246" s="150"/>
      <c r="F246" s="437"/>
      <c r="G246" s="1402" t="s">
        <v>1337</v>
      </c>
      <c r="H246" s="1402" t="s">
        <v>1119</v>
      </c>
      <c r="I246" s="1403" t="s">
        <v>711</v>
      </c>
      <c r="J246" s="1403" t="s">
        <v>2322</v>
      </c>
      <c r="K246" s="1404" t="s">
        <v>248</v>
      </c>
      <c r="L246" s="1405" t="s">
        <v>399</v>
      </c>
      <c r="M246" s="1410" t="s">
        <v>1103</v>
      </c>
      <c r="N246" s="1410" t="s">
        <v>1225</v>
      </c>
      <c r="O246" s="1407" t="s">
        <v>3564</v>
      </c>
      <c r="P246" s="435" t="s">
        <v>1417</v>
      </c>
      <c r="Q246" s="154"/>
      <c r="R246" s="56"/>
      <c r="S246" s="277"/>
      <c r="T246" s="361" t="s">
        <v>2038</v>
      </c>
      <c r="U246" s="361" t="s">
        <v>96</v>
      </c>
      <c r="W246" s="297" t="s">
        <v>202</v>
      </c>
      <c r="X246" s="297" t="s">
        <v>2963</v>
      </c>
      <c r="Z246" s="297"/>
      <c r="AA246" s="7"/>
      <c r="AB246" s="7"/>
      <c r="AC246" s="1408"/>
      <c r="AD246" s="387"/>
    </row>
    <row r="247" spans="2:30" ht="10.5" customHeight="1">
      <c r="B247" s="150"/>
      <c r="C247" s="270" t="s">
        <v>811</v>
      </c>
      <c r="D247" s="298">
        <v>32200</v>
      </c>
      <c r="E247" s="150"/>
      <c r="F247" s="437"/>
      <c r="G247" s="1402" t="s">
        <v>1338</v>
      </c>
      <c r="H247" s="1402" t="s">
        <v>1210</v>
      </c>
      <c r="I247" s="1403" t="s">
        <v>1339</v>
      </c>
      <c r="J247" s="1403" t="s">
        <v>2322</v>
      </c>
      <c r="K247" s="1404" t="s">
        <v>3565</v>
      </c>
      <c r="L247" s="1405" t="s">
        <v>399</v>
      </c>
      <c r="M247" s="1410" t="s">
        <v>2308</v>
      </c>
      <c r="N247" s="1410" t="s">
        <v>1229</v>
      </c>
      <c r="O247" s="1407" t="s">
        <v>3566</v>
      </c>
      <c r="P247" s="435" t="s">
        <v>1419</v>
      </c>
      <c r="Q247" s="154"/>
      <c r="R247" s="56"/>
      <c r="S247" s="277"/>
      <c r="T247" s="361" t="s">
        <v>1416</v>
      </c>
      <c r="U247" s="361" t="s">
        <v>1482</v>
      </c>
      <c r="W247" s="297" t="s">
        <v>614</v>
      </c>
      <c r="X247" s="297" t="s">
        <v>2963</v>
      </c>
      <c r="Z247" s="297"/>
      <c r="AA247" s="7"/>
      <c r="AB247" s="7"/>
      <c r="AC247" s="1408"/>
      <c r="AD247" s="387"/>
    </row>
    <row r="248" spans="2:30" ht="10.5" customHeight="1">
      <c r="B248" s="150"/>
      <c r="C248" s="270" t="s">
        <v>1497</v>
      </c>
      <c r="D248" s="298">
        <v>47300</v>
      </c>
      <c r="E248" s="150"/>
      <c r="F248" s="437"/>
      <c r="G248" s="1402" t="s">
        <v>1340</v>
      </c>
      <c r="H248" s="1402" t="s">
        <v>1119</v>
      </c>
      <c r="I248" s="1403" t="s">
        <v>1341</v>
      </c>
      <c r="J248" s="1403" t="s">
        <v>2322</v>
      </c>
      <c r="K248" s="1404" t="s">
        <v>645</v>
      </c>
      <c r="L248" s="1405" t="s">
        <v>399</v>
      </c>
      <c r="M248" s="1406" t="s">
        <v>2308</v>
      </c>
      <c r="N248" s="1406" t="s">
        <v>1225</v>
      </c>
      <c r="O248" s="1407" t="s">
        <v>3567</v>
      </c>
      <c r="P248" s="435" t="s">
        <v>1421</v>
      </c>
      <c r="Q248" s="154"/>
      <c r="R248" s="56"/>
      <c r="S248" s="277"/>
      <c r="T248" s="361" t="s">
        <v>2274</v>
      </c>
      <c r="U248" s="361" t="s">
        <v>584</v>
      </c>
      <c r="W248" s="297" t="s">
        <v>214</v>
      </c>
      <c r="X248" s="297" t="s">
        <v>2963</v>
      </c>
      <c r="Z248" s="297"/>
      <c r="AA248" s="7"/>
      <c r="AB248" s="7"/>
      <c r="AC248" s="1408"/>
      <c r="AD248" s="387"/>
    </row>
    <row r="249" spans="2:30" ht="10.5" customHeight="1">
      <c r="B249" s="150"/>
      <c r="C249" s="270" t="s">
        <v>1716</v>
      </c>
      <c r="D249" s="298">
        <v>49900</v>
      </c>
      <c r="E249" s="150"/>
      <c r="F249" s="437"/>
      <c r="G249" s="1402" t="s">
        <v>155</v>
      </c>
      <c r="H249" s="1402" t="s">
        <v>1119</v>
      </c>
      <c r="I249" s="1403" t="s">
        <v>1526</v>
      </c>
      <c r="J249" s="1403" t="s">
        <v>2322</v>
      </c>
      <c r="K249" s="1404" t="s">
        <v>2292</v>
      </c>
      <c r="L249" s="1405" t="s">
        <v>399</v>
      </c>
      <c r="M249" s="1410" t="s">
        <v>1103</v>
      </c>
      <c r="N249" s="1410" t="s">
        <v>1526</v>
      </c>
      <c r="O249" s="1407" t="s">
        <v>3568</v>
      </c>
      <c r="P249" s="435" t="s">
        <v>1423</v>
      </c>
      <c r="Q249" s="154"/>
      <c r="R249" s="56"/>
      <c r="S249" s="277"/>
      <c r="T249" s="361" t="s">
        <v>1418</v>
      </c>
      <c r="U249" s="361" t="s">
        <v>615</v>
      </c>
      <c r="W249" s="297" t="s">
        <v>615</v>
      </c>
      <c r="X249" s="297" t="s">
        <v>2963</v>
      </c>
      <c r="Z249" s="297"/>
      <c r="AA249" s="7"/>
      <c r="AB249" s="7"/>
      <c r="AC249" s="1408"/>
      <c r="AD249" s="387"/>
    </row>
    <row r="250" spans="2:30" ht="10.5" customHeight="1">
      <c r="B250" s="150"/>
      <c r="C250" s="269" t="s">
        <v>1718</v>
      </c>
      <c r="D250" s="298">
        <v>48700</v>
      </c>
      <c r="E250" s="150"/>
      <c r="F250" s="437"/>
      <c r="G250" s="1402" t="s">
        <v>156</v>
      </c>
      <c r="H250" s="1402" t="s">
        <v>1210</v>
      </c>
      <c r="I250" s="1409" t="s">
        <v>157</v>
      </c>
      <c r="J250" s="1409" t="s">
        <v>2321</v>
      </c>
      <c r="K250" s="1404" t="s">
        <v>646</v>
      </c>
      <c r="L250" s="1405" t="s">
        <v>398</v>
      </c>
      <c r="M250" s="1410" t="s">
        <v>2308</v>
      </c>
      <c r="N250" s="1410" t="s">
        <v>1113</v>
      </c>
      <c r="O250" s="1407" t="s">
        <v>3569</v>
      </c>
      <c r="P250" s="435" t="s">
        <v>1570</v>
      </c>
      <c r="Q250" s="154"/>
      <c r="R250" s="56"/>
      <c r="S250" s="277"/>
      <c r="T250" s="361" t="s">
        <v>2422</v>
      </c>
      <c r="U250" s="361" t="s">
        <v>1989</v>
      </c>
      <c r="W250" s="297" t="s">
        <v>727</v>
      </c>
      <c r="X250" s="297" t="s">
        <v>2963</v>
      </c>
      <c r="Z250" s="297"/>
      <c r="AA250" s="7"/>
      <c r="AB250" s="7"/>
      <c r="AC250" s="1408"/>
      <c r="AD250" s="387"/>
    </row>
    <row r="251" spans="2:30" ht="10.5" customHeight="1">
      <c r="B251" s="150"/>
      <c r="C251" s="269" t="s">
        <v>1720</v>
      </c>
      <c r="D251" s="298">
        <v>50200</v>
      </c>
      <c r="E251" s="150"/>
      <c r="F251" s="437"/>
      <c r="G251" s="1402" t="s">
        <v>1219</v>
      </c>
      <c r="H251" s="1402" t="s">
        <v>1119</v>
      </c>
      <c r="I251" s="1403" t="s">
        <v>158</v>
      </c>
      <c r="J251" s="1403" t="s">
        <v>2321</v>
      </c>
      <c r="K251" s="1404" t="s">
        <v>647</v>
      </c>
      <c r="L251" s="1405" t="s">
        <v>398</v>
      </c>
      <c r="M251" s="1410" t="s">
        <v>2308</v>
      </c>
      <c r="N251" s="1410" t="s">
        <v>1219</v>
      </c>
      <c r="O251" s="1407" t="s">
        <v>3570</v>
      </c>
      <c r="P251" s="435" t="s">
        <v>1572</v>
      </c>
      <c r="Q251" s="154"/>
      <c r="R251" s="56"/>
      <c r="S251" s="277"/>
      <c r="T251" s="361" t="s">
        <v>1420</v>
      </c>
      <c r="U251" s="361" t="s">
        <v>146</v>
      </c>
      <c r="W251" s="297" t="s">
        <v>2954</v>
      </c>
      <c r="X251" s="297" t="s">
        <v>2963</v>
      </c>
      <c r="Z251" s="297"/>
      <c r="AA251" s="7"/>
      <c r="AB251" s="7"/>
      <c r="AC251" s="1408"/>
      <c r="AD251" s="387"/>
    </row>
    <row r="252" spans="2:30" ht="10.5" customHeight="1">
      <c r="B252" s="150"/>
      <c r="C252" s="269" t="s">
        <v>1722</v>
      </c>
      <c r="D252" s="298">
        <v>55400</v>
      </c>
      <c r="E252" s="150"/>
      <c r="F252" s="437"/>
      <c r="G252" s="1402" t="s">
        <v>159</v>
      </c>
      <c r="H252" s="1402" t="s">
        <v>1210</v>
      </c>
      <c r="I252" s="1403" t="s">
        <v>1828</v>
      </c>
      <c r="J252" s="1403" t="s">
        <v>2322</v>
      </c>
      <c r="K252" s="1404" t="s">
        <v>576</v>
      </c>
      <c r="L252" s="1405" t="s">
        <v>399</v>
      </c>
      <c r="M252" s="1406" t="s">
        <v>2308</v>
      </c>
      <c r="N252" s="1406" t="s">
        <v>148</v>
      </c>
      <c r="O252" s="1407" t="s">
        <v>3571</v>
      </c>
      <c r="P252" s="435" t="s">
        <v>1574</v>
      </c>
      <c r="Q252" s="154"/>
      <c r="R252" s="56"/>
      <c r="S252" s="277"/>
      <c r="T252" s="361" t="s">
        <v>1422</v>
      </c>
      <c r="U252" s="361" t="s">
        <v>1212</v>
      </c>
      <c r="W252" s="297" t="s">
        <v>2955</v>
      </c>
      <c r="X252" s="297" t="s">
        <v>2963</v>
      </c>
      <c r="Z252" s="297"/>
      <c r="AA252" s="7"/>
      <c r="AB252" s="7"/>
      <c r="AC252" s="1408"/>
      <c r="AD252" s="387"/>
    </row>
    <row r="253" spans="2:30" ht="10.5" customHeight="1">
      <c r="B253" s="150"/>
      <c r="C253" s="269" t="s">
        <v>1724</v>
      </c>
      <c r="D253" s="298">
        <v>50500</v>
      </c>
      <c r="E253" s="150"/>
      <c r="F253" s="437"/>
      <c r="G253" s="1402" t="s">
        <v>335</v>
      </c>
      <c r="H253" s="1402" t="s">
        <v>1119</v>
      </c>
      <c r="I253" s="1409" t="s">
        <v>143</v>
      </c>
      <c r="J253" s="1409" t="s">
        <v>2322</v>
      </c>
      <c r="K253" s="1404" t="s">
        <v>1512</v>
      </c>
      <c r="L253" s="1405" t="s">
        <v>399</v>
      </c>
      <c r="M253" s="1406" t="s">
        <v>2308</v>
      </c>
      <c r="N253" s="1406" t="s">
        <v>143</v>
      </c>
      <c r="O253" s="1407" t="s">
        <v>3572</v>
      </c>
      <c r="P253" s="435" t="s">
        <v>947</v>
      </c>
      <c r="Q253" s="154"/>
      <c r="R253" s="56"/>
      <c r="S253" s="277"/>
      <c r="T253" s="361" t="s">
        <v>1424</v>
      </c>
      <c r="U253" s="361" t="s">
        <v>159</v>
      </c>
      <c r="W253" s="297" t="s">
        <v>1129</v>
      </c>
      <c r="X253" s="297" t="s">
        <v>2963</v>
      </c>
      <c r="Z253" s="297"/>
      <c r="AA253" s="7"/>
      <c r="AB253" s="7"/>
      <c r="AC253" s="1408"/>
      <c r="AD253" s="387"/>
    </row>
    <row r="254" spans="2:30" ht="10.5" customHeight="1">
      <c r="B254" s="150"/>
      <c r="C254" s="269" t="s">
        <v>1726</v>
      </c>
      <c r="D254" s="298">
        <v>40200</v>
      </c>
      <c r="E254" s="150"/>
      <c r="F254" s="437"/>
      <c r="G254" s="1402" t="s">
        <v>1687</v>
      </c>
      <c r="H254" s="1402" t="s">
        <v>1210</v>
      </c>
      <c r="I254" s="1409" t="s">
        <v>708</v>
      </c>
      <c r="J254" s="1409" t="s">
        <v>2322</v>
      </c>
      <c r="K254" s="1404" t="s">
        <v>2307</v>
      </c>
      <c r="L254" s="1405" t="s">
        <v>399</v>
      </c>
      <c r="M254" s="1406" t="s">
        <v>2308</v>
      </c>
      <c r="N254" s="1406" t="s">
        <v>1229</v>
      </c>
      <c r="O254" s="1407" t="s">
        <v>3573</v>
      </c>
      <c r="P254" s="435" t="s">
        <v>948</v>
      </c>
      <c r="Q254" s="154"/>
      <c r="R254" s="56"/>
      <c r="S254" s="277"/>
      <c r="T254" s="361" t="s">
        <v>1571</v>
      </c>
      <c r="U254" s="361" t="s">
        <v>615</v>
      </c>
      <c r="W254" s="297" t="s">
        <v>635</v>
      </c>
      <c r="X254" s="297" t="s">
        <v>2963</v>
      </c>
      <c r="Z254" s="297"/>
      <c r="AA254" s="7"/>
      <c r="AB254" s="7"/>
      <c r="AC254" s="1408"/>
      <c r="AD254" s="387"/>
    </row>
    <row r="255" spans="2:30" ht="10.5" customHeight="1">
      <c r="B255" s="150"/>
      <c r="C255" s="270" t="s">
        <v>1729</v>
      </c>
      <c r="D255" s="298">
        <v>53000</v>
      </c>
      <c r="E255" s="150"/>
      <c r="F255" s="437"/>
      <c r="G255" s="1402" t="s">
        <v>1688</v>
      </c>
      <c r="H255" s="1402" t="s">
        <v>1119</v>
      </c>
      <c r="I255" s="1403" t="s">
        <v>8</v>
      </c>
      <c r="J255" s="1403" t="s">
        <v>2322</v>
      </c>
      <c r="K255" s="1404" t="s">
        <v>2291</v>
      </c>
      <c r="L255" s="1405" t="s">
        <v>399</v>
      </c>
      <c r="M255" s="1406" t="s">
        <v>2308</v>
      </c>
      <c r="N255" s="1406" t="s">
        <v>1225</v>
      </c>
      <c r="O255" s="1407" t="s">
        <v>3574</v>
      </c>
      <c r="P255" s="435" t="s">
        <v>218</v>
      </c>
      <c r="Q255" s="154"/>
      <c r="R255" s="56"/>
      <c r="S255" s="277"/>
      <c r="T255" s="361" t="s">
        <v>1573</v>
      </c>
      <c r="U255" s="361" t="s">
        <v>679</v>
      </c>
      <c r="W255" s="297" t="s">
        <v>622</v>
      </c>
      <c r="X255" s="297" t="s">
        <v>2963</v>
      </c>
      <c r="Z255" s="297"/>
      <c r="AA255" s="7"/>
      <c r="AB255" s="7"/>
      <c r="AC255" s="1408"/>
      <c r="AD255" s="387"/>
    </row>
    <row r="256" spans="2:30" ht="10.5" customHeight="1">
      <c r="B256" s="150"/>
      <c r="C256" s="269" t="s">
        <v>1809</v>
      </c>
      <c r="D256" s="298">
        <v>48700</v>
      </c>
      <c r="E256" s="150"/>
      <c r="F256" s="437"/>
      <c r="G256" s="1402" t="s">
        <v>1689</v>
      </c>
      <c r="H256" s="1402" t="s">
        <v>1119</v>
      </c>
      <c r="I256" s="1409" t="s">
        <v>712</v>
      </c>
      <c r="J256" s="1409" t="s">
        <v>2322</v>
      </c>
      <c r="K256" s="1404" t="s">
        <v>648</v>
      </c>
      <c r="L256" s="1405" t="s">
        <v>399</v>
      </c>
      <c r="M256" s="1406" t="s">
        <v>2308</v>
      </c>
      <c r="N256" s="1406" t="s">
        <v>1113</v>
      </c>
      <c r="O256" s="1407" t="s">
        <v>3575</v>
      </c>
      <c r="P256" s="435" t="s">
        <v>220</v>
      </c>
      <c r="Q256" s="154"/>
      <c r="R256" s="56"/>
      <c r="S256" s="277"/>
      <c r="T256" s="361" t="s">
        <v>946</v>
      </c>
      <c r="U256" s="361" t="s">
        <v>1213</v>
      </c>
      <c r="W256" s="297" t="s">
        <v>907</v>
      </c>
      <c r="X256" s="297" t="s">
        <v>2963</v>
      </c>
      <c r="Z256" s="297"/>
      <c r="AA256" s="7"/>
      <c r="AB256" s="7"/>
      <c r="AC256" s="1408"/>
      <c r="AD256" s="387"/>
    </row>
    <row r="257" spans="2:30" ht="10.5" customHeight="1">
      <c r="B257" s="150"/>
      <c r="C257" s="269" t="s">
        <v>1526</v>
      </c>
      <c r="D257" s="298">
        <v>49500</v>
      </c>
      <c r="E257" s="150"/>
      <c r="F257" s="437"/>
      <c r="G257" s="1402" t="s">
        <v>1480</v>
      </c>
      <c r="H257" s="1402" t="s">
        <v>1119</v>
      </c>
      <c r="I257" s="1403" t="s">
        <v>1481</v>
      </c>
      <c r="J257" s="1403" t="s">
        <v>2321</v>
      </c>
      <c r="K257" s="1404" t="s">
        <v>649</v>
      </c>
      <c r="L257" s="1405" t="s">
        <v>398</v>
      </c>
      <c r="M257" s="1410" t="s">
        <v>2308</v>
      </c>
      <c r="N257" s="1410" t="s">
        <v>1606</v>
      </c>
      <c r="O257" s="1407" t="s">
        <v>3576</v>
      </c>
      <c r="P257" s="435" t="s">
        <v>1166</v>
      </c>
      <c r="Q257" s="154"/>
      <c r="R257" s="56"/>
      <c r="S257" s="277"/>
      <c r="T257" s="361" t="s">
        <v>949</v>
      </c>
      <c r="U257" s="361" t="s">
        <v>613</v>
      </c>
      <c r="W257" s="297" t="s">
        <v>911</v>
      </c>
      <c r="X257" s="297" t="s">
        <v>2963</v>
      </c>
      <c r="Z257" s="297"/>
      <c r="AA257" s="7"/>
      <c r="AB257" s="7"/>
      <c r="AC257" s="1408"/>
      <c r="AD257" s="387"/>
    </row>
    <row r="258" spans="2:30" ht="10.5" customHeight="1">
      <c r="B258" s="150"/>
      <c r="C258" s="270" t="s">
        <v>95</v>
      </c>
      <c r="D258" s="298">
        <v>45300</v>
      </c>
      <c r="E258" s="150"/>
      <c r="F258" s="437"/>
      <c r="G258" s="1402" t="s">
        <v>1482</v>
      </c>
      <c r="H258" s="1402" t="s">
        <v>1119</v>
      </c>
      <c r="I258" s="1403" t="s">
        <v>1483</v>
      </c>
      <c r="J258" s="1403" t="s">
        <v>2321</v>
      </c>
      <c r="K258" s="1404" t="s">
        <v>650</v>
      </c>
      <c r="L258" s="1405" t="s">
        <v>398</v>
      </c>
      <c r="M258" s="1410" t="s">
        <v>2308</v>
      </c>
      <c r="N258" s="1410" t="s">
        <v>1606</v>
      </c>
      <c r="O258" s="1407" t="s">
        <v>3577</v>
      </c>
      <c r="P258" s="435" t="s">
        <v>1843</v>
      </c>
      <c r="Q258" s="154"/>
      <c r="R258" s="56"/>
      <c r="S258" s="277"/>
      <c r="T258" s="361" t="s">
        <v>219</v>
      </c>
      <c r="U258" s="361" t="s">
        <v>2241</v>
      </c>
      <c r="W258" s="297" t="s">
        <v>913</v>
      </c>
      <c r="X258" s="297" t="s">
        <v>2963</v>
      </c>
      <c r="Z258" s="297"/>
      <c r="AA258" s="7"/>
      <c r="AB258" s="7"/>
      <c r="AC258" s="1408"/>
      <c r="AD258" s="387"/>
    </row>
    <row r="259" spans="2:30" ht="10.5" customHeight="1">
      <c r="B259" s="150"/>
      <c r="C259" s="269" t="s">
        <v>1539</v>
      </c>
      <c r="D259" s="298">
        <v>67000</v>
      </c>
      <c r="E259" s="150"/>
      <c r="F259" s="437"/>
      <c r="G259" s="1402" t="s">
        <v>1484</v>
      </c>
      <c r="H259" s="1402" t="s">
        <v>1210</v>
      </c>
      <c r="I259" s="1409" t="s">
        <v>1827</v>
      </c>
      <c r="J259" s="1409" t="s">
        <v>2322</v>
      </c>
      <c r="K259" s="1404" t="s">
        <v>651</v>
      </c>
      <c r="L259" s="1405" t="s">
        <v>399</v>
      </c>
      <c r="M259" s="1406" t="s">
        <v>2308</v>
      </c>
      <c r="N259" s="1406" t="s">
        <v>1113</v>
      </c>
      <c r="O259" s="1407" t="s">
        <v>3578</v>
      </c>
      <c r="P259" s="435" t="s">
        <v>1845</v>
      </c>
      <c r="Q259" s="154"/>
      <c r="R259" s="56"/>
      <c r="S259" s="277"/>
      <c r="T259" s="361" t="s">
        <v>2423</v>
      </c>
      <c r="U259" s="361" t="s">
        <v>813</v>
      </c>
      <c r="W259" s="297" t="s">
        <v>533</v>
      </c>
      <c r="X259" s="297" t="s">
        <v>2963</v>
      </c>
      <c r="Z259" s="297"/>
      <c r="AA259" s="7"/>
      <c r="AB259" s="7"/>
      <c r="AC259" s="1408"/>
      <c r="AD259" s="387"/>
    </row>
    <row r="260" spans="2:30" ht="10.5" customHeight="1">
      <c r="B260" s="150"/>
      <c r="C260" s="269" t="s">
        <v>97</v>
      </c>
      <c r="D260" s="298">
        <v>39700</v>
      </c>
      <c r="F260" s="437"/>
      <c r="G260" s="1402" t="s">
        <v>164</v>
      </c>
      <c r="H260" s="1402" t="s">
        <v>1119</v>
      </c>
      <c r="I260" s="1403" t="s">
        <v>165</v>
      </c>
      <c r="J260" s="1403" t="s">
        <v>2321</v>
      </c>
      <c r="K260" s="1404" t="s">
        <v>652</v>
      </c>
      <c r="L260" s="1405" t="s">
        <v>398</v>
      </c>
      <c r="M260" s="1410" t="s">
        <v>2308</v>
      </c>
      <c r="N260" s="1410" t="s">
        <v>1225</v>
      </c>
      <c r="O260" s="1407" t="s">
        <v>3579</v>
      </c>
      <c r="P260" s="435" t="s">
        <v>1847</v>
      </c>
      <c r="Q260" s="154"/>
      <c r="R260" s="56"/>
      <c r="S260" s="277"/>
      <c r="T260" s="436" t="s">
        <v>1582</v>
      </c>
      <c r="U260" s="436" t="s">
        <v>1017</v>
      </c>
      <c r="W260" s="297" t="s">
        <v>350</v>
      </c>
      <c r="X260" s="297" t="s">
        <v>2963</v>
      </c>
      <c r="Z260" s="297"/>
      <c r="AA260" s="7"/>
      <c r="AB260" s="7"/>
      <c r="AC260" s="1408"/>
      <c r="AD260" s="387"/>
    </row>
    <row r="261" spans="2:30" ht="10.5" customHeight="1">
      <c r="B261" s="150"/>
      <c r="C261" s="269" t="s">
        <v>99</v>
      </c>
      <c r="D261" s="298">
        <v>49600</v>
      </c>
      <c r="F261" s="437"/>
      <c r="G261" s="1402" t="s">
        <v>2293</v>
      </c>
      <c r="H261" s="1402" t="s">
        <v>1210</v>
      </c>
      <c r="I261" s="1409" t="s">
        <v>2294</v>
      </c>
      <c r="J261" s="1403" t="s">
        <v>2322</v>
      </c>
      <c r="K261" s="1404" t="s">
        <v>3580</v>
      </c>
      <c r="L261" s="1405" t="s">
        <v>399</v>
      </c>
      <c r="M261" s="1410" t="s">
        <v>2308</v>
      </c>
      <c r="N261" s="1410" t="s">
        <v>1113</v>
      </c>
      <c r="O261" s="1407" t="s">
        <v>3581</v>
      </c>
      <c r="P261" s="435" t="s">
        <v>1849</v>
      </c>
      <c r="Q261" s="154"/>
      <c r="R261" s="56"/>
      <c r="S261" s="277"/>
      <c r="T261" s="361" t="s">
        <v>1844</v>
      </c>
      <c r="U261" s="361" t="s">
        <v>298</v>
      </c>
      <c r="W261" s="297" t="s">
        <v>1448</v>
      </c>
      <c r="X261" s="297" t="s">
        <v>2963</v>
      </c>
      <c r="Z261" s="297"/>
      <c r="AA261" s="7"/>
      <c r="AB261" s="7"/>
      <c r="AC261" s="1411"/>
      <c r="AD261" s="387"/>
    </row>
    <row r="262" spans="2:30" ht="10.5" customHeight="1">
      <c r="B262" s="150"/>
      <c r="C262" s="269" t="s">
        <v>101</v>
      </c>
      <c r="D262" s="298">
        <v>51300</v>
      </c>
      <c r="F262" s="437"/>
      <c r="G262" s="1402" t="s">
        <v>2295</v>
      </c>
      <c r="H262" s="1402" t="s">
        <v>1210</v>
      </c>
      <c r="I262" s="1403" t="s">
        <v>2296</v>
      </c>
      <c r="J262" s="1403" t="s">
        <v>2322</v>
      </c>
      <c r="K262" s="1404" t="s">
        <v>1755</v>
      </c>
      <c r="L262" s="1405" t="s">
        <v>399</v>
      </c>
      <c r="M262" s="1406" t="s">
        <v>2308</v>
      </c>
      <c r="N262" s="1406" t="s">
        <v>1113</v>
      </c>
      <c r="O262" s="1407" t="s">
        <v>3582</v>
      </c>
      <c r="P262" s="435" t="s">
        <v>1851</v>
      </c>
      <c r="Q262" s="154"/>
      <c r="R262" s="56"/>
      <c r="S262" s="277"/>
      <c r="T262" s="361" t="s">
        <v>1846</v>
      </c>
      <c r="U262" s="361" t="s">
        <v>296</v>
      </c>
      <c r="W262" s="297" t="s">
        <v>935</v>
      </c>
      <c r="X262" s="297" t="s">
        <v>2963</v>
      </c>
      <c r="Z262" s="297"/>
      <c r="AA262" s="7"/>
      <c r="AB262" s="7"/>
      <c r="AC262" s="1408"/>
      <c r="AD262" s="387"/>
    </row>
    <row r="263" spans="2:30" ht="10.5" customHeight="1">
      <c r="B263" s="150"/>
      <c r="C263" s="269" t="s">
        <v>103</v>
      </c>
      <c r="D263" s="298">
        <v>51500</v>
      </c>
      <c r="F263" s="437"/>
      <c r="G263" s="1402" t="s">
        <v>2297</v>
      </c>
      <c r="H263" s="1402" t="s">
        <v>1617</v>
      </c>
      <c r="I263" s="1409" t="s">
        <v>143</v>
      </c>
      <c r="J263" s="1409" t="s">
        <v>2322</v>
      </c>
      <c r="K263" s="1404" t="s">
        <v>1512</v>
      </c>
      <c r="L263" s="1405" t="s">
        <v>399</v>
      </c>
      <c r="M263" s="1410" t="s">
        <v>1103</v>
      </c>
      <c r="N263" s="1410" t="s">
        <v>143</v>
      </c>
      <c r="O263" s="1407" t="s">
        <v>3583</v>
      </c>
      <c r="P263" s="435" t="s">
        <v>1853</v>
      </c>
      <c r="Q263" s="154"/>
      <c r="R263" s="56"/>
      <c r="S263" s="277"/>
      <c r="T263" s="361" t="s">
        <v>1848</v>
      </c>
      <c r="U263" s="361" t="s">
        <v>584</v>
      </c>
      <c r="W263" s="297" t="s">
        <v>937</v>
      </c>
      <c r="X263" s="297" t="s">
        <v>2963</v>
      </c>
      <c r="Z263" s="297"/>
      <c r="AA263" s="7"/>
      <c r="AB263" s="7"/>
      <c r="AC263" s="1408"/>
      <c r="AD263" s="387"/>
    </row>
    <row r="264" spans="2:30" ht="10.5" customHeight="1">
      <c r="B264" s="150"/>
      <c r="C264" s="269" t="s">
        <v>105</v>
      </c>
      <c r="D264" s="298">
        <v>34600</v>
      </c>
      <c r="F264" s="437"/>
      <c r="G264" s="1402" t="s">
        <v>2298</v>
      </c>
      <c r="H264" s="1402" t="s">
        <v>1210</v>
      </c>
      <c r="I264" s="1409" t="s">
        <v>707</v>
      </c>
      <c r="J264" s="1409" t="s">
        <v>2322</v>
      </c>
      <c r="K264" s="1404" t="s">
        <v>2286</v>
      </c>
      <c r="L264" s="1405" t="s">
        <v>399</v>
      </c>
      <c r="M264" s="1406" t="s">
        <v>1103</v>
      </c>
      <c r="N264" s="1406" t="s">
        <v>1113</v>
      </c>
      <c r="O264" s="1407" t="s">
        <v>3584</v>
      </c>
      <c r="P264" s="435" t="s">
        <v>630</v>
      </c>
      <c r="Q264" s="154"/>
      <c r="R264" s="56"/>
      <c r="S264" s="277"/>
      <c r="T264" s="361" t="s">
        <v>1850</v>
      </c>
      <c r="U264" s="361" t="s">
        <v>2295</v>
      </c>
      <c r="W264" s="297" t="s">
        <v>1509</v>
      </c>
      <c r="X264" s="297" t="s">
        <v>2963</v>
      </c>
      <c r="Z264" s="297"/>
      <c r="AA264" s="7"/>
      <c r="AB264" s="7"/>
      <c r="AC264" s="1408"/>
      <c r="AD264" s="387"/>
    </row>
    <row r="265" spans="2:30" ht="10.5" customHeight="1">
      <c r="B265" s="150"/>
      <c r="C265" s="269" t="s">
        <v>107</v>
      </c>
      <c r="D265" s="298">
        <v>50500</v>
      </c>
      <c r="F265" s="437"/>
      <c r="G265" s="1402" t="s">
        <v>2299</v>
      </c>
      <c r="H265" s="1402" t="s">
        <v>1210</v>
      </c>
      <c r="I265" s="1403" t="s">
        <v>1828</v>
      </c>
      <c r="J265" s="1403" t="s">
        <v>2322</v>
      </c>
      <c r="K265" s="1404" t="s">
        <v>576</v>
      </c>
      <c r="L265" s="1405" t="s">
        <v>399</v>
      </c>
      <c r="M265" s="1406" t="s">
        <v>2308</v>
      </c>
      <c r="N265" s="1406" t="s">
        <v>148</v>
      </c>
      <c r="O265" s="1407" t="s">
        <v>3585</v>
      </c>
      <c r="P265" s="435" t="s">
        <v>2069</v>
      </c>
      <c r="Q265" s="154"/>
      <c r="R265" s="56"/>
      <c r="S265" s="277"/>
      <c r="T265" s="361" t="s">
        <v>3586</v>
      </c>
      <c r="U265" s="361" t="s">
        <v>1114</v>
      </c>
      <c r="W265" s="297" t="s">
        <v>805</v>
      </c>
      <c r="X265" s="297" t="s">
        <v>2963</v>
      </c>
      <c r="Z265" s="297"/>
      <c r="AA265" s="7"/>
      <c r="AB265" s="7"/>
      <c r="AC265" s="1408"/>
      <c r="AD265" s="387"/>
    </row>
    <row r="266" spans="2:30" ht="10.5" customHeight="1">
      <c r="B266" s="150"/>
      <c r="C266" s="269" t="s">
        <v>2125</v>
      </c>
      <c r="D266" s="298">
        <v>43700</v>
      </c>
      <c r="F266" s="437"/>
      <c r="G266" s="1402" t="s">
        <v>2300</v>
      </c>
      <c r="H266" s="1402" t="s">
        <v>1210</v>
      </c>
      <c r="I266" s="1403" t="s">
        <v>1828</v>
      </c>
      <c r="J266" s="1403" t="s">
        <v>2322</v>
      </c>
      <c r="K266" s="1404" t="s">
        <v>576</v>
      </c>
      <c r="L266" s="1405" t="s">
        <v>399</v>
      </c>
      <c r="M266" s="1406" t="s">
        <v>2308</v>
      </c>
      <c r="N266" s="1406" t="s">
        <v>148</v>
      </c>
      <c r="O266" s="1407" t="s">
        <v>3587</v>
      </c>
      <c r="P266" s="435" t="s">
        <v>2070</v>
      </c>
      <c r="Q266" s="154"/>
      <c r="R266" s="56"/>
      <c r="S266" s="277"/>
      <c r="T266" s="361" t="s">
        <v>2275</v>
      </c>
      <c r="U266" s="361" t="s">
        <v>1810</v>
      </c>
      <c r="W266" s="297" t="s">
        <v>1568</v>
      </c>
      <c r="X266" s="297" t="s">
        <v>2963</v>
      </c>
      <c r="Z266" s="297"/>
      <c r="AA266" s="7"/>
      <c r="AB266" s="7"/>
      <c r="AC266" s="1408"/>
      <c r="AD266" s="387"/>
    </row>
    <row r="267" spans="2:30" ht="10.5" customHeight="1">
      <c r="B267" s="150"/>
      <c r="C267" s="269" t="s">
        <v>2127</v>
      </c>
      <c r="D267" s="298">
        <v>46700</v>
      </c>
      <c r="F267" s="437"/>
      <c r="G267" s="1402" t="s">
        <v>2301</v>
      </c>
      <c r="H267" s="1402" t="s">
        <v>1210</v>
      </c>
      <c r="I267" s="1409" t="s">
        <v>707</v>
      </c>
      <c r="J267" s="1409" t="s">
        <v>2322</v>
      </c>
      <c r="K267" s="1404" t="s">
        <v>2286</v>
      </c>
      <c r="L267" s="1405" t="s">
        <v>399</v>
      </c>
      <c r="M267" s="1406" t="s">
        <v>1103</v>
      </c>
      <c r="N267" s="1406" t="s">
        <v>1113</v>
      </c>
      <c r="O267" s="1407" t="s">
        <v>3588</v>
      </c>
      <c r="P267" s="435" t="s">
        <v>1153</v>
      </c>
      <c r="Q267" s="154"/>
      <c r="R267" s="56"/>
      <c r="S267" s="277"/>
      <c r="T267" s="361" t="s">
        <v>1852</v>
      </c>
      <c r="U267" s="361" t="s">
        <v>179</v>
      </c>
      <c r="W267" s="297" t="s">
        <v>587</v>
      </c>
      <c r="X267" s="297" t="s">
        <v>2963</v>
      </c>
      <c r="Z267" s="297"/>
      <c r="AA267" s="7"/>
      <c r="AB267" s="7"/>
      <c r="AC267" s="1408"/>
      <c r="AD267" s="387"/>
    </row>
    <row r="268" spans="2:30" ht="10.5" customHeight="1">
      <c r="B268" s="150"/>
      <c r="C268" s="269" t="s">
        <v>2129</v>
      </c>
      <c r="D268" s="298">
        <v>48000</v>
      </c>
      <c r="F268" s="437"/>
      <c r="G268" s="1402" t="s">
        <v>1011</v>
      </c>
      <c r="H268" s="1402" t="s">
        <v>1210</v>
      </c>
      <c r="I268" s="1409" t="s">
        <v>1012</v>
      </c>
      <c r="J268" s="1409" t="s">
        <v>2322</v>
      </c>
      <c r="K268" s="1404" t="s">
        <v>1756</v>
      </c>
      <c r="L268" s="1405" t="s">
        <v>399</v>
      </c>
      <c r="M268" s="1410" t="s">
        <v>2308</v>
      </c>
      <c r="N268" s="1410" t="s">
        <v>1219</v>
      </c>
      <c r="O268" s="1407" t="s">
        <v>3589</v>
      </c>
      <c r="P268" s="435" t="s">
        <v>1155</v>
      </c>
      <c r="Q268" s="154"/>
      <c r="R268" s="56"/>
      <c r="S268" s="277"/>
      <c r="T268" s="361" t="s">
        <v>2424</v>
      </c>
      <c r="U268" s="361" t="s">
        <v>617</v>
      </c>
      <c r="W268" s="297" t="s">
        <v>2032</v>
      </c>
      <c r="X268" s="297" t="s">
        <v>2963</v>
      </c>
      <c r="Z268" s="297"/>
      <c r="AA268" s="7"/>
      <c r="AB268" s="7"/>
      <c r="AC268" s="1408"/>
      <c r="AD268" s="387"/>
    </row>
    <row r="269" spans="2:30" ht="10.5" customHeight="1">
      <c r="F269" s="437"/>
      <c r="G269" s="1402" t="s">
        <v>1013</v>
      </c>
      <c r="H269" s="1402" t="s">
        <v>1210</v>
      </c>
      <c r="I269" s="1409" t="s">
        <v>707</v>
      </c>
      <c r="J269" s="1409" t="s">
        <v>2322</v>
      </c>
      <c r="K269" s="1404" t="s">
        <v>2286</v>
      </c>
      <c r="L269" s="1405" t="s">
        <v>399</v>
      </c>
      <c r="M269" s="1406" t="s">
        <v>1103</v>
      </c>
      <c r="N269" s="1406" t="s">
        <v>1113</v>
      </c>
      <c r="O269" s="1407" t="s">
        <v>3590</v>
      </c>
      <c r="P269" s="435" t="s">
        <v>1157</v>
      </c>
      <c r="Q269" s="154"/>
      <c r="R269" s="56"/>
      <c r="S269" s="277"/>
      <c r="T269" s="361" t="s">
        <v>1854</v>
      </c>
      <c r="U269" s="361" t="s">
        <v>179</v>
      </c>
      <c r="W269" s="297" t="s">
        <v>957</v>
      </c>
      <c r="X269" s="297" t="s">
        <v>2963</v>
      </c>
      <c r="AA269" s="7"/>
      <c r="AB269" s="7"/>
      <c r="AC269" s="1408"/>
      <c r="AD269" s="387"/>
    </row>
    <row r="270" spans="2:30" ht="10.5" customHeight="1">
      <c r="F270" s="437"/>
      <c r="G270" s="1402" t="s">
        <v>1014</v>
      </c>
      <c r="H270" s="1402" t="s">
        <v>1119</v>
      </c>
      <c r="I270" s="1403" t="s">
        <v>1015</v>
      </c>
      <c r="J270" s="1403" t="s">
        <v>2321</v>
      </c>
      <c r="K270" s="1404" t="s">
        <v>1757</v>
      </c>
      <c r="L270" s="1405" t="s">
        <v>398</v>
      </c>
      <c r="M270" s="1410" t="s">
        <v>2308</v>
      </c>
      <c r="N270" s="1410" t="s">
        <v>1526</v>
      </c>
      <c r="O270" s="1407" t="s">
        <v>3591</v>
      </c>
      <c r="P270" s="435" t="s">
        <v>1158</v>
      </c>
      <c r="Q270" s="154"/>
      <c r="R270" s="56"/>
      <c r="S270" s="277"/>
      <c r="T270" s="361" t="s">
        <v>631</v>
      </c>
      <c r="U270" s="361" t="s">
        <v>1810</v>
      </c>
      <c r="W270" s="297" t="s">
        <v>1751</v>
      </c>
      <c r="X270" s="297" t="s">
        <v>2963</v>
      </c>
      <c r="AA270" s="7"/>
      <c r="AB270" s="7"/>
      <c r="AC270" s="1408"/>
      <c r="AD270" s="387"/>
    </row>
    <row r="271" spans="2:30" ht="10.5" customHeight="1">
      <c r="F271" s="437"/>
      <c r="G271" s="1402" t="s">
        <v>1016</v>
      </c>
      <c r="H271" s="1402" t="s">
        <v>1210</v>
      </c>
      <c r="I271" s="1409" t="s">
        <v>707</v>
      </c>
      <c r="J271" s="1409" t="s">
        <v>2322</v>
      </c>
      <c r="K271" s="1404" t="s">
        <v>2286</v>
      </c>
      <c r="L271" s="1405" t="s">
        <v>399</v>
      </c>
      <c r="M271" s="1406" t="s">
        <v>1103</v>
      </c>
      <c r="N271" s="1406" t="s">
        <v>1113</v>
      </c>
      <c r="O271" s="1407" t="s">
        <v>3592</v>
      </c>
      <c r="P271" s="435" t="s">
        <v>1160</v>
      </c>
      <c r="Q271" s="154"/>
      <c r="R271" s="56"/>
      <c r="S271" s="277"/>
      <c r="T271" s="361" t="s">
        <v>2071</v>
      </c>
      <c r="U271" s="361" t="s">
        <v>113</v>
      </c>
      <c r="W271" s="297" t="s">
        <v>462</v>
      </c>
      <c r="X271" s="297" t="s">
        <v>2963</v>
      </c>
      <c r="AA271" s="7"/>
      <c r="AB271" s="7"/>
      <c r="AC271" s="1408"/>
      <c r="AD271" s="387"/>
    </row>
    <row r="272" spans="2:30" ht="10.5" customHeight="1">
      <c r="F272" s="437"/>
      <c r="G272" s="1402" t="s">
        <v>1017</v>
      </c>
      <c r="H272" s="1402" t="s">
        <v>1210</v>
      </c>
      <c r="I272" s="1403" t="s">
        <v>1018</v>
      </c>
      <c r="J272" s="1403" t="s">
        <v>2321</v>
      </c>
      <c r="K272" s="1404" t="s">
        <v>1758</v>
      </c>
      <c r="L272" s="1405" t="s">
        <v>398</v>
      </c>
      <c r="M272" s="1410" t="s">
        <v>2308</v>
      </c>
      <c r="N272" s="1410" t="s">
        <v>1113</v>
      </c>
      <c r="O272" s="1407" t="s">
        <v>3593</v>
      </c>
      <c r="P272" s="435" t="s">
        <v>2212</v>
      </c>
      <c r="Q272" s="154"/>
      <c r="R272" s="56"/>
      <c r="S272" s="277"/>
      <c r="T272" s="361" t="s">
        <v>1154</v>
      </c>
      <c r="U272" s="361" t="s">
        <v>584</v>
      </c>
      <c r="W272" s="297" t="s">
        <v>1490</v>
      </c>
      <c r="X272" s="297" t="s">
        <v>2963</v>
      </c>
      <c r="AA272" s="7"/>
      <c r="AB272" s="7"/>
      <c r="AC272" s="1408"/>
      <c r="AD272" s="387"/>
    </row>
    <row r="273" spans="6:30" ht="10.5" customHeight="1">
      <c r="F273" s="437"/>
      <c r="G273" s="1402" t="s">
        <v>1019</v>
      </c>
      <c r="H273" s="1402" t="s">
        <v>1119</v>
      </c>
      <c r="I273" s="1409" t="s">
        <v>1020</v>
      </c>
      <c r="J273" s="1409" t="s">
        <v>2322</v>
      </c>
      <c r="K273" s="1404" t="s">
        <v>1759</v>
      </c>
      <c r="L273" s="1405" t="s">
        <v>399</v>
      </c>
      <c r="M273" s="1410" t="s">
        <v>2308</v>
      </c>
      <c r="N273" s="1410" t="s">
        <v>1219</v>
      </c>
      <c r="O273" s="1407" t="s">
        <v>3594</v>
      </c>
      <c r="P273" s="435" t="s">
        <v>77</v>
      </c>
      <c r="Q273" s="154"/>
      <c r="R273" s="56"/>
      <c r="S273" s="277"/>
      <c r="T273" s="361" t="s">
        <v>1156</v>
      </c>
      <c r="U273" s="361" t="s">
        <v>1991</v>
      </c>
      <c r="W273" s="297" t="s">
        <v>876</v>
      </c>
      <c r="X273" s="297" t="s">
        <v>2963</v>
      </c>
      <c r="AA273" s="7"/>
      <c r="AB273" s="7"/>
      <c r="AC273" s="1408"/>
      <c r="AD273" s="387"/>
    </row>
    <row r="274" spans="6:30" ht="10.5" customHeight="1">
      <c r="F274" s="437"/>
      <c r="G274" s="1402" t="s">
        <v>1021</v>
      </c>
      <c r="H274" s="1402" t="s">
        <v>1210</v>
      </c>
      <c r="I274" s="1409" t="s">
        <v>1022</v>
      </c>
      <c r="J274" s="1409" t="s">
        <v>2321</v>
      </c>
      <c r="K274" s="1404" t="s">
        <v>1760</v>
      </c>
      <c r="L274" s="1405" t="s">
        <v>398</v>
      </c>
      <c r="M274" s="1410" t="s">
        <v>2308</v>
      </c>
      <c r="N274" s="1410" t="s">
        <v>1113</v>
      </c>
      <c r="O274" s="1407" t="s">
        <v>3595</v>
      </c>
      <c r="P274" s="435" t="s">
        <v>78</v>
      </c>
      <c r="Q274" s="154"/>
      <c r="R274" s="56"/>
      <c r="S274" s="277"/>
      <c r="T274" s="361" t="s">
        <v>2202</v>
      </c>
      <c r="U274" s="361" t="s">
        <v>1025</v>
      </c>
      <c r="W274" s="297" t="s">
        <v>2050</v>
      </c>
      <c r="X274" s="297" t="s">
        <v>2963</v>
      </c>
      <c r="AA274" s="7"/>
      <c r="AB274" s="7"/>
      <c r="AC274" s="1408"/>
      <c r="AD274" s="387"/>
    </row>
    <row r="275" spans="6:30" ht="10.5" customHeight="1">
      <c r="F275" s="437"/>
      <c r="G275" s="1402" t="s">
        <v>1023</v>
      </c>
      <c r="H275" s="1402" t="s">
        <v>1119</v>
      </c>
      <c r="I275" s="1403" t="s">
        <v>1024</v>
      </c>
      <c r="J275" s="1403" t="s">
        <v>2321</v>
      </c>
      <c r="K275" s="1404" t="s">
        <v>1608</v>
      </c>
      <c r="L275" s="1405" t="s">
        <v>398</v>
      </c>
      <c r="M275" s="1410" t="s">
        <v>2308</v>
      </c>
      <c r="N275" s="1410" t="s">
        <v>143</v>
      </c>
      <c r="O275" s="1407" t="s">
        <v>3596</v>
      </c>
      <c r="P275" s="435" t="s">
        <v>79</v>
      </c>
      <c r="Q275" s="154"/>
      <c r="R275" s="56"/>
      <c r="S275" s="277"/>
      <c r="T275" s="361" t="s">
        <v>1159</v>
      </c>
      <c r="U275" s="361" t="s">
        <v>289</v>
      </c>
      <c r="W275" s="297" t="s">
        <v>301</v>
      </c>
      <c r="X275" s="297" t="s">
        <v>2963</v>
      </c>
      <c r="AA275" s="7"/>
      <c r="AB275" s="7"/>
      <c r="AC275" s="1408"/>
      <c r="AD275" s="387"/>
    </row>
    <row r="276" spans="6:30" ht="10.5" customHeight="1">
      <c r="F276" s="437"/>
      <c r="G276" s="1402" t="s">
        <v>1025</v>
      </c>
      <c r="H276" s="1402" t="s">
        <v>1210</v>
      </c>
      <c r="I276" s="1403" t="s">
        <v>1026</v>
      </c>
      <c r="J276" s="1403" t="s">
        <v>2321</v>
      </c>
      <c r="K276" s="1404" t="s">
        <v>1609</v>
      </c>
      <c r="L276" s="1405" t="s">
        <v>398</v>
      </c>
      <c r="M276" s="1410" t="s">
        <v>2308</v>
      </c>
      <c r="N276" s="1410" t="s">
        <v>148</v>
      </c>
      <c r="O276" s="1407" t="s">
        <v>3597</v>
      </c>
      <c r="P276" s="435" t="s">
        <v>81</v>
      </c>
      <c r="Q276" s="154"/>
      <c r="R276" s="56"/>
      <c r="S276" s="277"/>
      <c r="T276" s="361" t="s">
        <v>2211</v>
      </c>
      <c r="U276" s="361" t="s">
        <v>106</v>
      </c>
      <c r="W276" s="297" t="s">
        <v>303</v>
      </c>
      <c r="X276" s="297" t="s">
        <v>2963</v>
      </c>
      <c r="AA276" s="7"/>
      <c r="AB276" s="7"/>
      <c r="AC276" s="1408"/>
      <c r="AD276" s="387"/>
    </row>
    <row r="277" spans="6:30" ht="10.5" customHeight="1">
      <c r="F277" s="437"/>
      <c r="G277" s="1402" t="s">
        <v>1027</v>
      </c>
      <c r="H277" s="1402" t="s">
        <v>1119</v>
      </c>
      <c r="I277" s="1403" t="s">
        <v>1028</v>
      </c>
      <c r="J277" s="1403" t="s">
        <v>2321</v>
      </c>
      <c r="K277" s="1404" t="s">
        <v>1610</v>
      </c>
      <c r="L277" s="1405" t="s">
        <v>398</v>
      </c>
      <c r="M277" s="1410" t="s">
        <v>2308</v>
      </c>
      <c r="N277" s="1410" t="s">
        <v>1606</v>
      </c>
      <c r="O277" s="1407" t="s">
        <v>3598</v>
      </c>
      <c r="P277" s="435" t="s">
        <v>1134</v>
      </c>
      <c r="Q277" s="154"/>
      <c r="R277" s="56"/>
      <c r="S277" s="277"/>
      <c r="T277" s="361" t="s">
        <v>76</v>
      </c>
      <c r="U277" s="361" t="s">
        <v>176</v>
      </c>
      <c r="W277" s="297" t="s">
        <v>306</v>
      </c>
      <c r="X277" s="297" t="s">
        <v>2963</v>
      </c>
      <c r="AA277" s="7"/>
      <c r="AB277" s="7"/>
      <c r="AC277" s="1408"/>
      <c r="AD277" s="387"/>
    </row>
    <row r="278" spans="6:30" ht="10.5" customHeight="1">
      <c r="F278" s="437"/>
      <c r="G278" s="1402" t="s">
        <v>1029</v>
      </c>
      <c r="H278" s="1402" t="s">
        <v>1617</v>
      </c>
      <c r="I278" s="1409" t="s">
        <v>708</v>
      </c>
      <c r="J278" s="1409" t="s">
        <v>2322</v>
      </c>
      <c r="K278" s="1404" t="s">
        <v>2307</v>
      </c>
      <c r="L278" s="1405" t="s">
        <v>399</v>
      </c>
      <c r="M278" s="1410" t="s">
        <v>1103</v>
      </c>
      <c r="N278" s="1410" t="s">
        <v>1229</v>
      </c>
      <c r="O278" s="1407" t="s">
        <v>3599</v>
      </c>
      <c r="P278" s="435" t="s">
        <v>1136</v>
      </c>
      <c r="Q278" s="154"/>
      <c r="R278" s="56"/>
      <c r="S278" s="277"/>
      <c r="T278" s="361" t="s">
        <v>80</v>
      </c>
      <c r="U278" s="361" t="s">
        <v>1946</v>
      </c>
      <c r="W278" s="297" t="s">
        <v>1581</v>
      </c>
      <c r="X278" s="297" t="s">
        <v>2963</v>
      </c>
      <c r="AA278" s="7"/>
      <c r="AB278" s="7"/>
      <c r="AC278" s="1408"/>
      <c r="AD278" s="387"/>
    </row>
    <row r="279" spans="6:30" ht="10.5" customHeight="1">
      <c r="F279" s="437"/>
      <c r="G279" s="1402" t="s">
        <v>1030</v>
      </c>
      <c r="H279" s="1402" t="s">
        <v>1210</v>
      </c>
      <c r="I279" s="1409" t="s">
        <v>707</v>
      </c>
      <c r="J279" s="1409" t="s">
        <v>2322</v>
      </c>
      <c r="K279" s="1404" t="s">
        <v>2286</v>
      </c>
      <c r="L279" s="1405" t="s">
        <v>399</v>
      </c>
      <c r="M279" s="1406" t="s">
        <v>1103</v>
      </c>
      <c r="N279" s="1406" t="s">
        <v>1113</v>
      </c>
      <c r="O279" s="1407" t="s">
        <v>3600</v>
      </c>
      <c r="P279" s="435" t="s">
        <v>1138</v>
      </c>
      <c r="Q279" s="154"/>
      <c r="R279" s="56"/>
      <c r="S279" s="277"/>
      <c r="T279" s="361" t="s">
        <v>82</v>
      </c>
      <c r="U279" s="361" t="s">
        <v>1220</v>
      </c>
      <c r="W279" s="297" t="s">
        <v>643</v>
      </c>
      <c r="X279" s="297" t="s">
        <v>2963</v>
      </c>
      <c r="AA279" s="7"/>
      <c r="AB279" s="7"/>
      <c r="AC279" s="1408"/>
      <c r="AD279" s="387"/>
    </row>
    <row r="280" spans="6:30" ht="10.5" customHeight="1">
      <c r="F280" s="437"/>
      <c r="G280" s="1402" t="s">
        <v>1031</v>
      </c>
      <c r="H280" s="1402" t="s">
        <v>1119</v>
      </c>
      <c r="I280" s="1403" t="s">
        <v>1930</v>
      </c>
      <c r="J280" s="1403" t="s">
        <v>2321</v>
      </c>
      <c r="K280" s="1404" t="s">
        <v>1611</v>
      </c>
      <c r="L280" s="1405" t="s">
        <v>398</v>
      </c>
      <c r="M280" s="1410" t="s">
        <v>2308</v>
      </c>
      <c r="N280" s="1410" t="s">
        <v>143</v>
      </c>
      <c r="O280" s="1407" t="s">
        <v>3601</v>
      </c>
      <c r="P280" s="435" t="s">
        <v>1140</v>
      </c>
      <c r="Q280" s="154"/>
      <c r="R280" s="56"/>
      <c r="S280" s="277"/>
      <c r="T280" s="361" t="s">
        <v>1135</v>
      </c>
      <c r="U280" s="361" t="s">
        <v>1753</v>
      </c>
      <c r="W280" s="297" t="s">
        <v>2091</v>
      </c>
      <c r="X280" s="297" t="s">
        <v>2963</v>
      </c>
      <c r="AA280" s="7"/>
      <c r="AB280" s="7"/>
      <c r="AC280" s="1408"/>
      <c r="AD280" s="387"/>
    </row>
    <row r="281" spans="6:30" ht="10.5" customHeight="1">
      <c r="F281" s="437"/>
      <c r="G281" s="1402" t="s">
        <v>1931</v>
      </c>
      <c r="H281" s="1402" t="s">
        <v>1119</v>
      </c>
      <c r="I281" s="1403" t="s">
        <v>1932</v>
      </c>
      <c r="J281" s="1403" t="s">
        <v>2321</v>
      </c>
      <c r="K281" s="1404" t="s">
        <v>1612</v>
      </c>
      <c r="L281" s="1405" t="s">
        <v>398</v>
      </c>
      <c r="M281" s="1410" t="s">
        <v>2308</v>
      </c>
      <c r="N281" s="1410" t="s">
        <v>1225</v>
      </c>
      <c r="O281" s="1407" t="s">
        <v>3602</v>
      </c>
      <c r="P281" s="435" t="s">
        <v>1142</v>
      </c>
      <c r="Q281" s="154"/>
      <c r="R281" s="56"/>
      <c r="S281" s="277"/>
      <c r="T281" s="361" t="s">
        <v>1137</v>
      </c>
      <c r="U281" s="361" t="s">
        <v>159</v>
      </c>
      <c r="W281" s="297" t="s">
        <v>446</v>
      </c>
      <c r="X281" s="297" t="s">
        <v>2963</v>
      </c>
      <c r="AA281" s="7"/>
      <c r="AB281" s="7"/>
      <c r="AC281" s="1408"/>
      <c r="AD281" s="387"/>
    </row>
    <row r="282" spans="6:30" ht="10.5" customHeight="1">
      <c r="F282" s="437"/>
      <c r="G282" s="1402" t="s">
        <v>1461</v>
      </c>
      <c r="H282" s="1402" t="s">
        <v>1461</v>
      </c>
      <c r="I282" s="1402" t="s">
        <v>1461</v>
      </c>
      <c r="J282" s="1403"/>
      <c r="K282" s="1404"/>
      <c r="L282" s="1405"/>
      <c r="M282" s="1402" t="s">
        <v>1461</v>
      </c>
      <c r="N282" s="1402" t="s">
        <v>1461</v>
      </c>
      <c r="O282" s="1407" t="s">
        <v>3603</v>
      </c>
      <c r="P282" s="435" t="s">
        <v>1144</v>
      </c>
      <c r="Q282" s="154"/>
      <c r="R282" s="56"/>
      <c r="S282" s="277"/>
      <c r="T282" s="361" t="s">
        <v>1139</v>
      </c>
      <c r="U282" s="361" t="s">
        <v>1027</v>
      </c>
      <c r="W282" s="297" t="s">
        <v>2956</v>
      </c>
      <c r="X282" s="297" t="s">
        <v>2963</v>
      </c>
      <c r="AA282" s="7"/>
      <c r="AB282" s="7"/>
      <c r="AC282" s="1408"/>
      <c r="AD282" s="387"/>
    </row>
    <row r="283" spans="6:30" ht="10.5" customHeight="1">
      <c r="F283" s="437"/>
      <c r="G283" s="1402" t="s">
        <v>1933</v>
      </c>
      <c r="H283" s="1402" t="s">
        <v>1119</v>
      </c>
      <c r="I283" s="1409" t="s">
        <v>1934</v>
      </c>
      <c r="J283" s="1403" t="s">
        <v>2321</v>
      </c>
      <c r="K283" s="1404" t="s">
        <v>431</v>
      </c>
      <c r="L283" s="1405" t="s">
        <v>398</v>
      </c>
      <c r="M283" s="1410" t="s">
        <v>2308</v>
      </c>
      <c r="N283" s="1410" t="s">
        <v>1606</v>
      </c>
      <c r="O283" s="1407" t="s">
        <v>3604</v>
      </c>
      <c r="P283" s="435" t="s">
        <v>830</v>
      </c>
      <c r="Q283" s="154"/>
      <c r="R283" s="56"/>
      <c r="S283" s="277"/>
      <c r="T283" s="436" t="s">
        <v>1141</v>
      </c>
      <c r="U283" s="436" t="s">
        <v>1114</v>
      </c>
      <c r="W283" s="297" t="s">
        <v>2957</v>
      </c>
      <c r="X283" s="297" t="s">
        <v>2963</v>
      </c>
      <c r="AA283" s="7"/>
      <c r="AB283" s="7"/>
      <c r="AC283" s="1408"/>
      <c r="AD283" s="387"/>
    </row>
    <row r="284" spans="6:30" ht="10.5" customHeight="1">
      <c r="F284" s="437"/>
      <c r="G284" s="1402" t="s">
        <v>1935</v>
      </c>
      <c r="H284" s="1402" t="s">
        <v>1119</v>
      </c>
      <c r="I284" s="1409" t="s">
        <v>707</v>
      </c>
      <c r="J284" s="1409" t="s">
        <v>2322</v>
      </c>
      <c r="K284" s="1404" t="s">
        <v>2286</v>
      </c>
      <c r="L284" s="1405" t="s">
        <v>399</v>
      </c>
      <c r="M284" s="1406" t="s">
        <v>1103</v>
      </c>
      <c r="N284" s="1410" t="s">
        <v>1113</v>
      </c>
      <c r="O284" s="1407" t="s">
        <v>3605</v>
      </c>
      <c r="P284" s="435" t="s">
        <v>831</v>
      </c>
      <c r="Q284" s="154"/>
      <c r="R284" s="56"/>
      <c r="S284" s="277"/>
      <c r="T284" s="361" t="s">
        <v>1143</v>
      </c>
      <c r="U284" s="361" t="s">
        <v>1946</v>
      </c>
      <c r="W284" s="297" t="s">
        <v>73</v>
      </c>
      <c r="X284" s="297" t="s">
        <v>2963</v>
      </c>
      <c r="AA284" s="7"/>
      <c r="AB284" s="7"/>
      <c r="AC284" s="1411"/>
      <c r="AD284" s="387"/>
    </row>
    <row r="285" spans="6:30" ht="10.5" customHeight="1">
      <c r="F285" s="437"/>
      <c r="G285" s="1402" t="s">
        <v>1936</v>
      </c>
      <c r="H285" s="1402" t="s">
        <v>1210</v>
      </c>
      <c r="I285" s="1409" t="s">
        <v>1937</v>
      </c>
      <c r="J285" s="1409" t="s">
        <v>2321</v>
      </c>
      <c r="K285" s="1404" t="s">
        <v>203</v>
      </c>
      <c r="L285" s="1405" t="s">
        <v>398</v>
      </c>
      <c r="M285" s="1410" t="s">
        <v>2308</v>
      </c>
      <c r="N285" s="1406" t="s">
        <v>148</v>
      </c>
      <c r="O285" s="1407" t="s">
        <v>3606</v>
      </c>
      <c r="P285" s="435" t="s">
        <v>833</v>
      </c>
      <c r="Q285" s="154"/>
      <c r="R285" s="56"/>
      <c r="S285" s="277"/>
      <c r="T285" s="361" t="s">
        <v>2208</v>
      </c>
      <c r="U285" s="361" t="s">
        <v>1480</v>
      </c>
      <c r="W285" s="297" t="s">
        <v>2142</v>
      </c>
      <c r="X285" s="297" t="s">
        <v>2963</v>
      </c>
      <c r="AA285" s="7"/>
      <c r="AB285" s="7"/>
      <c r="AC285" s="1408"/>
      <c r="AD285" s="387"/>
    </row>
    <row r="286" spans="6:30" ht="10.5" customHeight="1">
      <c r="F286" s="437"/>
      <c r="G286" s="1402" t="s">
        <v>1938</v>
      </c>
      <c r="H286" s="1402" t="s">
        <v>1119</v>
      </c>
      <c r="I286" s="1403" t="s">
        <v>1939</v>
      </c>
      <c r="J286" s="1409" t="s">
        <v>2321</v>
      </c>
      <c r="K286" s="1404" t="s">
        <v>1307</v>
      </c>
      <c r="L286" s="1405" t="s">
        <v>398</v>
      </c>
      <c r="M286" s="1410" t="s">
        <v>2308</v>
      </c>
      <c r="N286" s="1410" t="s">
        <v>143</v>
      </c>
      <c r="O286" s="1407" t="s">
        <v>3607</v>
      </c>
      <c r="P286" s="435" t="s">
        <v>835</v>
      </c>
      <c r="Q286" s="154"/>
      <c r="R286" s="56"/>
      <c r="S286" s="277"/>
      <c r="T286" s="361" t="s">
        <v>143</v>
      </c>
      <c r="U286" s="361" t="s">
        <v>2297</v>
      </c>
      <c r="W286" s="297" t="s">
        <v>570</v>
      </c>
      <c r="X286" s="297" t="s">
        <v>2963</v>
      </c>
      <c r="AA286" s="7"/>
      <c r="AB286" s="7"/>
      <c r="AC286" s="1408"/>
      <c r="AD286" s="387"/>
    </row>
    <row r="287" spans="6:30" ht="10.5" customHeight="1">
      <c r="F287" s="437"/>
      <c r="G287" s="1402" t="s">
        <v>1940</v>
      </c>
      <c r="H287" s="1402" t="s">
        <v>1617</v>
      </c>
      <c r="I287" s="1403" t="s">
        <v>1941</v>
      </c>
      <c r="J287" s="1403" t="s">
        <v>2321</v>
      </c>
      <c r="K287" s="1404" t="s">
        <v>1308</v>
      </c>
      <c r="L287" s="1405" t="s">
        <v>398</v>
      </c>
      <c r="M287" s="1410" t="s">
        <v>2308</v>
      </c>
      <c r="N287" s="1410" t="s">
        <v>1606</v>
      </c>
      <c r="O287" s="1407" t="s">
        <v>3608</v>
      </c>
      <c r="P287" s="435" t="s">
        <v>1904</v>
      </c>
      <c r="Q287" s="154"/>
      <c r="R287" s="56"/>
      <c r="S287" s="277"/>
      <c r="T287" s="361" t="s">
        <v>832</v>
      </c>
      <c r="U287" s="361" t="s">
        <v>159</v>
      </c>
      <c r="W287" s="297" t="s">
        <v>895</v>
      </c>
      <c r="X287" s="297" t="s">
        <v>2963</v>
      </c>
      <c r="AA287" s="7"/>
      <c r="AB287" s="7"/>
      <c r="AC287" s="1408"/>
      <c r="AD287" s="387"/>
    </row>
    <row r="288" spans="6:30" ht="10.5" customHeight="1">
      <c r="F288" s="437"/>
      <c r="G288" s="1402" t="s">
        <v>1942</v>
      </c>
      <c r="H288" s="1402" t="s">
        <v>1119</v>
      </c>
      <c r="I288" s="1403" t="s">
        <v>1943</v>
      </c>
      <c r="J288" s="1403" t="s">
        <v>2321</v>
      </c>
      <c r="K288" s="1404" t="s">
        <v>1309</v>
      </c>
      <c r="L288" s="1405" t="s">
        <v>398</v>
      </c>
      <c r="M288" s="1410" t="s">
        <v>2308</v>
      </c>
      <c r="N288" s="1410" t="s">
        <v>143</v>
      </c>
      <c r="O288" s="1407" t="s">
        <v>3609</v>
      </c>
      <c r="P288" s="435" t="s">
        <v>1905</v>
      </c>
      <c r="Q288" s="154"/>
      <c r="R288" s="56"/>
      <c r="S288" s="277"/>
      <c r="T288" s="361" t="s">
        <v>834</v>
      </c>
      <c r="U288" s="361" t="s">
        <v>301</v>
      </c>
      <c r="W288" s="297" t="s">
        <v>1363</v>
      </c>
      <c r="X288" s="297" t="s">
        <v>2963</v>
      </c>
      <c r="AA288" s="7"/>
      <c r="AB288" s="7"/>
      <c r="AC288" s="1408"/>
      <c r="AD288" s="387"/>
    </row>
    <row r="289" spans="6:30" ht="10.5" customHeight="1">
      <c r="F289" s="437"/>
      <c r="G289" s="1402" t="s">
        <v>1944</v>
      </c>
      <c r="H289" s="1402" t="s">
        <v>1210</v>
      </c>
      <c r="I289" s="1403" t="s">
        <v>1945</v>
      </c>
      <c r="J289" s="1403" t="s">
        <v>2321</v>
      </c>
      <c r="K289" s="1404" t="s">
        <v>1813</v>
      </c>
      <c r="L289" s="1405" t="s">
        <v>398</v>
      </c>
      <c r="M289" s="1410" t="s">
        <v>2308</v>
      </c>
      <c r="N289" s="1410" t="s">
        <v>148</v>
      </c>
      <c r="O289" s="1407" t="s">
        <v>3610</v>
      </c>
      <c r="P289" s="435" t="s">
        <v>1839</v>
      </c>
      <c r="Q289" s="154"/>
      <c r="R289" s="56"/>
      <c r="S289" s="277"/>
      <c r="T289" s="436" t="s">
        <v>836</v>
      </c>
      <c r="U289" s="436" t="s">
        <v>1016</v>
      </c>
      <c r="W289" s="297" t="s">
        <v>2078</v>
      </c>
      <c r="X289" s="297" t="s">
        <v>2963</v>
      </c>
      <c r="AA289" s="7"/>
      <c r="AB289" s="7"/>
      <c r="AC289" s="1408"/>
      <c r="AD289" s="387"/>
    </row>
    <row r="290" spans="6:30" ht="10.5" customHeight="1">
      <c r="F290" s="437"/>
      <c r="G290" s="1402" t="s">
        <v>1946</v>
      </c>
      <c r="H290" s="1402" t="s">
        <v>1119</v>
      </c>
      <c r="I290" s="1403" t="s">
        <v>1947</v>
      </c>
      <c r="J290" s="1403" t="s">
        <v>2321</v>
      </c>
      <c r="K290" s="1404" t="s">
        <v>1814</v>
      </c>
      <c r="L290" s="1405" t="s">
        <v>398</v>
      </c>
      <c r="M290" s="1410" t="s">
        <v>2308</v>
      </c>
      <c r="N290" s="1410" t="s">
        <v>1225</v>
      </c>
      <c r="O290" s="1407" t="s">
        <v>3611</v>
      </c>
      <c r="P290" s="435" t="s">
        <v>1841</v>
      </c>
      <c r="Q290" s="154"/>
      <c r="R290" s="56"/>
      <c r="S290" s="277"/>
      <c r="T290" s="361" t="s">
        <v>2276</v>
      </c>
      <c r="U290" s="361" t="s">
        <v>2202</v>
      </c>
      <c r="W290" s="297" t="s">
        <v>760</v>
      </c>
      <c r="X290" s="297" t="s">
        <v>2963</v>
      </c>
      <c r="AA290" s="7"/>
      <c r="AB290" s="7"/>
      <c r="AC290" s="1411"/>
      <c r="AD290" s="387"/>
    </row>
    <row r="291" spans="6:30" ht="10.5" customHeight="1">
      <c r="F291" s="437"/>
      <c r="G291" s="1402" t="s">
        <v>1948</v>
      </c>
      <c r="H291" s="1402" t="s">
        <v>1119</v>
      </c>
      <c r="I291" s="1403" t="s">
        <v>809</v>
      </c>
      <c r="J291" s="1403" t="s">
        <v>2321</v>
      </c>
      <c r="K291" s="1404" t="s">
        <v>1815</v>
      </c>
      <c r="L291" s="1405" t="s">
        <v>398</v>
      </c>
      <c r="M291" s="1410" t="s">
        <v>2308</v>
      </c>
      <c r="N291" s="1410" t="s">
        <v>143</v>
      </c>
      <c r="O291" s="1407" t="s">
        <v>3612</v>
      </c>
      <c r="P291" s="435" t="s">
        <v>554</v>
      </c>
      <c r="Q291" s="154"/>
      <c r="R291" s="56"/>
      <c r="S291" s="277"/>
      <c r="T291" s="361" t="s">
        <v>1906</v>
      </c>
      <c r="U291" s="361" t="s">
        <v>1030</v>
      </c>
      <c r="W291" s="297" t="s">
        <v>763</v>
      </c>
      <c r="X291" s="297" t="s">
        <v>2963</v>
      </c>
      <c r="AA291" s="7"/>
      <c r="AB291" s="7"/>
      <c r="AC291" s="1408"/>
      <c r="AD291" s="387"/>
    </row>
    <row r="292" spans="6:30" ht="10.5" customHeight="1">
      <c r="F292" s="437"/>
      <c r="G292" s="1402" t="s">
        <v>810</v>
      </c>
      <c r="H292" s="1402" t="s">
        <v>1119</v>
      </c>
      <c r="I292" s="1403" t="s">
        <v>811</v>
      </c>
      <c r="J292" s="1403" t="s">
        <v>2321</v>
      </c>
      <c r="K292" s="1404" t="s">
        <v>1816</v>
      </c>
      <c r="L292" s="1405" t="s">
        <v>398</v>
      </c>
      <c r="M292" s="1410" t="s">
        <v>2308</v>
      </c>
      <c r="N292" s="1410" t="s">
        <v>1606</v>
      </c>
      <c r="O292" s="1407" t="s">
        <v>3613</v>
      </c>
      <c r="P292" s="435" t="s">
        <v>555</v>
      </c>
      <c r="Q292" s="154"/>
      <c r="R292" s="56"/>
      <c r="S292" s="277"/>
      <c r="T292" s="361" t="s">
        <v>1840</v>
      </c>
      <c r="U292" s="361" t="s">
        <v>1496</v>
      </c>
      <c r="W292" s="297" t="s">
        <v>1374</v>
      </c>
      <c r="X292" s="297" t="s">
        <v>2963</v>
      </c>
      <c r="AA292" s="7"/>
      <c r="AB292" s="7"/>
      <c r="AC292" s="1408"/>
      <c r="AD292" s="387"/>
    </row>
    <row r="293" spans="6:30" ht="10.5" customHeight="1">
      <c r="F293" s="437"/>
      <c r="G293" s="1402" t="s">
        <v>1495</v>
      </c>
      <c r="H293" s="1402" t="s">
        <v>1119</v>
      </c>
      <c r="I293" s="1409" t="s">
        <v>1606</v>
      </c>
      <c r="J293" s="1403" t="s">
        <v>2322</v>
      </c>
      <c r="K293" s="1404" t="s">
        <v>1077</v>
      </c>
      <c r="L293" s="1405" t="s">
        <v>399</v>
      </c>
      <c r="M293" s="1406" t="s">
        <v>2308</v>
      </c>
      <c r="N293" s="1410" t="s">
        <v>1606</v>
      </c>
      <c r="O293" s="1407" t="s">
        <v>3614</v>
      </c>
      <c r="P293" s="435" t="s">
        <v>557</v>
      </c>
      <c r="Q293" s="154"/>
      <c r="R293" s="56"/>
      <c r="S293" s="277"/>
      <c r="T293" s="361" t="s">
        <v>1842</v>
      </c>
      <c r="U293" s="361" t="s">
        <v>2245</v>
      </c>
      <c r="W293" s="297" t="s">
        <v>454</v>
      </c>
      <c r="X293" s="297" t="s">
        <v>2963</v>
      </c>
      <c r="AA293" s="7"/>
      <c r="AB293" s="7"/>
      <c r="AC293" s="1408"/>
      <c r="AD293" s="387"/>
    </row>
    <row r="294" spans="6:30" ht="10.5" customHeight="1">
      <c r="F294" s="437"/>
      <c r="G294" s="1402" t="s">
        <v>1496</v>
      </c>
      <c r="H294" s="1402" t="s">
        <v>1119</v>
      </c>
      <c r="I294" s="1409" t="s">
        <v>1497</v>
      </c>
      <c r="J294" s="1409" t="s">
        <v>2321</v>
      </c>
      <c r="K294" s="1404" t="s">
        <v>1817</v>
      </c>
      <c r="L294" s="1405" t="s">
        <v>398</v>
      </c>
      <c r="M294" s="1410" t="s">
        <v>2308</v>
      </c>
      <c r="N294" s="1406" t="s">
        <v>1526</v>
      </c>
      <c r="O294" s="1407" t="s">
        <v>3615</v>
      </c>
      <c r="P294" s="435" t="s">
        <v>559</v>
      </c>
      <c r="Q294" s="154"/>
      <c r="R294" s="56"/>
      <c r="S294" s="277"/>
      <c r="T294" s="361" t="s">
        <v>765</v>
      </c>
      <c r="U294" s="361" t="s">
        <v>296</v>
      </c>
      <c r="W294" s="297" t="s">
        <v>1285</v>
      </c>
      <c r="X294" s="297" t="s">
        <v>2963</v>
      </c>
      <c r="AA294" s="7"/>
      <c r="AB294" s="7"/>
      <c r="AC294" s="1408"/>
      <c r="AD294" s="387"/>
    </row>
    <row r="295" spans="6:30" ht="10.5" customHeight="1">
      <c r="F295" s="437"/>
      <c r="G295" s="1402" t="s">
        <v>1498</v>
      </c>
      <c r="H295" s="1402" t="s">
        <v>1119</v>
      </c>
      <c r="I295" s="1409" t="s">
        <v>1716</v>
      </c>
      <c r="J295" s="1409" t="s">
        <v>2321</v>
      </c>
      <c r="K295" s="1404" t="s">
        <v>1081</v>
      </c>
      <c r="L295" s="1405" t="s">
        <v>398</v>
      </c>
      <c r="M295" s="1410" t="s">
        <v>2308</v>
      </c>
      <c r="N295" s="1410" t="s">
        <v>1606</v>
      </c>
      <c r="O295" s="1407" t="s">
        <v>3616</v>
      </c>
      <c r="P295" s="435" t="s">
        <v>560</v>
      </c>
      <c r="Q295" s="154"/>
      <c r="R295" s="56"/>
      <c r="S295" s="277"/>
      <c r="T295" s="361" t="s">
        <v>556</v>
      </c>
      <c r="U295" s="361" t="s">
        <v>113</v>
      </c>
      <c r="W295" s="297" t="s">
        <v>1287</v>
      </c>
      <c r="X295" s="297" t="s">
        <v>2963</v>
      </c>
      <c r="AA295" s="7"/>
      <c r="AB295" s="7"/>
      <c r="AC295" s="1408"/>
      <c r="AD295" s="1412"/>
    </row>
    <row r="296" spans="6:30" ht="10.5" customHeight="1">
      <c r="F296" s="437"/>
      <c r="G296" s="1402" t="s">
        <v>1717</v>
      </c>
      <c r="H296" s="1402" t="s">
        <v>1119</v>
      </c>
      <c r="I296" s="1409" t="s">
        <v>1718</v>
      </c>
      <c r="J296" s="1409" t="s">
        <v>2321</v>
      </c>
      <c r="K296" s="1404" t="s">
        <v>1082</v>
      </c>
      <c r="L296" s="1405" t="s">
        <v>398</v>
      </c>
      <c r="M296" s="1410" t="s">
        <v>2308</v>
      </c>
      <c r="N296" s="1410" t="s">
        <v>1225</v>
      </c>
      <c r="O296" s="1407" t="s">
        <v>3617</v>
      </c>
      <c r="P296" s="435" t="s">
        <v>561</v>
      </c>
      <c r="Q296" s="154"/>
      <c r="R296" s="56"/>
      <c r="S296" s="277"/>
      <c r="T296" s="361" t="s">
        <v>2277</v>
      </c>
      <c r="U296" s="361" t="s">
        <v>1226</v>
      </c>
      <c r="W296" s="297" t="s">
        <v>2210</v>
      </c>
      <c r="X296" s="297" t="s">
        <v>2963</v>
      </c>
      <c r="AA296" s="7"/>
      <c r="AB296" s="7"/>
      <c r="AC296" s="1408"/>
      <c r="AD296" s="387"/>
    </row>
    <row r="297" spans="6:30" ht="10.5" customHeight="1">
      <c r="F297" s="437"/>
      <c r="G297" s="1402" t="s">
        <v>1719</v>
      </c>
      <c r="H297" s="1402" t="s">
        <v>1210</v>
      </c>
      <c r="I297" s="1409" t="s">
        <v>1720</v>
      </c>
      <c r="J297" s="1409" t="s">
        <v>2321</v>
      </c>
      <c r="K297" s="1404" t="s">
        <v>1083</v>
      </c>
      <c r="L297" s="1405" t="s">
        <v>398</v>
      </c>
      <c r="M297" s="1410" t="s">
        <v>2308</v>
      </c>
      <c r="N297" s="1410" t="s">
        <v>148</v>
      </c>
      <c r="O297" s="1407" t="s">
        <v>3618</v>
      </c>
      <c r="P297" s="435" t="s">
        <v>563</v>
      </c>
      <c r="Q297" s="154"/>
      <c r="R297" s="56"/>
      <c r="S297" s="277"/>
      <c r="T297" s="361" t="s">
        <v>558</v>
      </c>
      <c r="U297" s="361" t="s">
        <v>2298</v>
      </c>
      <c r="W297" s="297" t="s">
        <v>980</v>
      </c>
      <c r="X297" s="297" t="s">
        <v>2963</v>
      </c>
      <c r="AA297" s="7"/>
      <c r="AB297" s="7"/>
      <c r="AC297" s="1408"/>
      <c r="AD297" s="387"/>
    </row>
    <row r="298" spans="6:30" ht="10.5" customHeight="1">
      <c r="F298" s="437"/>
      <c r="G298" s="1402" t="s">
        <v>1721</v>
      </c>
      <c r="H298" s="1402" t="s">
        <v>1119</v>
      </c>
      <c r="I298" s="1409" t="s">
        <v>1722</v>
      </c>
      <c r="J298" s="1409" t="s">
        <v>2321</v>
      </c>
      <c r="K298" s="1404" t="s">
        <v>1084</v>
      </c>
      <c r="L298" s="1405" t="s">
        <v>398</v>
      </c>
      <c r="M298" s="1410" t="s">
        <v>2308</v>
      </c>
      <c r="N298" s="1410" t="s">
        <v>1219</v>
      </c>
      <c r="O298" s="1407" t="s">
        <v>3619</v>
      </c>
      <c r="P298" s="435" t="s">
        <v>565</v>
      </c>
      <c r="Q298" s="154"/>
      <c r="R298" s="56"/>
      <c r="S298" s="277"/>
      <c r="T298" s="361" t="s">
        <v>2244</v>
      </c>
      <c r="U298" s="361" t="s">
        <v>2300</v>
      </c>
      <c r="W298" s="297" t="s">
        <v>1219</v>
      </c>
      <c r="X298" s="297" t="s">
        <v>2963</v>
      </c>
      <c r="AA298" s="7"/>
      <c r="AB298" s="7"/>
      <c r="AC298" s="1408"/>
      <c r="AD298" s="387"/>
    </row>
    <row r="299" spans="6:30" ht="10.5" customHeight="1">
      <c r="F299" s="437"/>
      <c r="G299" s="1402" t="s">
        <v>1723</v>
      </c>
      <c r="H299" s="1402" t="s">
        <v>1119</v>
      </c>
      <c r="I299" s="1403" t="s">
        <v>1724</v>
      </c>
      <c r="J299" s="1409" t="s">
        <v>2321</v>
      </c>
      <c r="K299" s="1404" t="s">
        <v>1085</v>
      </c>
      <c r="L299" s="1405" t="s">
        <v>398</v>
      </c>
      <c r="M299" s="1410" t="s">
        <v>2308</v>
      </c>
      <c r="N299" s="1410" t="s">
        <v>1113</v>
      </c>
      <c r="O299" s="1407" t="s">
        <v>3620</v>
      </c>
      <c r="P299" s="435" t="s">
        <v>511</v>
      </c>
      <c r="Q299" s="154"/>
      <c r="R299" s="56"/>
      <c r="S299" s="277"/>
      <c r="T299" s="361" t="s">
        <v>562</v>
      </c>
      <c r="U299" s="361" t="s">
        <v>1944</v>
      </c>
      <c r="W299" s="297" t="s">
        <v>159</v>
      </c>
      <c r="X299" s="297" t="s">
        <v>2963</v>
      </c>
      <c r="AA299" s="7"/>
      <c r="AB299" s="7"/>
      <c r="AC299" s="1408"/>
      <c r="AD299" s="387"/>
    </row>
    <row r="300" spans="6:30" ht="10.5" customHeight="1">
      <c r="F300" s="437"/>
      <c r="G300" s="1402" t="s">
        <v>1725</v>
      </c>
      <c r="H300" s="1402" t="s">
        <v>1119</v>
      </c>
      <c r="I300" s="1409" t="s">
        <v>1726</v>
      </c>
      <c r="J300" s="1403" t="s">
        <v>2321</v>
      </c>
      <c r="K300" s="1404" t="s">
        <v>1086</v>
      </c>
      <c r="L300" s="1405" t="s">
        <v>398</v>
      </c>
      <c r="M300" s="1410" t="s">
        <v>2308</v>
      </c>
      <c r="N300" s="1410" t="s">
        <v>1606</v>
      </c>
      <c r="O300" s="1407" t="s">
        <v>3621</v>
      </c>
      <c r="P300" s="435" t="s">
        <v>1072</v>
      </c>
      <c r="Q300" s="154"/>
      <c r="R300" s="56"/>
      <c r="S300" s="277"/>
      <c r="T300" s="361" t="s">
        <v>2425</v>
      </c>
      <c r="U300" s="361" t="s">
        <v>1021</v>
      </c>
      <c r="W300" s="297" t="s">
        <v>1431</v>
      </c>
      <c r="X300" s="297" t="s">
        <v>2963</v>
      </c>
      <c r="AA300" s="7"/>
      <c r="AB300" s="7"/>
      <c r="AC300" s="1408"/>
      <c r="AD300" s="387"/>
    </row>
    <row r="301" spans="6:30" ht="10.5" customHeight="1">
      <c r="F301" s="437"/>
      <c r="G301" s="1402" t="s">
        <v>1727</v>
      </c>
      <c r="H301" s="1402" t="s">
        <v>1119</v>
      </c>
      <c r="I301" s="1409" t="s">
        <v>1219</v>
      </c>
      <c r="J301" s="1409" t="s">
        <v>2322</v>
      </c>
      <c r="K301" s="1404" t="s">
        <v>2289</v>
      </c>
      <c r="L301" s="1405" t="s">
        <v>399</v>
      </c>
      <c r="M301" s="1406" t="s">
        <v>2308</v>
      </c>
      <c r="N301" s="1410" t="s">
        <v>1219</v>
      </c>
      <c r="O301" s="1407" t="s">
        <v>3622</v>
      </c>
      <c r="P301" s="435" t="s">
        <v>692</v>
      </c>
      <c r="Q301" s="154"/>
      <c r="R301" s="56"/>
      <c r="S301" s="277"/>
      <c r="T301" s="361" t="s">
        <v>564</v>
      </c>
      <c r="U301" s="361" t="s">
        <v>1484</v>
      </c>
      <c r="W301" s="297" t="s">
        <v>355</v>
      </c>
      <c r="X301" s="297" t="s">
        <v>2963</v>
      </c>
      <c r="AA301" s="7"/>
      <c r="AB301" s="7"/>
      <c r="AC301" s="1408"/>
      <c r="AD301" s="387"/>
    </row>
    <row r="302" spans="6:30" ht="10.5" customHeight="1">
      <c r="F302" s="437"/>
      <c r="G302" s="1402" t="s">
        <v>1728</v>
      </c>
      <c r="H302" s="1402" t="s">
        <v>1210</v>
      </c>
      <c r="I302" s="1409" t="s">
        <v>1729</v>
      </c>
      <c r="J302" s="1409" t="s">
        <v>2321</v>
      </c>
      <c r="K302" s="1404" t="s">
        <v>1087</v>
      </c>
      <c r="L302" s="1405" t="s">
        <v>398</v>
      </c>
      <c r="M302" s="1410" t="s">
        <v>2308</v>
      </c>
      <c r="N302" s="1406" t="s">
        <v>148</v>
      </c>
      <c r="O302" s="1407" t="s">
        <v>3623</v>
      </c>
      <c r="P302" s="435" t="s">
        <v>31</v>
      </c>
      <c r="Q302" s="154"/>
      <c r="R302" s="56"/>
      <c r="S302" s="277"/>
      <c r="T302" s="361" t="s">
        <v>510</v>
      </c>
      <c r="U302" s="361" t="s">
        <v>614</v>
      </c>
      <c r="W302" s="297" t="s">
        <v>357</v>
      </c>
      <c r="X302" s="297" t="s">
        <v>2963</v>
      </c>
      <c r="AA302" s="7"/>
      <c r="AB302" s="7"/>
      <c r="AC302" s="1408"/>
      <c r="AD302" s="387"/>
    </row>
    <row r="303" spans="6:30" ht="10.5" customHeight="1">
      <c r="F303" s="437"/>
      <c r="G303" s="1402" t="s">
        <v>1808</v>
      </c>
      <c r="H303" s="1402" t="s">
        <v>1119</v>
      </c>
      <c r="I303" s="1403" t="s">
        <v>1809</v>
      </c>
      <c r="J303" s="1409" t="s">
        <v>2321</v>
      </c>
      <c r="K303" s="1404" t="s">
        <v>1088</v>
      </c>
      <c r="L303" s="1405" t="s">
        <v>398</v>
      </c>
      <c r="M303" s="1410" t="s">
        <v>2308</v>
      </c>
      <c r="N303" s="1410" t="s">
        <v>1113</v>
      </c>
      <c r="O303" s="1407" t="s">
        <v>3624</v>
      </c>
      <c r="P303" s="435" t="s">
        <v>1767</v>
      </c>
      <c r="Q303" s="154"/>
      <c r="R303" s="56"/>
      <c r="S303" s="277"/>
      <c r="T303" s="361" t="s">
        <v>512</v>
      </c>
      <c r="U303" s="361" t="s">
        <v>142</v>
      </c>
      <c r="W303" s="297" t="s">
        <v>1460</v>
      </c>
      <c r="X303" s="297" t="s">
        <v>2963</v>
      </c>
      <c r="AA303" s="7"/>
      <c r="AB303" s="7"/>
      <c r="AC303" s="1408"/>
      <c r="AD303" s="387"/>
    </row>
    <row r="304" spans="6:30" ht="10.5" customHeight="1">
      <c r="F304" s="437"/>
      <c r="G304" s="1402" t="s">
        <v>1810</v>
      </c>
      <c r="H304" s="1402" t="s">
        <v>1210</v>
      </c>
      <c r="I304" s="1409" t="s">
        <v>1386</v>
      </c>
      <c r="J304" s="1403" t="s">
        <v>2322</v>
      </c>
      <c r="K304" s="1404" t="s">
        <v>1510</v>
      </c>
      <c r="L304" s="1405" t="s">
        <v>399</v>
      </c>
      <c r="M304" s="1406" t="s">
        <v>2308</v>
      </c>
      <c r="N304" s="1410" t="s">
        <v>1386</v>
      </c>
      <c r="O304" s="1407" t="s">
        <v>3625</v>
      </c>
      <c r="P304" s="435" t="s">
        <v>1769</v>
      </c>
      <c r="Q304" s="154"/>
      <c r="R304" s="56"/>
      <c r="S304" s="277"/>
      <c r="T304" s="361" t="s">
        <v>691</v>
      </c>
      <c r="U304" s="361" t="s">
        <v>1027</v>
      </c>
      <c r="W304" s="297" t="s">
        <v>1008</v>
      </c>
      <c r="X304" s="297" t="s">
        <v>2963</v>
      </c>
      <c r="AA304" s="7"/>
      <c r="AB304" s="7"/>
      <c r="AC304" s="1408"/>
      <c r="AD304" s="387"/>
    </row>
    <row r="305" spans="6:30" ht="10.5" customHeight="1">
      <c r="F305" s="437"/>
      <c r="G305" s="1402" t="s">
        <v>1811</v>
      </c>
      <c r="H305" s="1402" t="s">
        <v>1210</v>
      </c>
      <c r="I305" s="1409" t="s">
        <v>707</v>
      </c>
      <c r="J305" s="1409" t="s">
        <v>2322</v>
      </c>
      <c r="K305" s="1404" t="s">
        <v>2286</v>
      </c>
      <c r="L305" s="1405" t="s">
        <v>399</v>
      </c>
      <c r="M305" s="1406" t="s">
        <v>1103</v>
      </c>
      <c r="N305" s="1406" t="s">
        <v>1113</v>
      </c>
      <c r="O305" s="1407" t="s">
        <v>3626</v>
      </c>
      <c r="P305" s="435" t="s">
        <v>312</v>
      </c>
      <c r="Q305" s="154"/>
      <c r="R305" s="56"/>
      <c r="S305" s="277"/>
      <c r="T305" s="361" t="s">
        <v>693</v>
      </c>
      <c r="U305" s="361" t="s">
        <v>112</v>
      </c>
      <c r="W305" s="297" t="s">
        <v>2958</v>
      </c>
      <c r="X305" s="297" t="s">
        <v>2963</v>
      </c>
      <c r="AA305" s="7"/>
      <c r="AB305" s="7"/>
      <c r="AC305" s="1408"/>
      <c r="AD305" s="387"/>
    </row>
    <row r="306" spans="6:30" ht="10.5" customHeight="1">
      <c r="F306" s="437"/>
      <c r="G306" s="1402" t="s">
        <v>1812</v>
      </c>
      <c r="H306" s="1402" t="s">
        <v>1119</v>
      </c>
      <c r="I306" s="1409" t="s">
        <v>95</v>
      </c>
      <c r="J306" s="1409" t="s">
        <v>2321</v>
      </c>
      <c r="K306" s="1404" t="s">
        <v>1089</v>
      </c>
      <c r="L306" s="1405" t="s">
        <v>398</v>
      </c>
      <c r="M306" s="1410" t="s">
        <v>2308</v>
      </c>
      <c r="N306" s="1406" t="s">
        <v>1526</v>
      </c>
      <c r="O306" s="1407" t="s">
        <v>3627</v>
      </c>
      <c r="P306" s="435" t="s">
        <v>314</v>
      </c>
      <c r="Q306" s="154"/>
      <c r="R306" s="56"/>
      <c r="S306" s="277"/>
      <c r="T306" s="361" t="s">
        <v>32</v>
      </c>
      <c r="U306" s="361" t="s">
        <v>156</v>
      </c>
      <c r="W306" s="297" t="s">
        <v>2959</v>
      </c>
      <c r="X306" s="297" t="s">
        <v>2963</v>
      </c>
      <c r="AA306" s="7"/>
      <c r="AB306" s="7"/>
      <c r="AC306" s="1408"/>
      <c r="AD306" s="387"/>
    </row>
    <row r="307" spans="6:30" ht="10.5" customHeight="1">
      <c r="F307" s="437"/>
      <c r="G307" s="1402" t="s">
        <v>96</v>
      </c>
      <c r="H307" s="1402" t="s">
        <v>1210</v>
      </c>
      <c r="I307" s="1409" t="s">
        <v>97</v>
      </c>
      <c r="J307" s="1409" t="s">
        <v>2321</v>
      </c>
      <c r="K307" s="1404" t="s">
        <v>1090</v>
      </c>
      <c r="L307" s="1405" t="s">
        <v>398</v>
      </c>
      <c r="M307" s="1410" t="s">
        <v>2308</v>
      </c>
      <c r="N307" s="1410" t="s">
        <v>1229</v>
      </c>
      <c r="O307" s="1407" t="s">
        <v>3628</v>
      </c>
      <c r="P307" s="435" t="s">
        <v>316</v>
      </c>
      <c r="Q307" s="154"/>
      <c r="R307" s="56"/>
      <c r="S307" s="277"/>
      <c r="T307" s="361" t="s">
        <v>1768</v>
      </c>
      <c r="U307" s="361" t="s">
        <v>1991</v>
      </c>
      <c r="W307" s="297" t="s">
        <v>485</v>
      </c>
      <c r="X307" s="297" t="s">
        <v>2963</v>
      </c>
      <c r="AA307" s="7"/>
      <c r="AB307" s="7"/>
      <c r="AC307" s="1408"/>
      <c r="AD307" s="387"/>
    </row>
    <row r="308" spans="6:30" ht="10.5" customHeight="1">
      <c r="F308" s="437"/>
      <c r="G308" s="1402" t="s">
        <v>98</v>
      </c>
      <c r="H308" s="1402" t="s">
        <v>1119</v>
      </c>
      <c r="I308" s="1409" t="s">
        <v>99</v>
      </c>
      <c r="J308" s="1409" t="s">
        <v>2321</v>
      </c>
      <c r="K308" s="1404" t="s">
        <v>1091</v>
      </c>
      <c r="L308" s="1405" t="s">
        <v>398</v>
      </c>
      <c r="M308" s="1410" t="s">
        <v>2308</v>
      </c>
      <c r="N308" s="1410" t="s">
        <v>1219</v>
      </c>
      <c r="O308" s="1407" t="s">
        <v>3629</v>
      </c>
      <c r="P308" s="435" t="s">
        <v>318</v>
      </c>
      <c r="Q308" s="154"/>
      <c r="R308" s="56"/>
      <c r="S308" s="277"/>
      <c r="T308" s="361" t="s">
        <v>1770</v>
      </c>
      <c r="U308" s="361" t="s">
        <v>2301</v>
      </c>
      <c r="W308" s="297" t="s">
        <v>487</v>
      </c>
      <c r="X308" s="297" t="s">
        <v>2963</v>
      </c>
      <c r="AA308" s="7"/>
      <c r="AB308" s="7"/>
      <c r="AC308" s="1408"/>
      <c r="AD308" s="387"/>
    </row>
    <row r="309" spans="6:30" ht="10.5" customHeight="1">
      <c r="F309" s="437"/>
      <c r="G309" s="1402" t="s">
        <v>100</v>
      </c>
      <c r="H309" s="1402" t="s">
        <v>1119</v>
      </c>
      <c r="I309" s="1409" t="s">
        <v>101</v>
      </c>
      <c r="J309" s="1409" t="s">
        <v>2321</v>
      </c>
      <c r="K309" s="1404" t="s">
        <v>1092</v>
      </c>
      <c r="L309" s="1405" t="s">
        <v>398</v>
      </c>
      <c r="M309" s="1410" t="s">
        <v>2308</v>
      </c>
      <c r="N309" s="1410" t="s">
        <v>1225</v>
      </c>
      <c r="O309" s="1407" t="s">
        <v>3630</v>
      </c>
      <c r="P309" s="435" t="s">
        <v>320</v>
      </c>
      <c r="Q309" s="154"/>
      <c r="R309" s="56"/>
      <c r="S309" s="277"/>
      <c r="T309" s="361" t="s">
        <v>313</v>
      </c>
      <c r="U309" s="361" t="s">
        <v>1753</v>
      </c>
      <c r="W309" s="297" t="s">
        <v>493</v>
      </c>
      <c r="X309" s="297" t="s">
        <v>2963</v>
      </c>
      <c r="AA309" s="7"/>
      <c r="AB309" s="7"/>
      <c r="AC309" s="1408"/>
      <c r="AD309" s="387"/>
    </row>
    <row r="310" spans="6:30" ht="10.5" customHeight="1">
      <c r="F310" s="437"/>
      <c r="G310" s="1402" t="s">
        <v>102</v>
      </c>
      <c r="H310" s="1402" t="s">
        <v>1119</v>
      </c>
      <c r="I310" s="1409" t="s">
        <v>103</v>
      </c>
      <c r="J310" s="1409" t="s">
        <v>2321</v>
      </c>
      <c r="K310" s="1404" t="s">
        <v>1093</v>
      </c>
      <c r="L310" s="1405" t="s">
        <v>398</v>
      </c>
      <c r="M310" s="1410" t="s">
        <v>2308</v>
      </c>
      <c r="N310" s="1410" t="s">
        <v>143</v>
      </c>
      <c r="O310" s="1407" t="s">
        <v>3631</v>
      </c>
      <c r="P310" s="435" t="s">
        <v>322</v>
      </c>
      <c r="Q310" s="154"/>
      <c r="R310" s="56"/>
      <c r="S310" s="277"/>
      <c r="T310" s="361" t="s">
        <v>315</v>
      </c>
      <c r="U310" s="361" t="s">
        <v>813</v>
      </c>
      <c r="W310" s="297" t="s">
        <v>506</v>
      </c>
      <c r="X310" s="297" t="s">
        <v>2963</v>
      </c>
      <c r="AA310" s="7"/>
      <c r="AB310" s="7"/>
      <c r="AC310" s="1408"/>
      <c r="AD310" s="387"/>
    </row>
    <row r="311" spans="6:30" ht="10.5" customHeight="1">
      <c r="F311" s="437"/>
      <c r="G311" s="1402" t="s">
        <v>104</v>
      </c>
      <c r="H311" s="1402" t="s">
        <v>1119</v>
      </c>
      <c r="I311" s="1409" t="s">
        <v>105</v>
      </c>
      <c r="J311" s="1409" t="s">
        <v>2321</v>
      </c>
      <c r="K311" s="1404" t="s">
        <v>2095</v>
      </c>
      <c r="L311" s="1405" t="s">
        <v>398</v>
      </c>
      <c r="M311" s="1410" t="s">
        <v>2308</v>
      </c>
      <c r="N311" s="1410" t="s">
        <v>1219</v>
      </c>
      <c r="O311" s="1407" t="s">
        <v>3632</v>
      </c>
      <c r="P311" s="435" t="s">
        <v>1747</v>
      </c>
      <c r="Q311" s="154"/>
      <c r="R311" s="56"/>
      <c r="S311" s="277"/>
      <c r="T311" s="361" t="s">
        <v>317</v>
      </c>
      <c r="U311" s="361" t="s">
        <v>159</v>
      </c>
      <c r="W311" s="297" t="s">
        <v>1484</v>
      </c>
      <c r="X311" s="297" t="s">
        <v>2963</v>
      </c>
      <c r="AA311" s="7"/>
      <c r="AB311" s="7"/>
      <c r="AC311" s="1408"/>
      <c r="AD311" s="387"/>
    </row>
    <row r="312" spans="6:30" ht="10.5" customHeight="1">
      <c r="F312" s="437"/>
      <c r="G312" s="1402" t="s">
        <v>106</v>
      </c>
      <c r="H312" s="1402" t="s">
        <v>1210</v>
      </c>
      <c r="I312" s="1409" t="s">
        <v>107</v>
      </c>
      <c r="J312" s="1409" t="s">
        <v>2321</v>
      </c>
      <c r="K312" s="1404" t="s">
        <v>2096</v>
      </c>
      <c r="L312" s="1405" t="s">
        <v>398</v>
      </c>
      <c r="M312" s="1410" t="s">
        <v>2308</v>
      </c>
      <c r="N312" s="1410" t="s">
        <v>148</v>
      </c>
      <c r="O312" s="1407" t="s">
        <v>3633</v>
      </c>
      <c r="P312" s="435" t="s">
        <v>1749</v>
      </c>
      <c r="Q312" s="154"/>
      <c r="R312" s="56"/>
      <c r="S312" s="277"/>
      <c r="T312" s="361" t="s">
        <v>319</v>
      </c>
      <c r="U312" s="361" t="s">
        <v>2128</v>
      </c>
      <c r="W312" s="297" t="s">
        <v>1873</v>
      </c>
      <c r="X312" s="297" t="s">
        <v>2963</v>
      </c>
      <c r="AA312" s="7"/>
      <c r="AB312" s="7"/>
      <c r="AC312" s="1408"/>
      <c r="AD312" s="387"/>
    </row>
    <row r="313" spans="6:30" ht="10.5" customHeight="1">
      <c r="F313" s="437"/>
      <c r="G313" s="1402" t="s">
        <v>1753</v>
      </c>
      <c r="H313" s="1402" t="s">
        <v>1210</v>
      </c>
      <c r="I313" s="1403" t="s">
        <v>313</v>
      </c>
      <c r="J313" s="1409" t="s">
        <v>2322</v>
      </c>
      <c r="K313" s="1404" t="s">
        <v>2097</v>
      </c>
      <c r="L313" s="1405" t="s">
        <v>399</v>
      </c>
      <c r="M313" s="1410" t="s">
        <v>1103</v>
      </c>
      <c r="N313" s="1410" t="s">
        <v>1386</v>
      </c>
      <c r="O313" s="1407" t="s">
        <v>3634</v>
      </c>
      <c r="P313" s="435" t="s">
        <v>1919</v>
      </c>
      <c r="Q313" s="154"/>
      <c r="R313" s="56"/>
      <c r="S313" s="277"/>
      <c r="T313" s="436" t="s">
        <v>321</v>
      </c>
      <c r="U313" s="436" t="s">
        <v>1688</v>
      </c>
      <c r="W313" s="297" t="s">
        <v>2960</v>
      </c>
      <c r="X313" s="297" t="s">
        <v>2963</v>
      </c>
      <c r="AA313" s="7"/>
      <c r="AB313" s="7"/>
      <c r="AC313" s="1408"/>
      <c r="AD313" s="387"/>
    </row>
    <row r="314" spans="6:30" ht="10.5" customHeight="1">
      <c r="F314" s="437"/>
      <c r="G314" s="1402" t="s">
        <v>1754</v>
      </c>
      <c r="H314" s="1402" t="s">
        <v>1119</v>
      </c>
      <c r="I314" s="1409" t="s">
        <v>2125</v>
      </c>
      <c r="J314" s="1403" t="s">
        <v>2321</v>
      </c>
      <c r="K314" s="1404" t="s">
        <v>2098</v>
      </c>
      <c r="L314" s="1405" t="s">
        <v>398</v>
      </c>
      <c r="M314" s="1410" t="s">
        <v>2308</v>
      </c>
      <c r="N314" s="1410" t="s">
        <v>1606</v>
      </c>
      <c r="O314" s="1407" t="s">
        <v>3635</v>
      </c>
      <c r="P314" s="435" t="s">
        <v>135</v>
      </c>
      <c r="Q314" s="154"/>
      <c r="R314" s="56"/>
      <c r="S314" s="277"/>
      <c r="T314" s="361" t="s">
        <v>323</v>
      </c>
      <c r="U314" s="361" t="s">
        <v>155</v>
      </c>
      <c r="W314" s="297" t="s">
        <v>1995</v>
      </c>
      <c r="X314" s="297" t="s">
        <v>2963</v>
      </c>
      <c r="AA314" s="7"/>
      <c r="AB314" s="7"/>
      <c r="AC314" s="1411"/>
      <c r="AD314" s="387"/>
    </row>
    <row r="315" spans="6:30" ht="10.5" customHeight="1">
      <c r="F315" s="437"/>
      <c r="G315" s="1402" t="s">
        <v>2126</v>
      </c>
      <c r="H315" s="1402" t="s">
        <v>1210</v>
      </c>
      <c r="I315" s="1409" t="s">
        <v>2127</v>
      </c>
      <c r="J315" s="1409" t="s">
        <v>2321</v>
      </c>
      <c r="K315" s="1404" t="s">
        <v>396</v>
      </c>
      <c r="L315" s="1405" t="s">
        <v>398</v>
      </c>
      <c r="M315" s="1410" t="s">
        <v>2308</v>
      </c>
      <c r="N315" s="1410" t="s">
        <v>1229</v>
      </c>
      <c r="O315" s="1407" t="s">
        <v>3636</v>
      </c>
      <c r="P315" s="435" t="s">
        <v>136</v>
      </c>
      <c r="Q315" s="154"/>
      <c r="R315" s="56"/>
      <c r="S315" s="277"/>
      <c r="T315" s="361" t="s">
        <v>1748</v>
      </c>
      <c r="U315" s="361" t="s">
        <v>98</v>
      </c>
      <c r="W315" s="297" t="s">
        <v>375</v>
      </c>
      <c r="X315" s="297" t="s">
        <v>2963</v>
      </c>
      <c r="AA315" s="7"/>
      <c r="AB315" s="7"/>
      <c r="AC315" s="1408"/>
      <c r="AD315" s="387"/>
    </row>
    <row r="316" spans="6:30" ht="10.5" customHeight="1">
      <c r="F316" s="437"/>
      <c r="G316" s="1402" t="s">
        <v>2128</v>
      </c>
      <c r="H316" s="1402" t="s">
        <v>1119</v>
      </c>
      <c r="I316" s="1409" t="s">
        <v>2129</v>
      </c>
      <c r="J316" s="1409" t="s">
        <v>2321</v>
      </c>
      <c r="K316" s="1404" t="s">
        <v>397</v>
      </c>
      <c r="L316" s="1405" t="s">
        <v>398</v>
      </c>
      <c r="M316" s="1410" t="s">
        <v>2308</v>
      </c>
      <c r="N316" s="1410" t="s">
        <v>1219</v>
      </c>
      <c r="O316" s="1407" t="s">
        <v>3637</v>
      </c>
      <c r="P316" s="435" t="s">
        <v>1436</v>
      </c>
      <c r="Q316" s="154"/>
      <c r="R316" s="56"/>
      <c r="S316" s="277"/>
      <c r="T316" s="361" t="s">
        <v>175</v>
      </c>
      <c r="U316" s="361" t="s">
        <v>1495</v>
      </c>
      <c r="W316" s="297" t="s">
        <v>1657</v>
      </c>
      <c r="X316" s="297" t="s">
        <v>2963</v>
      </c>
      <c r="AA316" s="7"/>
      <c r="AB316" s="7"/>
      <c r="AC316" s="1408"/>
      <c r="AD316" s="387"/>
    </row>
    <row r="317" spans="6:30" ht="10.5" customHeight="1">
      <c r="F317" s="199"/>
      <c r="G317" s="1402" t="s">
        <v>2130</v>
      </c>
      <c r="H317" s="1402" t="s">
        <v>1119</v>
      </c>
      <c r="I317" s="1409" t="s">
        <v>1606</v>
      </c>
      <c r="J317" s="1409" t="s">
        <v>2322</v>
      </c>
      <c r="K317" s="1404" t="s">
        <v>1077</v>
      </c>
      <c r="L317" s="1405" t="s">
        <v>399</v>
      </c>
      <c r="M317" s="1406" t="s">
        <v>2308</v>
      </c>
      <c r="N317" s="1410" t="s">
        <v>1606</v>
      </c>
      <c r="O317" s="1407" t="s">
        <v>3638</v>
      </c>
      <c r="P317" s="435" t="s">
        <v>730</v>
      </c>
      <c r="Q317" s="154"/>
      <c r="R317" s="56"/>
      <c r="S317" s="277"/>
      <c r="T317" s="361" t="s">
        <v>1920</v>
      </c>
      <c r="U317" s="361" t="s">
        <v>175</v>
      </c>
      <c r="W317" s="297" t="s">
        <v>2017</v>
      </c>
      <c r="X317" s="297" t="s">
        <v>2963</v>
      </c>
      <c r="AA317" s="7"/>
      <c r="AB317" s="7"/>
      <c r="AC317" s="1408"/>
      <c r="AD317" s="387"/>
    </row>
    <row r="318" spans="6:30" ht="10.5" customHeight="1">
      <c r="F318" s="199"/>
      <c r="G318" s="184"/>
      <c r="H318" s="184"/>
      <c r="I318" s="184"/>
      <c r="J318" s="269"/>
      <c r="K318" s="184"/>
      <c r="L318" s="184"/>
      <c r="M318" s="260"/>
      <c r="N318" s="260"/>
      <c r="O318" s="260"/>
      <c r="P318" s="435" t="s">
        <v>732</v>
      </c>
      <c r="Q318" s="154"/>
      <c r="R318" s="56"/>
      <c r="S318" s="277"/>
      <c r="T318" s="361" t="s">
        <v>641</v>
      </c>
      <c r="U318" s="361" t="s">
        <v>1940</v>
      </c>
      <c r="W318" s="297" t="s">
        <v>522</v>
      </c>
      <c r="X318" s="297" t="s">
        <v>2963</v>
      </c>
      <c r="AA318" s="7"/>
      <c r="AB318" s="7"/>
      <c r="AC318" s="1408"/>
      <c r="AD318" s="387"/>
    </row>
    <row r="319" spans="6:30" ht="10.5" customHeight="1">
      <c r="F319" s="199"/>
      <c r="G319" s="184"/>
      <c r="H319" s="184"/>
      <c r="I319" s="184"/>
      <c r="J319" s="184"/>
      <c r="K319" s="184"/>
      <c r="L319" s="184"/>
      <c r="M319" s="184"/>
      <c r="N319" s="260"/>
      <c r="O319" s="260"/>
      <c r="P319" s="435" t="s">
        <v>734</v>
      </c>
      <c r="Q319" s="154"/>
      <c r="R319" s="56"/>
      <c r="S319" s="277"/>
      <c r="T319" s="436" t="s">
        <v>137</v>
      </c>
      <c r="U319" s="436" t="s">
        <v>1687</v>
      </c>
      <c r="W319" s="297" t="s">
        <v>1332</v>
      </c>
      <c r="X319" s="297" t="s">
        <v>2963</v>
      </c>
      <c r="AA319" s="7"/>
      <c r="AB319" s="7"/>
      <c r="AC319" s="1408"/>
      <c r="AD319" s="387"/>
    </row>
    <row r="320" spans="6:30" ht="10.5" customHeight="1">
      <c r="F320" s="199"/>
      <c r="G320" s="184"/>
      <c r="H320" s="184"/>
      <c r="I320" s="184"/>
      <c r="J320" s="184"/>
      <c r="K320" s="184"/>
      <c r="L320" s="184"/>
      <c r="M320" s="184"/>
      <c r="N320" s="184"/>
      <c r="O320" s="184"/>
      <c r="P320" s="435" t="s">
        <v>2150</v>
      </c>
      <c r="Q320" s="154"/>
      <c r="R320" s="56"/>
      <c r="S320" s="277"/>
      <c r="T320" s="361" t="s">
        <v>176</v>
      </c>
      <c r="U320" s="361" t="s">
        <v>584</v>
      </c>
      <c r="W320" s="297" t="s">
        <v>1438</v>
      </c>
      <c r="X320" s="297" t="s">
        <v>2963</v>
      </c>
      <c r="AA320" s="7"/>
      <c r="AB320" s="7"/>
      <c r="AC320" s="1411"/>
      <c r="AD320" s="387"/>
    </row>
    <row r="321" spans="6:30" ht="10.5" customHeight="1">
      <c r="F321" s="199"/>
      <c r="G321" s="184"/>
      <c r="H321" s="184"/>
      <c r="I321" s="184"/>
      <c r="J321" s="184"/>
      <c r="K321" s="184"/>
      <c r="L321" s="184"/>
      <c r="M321" s="184"/>
      <c r="N321" s="184"/>
      <c r="O321" s="184"/>
      <c r="P321" s="435" t="s">
        <v>2151</v>
      </c>
      <c r="Q321" s="154"/>
      <c r="R321" s="56"/>
      <c r="S321" s="277"/>
      <c r="T321" s="361" t="s">
        <v>2278</v>
      </c>
      <c r="U321" s="361" t="s">
        <v>1812</v>
      </c>
      <c r="W321" s="297" t="s">
        <v>1893</v>
      </c>
      <c r="X321" s="297" t="s">
        <v>2963</v>
      </c>
      <c r="AA321" s="7"/>
      <c r="AB321" s="7"/>
      <c r="AC321" s="1408"/>
      <c r="AD321" s="387"/>
    </row>
    <row r="322" spans="6:30" ht="10.5" customHeight="1">
      <c r="F322" s="199"/>
      <c r="G322" s="184"/>
      <c r="H322" s="184"/>
      <c r="I322" s="184"/>
      <c r="J322" s="184"/>
      <c r="K322" s="184"/>
      <c r="L322" s="184"/>
      <c r="M322" s="184"/>
      <c r="N322" s="184"/>
      <c r="O322" s="184"/>
      <c r="P322" s="435" t="s">
        <v>2153</v>
      </c>
      <c r="Q322" s="154"/>
      <c r="R322" s="56"/>
      <c r="S322" s="277"/>
      <c r="T322" s="361" t="s">
        <v>731</v>
      </c>
      <c r="U322" s="361" t="s">
        <v>98</v>
      </c>
      <c r="W322" s="297" t="s">
        <v>1895</v>
      </c>
      <c r="X322" s="297" t="s">
        <v>2963</v>
      </c>
      <c r="AA322" s="7"/>
      <c r="AB322" s="7"/>
      <c r="AC322" s="1408"/>
      <c r="AD322" s="387"/>
    </row>
    <row r="323" spans="6:30" ht="10.5" customHeight="1">
      <c r="F323" s="199"/>
      <c r="G323" s="184"/>
      <c r="H323" s="184"/>
      <c r="I323" s="184"/>
      <c r="J323" s="184"/>
      <c r="K323" s="184"/>
      <c r="L323" s="184"/>
      <c r="M323" s="184"/>
      <c r="N323" s="184"/>
      <c r="O323" s="184"/>
      <c r="P323" s="435" t="s">
        <v>2155</v>
      </c>
      <c r="Q323" s="154"/>
      <c r="R323" s="56"/>
      <c r="S323" s="277"/>
      <c r="T323" s="361" t="s">
        <v>733</v>
      </c>
      <c r="U323" s="361" t="s">
        <v>113</v>
      </c>
      <c r="W323" s="297" t="s">
        <v>1323</v>
      </c>
      <c r="X323" s="297" t="s">
        <v>2963</v>
      </c>
      <c r="AA323" s="7"/>
      <c r="AB323" s="7"/>
      <c r="AC323" s="1408"/>
      <c r="AD323" s="387"/>
    </row>
    <row r="324" spans="6:30" ht="10.5" customHeight="1">
      <c r="F324" s="199"/>
      <c r="G324" s="184"/>
      <c r="H324" s="184"/>
      <c r="I324" s="184"/>
      <c r="J324" s="184"/>
      <c r="K324" s="184"/>
      <c r="L324" s="184"/>
      <c r="M324" s="184"/>
      <c r="N324" s="184"/>
      <c r="O324" s="184"/>
      <c r="P324" s="435" t="s">
        <v>2156</v>
      </c>
      <c r="Q324" s="154"/>
      <c r="R324" s="56"/>
      <c r="S324" s="277"/>
      <c r="T324" s="361" t="s">
        <v>735</v>
      </c>
      <c r="U324" s="361" t="s">
        <v>304</v>
      </c>
      <c r="W324" s="297" t="s">
        <v>1412</v>
      </c>
      <c r="X324" s="297" t="s">
        <v>2963</v>
      </c>
      <c r="AA324" s="7"/>
      <c r="AB324" s="7"/>
      <c r="AC324" s="1408"/>
      <c r="AD324" s="387"/>
    </row>
    <row r="325" spans="6:30" ht="10.5" customHeight="1">
      <c r="F325" s="199"/>
      <c r="G325" s="184"/>
      <c r="H325" s="184"/>
      <c r="I325" s="184"/>
      <c r="J325" s="184"/>
      <c r="K325" s="184"/>
      <c r="L325" s="184"/>
      <c r="M325" s="184"/>
      <c r="N325" s="184"/>
      <c r="O325" s="184"/>
      <c r="P325" s="435" t="s">
        <v>359</v>
      </c>
      <c r="Q325" s="154"/>
      <c r="R325" s="56"/>
      <c r="S325" s="277"/>
      <c r="T325" s="361" t="s">
        <v>2426</v>
      </c>
      <c r="U325" s="361" t="s">
        <v>817</v>
      </c>
      <c r="W325" s="297" t="s">
        <v>1097</v>
      </c>
      <c r="X325" s="297" t="s">
        <v>2963</v>
      </c>
      <c r="AA325" s="7"/>
      <c r="AB325" s="7"/>
      <c r="AC325" s="1408"/>
      <c r="AD325" s="387"/>
    </row>
    <row r="326" spans="6:30" ht="10.5" customHeight="1">
      <c r="F326" s="199"/>
      <c r="G326" s="184"/>
      <c r="H326" s="184"/>
      <c r="I326" s="184"/>
      <c r="J326" s="184"/>
      <c r="K326" s="184"/>
      <c r="L326" s="184"/>
      <c r="M326" s="184"/>
      <c r="N326" s="184"/>
      <c r="O326" s="184"/>
      <c r="P326" s="435" t="s">
        <v>42</v>
      </c>
      <c r="Q326" s="154"/>
      <c r="R326" s="56"/>
      <c r="S326" s="277"/>
      <c r="T326" s="436" t="s">
        <v>2152</v>
      </c>
      <c r="U326" s="436" t="s">
        <v>1334</v>
      </c>
      <c r="W326" s="297" t="s">
        <v>1578</v>
      </c>
      <c r="X326" s="297" t="s">
        <v>2963</v>
      </c>
      <c r="AA326" s="7"/>
      <c r="AB326" s="7"/>
      <c r="AC326" s="1408"/>
      <c r="AD326" s="387"/>
    </row>
    <row r="327" spans="6:30" ht="10.5" customHeight="1">
      <c r="F327" s="199"/>
      <c r="G327" s="184"/>
      <c r="H327" s="184"/>
      <c r="I327" s="184"/>
      <c r="J327" s="184"/>
      <c r="K327" s="184"/>
      <c r="L327" s="184"/>
      <c r="M327" s="184"/>
      <c r="N327" s="184"/>
      <c r="O327" s="184"/>
      <c r="P327" s="435" t="s">
        <v>44</v>
      </c>
      <c r="Q327" s="154"/>
      <c r="R327" s="56"/>
      <c r="S327" s="277"/>
      <c r="T327" s="361" t="s">
        <v>2154</v>
      </c>
      <c r="U327" s="361" t="s">
        <v>1025</v>
      </c>
      <c r="W327" s="297" t="s">
        <v>1634</v>
      </c>
      <c r="X327" s="297" t="s">
        <v>2963</v>
      </c>
      <c r="AA327" s="7"/>
      <c r="AB327" s="7"/>
      <c r="AC327" s="1411"/>
      <c r="AD327" s="387"/>
    </row>
    <row r="328" spans="6:30" ht="10.5" customHeight="1">
      <c r="F328" s="199"/>
      <c r="G328" s="184"/>
      <c r="H328" s="184"/>
      <c r="I328" s="184"/>
      <c r="J328" s="184"/>
      <c r="K328" s="184"/>
      <c r="L328" s="184"/>
      <c r="M328" s="184"/>
      <c r="N328" s="184"/>
      <c r="O328" s="184"/>
      <c r="P328" s="435" t="s">
        <v>1730</v>
      </c>
      <c r="Q328" s="154"/>
      <c r="R328" s="56"/>
      <c r="S328" s="277"/>
      <c r="T328" s="361" t="s">
        <v>2279</v>
      </c>
      <c r="U328" s="361" t="s">
        <v>621</v>
      </c>
      <c r="W328" s="297" t="s">
        <v>1023</v>
      </c>
      <c r="X328" s="297" t="s">
        <v>2963</v>
      </c>
      <c r="AA328" s="7"/>
      <c r="AB328" s="7"/>
      <c r="AC328" s="1408"/>
      <c r="AD328" s="387"/>
    </row>
    <row r="329" spans="6:30" ht="10.5" customHeight="1">
      <c r="F329" s="199"/>
      <c r="G329" s="184"/>
      <c r="H329" s="184"/>
      <c r="I329" s="184"/>
      <c r="J329" s="184"/>
      <c r="K329" s="184"/>
      <c r="L329" s="184"/>
      <c r="M329" s="184"/>
      <c r="N329" s="184"/>
      <c r="O329" s="184"/>
      <c r="P329" s="435" t="s">
        <v>1731</v>
      </c>
      <c r="Q329" s="154"/>
      <c r="R329" s="56"/>
      <c r="S329" s="277"/>
      <c r="T329" s="361" t="s">
        <v>358</v>
      </c>
      <c r="U329" s="361" t="s">
        <v>2208</v>
      </c>
      <c r="W329" s="297" t="s">
        <v>2961</v>
      </c>
      <c r="X329" s="297" t="s">
        <v>2963</v>
      </c>
      <c r="AA329" s="7"/>
      <c r="AB329" s="7"/>
      <c r="AC329" s="1408"/>
      <c r="AD329" s="387"/>
    </row>
    <row r="330" spans="6:30" ht="10.5" customHeight="1">
      <c r="F330" s="199"/>
      <c r="G330" s="184"/>
      <c r="H330" s="184"/>
      <c r="I330" s="184"/>
      <c r="J330" s="184"/>
      <c r="K330" s="184"/>
      <c r="L330" s="184"/>
      <c r="M330" s="184"/>
      <c r="N330" s="184"/>
      <c r="O330" s="184"/>
      <c r="P330" s="435" t="s">
        <v>1733</v>
      </c>
      <c r="Q330" s="154"/>
      <c r="R330" s="56"/>
      <c r="S330" s="277"/>
      <c r="T330" s="438" t="s">
        <v>360</v>
      </c>
      <c r="U330" s="361" t="s">
        <v>1933</v>
      </c>
      <c r="W330" s="297" t="s">
        <v>1910</v>
      </c>
      <c r="X330" s="297" t="s">
        <v>2963</v>
      </c>
      <c r="AA330" s="7"/>
      <c r="AB330" s="7"/>
      <c r="AC330" s="1408"/>
      <c r="AD330" s="387"/>
    </row>
    <row r="331" spans="6:30" ht="10.5" customHeight="1">
      <c r="F331" s="199"/>
      <c r="G331" s="184"/>
      <c r="H331" s="184"/>
      <c r="I331" s="184"/>
      <c r="J331" s="184"/>
      <c r="K331" s="184"/>
      <c r="L331" s="184"/>
      <c r="M331" s="184"/>
      <c r="N331" s="184"/>
      <c r="O331" s="184"/>
      <c r="P331" s="435" t="s">
        <v>1734</v>
      </c>
      <c r="Q331" s="154"/>
      <c r="R331" s="56"/>
      <c r="S331" s="277"/>
      <c r="T331" s="361" t="s">
        <v>43</v>
      </c>
      <c r="U331" s="361" t="s">
        <v>884</v>
      </c>
      <c r="W331" s="297" t="s">
        <v>1384</v>
      </c>
      <c r="X331" s="297" t="s">
        <v>2963</v>
      </c>
      <c r="AA331" s="7"/>
      <c r="AB331" s="7"/>
      <c r="AC331" s="1415"/>
      <c r="AD331" s="387"/>
    </row>
    <row r="332" spans="6:30" ht="10.5" customHeight="1">
      <c r="F332" s="199"/>
      <c r="G332" s="184"/>
      <c r="H332" s="184"/>
      <c r="I332" s="184"/>
      <c r="J332" s="184"/>
      <c r="K332" s="184"/>
      <c r="L332" s="184"/>
      <c r="M332" s="184"/>
      <c r="N332" s="184"/>
      <c r="O332" s="184"/>
      <c r="P332" s="435" t="s">
        <v>1735</v>
      </c>
      <c r="Q332" s="154"/>
      <c r="R332" s="56"/>
      <c r="S332" s="277"/>
      <c r="T332" s="361" t="s">
        <v>45</v>
      </c>
      <c r="U332" s="361" t="s">
        <v>584</v>
      </c>
      <c r="W332" s="297" t="s">
        <v>58</v>
      </c>
      <c r="X332" s="297" t="s">
        <v>2963</v>
      </c>
      <c r="AA332" s="7"/>
      <c r="AB332" s="7"/>
      <c r="AC332" s="1408"/>
      <c r="AD332" s="387"/>
    </row>
    <row r="333" spans="6:30" ht="10.5" customHeight="1">
      <c r="F333" s="199"/>
      <c r="G333" s="184"/>
      <c r="H333" s="184"/>
      <c r="I333" s="184"/>
      <c r="J333" s="184"/>
      <c r="K333" s="184"/>
      <c r="L333" s="184"/>
      <c r="M333" s="184"/>
      <c r="N333" s="184"/>
      <c r="O333" s="184"/>
      <c r="P333" s="435" t="s">
        <v>1737</v>
      </c>
      <c r="Q333" s="154"/>
      <c r="R333" s="56"/>
      <c r="S333" s="277"/>
      <c r="T333" s="361" t="s">
        <v>812</v>
      </c>
      <c r="U333" s="361" t="s">
        <v>2206</v>
      </c>
      <c r="W333" s="297" t="s">
        <v>62</v>
      </c>
      <c r="X333" s="297" t="s">
        <v>2963</v>
      </c>
      <c r="AA333" s="7"/>
      <c r="AB333" s="7"/>
      <c r="AC333" s="1408"/>
      <c r="AD333" s="387"/>
    </row>
    <row r="334" spans="6:30" ht="10.5" customHeight="1">
      <c r="F334" s="199"/>
      <c r="G334" s="184"/>
      <c r="H334" s="184"/>
      <c r="I334" s="184"/>
      <c r="J334" s="184"/>
      <c r="K334" s="184"/>
      <c r="L334" s="184"/>
      <c r="M334" s="184"/>
      <c r="N334" s="184"/>
      <c r="O334" s="184"/>
      <c r="P334" s="435" t="s">
        <v>665</v>
      </c>
      <c r="Q334" s="154"/>
      <c r="R334" s="56"/>
      <c r="S334" s="277"/>
      <c r="T334" s="436" t="s">
        <v>1732</v>
      </c>
      <c r="U334" s="436" t="s">
        <v>812</v>
      </c>
      <c r="W334" s="297" t="s">
        <v>64</v>
      </c>
      <c r="X334" s="297" t="s">
        <v>2963</v>
      </c>
      <c r="AA334" s="7"/>
      <c r="AB334" s="7"/>
      <c r="AC334" s="1408"/>
      <c r="AD334" s="387"/>
    </row>
    <row r="335" spans="6:30" ht="10.5" customHeight="1">
      <c r="F335" s="199"/>
      <c r="G335" s="184"/>
      <c r="H335" s="184"/>
      <c r="I335" s="184"/>
      <c r="J335" s="184"/>
      <c r="K335" s="184"/>
      <c r="L335" s="184"/>
      <c r="M335" s="184"/>
      <c r="N335" s="184"/>
      <c r="O335" s="184"/>
      <c r="P335" s="435" t="s">
        <v>1055</v>
      </c>
      <c r="Q335" s="154"/>
      <c r="R335" s="56"/>
      <c r="S335" s="277"/>
      <c r="T335" s="436" t="s">
        <v>2280</v>
      </c>
      <c r="U335" s="436" t="s">
        <v>584</v>
      </c>
      <c r="W335" s="297" t="s">
        <v>717</v>
      </c>
      <c r="X335" s="297" t="s">
        <v>2963</v>
      </c>
      <c r="AA335" s="7"/>
      <c r="AB335" s="7"/>
      <c r="AC335" s="1411"/>
      <c r="AD335" s="387"/>
    </row>
    <row r="336" spans="6:30" ht="10.5" customHeight="1">
      <c r="F336" s="199"/>
      <c r="G336" s="184"/>
      <c r="H336" s="184"/>
      <c r="I336" s="184"/>
      <c r="J336" s="184"/>
      <c r="K336" s="184"/>
      <c r="L336" s="184"/>
      <c r="M336" s="184"/>
      <c r="N336" s="184"/>
      <c r="O336" s="184"/>
      <c r="P336" s="435" t="s">
        <v>1057</v>
      </c>
      <c r="Q336" s="154"/>
      <c r="R336" s="56"/>
      <c r="S336" s="277"/>
      <c r="T336" s="361" t="s">
        <v>2427</v>
      </c>
      <c r="U336" s="361" t="s">
        <v>2203</v>
      </c>
      <c r="W336" s="297" t="s">
        <v>874</v>
      </c>
      <c r="X336" s="297" t="s">
        <v>2963</v>
      </c>
      <c r="AA336" s="7"/>
      <c r="AB336" s="7"/>
      <c r="AC336" s="1411"/>
      <c r="AD336" s="387"/>
    </row>
    <row r="337" spans="6:30" ht="10.5" customHeight="1">
      <c r="F337" s="199"/>
      <c r="G337" s="184"/>
      <c r="H337" s="184"/>
      <c r="I337" s="184"/>
      <c r="J337" s="184"/>
      <c r="K337" s="184"/>
      <c r="L337" s="184"/>
      <c r="M337" s="184"/>
      <c r="N337" s="184"/>
      <c r="O337" s="184"/>
      <c r="P337" s="435" t="s">
        <v>1059</v>
      </c>
      <c r="Q337" s="154"/>
      <c r="R337" s="56"/>
      <c r="S337" s="277"/>
      <c r="T337" s="361" t="s">
        <v>1736</v>
      </c>
      <c r="U337" s="361" t="s">
        <v>1334</v>
      </c>
      <c r="W337" s="297" t="s">
        <v>966</v>
      </c>
      <c r="X337" s="297" t="s">
        <v>2963</v>
      </c>
      <c r="AA337" s="7"/>
      <c r="AB337" s="7"/>
      <c r="AC337" s="1408"/>
      <c r="AD337" s="387"/>
    </row>
    <row r="338" spans="6:30" ht="10.5" customHeight="1">
      <c r="F338" s="199"/>
      <c r="G338" s="184"/>
      <c r="H338" s="184"/>
      <c r="I338" s="184"/>
      <c r="J338" s="184"/>
      <c r="K338" s="184"/>
      <c r="L338" s="184"/>
      <c r="M338" s="184"/>
      <c r="N338" s="184"/>
      <c r="O338" s="184"/>
      <c r="P338" s="435" t="s">
        <v>2226</v>
      </c>
      <c r="Q338" s="154"/>
      <c r="R338" s="56"/>
      <c r="S338" s="277"/>
      <c r="T338" s="361" t="s">
        <v>1738</v>
      </c>
      <c r="U338" s="361" t="s">
        <v>1334</v>
      </c>
      <c r="W338" s="297" t="s">
        <v>2013</v>
      </c>
      <c r="X338" s="297" t="s">
        <v>2963</v>
      </c>
      <c r="AA338" s="7"/>
      <c r="AB338" s="7"/>
      <c r="AC338" s="1408"/>
      <c r="AD338" s="387"/>
    </row>
    <row r="339" spans="6:30" ht="10.5" customHeight="1">
      <c r="F339" s="199"/>
      <c r="G339" s="184"/>
      <c r="H339" s="184"/>
      <c r="I339" s="184"/>
      <c r="J339" s="184"/>
      <c r="K339" s="184"/>
      <c r="L339" s="184"/>
      <c r="M339" s="184"/>
      <c r="N339" s="184"/>
      <c r="O339" s="184"/>
      <c r="P339" s="435" t="s">
        <v>2228</v>
      </c>
      <c r="Q339" s="154"/>
      <c r="R339" s="56"/>
      <c r="S339" s="277"/>
      <c r="T339" s="361" t="s">
        <v>666</v>
      </c>
      <c r="U339" s="361" t="s">
        <v>112</v>
      </c>
      <c r="W339" s="297" t="s">
        <v>2234</v>
      </c>
      <c r="X339" s="297" t="s">
        <v>2963</v>
      </c>
      <c r="AA339" s="7"/>
      <c r="AB339" s="7"/>
      <c r="AC339" s="1408"/>
      <c r="AD339" s="387"/>
    </row>
    <row r="340" spans="6:30" ht="10.5" customHeight="1">
      <c r="F340" s="199"/>
      <c r="G340" s="184"/>
      <c r="H340" s="184"/>
      <c r="I340" s="184"/>
      <c r="J340" s="184"/>
      <c r="K340" s="184"/>
      <c r="L340" s="184"/>
      <c r="M340" s="184"/>
      <c r="N340" s="184"/>
      <c r="O340" s="184"/>
      <c r="P340" s="435" t="s">
        <v>168</v>
      </c>
      <c r="Q340" s="154"/>
      <c r="R340" s="56"/>
      <c r="S340" s="277"/>
      <c r="T340" s="361" t="s">
        <v>642</v>
      </c>
      <c r="U340" s="361" t="s">
        <v>584</v>
      </c>
      <c r="W340" s="297" t="s">
        <v>1927</v>
      </c>
      <c r="X340" s="297" t="s">
        <v>2963</v>
      </c>
      <c r="AA340" s="7"/>
      <c r="AB340" s="7"/>
      <c r="AC340" s="1408"/>
      <c r="AD340" s="387"/>
    </row>
    <row r="341" spans="6:30" ht="10.5" customHeight="1">
      <c r="F341" s="199"/>
      <c r="G341" s="184"/>
      <c r="H341" s="184"/>
      <c r="I341" s="184"/>
      <c r="J341" s="184"/>
      <c r="K341" s="184"/>
      <c r="L341" s="184"/>
      <c r="M341" s="184"/>
      <c r="N341" s="184"/>
      <c r="O341" s="184"/>
      <c r="P341" s="435" t="s">
        <v>169</v>
      </c>
      <c r="Q341" s="154"/>
      <c r="R341" s="56"/>
      <c r="S341" s="277"/>
      <c r="T341" s="361" t="s">
        <v>2428</v>
      </c>
      <c r="U341" s="361" t="s">
        <v>141</v>
      </c>
      <c r="W341" s="297" t="s">
        <v>1465</v>
      </c>
      <c r="X341" s="297" t="s">
        <v>2963</v>
      </c>
      <c r="AA341" s="7"/>
      <c r="AB341" s="7"/>
      <c r="AC341" s="1408"/>
      <c r="AD341" s="387"/>
    </row>
    <row r="342" spans="6:30" ht="10.5" customHeight="1">
      <c r="F342" s="199"/>
      <c r="G342" s="184"/>
      <c r="H342" s="184"/>
      <c r="I342" s="184"/>
      <c r="J342" s="184"/>
      <c r="K342" s="184"/>
      <c r="L342" s="184"/>
      <c r="M342" s="184"/>
      <c r="N342" s="184"/>
      <c r="O342" s="184"/>
      <c r="P342" s="435" t="s">
        <v>1641</v>
      </c>
      <c r="Q342" s="154"/>
      <c r="R342" s="56"/>
      <c r="S342" s="277"/>
      <c r="T342" s="361" t="s">
        <v>2429</v>
      </c>
      <c r="U342" s="361" t="s">
        <v>294</v>
      </c>
      <c r="W342" s="297" t="s">
        <v>2144</v>
      </c>
      <c r="X342" s="297" t="s">
        <v>2963</v>
      </c>
      <c r="AA342" s="7"/>
      <c r="AB342" s="7"/>
      <c r="AC342" s="1408"/>
      <c r="AD342" s="387"/>
    </row>
    <row r="343" spans="6:30" ht="10.5" customHeight="1">
      <c r="F343" s="199"/>
      <c r="G343" s="184"/>
      <c r="H343" s="184"/>
      <c r="I343" s="184"/>
      <c r="J343" s="184"/>
      <c r="K343" s="184"/>
      <c r="L343" s="184"/>
      <c r="M343" s="184"/>
      <c r="N343" s="184"/>
      <c r="O343" s="184"/>
      <c r="P343" s="435" t="s">
        <v>1643</v>
      </c>
      <c r="Q343" s="154"/>
      <c r="R343" s="56"/>
      <c r="S343" s="277"/>
      <c r="T343" s="361" t="s">
        <v>1056</v>
      </c>
      <c r="U343" s="361" t="s">
        <v>1334</v>
      </c>
      <c r="W343" s="297" t="s">
        <v>754</v>
      </c>
      <c r="X343" s="297" t="s">
        <v>2963</v>
      </c>
      <c r="AA343" s="7"/>
      <c r="AB343" s="7"/>
      <c r="AC343" s="1408"/>
      <c r="AD343" s="387"/>
    </row>
    <row r="344" spans="6:30" ht="10.5" customHeight="1">
      <c r="F344" s="199"/>
      <c r="G344" s="184"/>
      <c r="H344" s="184"/>
      <c r="I344" s="184"/>
      <c r="J344" s="184"/>
      <c r="K344" s="184"/>
      <c r="L344" s="184"/>
      <c r="M344" s="184"/>
      <c r="N344" s="184"/>
      <c r="O344" s="184"/>
      <c r="P344" s="435" t="s">
        <v>1700</v>
      </c>
      <c r="Q344" s="154"/>
      <c r="R344" s="56"/>
      <c r="S344" s="277"/>
      <c r="T344" s="361" t="s">
        <v>1058</v>
      </c>
      <c r="U344" s="361" t="s">
        <v>617</v>
      </c>
      <c r="W344" s="297" t="s">
        <v>150</v>
      </c>
      <c r="X344" s="297" t="s">
        <v>2963</v>
      </c>
      <c r="AA344" s="7"/>
      <c r="AB344" s="7"/>
      <c r="AC344" s="1408"/>
      <c r="AD344" s="387"/>
    </row>
    <row r="345" spans="6:30" ht="10.5" customHeight="1">
      <c r="F345" s="199"/>
      <c r="G345" s="184"/>
      <c r="H345" s="184"/>
      <c r="I345" s="184"/>
      <c r="J345" s="184"/>
      <c r="K345" s="184"/>
      <c r="L345" s="184"/>
      <c r="M345" s="184"/>
      <c r="N345" s="184"/>
      <c r="O345" s="184"/>
      <c r="P345" s="435" t="s">
        <v>1702</v>
      </c>
      <c r="Q345" s="154"/>
      <c r="R345" s="56"/>
      <c r="S345" s="277"/>
      <c r="T345" s="361" t="s">
        <v>2281</v>
      </c>
      <c r="U345" s="361" t="s">
        <v>1935</v>
      </c>
      <c r="W345" s="297" t="s">
        <v>1225</v>
      </c>
      <c r="X345" s="297" t="s">
        <v>2963</v>
      </c>
      <c r="AA345" s="7"/>
      <c r="AB345" s="7"/>
      <c r="AC345" s="1408"/>
      <c r="AD345" s="387"/>
    </row>
    <row r="346" spans="6:30" ht="10.5" customHeight="1">
      <c r="F346" s="199"/>
      <c r="G346" s="184"/>
      <c r="H346" s="184"/>
      <c r="I346" s="184"/>
      <c r="J346" s="184"/>
      <c r="K346" s="184"/>
      <c r="L346" s="184"/>
      <c r="M346" s="184"/>
      <c r="N346" s="184"/>
      <c r="O346" s="184"/>
      <c r="P346" s="435" t="s">
        <v>1703</v>
      </c>
      <c r="Q346" s="154"/>
      <c r="R346" s="56"/>
      <c r="S346" s="277"/>
      <c r="T346" s="361" t="s">
        <v>2282</v>
      </c>
      <c r="U346" s="361" t="s">
        <v>2243</v>
      </c>
      <c r="W346" s="297" t="s">
        <v>995</v>
      </c>
      <c r="X346" s="297" t="s">
        <v>2963</v>
      </c>
      <c r="AA346" s="7"/>
      <c r="AB346" s="7"/>
      <c r="AC346" s="1408"/>
      <c r="AD346" s="387"/>
    </row>
    <row r="347" spans="6:30" ht="10.5" customHeight="1">
      <c r="F347" s="199"/>
      <c r="G347" s="184"/>
      <c r="H347" s="184"/>
      <c r="I347" s="184"/>
      <c r="J347" s="184"/>
      <c r="K347" s="184"/>
      <c r="L347" s="184"/>
      <c r="M347" s="184"/>
      <c r="N347" s="184"/>
      <c r="O347" s="184"/>
      <c r="P347" s="435" t="s">
        <v>1705</v>
      </c>
      <c r="Q347" s="154"/>
      <c r="R347" s="56"/>
      <c r="S347" s="277"/>
      <c r="T347" s="361" t="s">
        <v>1060</v>
      </c>
      <c r="U347" s="361" t="s">
        <v>1114</v>
      </c>
      <c r="W347" s="297" t="s">
        <v>1795</v>
      </c>
      <c r="X347" s="297" t="s">
        <v>2963</v>
      </c>
      <c r="AA347" s="7"/>
      <c r="AB347" s="7"/>
      <c r="AC347" s="1408"/>
      <c r="AD347" s="387"/>
    </row>
    <row r="348" spans="6:30" ht="10.5" customHeight="1">
      <c r="F348" s="199"/>
      <c r="G348" s="184"/>
      <c r="H348" s="184"/>
      <c r="I348" s="184"/>
      <c r="J348" s="184"/>
      <c r="K348" s="184"/>
      <c r="L348" s="184"/>
      <c r="M348" s="184"/>
      <c r="N348" s="184"/>
      <c r="O348" s="184"/>
      <c r="P348" s="435" t="s">
        <v>1707</v>
      </c>
      <c r="Q348" s="154"/>
      <c r="R348" s="56"/>
      <c r="S348" s="277"/>
      <c r="T348" s="361" t="s">
        <v>2227</v>
      </c>
      <c r="U348" s="361" t="s">
        <v>179</v>
      </c>
      <c r="W348" s="297" t="s">
        <v>1697</v>
      </c>
      <c r="X348" s="297" t="s">
        <v>2963</v>
      </c>
      <c r="AA348" s="7"/>
      <c r="AB348" s="7"/>
      <c r="AC348" s="1408"/>
      <c r="AD348" s="387"/>
    </row>
    <row r="349" spans="6:30" ht="10.5" customHeight="1">
      <c r="F349" s="199"/>
      <c r="G349" s="184"/>
      <c r="H349" s="184"/>
      <c r="I349" s="184"/>
      <c r="J349" s="184"/>
      <c r="K349" s="184"/>
      <c r="L349" s="184"/>
      <c r="M349" s="184"/>
      <c r="N349" s="184"/>
      <c r="O349" s="184"/>
      <c r="P349" s="435" t="s">
        <v>1739</v>
      </c>
      <c r="Q349" s="154"/>
      <c r="R349" s="56"/>
      <c r="S349" s="277"/>
      <c r="T349" s="361" t="s">
        <v>430</v>
      </c>
      <c r="U349" s="361" t="s">
        <v>1021</v>
      </c>
      <c r="W349" s="297" t="s">
        <v>2248</v>
      </c>
      <c r="X349" s="297" t="s">
        <v>2963</v>
      </c>
      <c r="AA349" s="7"/>
      <c r="AB349" s="7"/>
      <c r="AC349" s="1408"/>
      <c r="AD349" s="387"/>
    </row>
    <row r="350" spans="6:30" ht="10.5" customHeight="1">
      <c r="F350" s="199"/>
      <c r="G350" s="184"/>
      <c r="H350" s="184"/>
      <c r="I350" s="184"/>
      <c r="J350" s="184"/>
      <c r="K350" s="184"/>
      <c r="L350" s="184"/>
      <c r="M350" s="184"/>
      <c r="N350" s="184"/>
      <c r="O350" s="184"/>
      <c r="P350" s="435" t="s">
        <v>1741</v>
      </c>
      <c r="Q350" s="154"/>
      <c r="R350" s="56"/>
      <c r="S350" s="277"/>
      <c r="T350" s="436" t="s">
        <v>3639</v>
      </c>
      <c r="U350" s="436" t="s">
        <v>619</v>
      </c>
      <c r="W350" s="297" t="s">
        <v>1071</v>
      </c>
      <c r="X350" s="297" t="s">
        <v>2963</v>
      </c>
      <c r="AA350" s="7"/>
      <c r="AB350" s="7"/>
      <c r="AC350" s="1408"/>
      <c r="AD350" s="387"/>
    </row>
    <row r="351" spans="6:30" ht="10.5" customHeight="1">
      <c r="F351" s="199"/>
      <c r="G351" s="184"/>
      <c r="H351" s="184"/>
      <c r="I351" s="184"/>
      <c r="J351" s="184"/>
      <c r="K351" s="184"/>
      <c r="L351" s="184"/>
      <c r="M351" s="184"/>
      <c r="N351" s="184"/>
      <c r="O351" s="184"/>
      <c r="P351" s="435" t="s">
        <v>1742</v>
      </c>
      <c r="Q351" s="154"/>
      <c r="R351" s="56"/>
      <c r="S351" s="277"/>
      <c r="T351" s="436" t="s">
        <v>281</v>
      </c>
      <c r="U351" s="436" t="s">
        <v>1231</v>
      </c>
      <c r="W351" s="297" t="s">
        <v>2230</v>
      </c>
      <c r="X351" s="297" t="s">
        <v>2963</v>
      </c>
      <c r="AA351" s="7"/>
      <c r="AB351" s="7"/>
      <c r="AC351" s="1411"/>
      <c r="AD351" s="387"/>
    </row>
    <row r="352" spans="6:30" ht="10.5" customHeight="1">
      <c r="F352" s="199"/>
      <c r="G352" s="184"/>
      <c r="H352" s="184"/>
      <c r="I352" s="184"/>
      <c r="J352" s="184"/>
      <c r="K352" s="184"/>
      <c r="L352" s="184"/>
      <c r="M352" s="184"/>
      <c r="N352" s="184"/>
      <c r="O352" s="184"/>
      <c r="P352" s="435" t="s">
        <v>1744</v>
      </c>
      <c r="Q352" s="154"/>
      <c r="R352" s="56"/>
      <c r="S352" s="277"/>
      <c r="T352" s="436" t="s">
        <v>1642</v>
      </c>
      <c r="U352" s="436" t="s">
        <v>817</v>
      </c>
      <c r="W352" s="297" t="s">
        <v>755</v>
      </c>
      <c r="X352" s="297" t="s">
        <v>2963</v>
      </c>
      <c r="AA352" s="7"/>
      <c r="AB352" s="7"/>
      <c r="AC352" s="1411"/>
      <c r="AD352" s="387"/>
    </row>
    <row r="353" spans="6:30" ht="10.5" customHeight="1">
      <c r="F353" s="199"/>
      <c r="G353" s="184"/>
      <c r="H353" s="184"/>
      <c r="I353" s="184"/>
      <c r="J353" s="184"/>
      <c r="K353" s="184"/>
      <c r="L353" s="184"/>
      <c r="M353" s="184"/>
      <c r="N353" s="184"/>
      <c r="O353" s="184"/>
      <c r="P353" s="435" t="s">
        <v>1746</v>
      </c>
      <c r="Q353" s="154"/>
      <c r="R353" s="56"/>
      <c r="S353" s="277"/>
      <c r="T353" s="361" t="s">
        <v>1644</v>
      </c>
      <c r="U353" s="361" t="s">
        <v>1031</v>
      </c>
      <c r="W353" s="297" t="s">
        <v>1880</v>
      </c>
      <c r="X353" s="297" t="s">
        <v>2963</v>
      </c>
      <c r="AA353" s="7"/>
      <c r="AB353" s="7"/>
      <c r="AC353" s="1411"/>
      <c r="AD353" s="387"/>
    </row>
    <row r="354" spans="6:30" ht="10.5" customHeight="1">
      <c r="F354" s="199"/>
      <c r="G354" s="184"/>
      <c r="H354" s="184"/>
      <c r="I354" s="184"/>
      <c r="J354" s="184"/>
      <c r="K354" s="184"/>
      <c r="L354" s="184"/>
      <c r="M354" s="184"/>
      <c r="N354" s="184"/>
      <c r="O354" s="184"/>
      <c r="P354" s="435" t="s">
        <v>394</v>
      </c>
      <c r="Q354" s="154"/>
      <c r="R354" s="56"/>
      <c r="S354" s="277"/>
      <c r="T354" s="361" t="s">
        <v>1701</v>
      </c>
      <c r="U354" s="361" t="s">
        <v>2208</v>
      </c>
      <c r="W354" s="297" t="s">
        <v>872</v>
      </c>
      <c r="X354" s="297" t="s">
        <v>2963</v>
      </c>
      <c r="AA354" s="7"/>
      <c r="AB354" s="7"/>
      <c r="AC354" s="1408"/>
      <c r="AD354" s="387"/>
    </row>
    <row r="355" spans="6:30" ht="10.5" customHeight="1">
      <c r="F355" s="199"/>
      <c r="G355" s="184"/>
      <c r="H355" s="184"/>
      <c r="I355" s="184"/>
      <c r="J355" s="184"/>
      <c r="K355" s="184"/>
      <c r="L355" s="184"/>
      <c r="M355" s="184"/>
      <c r="N355" s="184"/>
      <c r="O355" s="184"/>
      <c r="P355" s="435" t="s">
        <v>120</v>
      </c>
      <c r="Q355" s="154"/>
      <c r="R355" s="56"/>
      <c r="S355" s="277"/>
      <c r="T355" s="436" t="s">
        <v>1704</v>
      </c>
      <c r="U355" s="436" t="s">
        <v>617</v>
      </c>
      <c r="W355" s="297" t="s">
        <v>2219</v>
      </c>
      <c r="X355" s="297" t="s">
        <v>2963</v>
      </c>
      <c r="AA355" s="7"/>
      <c r="AB355" s="7"/>
      <c r="AC355" s="1408"/>
      <c r="AD355" s="387"/>
    </row>
    <row r="356" spans="6:30" ht="10.5" customHeight="1">
      <c r="F356" s="199"/>
      <c r="G356" s="184"/>
      <c r="H356" s="184"/>
      <c r="I356" s="184"/>
      <c r="J356" s="184"/>
      <c r="K356" s="184"/>
      <c r="L356" s="184"/>
      <c r="M356" s="184"/>
      <c r="N356" s="184"/>
      <c r="O356" s="184"/>
      <c r="P356" s="435" t="s">
        <v>1504</v>
      </c>
      <c r="Q356" s="154"/>
      <c r="R356" s="56"/>
      <c r="S356" s="277"/>
      <c r="T356" s="361" t="s">
        <v>1706</v>
      </c>
      <c r="U356" s="361" t="s">
        <v>1213</v>
      </c>
      <c r="W356" s="297" t="s">
        <v>1714</v>
      </c>
      <c r="X356" s="297" t="s">
        <v>2963</v>
      </c>
      <c r="AA356" s="7"/>
      <c r="AB356" s="7"/>
      <c r="AC356" s="1411"/>
      <c r="AD356" s="387"/>
    </row>
    <row r="357" spans="6:30" ht="10.5" customHeight="1">
      <c r="F357" s="199"/>
      <c r="G357" s="184"/>
      <c r="H357" s="184"/>
      <c r="I357" s="184"/>
      <c r="J357" s="184"/>
      <c r="K357" s="184"/>
      <c r="L357" s="184"/>
      <c r="M357" s="184"/>
      <c r="N357" s="184"/>
      <c r="O357" s="184"/>
      <c r="P357" s="435" t="s">
        <v>1576</v>
      </c>
      <c r="Q357" s="154"/>
      <c r="R357" s="56"/>
      <c r="S357" s="277"/>
      <c r="T357" s="361" t="s">
        <v>2430</v>
      </c>
      <c r="U357" s="361" t="s">
        <v>179</v>
      </c>
      <c r="W357" s="297" t="s">
        <v>1300</v>
      </c>
      <c r="X357" s="297" t="s">
        <v>2963</v>
      </c>
      <c r="AA357" s="7"/>
      <c r="AB357" s="7"/>
      <c r="AC357" s="1408"/>
      <c r="AD357" s="387"/>
    </row>
    <row r="358" spans="6:30" ht="10.5" customHeight="1">
      <c r="F358" s="199"/>
      <c r="G358" s="184"/>
      <c r="H358" s="184"/>
      <c r="I358" s="184"/>
      <c r="J358" s="184"/>
      <c r="K358" s="184"/>
      <c r="L358" s="184"/>
      <c r="M358" s="184"/>
      <c r="N358" s="184"/>
      <c r="O358" s="184"/>
      <c r="P358" s="435" t="s">
        <v>2023</v>
      </c>
      <c r="Q358" s="154"/>
      <c r="R358" s="56"/>
      <c r="S358" s="277"/>
      <c r="T358" s="361" t="s">
        <v>1708</v>
      </c>
      <c r="U358" s="361" t="s">
        <v>1216</v>
      </c>
      <c r="W358" s="297" t="s">
        <v>2003</v>
      </c>
      <c r="X358" s="297" t="s">
        <v>2963</v>
      </c>
      <c r="AA358" s="7"/>
      <c r="AB358" s="7"/>
      <c r="AC358" s="1408"/>
      <c r="AD358" s="387"/>
    </row>
    <row r="359" spans="6:30" ht="10.5" customHeight="1">
      <c r="F359" s="199"/>
      <c r="G359" s="184"/>
      <c r="H359" s="184"/>
      <c r="I359" s="184"/>
      <c r="J359" s="184"/>
      <c r="K359" s="184"/>
      <c r="L359" s="184"/>
      <c r="M359" s="184"/>
      <c r="N359" s="184"/>
      <c r="O359" s="184"/>
      <c r="P359" s="435" t="s">
        <v>2025</v>
      </c>
      <c r="Q359" s="154"/>
      <c r="R359" s="56"/>
      <c r="S359" s="277"/>
      <c r="T359" s="361" t="s">
        <v>1740</v>
      </c>
      <c r="U359" s="361" t="s">
        <v>296</v>
      </c>
      <c r="W359" s="297" t="s">
        <v>2005</v>
      </c>
      <c r="X359" s="297" t="s">
        <v>2963</v>
      </c>
      <c r="AA359" s="7"/>
      <c r="AB359" s="7"/>
      <c r="AC359" s="1408"/>
      <c r="AD359" s="387"/>
    </row>
    <row r="360" spans="6:30" ht="10.5" customHeight="1">
      <c r="F360" s="199"/>
      <c r="G360" s="184"/>
      <c r="H360" s="184"/>
      <c r="I360" s="184"/>
      <c r="J360" s="184"/>
      <c r="K360" s="184"/>
      <c r="L360" s="184"/>
      <c r="M360" s="184"/>
      <c r="N360" s="184"/>
      <c r="O360" s="184"/>
      <c r="P360" s="435" t="s">
        <v>918</v>
      </c>
      <c r="Q360" s="154"/>
      <c r="R360" s="56"/>
      <c r="S360" s="277"/>
      <c r="T360" s="361" t="s">
        <v>2431</v>
      </c>
      <c r="U360" s="361" t="s">
        <v>610</v>
      </c>
      <c r="W360" s="297" t="s">
        <v>1036</v>
      </c>
      <c r="X360" s="297" t="s">
        <v>2963</v>
      </c>
      <c r="AA360" s="7"/>
      <c r="AB360" s="7"/>
      <c r="AC360" s="1408"/>
      <c r="AD360" s="387"/>
    </row>
    <row r="361" spans="6:30" ht="10.5" customHeight="1">
      <c r="F361" s="199"/>
      <c r="G361" s="184"/>
      <c r="H361" s="184"/>
      <c r="I361" s="184"/>
      <c r="J361" s="184"/>
      <c r="K361" s="184"/>
      <c r="L361" s="184"/>
      <c r="M361" s="184"/>
      <c r="N361" s="184"/>
      <c r="O361" s="184"/>
      <c r="P361" s="435" t="s">
        <v>632</v>
      </c>
      <c r="Q361" s="154"/>
      <c r="R361" s="56"/>
      <c r="S361" s="277"/>
      <c r="T361" s="361" t="s">
        <v>1743</v>
      </c>
      <c r="U361" s="361" t="s">
        <v>2295</v>
      </c>
      <c r="W361" s="297" t="s">
        <v>1898</v>
      </c>
      <c r="X361" s="297" t="s">
        <v>2963</v>
      </c>
      <c r="AA361" s="7"/>
      <c r="AB361" s="7"/>
      <c r="AC361" s="1408"/>
      <c r="AD361" s="387"/>
    </row>
    <row r="362" spans="6:30" ht="10.5" customHeight="1">
      <c r="F362" s="199"/>
      <c r="G362" s="184"/>
      <c r="H362" s="184"/>
      <c r="I362" s="184"/>
      <c r="J362" s="184"/>
      <c r="K362" s="184"/>
      <c r="L362" s="184"/>
      <c r="M362" s="184"/>
      <c r="N362" s="184"/>
      <c r="O362" s="184"/>
      <c r="P362" s="435" t="s">
        <v>528</v>
      </c>
      <c r="Q362" s="154"/>
      <c r="R362" s="56"/>
      <c r="S362" s="277"/>
      <c r="T362" s="361" t="s">
        <v>1745</v>
      </c>
      <c r="U362" s="361" t="s">
        <v>1213</v>
      </c>
      <c r="W362" s="297" t="s">
        <v>1899</v>
      </c>
      <c r="X362" s="297" t="s">
        <v>2963</v>
      </c>
      <c r="AA362" s="7"/>
      <c r="AB362" s="7"/>
      <c r="AC362" s="1408"/>
      <c r="AD362" s="387"/>
    </row>
    <row r="363" spans="6:30" ht="10.5" customHeight="1">
      <c r="F363" s="199"/>
      <c r="G363" s="184"/>
      <c r="H363" s="184"/>
      <c r="I363" s="184"/>
      <c r="J363" s="184"/>
      <c r="K363" s="184"/>
      <c r="L363" s="184"/>
      <c r="M363" s="184"/>
      <c r="N363" s="184"/>
      <c r="O363" s="184"/>
      <c r="P363" s="435" t="s">
        <v>628</v>
      </c>
      <c r="Q363" s="154"/>
      <c r="R363" s="56"/>
      <c r="S363" s="277"/>
      <c r="T363" s="361" t="s">
        <v>1991</v>
      </c>
      <c r="U363" s="361" t="s">
        <v>2240</v>
      </c>
      <c r="W363" s="297" t="s">
        <v>1900</v>
      </c>
      <c r="X363" s="297" t="s">
        <v>2963</v>
      </c>
      <c r="AA363" s="7"/>
      <c r="AB363" s="7"/>
      <c r="AC363" s="1408"/>
      <c r="AD363" s="387"/>
    </row>
    <row r="364" spans="6:30" ht="10.5" customHeight="1">
      <c r="F364" s="199"/>
      <c r="G364" s="184"/>
      <c r="H364" s="184"/>
      <c r="I364" s="184"/>
      <c r="J364" s="184"/>
      <c r="K364" s="184"/>
      <c r="L364" s="184"/>
      <c r="M364" s="184"/>
      <c r="N364" s="184"/>
      <c r="O364" s="184"/>
      <c r="P364" s="435" t="s">
        <v>2119</v>
      </c>
      <c r="Q364" s="154"/>
      <c r="R364" s="56"/>
      <c r="S364" s="277"/>
      <c r="T364" s="361" t="s">
        <v>2283</v>
      </c>
      <c r="U364" s="361" t="s">
        <v>1935</v>
      </c>
      <c r="W364" s="297" t="s">
        <v>2073</v>
      </c>
      <c r="X364" s="297" t="s">
        <v>2963</v>
      </c>
      <c r="AA364" s="7"/>
      <c r="AB364" s="7"/>
      <c r="AC364" s="1408"/>
      <c r="AD364" s="387"/>
    </row>
    <row r="365" spans="6:30" ht="10.5" customHeight="1">
      <c r="F365" s="199"/>
      <c r="G365" s="184"/>
      <c r="H365" s="184"/>
      <c r="I365" s="184"/>
      <c r="J365" s="184"/>
      <c r="K365" s="184"/>
      <c r="L365" s="184"/>
      <c r="M365" s="184"/>
      <c r="N365" s="184"/>
      <c r="O365" s="184"/>
      <c r="P365" s="435" t="s">
        <v>201</v>
      </c>
      <c r="Q365" s="154"/>
      <c r="R365" s="56"/>
      <c r="S365" s="277"/>
      <c r="T365" s="361" t="s">
        <v>2284</v>
      </c>
      <c r="U365" s="361" t="s">
        <v>2205</v>
      </c>
      <c r="W365" s="297" t="s">
        <v>2075</v>
      </c>
      <c r="X365" s="297" t="s">
        <v>2963</v>
      </c>
      <c r="AA365" s="7"/>
      <c r="AB365" s="7"/>
      <c r="AC365" s="1408"/>
      <c r="AD365" s="387"/>
    </row>
    <row r="366" spans="6:30" ht="10.5" customHeight="1">
      <c r="F366" s="199"/>
      <c r="G366" s="184"/>
      <c r="H366" s="184"/>
      <c r="I366" s="184"/>
      <c r="J366" s="184"/>
      <c r="K366" s="184"/>
      <c r="L366" s="184"/>
      <c r="M366" s="184"/>
      <c r="N366" s="184"/>
      <c r="O366" s="184"/>
      <c r="P366" s="435" t="s">
        <v>721</v>
      </c>
      <c r="Q366" s="154"/>
      <c r="R366" s="56"/>
      <c r="S366" s="277"/>
      <c r="T366" s="361" t="s">
        <v>395</v>
      </c>
      <c r="U366" s="361" t="s">
        <v>1114</v>
      </c>
      <c r="W366" s="297" t="s">
        <v>2006</v>
      </c>
      <c r="X366" s="297" t="s">
        <v>2963</v>
      </c>
      <c r="AA366" s="7"/>
      <c r="AB366" s="7"/>
      <c r="AC366" s="1408"/>
      <c r="AD366" s="387"/>
    </row>
    <row r="367" spans="6:30" ht="10.5" customHeight="1">
      <c r="F367" s="199"/>
      <c r="G367" s="184"/>
      <c r="H367" s="184"/>
      <c r="I367" s="184"/>
      <c r="J367" s="184"/>
      <c r="K367" s="184"/>
      <c r="L367" s="184"/>
      <c r="M367" s="184"/>
      <c r="N367" s="184"/>
      <c r="O367" s="184"/>
      <c r="P367" s="435" t="s">
        <v>722</v>
      </c>
      <c r="Q367" s="154"/>
      <c r="R367" s="56"/>
      <c r="S367" s="277"/>
      <c r="T367" s="436" t="s">
        <v>209</v>
      </c>
      <c r="U367" s="436" t="s">
        <v>622</v>
      </c>
      <c r="W367" s="297" t="s">
        <v>1478</v>
      </c>
      <c r="X367" s="297" t="s">
        <v>2963</v>
      </c>
      <c r="AA367" s="7"/>
      <c r="AB367" s="7"/>
      <c r="AC367" s="1408"/>
      <c r="AD367" s="387"/>
    </row>
    <row r="368" spans="6:30" ht="10.5" customHeight="1">
      <c r="F368" s="199"/>
      <c r="G368" s="184"/>
      <c r="H368" s="184"/>
      <c r="I368" s="184"/>
      <c r="J368" s="184"/>
      <c r="K368" s="184"/>
      <c r="L368" s="184"/>
      <c r="M368" s="184"/>
      <c r="N368" s="184"/>
      <c r="O368" s="184"/>
      <c r="P368" s="435" t="s">
        <v>211</v>
      </c>
      <c r="Q368" s="154"/>
      <c r="R368" s="56"/>
      <c r="S368" s="277"/>
      <c r="T368" s="361" t="s">
        <v>2285</v>
      </c>
      <c r="U368" s="361" t="s">
        <v>1810</v>
      </c>
      <c r="W368" s="297" t="s">
        <v>1516</v>
      </c>
      <c r="X368" s="297" t="s">
        <v>2963</v>
      </c>
      <c r="AA368" s="7"/>
      <c r="AB368" s="7"/>
      <c r="AC368" s="1411"/>
      <c r="AD368" s="387"/>
    </row>
    <row r="369" spans="6:30" ht="10.5" customHeight="1">
      <c r="F369" s="199"/>
      <c r="G369" s="184"/>
      <c r="H369" s="184"/>
      <c r="I369" s="184"/>
      <c r="J369" s="184"/>
      <c r="K369" s="184"/>
      <c r="L369" s="184"/>
      <c r="M369" s="184"/>
      <c r="N369" s="184"/>
      <c r="O369" s="184"/>
      <c r="P369" s="435" t="s">
        <v>213</v>
      </c>
      <c r="Q369" s="154"/>
      <c r="R369" s="56"/>
      <c r="S369" s="277"/>
      <c r="T369" s="361" t="s">
        <v>1505</v>
      </c>
      <c r="U369" s="361" t="s">
        <v>2203</v>
      </c>
      <c r="W369" s="297" t="s">
        <v>1000</v>
      </c>
      <c r="X369" s="297" t="s">
        <v>2963</v>
      </c>
      <c r="AA369" s="7"/>
      <c r="AB369" s="7"/>
      <c r="AC369" s="1408"/>
      <c r="AD369" s="387"/>
    </row>
    <row r="370" spans="6:30" ht="10.5" customHeight="1">
      <c r="F370" s="199"/>
      <c r="G370" s="184"/>
      <c r="H370" s="184"/>
      <c r="I370" s="184"/>
      <c r="J370" s="184"/>
      <c r="K370" s="184"/>
      <c r="L370" s="184"/>
      <c r="M370" s="184"/>
      <c r="N370" s="184"/>
      <c r="O370" s="184"/>
      <c r="P370" s="435" t="s">
        <v>215</v>
      </c>
      <c r="Q370" s="154"/>
      <c r="R370" s="56"/>
      <c r="S370" s="277"/>
      <c r="T370" s="361" t="s">
        <v>2024</v>
      </c>
      <c r="U370" s="361" t="s">
        <v>612</v>
      </c>
      <c r="W370" s="297" t="s">
        <v>1523</v>
      </c>
      <c r="X370" s="297" t="s">
        <v>2963</v>
      </c>
      <c r="AA370" s="7"/>
      <c r="AB370" s="7"/>
      <c r="AC370" s="1408"/>
      <c r="AD370" s="387"/>
    </row>
    <row r="371" spans="6:30" ht="10.5" customHeight="1">
      <c r="F371" s="199"/>
      <c r="G371" s="184"/>
      <c r="H371" s="184"/>
      <c r="I371" s="184"/>
      <c r="J371" s="184"/>
      <c r="K371" s="184"/>
      <c r="L371" s="184"/>
      <c r="M371" s="184"/>
      <c r="N371" s="184"/>
      <c r="O371" s="184"/>
      <c r="P371" s="435" t="s">
        <v>725</v>
      </c>
      <c r="Q371" s="154"/>
      <c r="R371" s="56"/>
      <c r="S371" s="277"/>
      <c r="T371" s="361" t="s">
        <v>2026</v>
      </c>
      <c r="U371" s="361" t="s">
        <v>1214</v>
      </c>
      <c r="W371" s="297" t="s">
        <v>1524</v>
      </c>
      <c r="X371" s="297" t="s">
        <v>2963</v>
      </c>
      <c r="AA371" s="7"/>
      <c r="AB371" s="7"/>
      <c r="AC371" s="1408"/>
      <c r="AD371" s="387"/>
    </row>
    <row r="372" spans="6:30" ht="10.5" customHeight="1">
      <c r="F372" s="199"/>
      <c r="G372" s="184"/>
      <c r="H372" s="184"/>
      <c r="I372" s="184"/>
      <c r="J372" s="184"/>
      <c r="K372" s="184"/>
      <c r="L372" s="184"/>
      <c r="M372" s="184"/>
      <c r="N372" s="184"/>
      <c r="O372" s="184"/>
      <c r="P372" s="435" t="s">
        <v>726</v>
      </c>
      <c r="Q372" s="154"/>
      <c r="R372" s="56"/>
      <c r="S372" s="277"/>
      <c r="T372" s="361" t="s">
        <v>919</v>
      </c>
      <c r="U372" s="361" t="s">
        <v>1337</v>
      </c>
      <c r="W372" s="297" t="s">
        <v>1526</v>
      </c>
      <c r="X372" s="297" t="s">
        <v>2963</v>
      </c>
      <c r="AA372" s="7"/>
      <c r="AB372" s="7"/>
      <c r="AC372" s="1408"/>
      <c r="AD372" s="387"/>
    </row>
    <row r="373" spans="6:30" ht="10.5" customHeight="1">
      <c r="F373" s="199"/>
      <c r="G373" s="184"/>
      <c r="H373" s="184"/>
      <c r="I373" s="184"/>
      <c r="J373" s="184"/>
      <c r="K373" s="184"/>
      <c r="L373" s="184"/>
      <c r="M373" s="184"/>
      <c r="N373" s="184"/>
      <c r="O373" s="184"/>
      <c r="P373" s="435" t="s">
        <v>728</v>
      </c>
      <c r="Q373" s="154"/>
      <c r="R373" s="56"/>
      <c r="S373" s="277"/>
      <c r="T373" s="361" t="s">
        <v>529</v>
      </c>
      <c r="U373" s="361" t="s">
        <v>1230</v>
      </c>
      <c r="W373" s="297" t="s">
        <v>1529</v>
      </c>
      <c r="X373" s="297" t="s">
        <v>2963</v>
      </c>
      <c r="AA373" s="7"/>
      <c r="AB373" s="7"/>
      <c r="AC373" s="1408"/>
      <c r="AD373" s="387"/>
    </row>
    <row r="374" spans="6:30" ht="10.5" customHeight="1">
      <c r="F374" s="199"/>
      <c r="G374" s="184"/>
      <c r="H374" s="184"/>
      <c r="I374" s="184"/>
      <c r="J374" s="184"/>
      <c r="K374" s="184"/>
      <c r="L374" s="184"/>
      <c r="M374" s="184"/>
      <c r="N374" s="184"/>
      <c r="O374" s="184"/>
      <c r="P374" s="435" t="s">
        <v>1410</v>
      </c>
      <c r="Q374" s="154"/>
      <c r="R374" s="56"/>
      <c r="S374" s="277"/>
      <c r="T374" s="361" t="s">
        <v>629</v>
      </c>
      <c r="U374" s="361" t="s">
        <v>289</v>
      </c>
      <c r="W374" s="297" t="s">
        <v>1531</v>
      </c>
      <c r="X374" s="297" t="s">
        <v>2963</v>
      </c>
      <c r="AA374" s="7"/>
      <c r="AB374" s="7"/>
      <c r="AC374" s="1408"/>
      <c r="AD374" s="387"/>
    </row>
    <row r="375" spans="6:30" ht="10.5" customHeight="1">
      <c r="F375" s="199"/>
      <c r="G375" s="184"/>
      <c r="H375" s="184"/>
      <c r="I375" s="184"/>
      <c r="J375" s="184"/>
      <c r="K375" s="184"/>
      <c r="L375" s="184"/>
      <c r="M375" s="184"/>
      <c r="N375" s="184"/>
      <c r="O375" s="184"/>
      <c r="P375" s="435" t="s">
        <v>1128</v>
      </c>
      <c r="Q375" s="154"/>
      <c r="R375" s="56"/>
      <c r="S375" s="277"/>
      <c r="T375" s="361" t="s">
        <v>2120</v>
      </c>
      <c r="U375" s="361" t="s">
        <v>139</v>
      </c>
      <c r="W375" s="297" t="s">
        <v>1532</v>
      </c>
      <c r="X375" s="297" t="s">
        <v>2963</v>
      </c>
      <c r="AA375" s="7"/>
      <c r="AB375" s="7"/>
      <c r="AC375" s="1408"/>
      <c r="AD375" s="387"/>
    </row>
    <row r="376" spans="6:30" ht="10.5" customHeight="1">
      <c r="F376" s="199"/>
      <c r="G376" s="184"/>
      <c r="H376" s="184"/>
      <c r="I376" s="184"/>
      <c r="J376" s="184"/>
      <c r="K376" s="184"/>
      <c r="L376" s="184"/>
      <c r="M376" s="184"/>
      <c r="N376" s="184"/>
      <c r="O376" s="184"/>
      <c r="P376" s="435" t="s">
        <v>1130</v>
      </c>
      <c r="Q376" s="154"/>
      <c r="R376" s="56"/>
      <c r="S376" s="277"/>
      <c r="T376" s="361" t="s">
        <v>202</v>
      </c>
      <c r="U376" s="361" t="s">
        <v>2202</v>
      </c>
      <c r="W376" s="297" t="s">
        <v>1534</v>
      </c>
      <c r="X376" s="297" t="s">
        <v>2963</v>
      </c>
      <c r="AA376" s="7"/>
      <c r="AB376" s="7"/>
      <c r="AC376" s="1408"/>
      <c r="AD376" s="387"/>
    </row>
    <row r="377" spans="6:30" ht="10.5" customHeight="1">
      <c r="F377" s="199"/>
      <c r="G377" s="184"/>
      <c r="H377" s="184"/>
      <c r="I377" s="184"/>
      <c r="J377" s="184"/>
      <c r="K377" s="184"/>
      <c r="L377" s="184"/>
      <c r="M377" s="184"/>
      <c r="N377" s="184"/>
      <c r="O377" s="184"/>
      <c r="P377" s="435" t="s">
        <v>837</v>
      </c>
      <c r="Q377" s="154"/>
      <c r="R377" s="56"/>
      <c r="S377" s="277"/>
      <c r="T377" s="361" t="s">
        <v>614</v>
      </c>
      <c r="U377" s="361" t="s">
        <v>1484</v>
      </c>
      <c r="W377" s="297" t="s">
        <v>1538</v>
      </c>
      <c r="X377" s="297" t="s">
        <v>2963</v>
      </c>
      <c r="AA377" s="7"/>
      <c r="AB377" s="7"/>
      <c r="AC377" s="1408"/>
      <c r="AD377" s="387"/>
    </row>
    <row r="378" spans="6:30" ht="10.5" customHeight="1">
      <c r="F378" s="199"/>
      <c r="G378" s="184"/>
      <c r="H378" s="184"/>
      <c r="I378" s="184"/>
      <c r="J378" s="184"/>
      <c r="K378" s="184"/>
      <c r="L378" s="184"/>
      <c r="M378" s="184"/>
      <c r="N378" s="184"/>
      <c r="O378" s="184"/>
      <c r="P378" s="435" t="s">
        <v>2180</v>
      </c>
      <c r="Q378" s="154"/>
      <c r="R378" s="56"/>
      <c r="S378" s="277"/>
      <c r="T378" s="361" t="s">
        <v>2101</v>
      </c>
      <c r="U378" s="361" t="s">
        <v>2200</v>
      </c>
      <c r="W378" s="297" t="s">
        <v>1539</v>
      </c>
      <c r="X378" s="297" t="s">
        <v>2963</v>
      </c>
      <c r="AA378" s="7"/>
      <c r="AB378" s="7"/>
      <c r="AC378" s="1408"/>
      <c r="AD378" s="387"/>
    </row>
    <row r="379" spans="6:30" ht="10.5" customHeight="1">
      <c r="F379" s="199"/>
      <c r="G379" s="184"/>
      <c r="H379" s="184"/>
      <c r="I379" s="184"/>
      <c r="J379" s="184"/>
      <c r="K379" s="184"/>
      <c r="L379" s="184"/>
      <c r="M379" s="184"/>
      <c r="N379" s="184"/>
      <c r="O379" s="184"/>
      <c r="P379" s="435" t="s">
        <v>3640</v>
      </c>
      <c r="Q379" s="154"/>
      <c r="R379" s="56"/>
      <c r="S379" s="277"/>
      <c r="T379" s="361" t="s">
        <v>212</v>
      </c>
      <c r="U379" s="361" t="s">
        <v>1385</v>
      </c>
      <c r="W379" s="297" t="s">
        <v>1540</v>
      </c>
      <c r="X379" s="297" t="s">
        <v>2963</v>
      </c>
      <c r="AA379" s="7"/>
      <c r="AB379" s="7"/>
      <c r="AC379" s="1408"/>
      <c r="AD379" s="387"/>
    </row>
    <row r="380" spans="6:30" ht="10.5" customHeight="1">
      <c r="F380" s="199"/>
      <c r="G380" s="184"/>
      <c r="H380" s="184"/>
      <c r="I380" s="184"/>
      <c r="J380" s="184"/>
      <c r="K380" s="184"/>
      <c r="L380" s="184"/>
      <c r="M380" s="184"/>
      <c r="N380" s="184"/>
      <c r="O380" s="184"/>
      <c r="P380" s="435" t="s">
        <v>840</v>
      </c>
      <c r="Q380" s="154"/>
      <c r="R380" s="56"/>
      <c r="S380" s="277"/>
      <c r="T380" s="361" t="s">
        <v>968</v>
      </c>
      <c r="U380" s="361" t="s">
        <v>1337</v>
      </c>
      <c r="W380" s="297" t="s">
        <v>98</v>
      </c>
      <c r="X380" s="297" t="s">
        <v>2963</v>
      </c>
      <c r="AA380" s="7"/>
      <c r="AB380" s="7"/>
      <c r="AC380" s="1408"/>
      <c r="AD380" s="387"/>
    </row>
    <row r="381" spans="6:30" ht="10.5" customHeight="1">
      <c r="F381" s="199"/>
      <c r="G381" s="184"/>
      <c r="H381" s="184"/>
      <c r="I381" s="184"/>
      <c r="J381" s="184"/>
      <c r="K381" s="184"/>
      <c r="L381" s="184"/>
      <c r="M381" s="184"/>
      <c r="N381" s="184"/>
      <c r="O381" s="184"/>
      <c r="P381" s="435" t="s">
        <v>842</v>
      </c>
      <c r="Q381" s="154"/>
      <c r="R381" s="56"/>
      <c r="S381" s="277"/>
      <c r="T381" s="361" t="s">
        <v>214</v>
      </c>
      <c r="U381" s="361" t="s">
        <v>1011</v>
      </c>
      <c r="W381" s="297" t="s">
        <v>276</v>
      </c>
      <c r="X381" s="297" t="s">
        <v>2963</v>
      </c>
      <c r="AA381" s="7"/>
      <c r="AB381" s="7"/>
      <c r="AC381" s="1408"/>
      <c r="AD381" s="387"/>
    </row>
    <row r="382" spans="6:30" ht="10.5" customHeight="1">
      <c r="F382" s="199"/>
      <c r="G382" s="184"/>
      <c r="H382" s="184"/>
      <c r="I382" s="184"/>
      <c r="J382" s="184"/>
      <c r="K382" s="184"/>
      <c r="L382" s="184"/>
      <c r="M382" s="184"/>
      <c r="N382" s="184"/>
      <c r="O382" s="184"/>
      <c r="P382" s="435" t="s">
        <v>844</v>
      </c>
      <c r="Q382" s="154"/>
      <c r="R382" s="56"/>
      <c r="S382" s="277"/>
      <c r="T382" s="361" t="s">
        <v>615</v>
      </c>
      <c r="U382" s="361" t="s">
        <v>296</v>
      </c>
      <c r="W382" s="297" t="s">
        <v>277</v>
      </c>
      <c r="X382" s="297" t="s">
        <v>2963</v>
      </c>
      <c r="AA382" s="7"/>
      <c r="AB382" s="7"/>
      <c r="AC382" s="1408"/>
      <c r="AD382" s="387"/>
    </row>
    <row r="383" spans="6:30" ht="10.5" customHeight="1">
      <c r="F383" s="199"/>
      <c r="G383" s="184"/>
      <c r="H383" s="184"/>
      <c r="I383" s="184"/>
      <c r="J383" s="184"/>
      <c r="K383" s="184"/>
      <c r="L383" s="184"/>
      <c r="M383" s="184"/>
      <c r="N383" s="184"/>
      <c r="O383" s="184"/>
      <c r="P383" s="435" t="s">
        <v>846</v>
      </c>
      <c r="Q383" s="154"/>
      <c r="R383" s="56"/>
      <c r="S383" s="277"/>
      <c r="T383" s="361" t="s">
        <v>727</v>
      </c>
      <c r="U383" s="361" t="s">
        <v>615</v>
      </c>
      <c r="W383" s="297" t="s">
        <v>278</v>
      </c>
      <c r="X383" s="297" t="s">
        <v>2963</v>
      </c>
      <c r="AA383" s="7"/>
      <c r="AB383" s="7"/>
      <c r="AC383" s="1408"/>
      <c r="AD383" s="387"/>
    </row>
    <row r="384" spans="6:30" ht="10.5" customHeight="1">
      <c r="F384" s="199"/>
      <c r="G384" s="184"/>
      <c r="H384" s="184"/>
      <c r="I384" s="184"/>
      <c r="J384" s="184"/>
      <c r="K384" s="184"/>
      <c r="L384" s="184"/>
      <c r="M384" s="184"/>
      <c r="N384" s="184"/>
      <c r="O384" s="184"/>
      <c r="P384" s="435" t="s">
        <v>848</v>
      </c>
      <c r="Q384" s="154"/>
      <c r="R384" s="56"/>
      <c r="S384" s="277"/>
      <c r="T384" s="361" t="s">
        <v>1127</v>
      </c>
      <c r="U384" s="361" t="s">
        <v>2208</v>
      </c>
      <c r="W384" s="297" t="s">
        <v>1402</v>
      </c>
      <c r="X384" s="297" t="s">
        <v>2963</v>
      </c>
      <c r="AA384" s="7"/>
      <c r="AB384" s="7"/>
      <c r="AC384" s="1408"/>
      <c r="AD384" s="387"/>
    </row>
    <row r="385" spans="6:30" ht="10.5" customHeight="1">
      <c r="F385" s="199"/>
      <c r="G385" s="184"/>
      <c r="H385" s="184"/>
      <c r="I385" s="184"/>
      <c r="J385" s="184"/>
      <c r="K385" s="184"/>
      <c r="L385" s="184"/>
      <c r="M385" s="184"/>
      <c r="N385" s="184"/>
      <c r="O385" s="184"/>
      <c r="P385" s="435" t="s">
        <v>634</v>
      </c>
      <c r="Q385" s="154"/>
      <c r="R385" s="56"/>
      <c r="S385" s="277"/>
      <c r="T385" s="361" t="s">
        <v>1129</v>
      </c>
      <c r="U385" s="361" t="s">
        <v>289</v>
      </c>
      <c r="W385" s="297" t="s">
        <v>1403</v>
      </c>
      <c r="X385" s="297" t="s">
        <v>2963</v>
      </c>
      <c r="AA385" s="7"/>
      <c r="AB385" s="7"/>
      <c r="AC385" s="1408"/>
      <c r="AD385" s="387"/>
    </row>
    <row r="386" spans="6:30" ht="10.5" customHeight="1">
      <c r="F386" s="199"/>
      <c r="G386" s="184"/>
      <c r="H386" s="184"/>
      <c r="I386" s="184"/>
      <c r="J386" s="184"/>
      <c r="K386" s="184"/>
      <c r="L386" s="184"/>
      <c r="M386" s="184"/>
      <c r="N386" s="184"/>
      <c r="O386" s="184"/>
      <c r="P386" s="435" t="s">
        <v>49</v>
      </c>
      <c r="Q386" s="154"/>
      <c r="R386" s="56"/>
      <c r="S386" s="277"/>
      <c r="T386" s="361" t="s">
        <v>1131</v>
      </c>
      <c r="U386" s="361" t="s">
        <v>141</v>
      </c>
      <c r="W386" s="297" t="s">
        <v>1404</v>
      </c>
      <c r="X386" s="297" t="s">
        <v>2963</v>
      </c>
      <c r="AA386" s="7"/>
      <c r="AB386" s="7"/>
      <c r="AC386" s="1408"/>
      <c r="AD386" s="387"/>
    </row>
    <row r="387" spans="6:30" ht="10.5" customHeight="1">
      <c r="F387" s="199"/>
      <c r="G387" s="184"/>
      <c r="H387" s="184"/>
      <c r="I387" s="184"/>
      <c r="J387" s="184"/>
      <c r="K387" s="184"/>
      <c r="L387" s="184"/>
      <c r="M387" s="184"/>
      <c r="N387" s="184"/>
      <c r="O387" s="184"/>
      <c r="P387" s="435" t="s">
        <v>892</v>
      </c>
      <c r="Q387" s="154"/>
      <c r="R387" s="56"/>
      <c r="S387" s="277"/>
      <c r="T387" s="361" t="s">
        <v>838</v>
      </c>
      <c r="U387" s="361" t="s">
        <v>1989</v>
      </c>
      <c r="W387" s="297" t="s">
        <v>1409</v>
      </c>
      <c r="X387" s="297" t="s">
        <v>2963</v>
      </c>
      <c r="AA387" s="7"/>
      <c r="AB387" s="7"/>
      <c r="AC387" s="1408"/>
      <c r="AD387" s="387"/>
    </row>
    <row r="388" spans="6:30" ht="10.5" customHeight="1">
      <c r="F388" s="199"/>
      <c r="G388" s="184"/>
      <c r="H388" s="184"/>
      <c r="I388" s="184"/>
      <c r="J388" s="184"/>
      <c r="K388" s="184"/>
      <c r="L388" s="184"/>
      <c r="M388" s="184"/>
      <c r="N388" s="184"/>
      <c r="O388" s="184"/>
      <c r="P388" s="435" t="s">
        <v>1569</v>
      </c>
      <c r="Q388" s="154"/>
      <c r="R388" s="56"/>
      <c r="S388" s="277"/>
      <c r="T388" s="361" t="s">
        <v>2181</v>
      </c>
      <c r="U388" s="361" t="s">
        <v>1689</v>
      </c>
      <c r="W388" s="297" t="s">
        <v>2115</v>
      </c>
      <c r="X388" s="297" t="s">
        <v>2963</v>
      </c>
      <c r="AA388" s="7"/>
      <c r="AB388" s="7"/>
      <c r="AC388" s="1408"/>
      <c r="AD388" s="387"/>
    </row>
    <row r="389" spans="6:30" ht="10.5" customHeight="1">
      <c r="F389" s="199"/>
      <c r="G389" s="184"/>
      <c r="H389" s="184"/>
      <c r="I389" s="184"/>
      <c r="J389" s="184"/>
      <c r="K389" s="184"/>
      <c r="L389" s="184"/>
      <c r="M389" s="184"/>
      <c r="N389" s="184"/>
      <c r="O389" s="184"/>
      <c r="P389" s="435" t="s">
        <v>924</v>
      </c>
      <c r="Q389" s="154"/>
      <c r="R389" s="56"/>
      <c r="S389" s="277"/>
      <c r="T389" s="361" t="s">
        <v>841</v>
      </c>
      <c r="U389" s="361" t="s">
        <v>1942</v>
      </c>
      <c r="W389" s="297" t="s">
        <v>773</v>
      </c>
      <c r="X389" s="297" t="s">
        <v>2963</v>
      </c>
      <c r="AA389" s="7"/>
      <c r="AB389" s="7"/>
      <c r="AC389" s="1408"/>
      <c r="AD389" s="387"/>
    </row>
    <row r="390" spans="6:30" ht="10.5" customHeight="1">
      <c r="F390" s="199"/>
      <c r="G390" s="184"/>
      <c r="H390" s="184"/>
      <c r="I390" s="184"/>
      <c r="J390" s="184"/>
      <c r="K390" s="184"/>
      <c r="L390" s="184"/>
      <c r="M390" s="184"/>
      <c r="N390" s="184"/>
      <c r="O390" s="184"/>
      <c r="P390" s="435" t="s">
        <v>925</v>
      </c>
      <c r="Q390" s="154"/>
      <c r="R390" s="56"/>
      <c r="S390" s="277"/>
      <c r="T390" s="436" t="s">
        <v>843</v>
      </c>
      <c r="U390" s="436" t="s">
        <v>1023</v>
      </c>
      <c r="W390" s="297" t="s">
        <v>775</v>
      </c>
      <c r="X390" s="297" t="s">
        <v>2963</v>
      </c>
      <c r="AA390" s="7"/>
      <c r="AB390" s="7"/>
      <c r="AC390" s="1408"/>
      <c r="AD390" s="387"/>
    </row>
    <row r="391" spans="6:30" ht="10.5" customHeight="1">
      <c r="F391" s="199"/>
      <c r="G391" s="184"/>
      <c r="H391" s="184"/>
      <c r="I391" s="184"/>
      <c r="J391" s="184"/>
      <c r="K391" s="184"/>
      <c r="L391" s="184"/>
      <c r="M391" s="184"/>
      <c r="N391" s="184"/>
      <c r="O391" s="184"/>
      <c r="P391" s="435" t="s">
        <v>927</v>
      </c>
      <c r="Q391" s="154"/>
      <c r="R391" s="56"/>
      <c r="S391" s="277"/>
      <c r="T391" s="361" t="s">
        <v>845</v>
      </c>
      <c r="U391" s="361" t="s">
        <v>619</v>
      </c>
      <c r="AA391" s="7"/>
      <c r="AB391" s="7"/>
      <c r="AC391" s="1411"/>
      <c r="AD391" s="387"/>
    </row>
    <row r="392" spans="6:30" ht="10.5" customHeight="1">
      <c r="F392" s="199"/>
      <c r="G392" s="184"/>
      <c r="H392" s="184"/>
      <c r="I392" s="184"/>
      <c r="J392" s="184"/>
      <c r="K392" s="184"/>
      <c r="L392" s="184"/>
      <c r="M392" s="184"/>
      <c r="N392" s="184"/>
      <c r="O392" s="184"/>
      <c r="P392" s="435" t="s">
        <v>906</v>
      </c>
      <c r="Q392" s="154"/>
      <c r="R392" s="56"/>
      <c r="S392" s="277"/>
      <c r="T392" s="361" t="s">
        <v>847</v>
      </c>
      <c r="U392" s="361" t="s">
        <v>289</v>
      </c>
      <c r="AA392" s="7"/>
      <c r="AB392" s="7"/>
      <c r="AC392" s="1408"/>
      <c r="AD392" s="387"/>
    </row>
    <row r="393" spans="6:30" ht="10.5" customHeight="1">
      <c r="F393" s="199"/>
      <c r="G393" s="184"/>
      <c r="H393" s="184"/>
      <c r="I393" s="184"/>
      <c r="J393" s="184"/>
      <c r="K393" s="184"/>
      <c r="L393" s="184"/>
      <c r="M393" s="184"/>
      <c r="N393" s="184"/>
      <c r="O393" s="184"/>
      <c r="P393" s="435" t="s">
        <v>908</v>
      </c>
      <c r="Q393" s="154"/>
      <c r="R393" s="56"/>
      <c r="S393" s="277"/>
      <c r="T393" s="361" t="s">
        <v>849</v>
      </c>
      <c r="U393" s="361" t="s">
        <v>1228</v>
      </c>
      <c r="AA393" s="7"/>
      <c r="AB393" s="7"/>
      <c r="AC393" s="1408"/>
      <c r="AD393" s="387"/>
    </row>
    <row r="394" spans="6:30" ht="10.5" customHeight="1">
      <c r="F394" s="199"/>
      <c r="G394" s="184"/>
      <c r="H394" s="184"/>
      <c r="I394" s="184"/>
      <c r="J394" s="184"/>
      <c r="K394" s="184"/>
      <c r="L394" s="184"/>
      <c r="M394" s="184"/>
      <c r="N394" s="184"/>
      <c r="O394" s="184"/>
      <c r="P394" s="435" t="s">
        <v>910</v>
      </c>
      <c r="Q394" s="154"/>
      <c r="R394" s="56"/>
      <c r="S394" s="277"/>
      <c r="T394" s="436" t="s">
        <v>635</v>
      </c>
      <c r="U394" s="436" t="s">
        <v>1946</v>
      </c>
      <c r="AA394" s="7"/>
      <c r="AB394" s="7"/>
      <c r="AC394" s="1408"/>
      <c r="AD394" s="387"/>
    </row>
    <row r="395" spans="6:30" ht="10.5" customHeight="1">
      <c r="F395" s="199"/>
      <c r="G395" s="184"/>
      <c r="H395" s="184"/>
      <c r="I395" s="184"/>
      <c r="J395" s="184"/>
      <c r="K395" s="184"/>
      <c r="L395" s="184"/>
      <c r="M395" s="184"/>
      <c r="N395" s="184"/>
      <c r="O395" s="184"/>
      <c r="P395" s="435" t="s">
        <v>912</v>
      </c>
      <c r="Q395" s="154"/>
      <c r="R395" s="56"/>
      <c r="S395" s="277"/>
      <c r="T395" s="361" t="s">
        <v>50</v>
      </c>
      <c r="U395" s="361" t="s">
        <v>104</v>
      </c>
      <c r="AA395" s="7"/>
      <c r="AB395" s="7"/>
      <c r="AC395" s="1411"/>
      <c r="AD395" s="387"/>
    </row>
    <row r="396" spans="6:30" ht="10.5" customHeight="1">
      <c r="F396" s="199"/>
      <c r="G396" s="184"/>
      <c r="H396" s="184"/>
      <c r="I396" s="184"/>
      <c r="J396" s="184"/>
      <c r="K396" s="184"/>
      <c r="L396" s="184"/>
      <c r="M396" s="184"/>
      <c r="N396" s="184"/>
      <c r="O396" s="184"/>
      <c r="P396" s="435" t="s">
        <v>532</v>
      </c>
      <c r="Q396" s="154"/>
      <c r="R396" s="56"/>
      <c r="S396" s="277"/>
      <c r="T396" s="361" t="s">
        <v>893</v>
      </c>
      <c r="U396" s="361" t="s">
        <v>1811</v>
      </c>
      <c r="AA396" s="7"/>
      <c r="AB396" s="7"/>
      <c r="AC396" s="1408"/>
      <c r="AD396" s="387"/>
    </row>
    <row r="397" spans="6:30" ht="10.5" customHeight="1">
      <c r="F397" s="199"/>
      <c r="G397" s="184"/>
      <c r="H397" s="184"/>
      <c r="I397" s="184"/>
      <c r="J397" s="184"/>
      <c r="K397" s="184"/>
      <c r="L397" s="184"/>
      <c r="M397" s="184"/>
      <c r="N397" s="184"/>
      <c r="O397" s="184"/>
      <c r="P397" s="435" t="s">
        <v>349</v>
      </c>
      <c r="Q397" s="154"/>
      <c r="R397" s="56"/>
      <c r="S397" s="277"/>
      <c r="T397" s="361" t="s">
        <v>622</v>
      </c>
      <c r="U397" s="361" t="s">
        <v>2128</v>
      </c>
      <c r="AA397" s="7"/>
      <c r="AB397" s="7"/>
      <c r="AC397" s="1408"/>
      <c r="AD397" s="387"/>
    </row>
    <row r="398" spans="6:30" ht="10.5" customHeight="1">
      <c r="F398" s="199"/>
      <c r="G398" s="184"/>
      <c r="H398" s="184"/>
      <c r="I398" s="184"/>
      <c r="J398" s="184"/>
      <c r="K398" s="184"/>
      <c r="L398" s="184"/>
      <c r="M398" s="184"/>
      <c r="N398" s="184"/>
      <c r="O398" s="184"/>
      <c r="P398" s="435" t="s">
        <v>351</v>
      </c>
      <c r="Q398" s="154"/>
      <c r="R398" s="56"/>
      <c r="S398" s="277"/>
      <c r="T398" s="361" t="s">
        <v>926</v>
      </c>
      <c r="U398" s="361" t="s">
        <v>1118</v>
      </c>
      <c r="AA398" s="7"/>
      <c r="AB398" s="7"/>
      <c r="AC398" s="1408"/>
      <c r="AD398" s="387"/>
    </row>
    <row r="399" spans="6:30" ht="10.5" customHeight="1">
      <c r="F399" s="199"/>
      <c r="G399" s="184"/>
      <c r="H399" s="184"/>
      <c r="I399" s="184"/>
      <c r="J399" s="184"/>
      <c r="K399" s="184"/>
      <c r="L399" s="184"/>
      <c r="M399" s="184"/>
      <c r="N399" s="184"/>
      <c r="O399" s="184"/>
      <c r="P399" s="435" t="s">
        <v>353</v>
      </c>
      <c r="Q399" s="154"/>
      <c r="R399" s="56"/>
      <c r="S399" s="277"/>
      <c r="T399" s="361" t="s">
        <v>928</v>
      </c>
      <c r="U399" s="361" t="s">
        <v>2243</v>
      </c>
      <c r="AA399" s="7"/>
      <c r="AB399" s="7"/>
      <c r="AC399" s="1408"/>
      <c r="AD399" s="387"/>
    </row>
    <row r="400" spans="6:30" ht="10.5" customHeight="1">
      <c r="F400" s="199"/>
      <c r="G400" s="184"/>
      <c r="H400" s="184"/>
      <c r="I400" s="184"/>
      <c r="J400" s="184"/>
      <c r="K400" s="184"/>
      <c r="L400" s="184"/>
      <c r="M400" s="184"/>
      <c r="N400" s="184"/>
      <c r="O400" s="184"/>
      <c r="P400" s="435" t="s">
        <v>553</v>
      </c>
      <c r="Q400" s="154"/>
      <c r="R400" s="56"/>
      <c r="S400" s="277"/>
      <c r="T400" s="436" t="s">
        <v>907</v>
      </c>
      <c r="U400" s="436" t="s">
        <v>402</v>
      </c>
      <c r="AA400" s="7"/>
      <c r="AB400" s="7"/>
      <c r="AC400" s="1408"/>
      <c r="AD400" s="387"/>
    </row>
    <row r="401" spans="6:30" ht="10.5" customHeight="1">
      <c r="F401" s="199"/>
      <c r="G401" s="184"/>
      <c r="H401" s="184"/>
      <c r="I401" s="184"/>
      <c r="J401" s="184"/>
      <c r="K401" s="184"/>
      <c r="L401" s="184"/>
      <c r="M401" s="184"/>
      <c r="N401" s="184"/>
      <c r="O401" s="184"/>
      <c r="P401" s="435" t="s">
        <v>1302</v>
      </c>
      <c r="Q401" s="154"/>
      <c r="R401" s="56"/>
      <c r="S401" s="277"/>
      <c r="T401" s="361" t="s">
        <v>909</v>
      </c>
      <c r="U401" s="361" t="s">
        <v>112</v>
      </c>
      <c r="AA401" s="7"/>
      <c r="AB401" s="7"/>
      <c r="AC401" s="1411"/>
      <c r="AD401" s="387"/>
    </row>
    <row r="402" spans="6:30" ht="10.5" customHeight="1">
      <c r="F402" s="199"/>
      <c r="G402" s="184"/>
      <c r="H402" s="184"/>
      <c r="I402" s="184"/>
      <c r="J402" s="184"/>
      <c r="K402" s="184"/>
      <c r="L402" s="184"/>
      <c r="M402" s="184"/>
      <c r="N402" s="184"/>
      <c r="O402" s="184"/>
      <c r="P402" s="435" t="s">
        <v>1447</v>
      </c>
      <c r="Q402" s="154"/>
      <c r="R402" s="56"/>
      <c r="S402" s="277"/>
      <c r="T402" s="361" t="s">
        <v>911</v>
      </c>
      <c r="U402" s="361" t="s">
        <v>626</v>
      </c>
      <c r="AA402" s="7"/>
      <c r="AB402" s="7"/>
      <c r="AC402" s="1408"/>
      <c r="AD402" s="387"/>
    </row>
    <row r="403" spans="6:30" ht="10.5" customHeight="1">
      <c r="F403" s="199"/>
      <c r="G403" s="184"/>
      <c r="H403" s="184"/>
      <c r="I403" s="184"/>
      <c r="J403" s="184"/>
      <c r="K403" s="184"/>
      <c r="L403" s="184"/>
      <c r="M403" s="184"/>
      <c r="N403" s="184"/>
      <c r="O403" s="184"/>
      <c r="P403" s="435" t="s">
        <v>934</v>
      </c>
      <c r="Q403" s="154"/>
      <c r="R403" s="56"/>
      <c r="S403" s="277"/>
      <c r="T403" s="361" t="s">
        <v>913</v>
      </c>
      <c r="U403" s="361" t="s">
        <v>1689</v>
      </c>
      <c r="AA403" s="7"/>
      <c r="AB403" s="7"/>
      <c r="AC403" s="1408"/>
      <c r="AD403" s="387"/>
    </row>
    <row r="404" spans="6:30" ht="10.5" customHeight="1">
      <c r="F404" s="199"/>
      <c r="G404" s="184"/>
      <c r="H404" s="184"/>
      <c r="I404" s="184"/>
      <c r="J404" s="184"/>
      <c r="K404" s="184"/>
      <c r="L404" s="184"/>
      <c r="M404" s="184"/>
      <c r="N404" s="184"/>
      <c r="O404" s="184"/>
      <c r="P404" s="435" t="s">
        <v>936</v>
      </c>
      <c r="Q404" s="154"/>
      <c r="R404" s="56"/>
      <c r="S404" s="277"/>
      <c r="T404" s="361" t="s">
        <v>969</v>
      </c>
      <c r="U404" s="361" t="s">
        <v>584</v>
      </c>
      <c r="AA404" s="7"/>
      <c r="AB404" s="7"/>
      <c r="AC404" s="1408"/>
      <c r="AD404" s="387"/>
    </row>
    <row r="405" spans="6:30" ht="10.5" customHeight="1">
      <c r="F405" s="199"/>
      <c r="G405" s="184"/>
      <c r="H405" s="184"/>
      <c r="I405" s="184"/>
      <c r="J405" s="184"/>
      <c r="K405" s="184"/>
      <c r="L405" s="184"/>
      <c r="M405" s="184"/>
      <c r="N405" s="184"/>
      <c r="O405" s="184"/>
      <c r="P405" s="435" t="s">
        <v>938</v>
      </c>
      <c r="Q405" s="154"/>
      <c r="R405" s="56"/>
      <c r="S405" s="277"/>
      <c r="T405" s="361" t="s">
        <v>533</v>
      </c>
      <c r="U405" s="361" t="s">
        <v>1935</v>
      </c>
      <c r="AA405" s="7"/>
      <c r="AB405" s="7"/>
      <c r="AC405" s="1408"/>
      <c r="AD405" s="387"/>
    </row>
    <row r="406" spans="6:30" ht="10.5" customHeight="1">
      <c r="F406" s="199"/>
      <c r="G406" s="184"/>
      <c r="H406" s="184"/>
      <c r="I406" s="184"/>
      <c r="J406" s="184"/>
      <c r="K406" s="184"/>
      <c r="L406" s="184"/>
      <c r="M406" s="184"/>
      <c r="N406" s="184"/>
      <c r="O406" s="184"/>
      <c r="P406" s="435" t="s">
        <v>1506</v>
      </c>
      <c r="Q406" s="154"/>
      <c r="R406" s="56"/>
      <c r="S406" s="277"/>
      <c r="T406" s="361" t="s">
        <v>350</v>
      </c>
      <c r="U406" s="361" t="s">
        <v>2240</v>
      </c>
      <c r="AA406" s="7"/>
      <c r="AB406" s="7"/>
      <c r="AC406" s="1408"/>
      <c r="AD406" s="387"/>
    </row>
    <row r="407" spans="6:30" ht="10.5" customHeight="1">
      <c r="F407" s="199"/>
      <c r="G407" s="184"/>
      <c r="H407" s="184"/>
      <c r="I407" s="184"/>
      <c r="J407" s="184"/>
      <c r="K407" s="184"/>
      <c r="L407" s="184"/>
      <c r="M407" s="184"/>
      <c r="N407" s="184"/>
      <c r="O407" s="184"/>
      <c r="P407" s="435" t="s">
        <v>1507</v>
      </c>
      <c r="Q407" s="154"/>
      <c r="R407" s="56"/>
      <c r="S407" s="277"/>
      <c r="T407" s="361" t="s">
        <v>352</v>
      </c>
      <c r="U407" s="361" t="s">
        <v>1337</v>
      </c>
      <c r="AA407" s="7"/>
      <c r="AB407" s="7"/>
      <c r="AC407" s="1408"/>
      <c r="AD407" s="387"/>
    </row>
    <row r="408" spans="6:30" ht="10.5" customHeight="1">
      <c r="F408" s="199"/>
      <c r="G408" s="184"/>
      <c r="H408" s="184"/>
      <c r="I408" s="184"/>
      <c r="J408" s="184"/>
      <c r="K408" s="184"/>
      <c r="L408" s="184"/>
      <c r="M408" s="184"/>
      <c r="N408" s="184"/>
      <c r="O408" s="184"/>
      <c r="P408" s="435" t="s">
        <v>1508</v>
      </c>
      <c r="Q408" s="154"/>
      <c r="R408" s="56"/>
      <c r="S408" s="277"/>
      <c r="T408" s="361" t="s">
        <v>970</v>
      </c>
      <c r="U408" s="361" t="s">
        <v>1719</v>
      </c>
      <c r="AA408" s="7"/>
      <c r="AB408" s="7"/>
      <c r="AC408" s="1408"/>
      <c r="AD408" s="387"/>
    </row>
    <row r="409" spans="6:30" ht="10.5" customHeight="1">
      <c r="F409" s="199"/>
      <c r="G409" s="184"/>
      <c r="H409" s="184"/>
      <c r="I409" s="184"/>
      <c r="J409" s="184"/>
      <c r="K409" s="184"/>
      <c r="L409" s="184"/>
      <c r="M409" s="184"/>
      <c r="N409" s="184"/>
      <c r="O409" s="184"/>
      <c r="P409" s="435" t="s">
        <v>802</v>
      </c>
      <c r="Q409" s="154"/>
      <c r="R409" s="56"/>
      <c r="S409" s="277"/>
      <c r="T409" s="361" t="s">
        <v>354</v>
      </c>
      <c r="U409" s="361" t="s">
        <v>816</v>
      </c>
      <c r="AA409" s="7"/>
      <c r="AB409" s="7"/>
      <c r="AC409" s="1408"/>
      <c r="AD409" s="387"/>
    </row>
    <row r="410" spans="6:30" ht="10.5" customHeight="1">
      <c r="F410" s="199"/>
      <c r="G410" s="184"/>
      <c r="H410" s="184"/>
      <c r="I410" s="184"/>
      <c r="J410" s="184"/>
      <c r="K410" s="184"/>
      <c r="L410" s="184"/>
      <c r="M410" s="184"/>
      <c r="N410" s="184"/>
      <c r="O410" s="184"/>
      <c r="P410" s="435" t="s">
        <v>804</v>
      </c>
      <c r="Q410" s="154"/>
      <c r="R410" s="56"/>
      <c r="S410" s="277"/>
      <c r="T410" s="361" t="s">
        <v>1303</v>
      </c>
      <c r="U410" s="361" t="s">
        <v>1991</v>
      </c>
      <c r="AA410" s="7"/>
      <c r="AB410" s="7"/>
      <c r="AC410" s="1408"/>
      <c r="AD410" s="387"/>
    </row>
    <row r="411" spans="6:30" ht="10.5" customHeight="1">
      <c r="F411" s="199"/>
      <c r="G411" s="184"/>
      <c r="H411" s="184"/>
      <c r="I411" s="184"/>
      <c r="J411" s="184"/>
      <c r="K411" s="184"/>
      <c r="L411" s="184"/>
      <c r="M411" s="184"/>
      <c r="N411" s="184"/>
      <c r="O411" s="184"/>
      <c r="P411" s="435" t="s">
        <v>806</v>
      </c>
      <c r="Q411" s="154"/>
      <c r="R411" s="56"/>
      <c r="S411" s="277"/>
      <c r="T411" s="361" t="s">
        <v>1448</v>
      </c>
      <c r="U411" s="361" t="s">
        <v>155</v>
      </c>
      <c r="AA411" s="7"/>
      <c r="AB411" s="7"/>
      <c r="AC411" s="1408"/>
      <c r="AD411" s="387"/>
    </row>
    <row r="412" spans="6:30" ht="10.5" customHeight="1">
      <c r="F412" s="199"/>
      <c r="G412" s="184"/>
      <c r="H412" s="184"/>
      <c r="I412" s="184"/>
      <c r="J412" s="184"/>
      <c r="K412" s="184"/>
      <c r="L412" s="184"/>
      <c r="M412" s="184"/>
      <c r="N412" s="184"/>
      <c r="O412" s="184"/>
      <c r="P412" s="435" t="s">
        <v>405</v>
      </c>
      <c r="Q412" s="154"/>
      <c r="R412" s="56"/>
      <c r="S412" s="277"/>
      <c r="T412" s="361" t="s">
        <v>935</v>
      </c>
      <c r="U412" s="361" t="s">
        <v>293</v>
      </c>
      <c r="AA412" s="7"/>
      <c r="AB412" s="7"/>
      <c r="AC412" s="1408"/>
      <c r="AD412" s="387"/>
    </row>
    <row r="413" spans="6:30" ht="10.5" customHeight="1">
      <c r="F413" s="199"/>
      <c r="G413" s="184"/>
      <c r="H413" s="184"/>
      <c r="I413" s="184"/>
      <c r="J413" s="184"/>
      <c r="K413" s="184"/>
      <c r="L413" s="184"/>
      <c r="M413" s="184"/>
      <c r="N413" s="184"/>
      <c r="O413" s="184"/>
      <c r="P413" s="435" t="s">
        <v>1553</v>
      </c>
      <c r="Q413" s="154"/>
      <c r="R413" s="56"/>
      <c r="S413" s="277"/>
      <c r="T413" s="436" t="s">
        <v>937</v>
      </c>
      <c r="U413" s="436" t="s">
        <v>297</v>
      </c>
      <c r="AA413" s="7"/>
      <c r="AB413" s="7"/>
      <c r="AC413" s="1408"/>
      <c r="AD413" s="387"/>
    </row>
    <row r="414" spans="6:30" ht="10.5" customHeight="1">
      <c r="F414" s="199"/>
      <c r="G414" s="184"/>
      <c r="H414" s="184"/>
      <c r="I414" s="184"/>
      <c r="J414" s="184"/>
      <c r="K414" s="184"/>
      <c r="L414" s="184"/>
      <c r="M414" s="184"/>
      <c r="N414" s="184"/>
      <c r="O414" s="184"/>
      <c r="P414" s="435" t="s">
        <v>2031</v>
      </c>
      <c r="Q414" s="154"/>
      <c r="R414" s="56"/>
      <c r="S414" s="277"/>
      <c r="T414" s="361" t="s">
        <v>971</v>
      </c>
      <c r="U414" s="361" t="s">
        <v>1808</v>
      </c>
      <c r="AA414" s="7"/>
      <c r="AB414" s="7"/>
      <c r="AC414" s="1411"/>
      <c r="AD414" s="387"/>
    </row>
    <row r="415" spans="6:30" ht="10.5" customHeight="1">
      <c r="F415" s="199"/>
      <c r="G415" s="184"/>
      <c r="H415" s="184"/>
      <c r="I415" s="184"/>
      <c r="J415" s="184"/>
      <c r="K415" s="184"/>
      <c r="L415" s="184"/>
      <c r="M415" s="184"/>
      <c r="N415" s="184"/>
      <c r="O415" s="184"/>
      <c r="P415" s="435" t="s">
        <v>1806</v>
      </c>
      <c r="Q415" s="154"/>
      <c r="R415" s="56"/>
      <c r="S415" s="277"/>
      <c r="T415" s="361" t="s">
        <v>939</v>
      </c>
      <c r="U415" s="361" t="s">
        <v>1114</v>
      </c>
      <c r="AA415" s="7"/>
      <c r="AB415" s="7"/>
      <c r="AC415" s="1408"/>
      <c r="AD415" s="387"/>
    </row>
    <row r="416" spans="6:30" ht="10.5" customHeight="1">
      <c r="F416" s="199"/>
      <c r="G416" s="184"/>
      <c r="H416" s="184"/>
      <c r="I416" s="184"/>
      <c r="J416" s="184"/>
      <c r="K416" s="184"/>
      <c r="L416" s="184"/>
      <c r="M416" s="184"/>
      <c r="N416" s="184"/>
      <c r="O416" s="184"/>
      <c r="P416" s="435" t="s">
        <v>956</v>
      </c>
      <c r="Q416" s="154"/>
      <c r="R416" s="56"/>
      <c r="S416" s="277"/>
      <c r="T416" s="361" t="s">
        <v>292</v>
      </c>
      <c r="U416" s="361" t="s">
        <v>2243</v>
      </c>
      <c r="AA416" s="7"/>
      <c r="AB416" s="7"/>
      <c r="AC416" s="1408"/>
      <c r="AD416" s="387"/>
    </row>
    <row r="417" spans="6:30" ht="10.5" customHeight="1">
      <c r="F417" s="199"/>
      <c r="G417" s="184"/>
      <c r="H417" s="184"/>
      <c r="I417" s="184"/>
      <c r="J417" s="184"/>
      <c r="K417" s="184"/>
      <c r="L417" s="184"/>
      <c r="M417" s="184"/>
      <c r="N417" s="184"/>
      <c r="O417" s="184"/>
      <c r="P417" s="435" t="s">
        <v>387</v>
      </c>
      <c r="Q417" s="154"/>
      <c r="R417" s="56"/>
      <c r="S417" s="277"/>
      <c r="T417" s="361" t="s">
        <v>2432</v>
      </c>
      <c r="U417" s="361" t="s">
        <v>1607</v>
      </c>
      <c r="AA417" s="7"/>
      <c r="AB417" s="7"/>
      <c r="AC417" s="1408"/>
      <c r="AD417" s="387"/>
    </row>
    <row r="418" spans="6:30" ht="10.5" customHeight="1">
      <c r="F418" s="199"/>
      <c r="G418" s="184"/>
      <c r="H418" s="184"/>
      <c r="I418" s="184"/>
      <c r="J418" s="184"/>
      <c r="K418" s="184"/>
      <c r="L418" s="184"/>
      <c r="M418" s="184"/>
      <c r="N418" s="184"/>
      <c r="O418" s="184"/>
      <c r="P418" s="435" t="s">
        <v>389</v>
      </c>
      <c r="Q418" s="154"/>
      <c r="R418" s="56"/>
      <c r="S418" s="277"/>
      <c r="T418" s="361" t="s">
        <v>1509</v>
      </c>
      <c r="U418" s="361" t="s">
        <v>2240</v>
      </c>
      <c r="AA418" s="7"/>
      <c r="AB418" s="7"/>
      <c r="AC418" s="1408"/>
      <c r="AD418" s="387"/>
    </row>
    <row r="419" spans="6:30" ht="10.5" customHeight="1">
      <c r="F419" s="199"/>
      <c r="G419" s="184"/>
      <c r="H419" s="184"/>
      <c r="I419" s="184"/>
      <c r="J419" s="184"/>
      <c r="K419" s="184"/>
      <c r="L419" s="184"/>
      <c r="M419" s="184"/>
      <c r="N419" s="184"/>
      <c r="O419" s="184"/>
      <c r="P419" s="435" t="s">
        <v>390</v>
      </c>
      <c r="Q419" s="154"/>
      <c r="R419" s="56"/>
      <c r="S419" s="277"/>
      <c r="T419" s="361" t="s">
        <v>803</v>
      </c>
      <c r="U419" s="361" t="s">
        <v>98</v>
      </c>
      <c r="AA419" s="7"/>
      <c r="AB419" s="7"/>
      <c r="AC419" s="1408"/>
      <c r="AD419" s="387"/>
    </row>
    <row r="420" spans="6:30" ht="10.5" customHeight="1">
      <c r="F420" s="199"/>
      <c r="G420" s="184"/>
      <c r="H420" s="184"/>
      <c r="I420" s="184"/>
      <c r="J420" s="184"/>
      <c r="K420" s="184"/>
      <c r="L420" s="184"/>
      <c r="M420" s="184"/>
      <c r="N420" s="184"/>
      <c r="O420" s="184"/>
      <c r="P420" s="435" t="s">
        <v>1750</v>
      </c>
      <c r="Q420" s="154"/>
      <c r="R420" s="56"/>
      <c r="S420" s="277"/>
      <c r="T420" s="361" t="s">
        <v>805</v>
      </c>
      <c r="U420" s="361" t="s">
        <v>294</v>
      </c>
      <c r="AA420" s="7"/>
      <c r="AB420" s="7"/>
      <c r="AC420" s="1408"/>
      <c r="AD420" s="387"/>
    </row>
    <row r="421" spans="6:30" ht="10.5" customHeight="1">
      <c r="F421" s="199"/>
      <c r="G421" s="184"/>
      <c r="H421" s="184"/>
      <c r="I421" s="184"/>
      <c r="J421" s="184"/>
      <c r="K421" s="184"/>
      <c r="L421" s="184"/>
      <c r="M421" s="184"/>
      <c r="N421" s="184"/>
      <c r="O421" s="184"/>
      <c r="P421" s="435" t="s">
        <v>461</v>
      </c>
      <c r="Q421" s="154"/>
      <c r="R421" s="56"/>
      <c r="S421" s="277"/>
      <c r="T421" s="361" t="s">
        <v>1568</v>
      </c>
      <c r="U421" s="361" t="s">
        <v>1019</v>
      </c>
      <c r="AA421" s="7"/>
      <c r="AB421" s="7"/>
      <c r="AC421" s="1408"/>
      <c r="AD421" s="387"/>
    </row>
    <row r="422" spans="6:30" ht="10.5" customHeight="1">
      <c r="F422" s="199"/>
      <c r="G422" s="184"/>
      <c r="H422" s="184"/>
      <c r="I422" s="184"/>
      <c r="J422" s="184"/>
      <c r="K422" s="184"/>
      <c r="L422" s="184"/>
      <c r="M422" s="184"/>
      <c r="N422" s="184"/>
      <c r="O422" s="184"/>
      <c r="P422" s="435" t="s">
        <v>1924</v>
      </c>
      <c r="Q422" s="154"/>
      <c r="R422" s="56"/>
      <c r="S422" s="277"/>
      <c r="T422" s="361" t="s">
        <v>587</v>
      </c>
      <c r="U422" s="361" t="s">
        <v>304</v>
      </c>
      <c r="AA422" s="7"/>
      <c r="AB422" s="7"/>
      <c r="AC422" s="1408"/>
      <c r="AD422" s="387"/>
    </row>
    <row r="423" spans="6:30" ht="10.5" customHeight="1">
      <c r="F423" s="199"/>
      <c r="G423" s="184"/>
      <c r="H423" s="184"/>
      <c r="I423" s="184"/>
      <c r="J423" s="184"/>
      <c r="K423" s="184"/>
      <c r="L423" s="184"/>
      <c r="M423" s="184"/>
      <c r="N423" s="184"/>
      <c r="O423" s="184"/>
      <c r="P423" s="435" t="s">
        <v>1489</v>
      </c>
      <c r="Q423" s="154"/>
      <c r="R423" s="56"/>
      <c r="S423" s="277"/>
      <c r="T423" s="361" t="s">
        <v>1554</v>
      </c>
      <c r="U423" s="361" t="s">
        <v>106</v>
      </c>
      <c r="AA423" s="7"/>
      <c r="AB423" s="7"/>
      <c r="AC423" s="1408"/>
      <c r="AD423" s="387"/>
    </row>
    <row r="424" spans="6:30" ht="10.5" customHeight="1">
      <c r="F424" s="199"/>
      <c r="G424" s="184"/>
      <c r="H424" s="184"/>
      <c r="I424" s="184"/>
      <c r="J424" s="184"/>
      <c r="K424" s="184"/>
      <c r="L424" s="184"/>
      <c r="M424" s="184"/>
      <c r="N424" s="184"/>
      <c r="O424" s="184"/>
      <c r="P424" s="435" t="s">
        <v>1491</v>
      </c>
      <c r="Q424" s="154"/>
      <c r="R424" s="56"/>
      <c r="S424" s="277"/>
      <c r="T424" s="361" t="s">
        <v>2433</v>
      </c>
      <c r="U424" s="361" t="s">
        <v>141</v>
      </c>
      <c r="AA424" s="7"/>
      <c r="AB424" s="7"/>
      <c r="AC424" s="1408"/>
      <c r="AD424" s="387"/>
    </row>
    <row r="425" spans="6:30" ht="10.5" customHeight="1">
      <c r="F425" s="199"/>
      <c r="G425" s="184"/>
      <c r="H425" s="184"/>
      <c r="I425" s="184"/>
      <c r="J425" s="184"/>
      <c r="K425" s="184"/>
      <c r="L425" s="184"/>
      <c r="M425" s="184"/>
      <c r="N425" s="184"/>
      <c r="O425" s="184"/>
      <c r="P425" s="435" t="s">
        <v>285</v>
      </c>
      <c r="Q425" s="154"/>
      <c r="R425" s="56"/>
      <c r="S425" s="277"/>
      <c r="T425" s="361" t="s">
        <v>1807</v>
      </c>
      <c r="U425" s="361" t="s">
        <v>1029</v>
      </c>
      <c r="AA425" s="7"/>
      <c r="AB425" s="7"/>
      <c r="AC425" s="1408"/>
      <c r="AD425" s="387"/>
    </row>
    <row r="426" spans="6:30" ht="10.5" customHeight="1">
      <c r="F426" s="199"/>
      <c r="G426" s="184"/>
      <c r="H426" s="184"/>
      <c r="I426" s="184"/>
      <c r="J426" s="184"/>
      <c r="K426" s="184"/>
      <c r="L426" s="184"/>
      <c r="M426" s="184"/>
      <c r="N426" s="184"/>
      <c r="O426" s="184"/>
      <c r="P426" s="435" t="s">
        <v>287</v>
      </c>
      <c r="Q426" s="154"/>
      <c r="R426" s="56"/>
      <c r="S426" s="277"/>
      <c r="T426" s="361" t="s">
        <v>2434</v>
      </c>
      <c r="U426" s="361" t="s">
        <v>297</v>
      </c>
      <c r="AA426" s="7"/>
      <c r="AB426" s="7"/>
      <c r="AC426" s="1408"/>
      <c r="AD426" s="387"/>
    </row>
    <row r="427" spans="6:30" ht="10.5" customHeight="1">
      <c r="F427" s="199"/>
      <c r="G427" s="184"/>
      <c r="H427" s="184"/>
      <c r="I427" s="184"/>
      <c r="J427" s="184"/>
      <c r="K427" s="184"/>
      <c r="L427" s="184"/>
      <c r="M427" s="184"/>
      <c r="N427" s="184"/>
      <c r="O427" s="184"/>
      <c r="P427" s="435" t="s">
        <v>875</v>
      </c>
      <c r="Q427" s="154"/>
      <c r="R427" s="56"/>
      <c r="S427" s="277"/>
      <c r="T427" s="436" t="s">
        <v>957</v>
      </c>
      <c r="U427" s="436" t="s">
        <v>1719</v>
      </c>
      <c r="AA427" s="7"/>
      <c r="AB427" s="7"/>
      <c r="AC427" s="1408"/>
      <c r="AD427" s="387"/>
    </row>
    <row r="428" spans="6:30" ht="10.5" customHeight="1">
      <c r="F428" s="199"/>
      <c r="G428" s="184"/>
      <c r="H428" s="184"/>
      <c r="I428" s="184"/>
      <c r="J428" s="184"/>
      <c r="K428" s="184"/>
      <c r="L428" s="184"/>
      <c r="M428" s="184"/>
      <c r="N428" s="184"/>
      <c r="O428" s="184"/>
      <c r="P428" s="435" t="s">
        <v>2064</v>
      </c>
      <c r="Q428" s="154"/>
      <c r="R428" s="56"/>
      <c r="S428" s="277"/>
      <c r="T428" s="361" t="s">
        <v>388</v>
      </c>
      <c r="U428" s="361" t="s">
        <v>164</v>
      </c>
      <c r="AA428" s="7"/>
      <c r="AB428" s="7"/>
      <c r="AC428" s="1411"/>
      <c r="AD428" s="387"/>
    </row>
    <row r="429" spans="6:30" ht="10.5" customHeight="1">
      <c r="F429" s="199"/>
      <c r="G429" s="184"/>
      <c r="H429" s="184"/>
      <c r="I429" s="184"/>
      <c r="J429" s="184"/>
      <c r="K429" s="184"/>
      <c r="L429" s="184"/>
      <c r="M429" s="184"/>
      <c r="N429" s="184"/>
      <c r="O429" s="184"/>
      <c r="P429" s="435" t="s">
        <v>2065</v>
      </c>
      <c r="Q429" s="154"/>
      <c r="R429" s="56"/>
      <c r="S429" s="277"/>
      <c r="T429" s="436" t="s">
        <v>972</v>
      </c>
      <c r="U429" s="436" t="s">
        <v>1016</v>
      </c>
      <c r="AA429" s="7"/>
      <c r="AB429" s="7"/>
      <c r="AC429" s="1408"/>
      <c r="AD429" s="387"/>
    </row>
    <row r="430" spans="6:30" ht="10.5" customHeight="1">
      <c r="F430" s="199"/>
      <c r="G430" s="184"/>
      <c r="H430" s="184"/>
      <c r="I430" s="184"/>
      <c r="J430" s="184"/>
      <c r="K430" s="184"/>
      <c r="L430" s="184"/>
      <c r="M430" s="184"/>
      <c r="N430" s="184"/>
      <c r="O430" s="184"/>
      <c r="P430" s="435" t="s">
        <v>2046</v>
      </c>
      <c r="Q430" s="154"/>
      <c r="R430" s="56"/>
      <c r="S430" s="277"/>
      <c r="T430" s="361" t="s">
        <v>391</v>
      </c>
      <c r="U430" s="361" t="s">
        <v>1931</v>
      </c>
      <c r="AA430" s="7"/>
      <c r="AB430" s="7"/>
      <c r="AC430" s="1411"/>
      <c r="AD430" s="387"/>
    </row>
    <row r="431" spans="6:30" ht="10.5" customHeight="1">
      <c r="F431" s="199"/>
      <c r="G431" s="184"/>
      <c r="H431" s="184"/>
      <c r="I431" s="184"/>
      <c r="J431" s="184"/>
      <c r="K431" s="184"/>
      <c r="L431" s="184"/>
      <c r="M431" s="184"/>
      <c r="N431" s="184"/>
      <c r="O431" s="184"/>
      <c r="P431" s="435" t="s">
        <v>2047</v>
      </c>
      <c r="Q431" s="154"/>
      <c r="R431" s="56"/>
      <c r="S431" s="277"/>
      <c r="T431" s="436" t="s">
        <v>1751</v>
      </c>
      <c r="U431" s="436" t="s">
        <v>1337</v>
      </c>
      <c r="AA431" s="7"/>
      <c r="AB431" s="7"/>
      <c r="AC431" s="1408"/>
      <c r="AD431" s="387"/>
    </row>
    <row r="432" spans="6:30" ht="10.5" customHeight="1">
      <c r="F432" s="199"/>
      <c r="G432" s="184"/>
      <c r="H432" s="184"/>
      <c r="I432" s="184"/>
      <c r="J432" s="184"/>
      <c r="K432" s="184"/>
      <c r="L432" s="184"/>
      <c r="M432" s="184"/>
      <c r="N432" s="184"/>
      <c r="O432" s="184"/>
      <c r="P432" s="435" t="s">
        <v>2049</v>
      </c>
      <c r="Q432" s="154"/>
      <c r="R432" s="56"/>
      <c r="S432" s="277"/>
      <c r="T432" s="361" t="s">
        <v>462</v>
      </c>
      <c r="U432" s="361" t="s">
        <v>2301</v>
      </c>
      <c r="AA432" s="7"/>
      <c r="AB432" s="7"/>
      <c r="AC432" s="1411"/>
      <c r="AD432" s="387"/>
    </row>
    <row r="433" spans="6:30" ht="10.5" customHeight="1">
      <c r="F433" s="199"/>
      <c r="G433" s="184"/>
      <c r="H433" s="184"/>
      <c r="I433" s="184"/>
      <c r="J433" s="184"/>
      <c r="K433" s="184"/>
      <c r="L433" s="184"/>
      <c r="M433" s="184"/>
      <c r="N433" s="184"/>
      <c r="O433" s="184"/>
      <c r="P433" s="435" t="s">
        <v>478</v>
      </c>
      <c r="Q433" s="154"/>
      <c r="R433" s="56"/>
      <c r="S433" s="277"/>
      <c r="T433" s="361" t="s">
        <v>1925</v>
      </c>
      <c r="U433" s="361" t="s">
        <v>1222</v>
      </c>
      <c r="AA433" s="7"/>
      <c r="AB433" s="7"/>
      <c r="AC433" s="1408"/>
      <c r="AD433" s="387"/>
    </row>
    <row r="434" spans="6:30" ht="10.5" customHeight="1">
      <c r="F434" s="199"/>
      <c r="G434" s="184"/>
      <c r="H434" s="184"/>
      <c r="I434" s="184"/>
      <c r="J434" s="184"/>
      <c r="K434" s="184"/>
      <c r="L434" s="184"/>
      <c r="M434" s="184"/>
      <c r="N434" s="184"/>
      <c r="O434" s="184"/>
      <c r="P434" s="435" t="s">
        <v>166</v>
      </c>
      <c r="Q434" s="154"/>
      <c r="R434" s="56"/>
      <c r="S434" s="277"/>
      <c r="T434" s="361" t="s">
        <v>1490</v>
      </c>
      <c r="U434" s="361" t="s">
        <v>1723</v>
      </c>
      <c r="AA434" s="7"/>
      <c r="AB434" s="7"/>
      <c r="AC434" s="1408"/>
      <c r="AD434" s="387"/>
    </row>
    <row r="435" spans="6:30" ht="10.5" customHeight="1">
      <c r="F435" s="199"/>
      <c r="G435" s="184"/>
      <c r="H435" s="184"/>
      <c r="I435" s="184"/>
      <c r="J435" s="184"/>
      <c r="K435" s="184"/>
      <c r="L435" s="184"/>
      <c r="M435" s="184"/>
      <c r="N435" s="184"/>
      <c r="O435" s="184"/>
      <c r="P435" s="435" t="s">
        <v>1888</v>
      </c>
      <c r="Q435" s="154"/>
      <c r="R435" s="56"/>
      <c r="S435" s="277"/>
      <c r="T435" s="361" t="s">
        <v>1492</v>
      </c>
      <c r="U435" s="361" t="s">
        <v>146</v>
      </c>
      <c r="AA435" s="7"/>
      <c r="AB435" s="7"/>
      <c r="AC435" s="1408"/>
      <c r="AD435" s="387"/>
    </row>
    <row r="436" spans="6:30" ht="10.5" customHeight="1">
      <c r="F436" s="199"/>
      <c r="G436" s="184"/>
      <c r="H436" s="184"/>
      <c r="I436" s="184"/>
      <c r="J436" s="184"/>
      <c r="K436" s="184"/>
      <c r="L436" s="184"/>
      <c r="M436" s="184"/>
      <c r="N436" s="184"/>
      <c r="O436" s="184"/>
      <c r="P436" s="435" t="s">
        <v>1778</v>
      </c>
      <c r="Q436" s="154"/>
      <c r="R436" s="56"/>
      <c r="S436" s="277"/>
      <c r="T436" s="361" t="s">
        <v>286</v>
      </c>
      <c r="U436" s="361" t="s">
        <v>139</v>
      </c>
      <c r="AA436" s="7"/>
      <c r="AB436" s="7"/>
      <c r="AC436" s="1408"/>
      <c r="AD436" s="387"/>
    </row>
    <row r="437" spans="6:30" ht="10.5" customHeight="1">
      <c r="F437" s="199"/>
      <c r="G437" s="184"/>
      <c r="H437" s="184"/>
      <c r="I437" s="184"/>
      <c r="J437" s="184"/>
      <c r="K437" s="184"/>
      <c r="L437" s="184"/>
      <c r="M437" s="184"/>
      <c r="N437" s="184"/>
      <c r="O437" s="184"/>
      <c r="P437" s="435" t="s">
        <v>1780</v>
      </c>
      <c r="Q437" s="154"/>
      <c r="R437" s="56"/>
      <c r="S437" s="277"/>
      <c r="T437" s="361" t="s">
        <v>288</v>
      </c>
      <c r="U437" s="361" t="s">
        <v>1209</v>
      </c>
      <c r="AA437" s="7"/>
      <c r="AB437" s="7"/>
      <c r="AC437" s="1408"/>
      <c r="AD437" s="387"/>
    </row>
    <row r="438" spans="6:30" ht="10.5" customHeight="1">
      <c r="F438" s="199"/>
      <c r="G438" s="184"/>
      <c r="H438" s="184"/>
      <c r="I438" s="184"/>
      <c r="J438" s="184"/>
      <c r="K438" s="184"/>
      <c r="L438" s="184"/>
      <c r="M438" s="184"/>
      <c r="N438" s="184"/>
      <c r="O438" s="184"/>
      <c r="P438" s="435" t="s">
        <v>1061</v>
      </c>
      <c r="Q438" s="154"/>
      <c r="R438" s="56"/>
      <c r="S438" s="277"/>
      <c r="T438" s="361" t="s">
        <v>876</v>
      </c>
      <c r="U438" s="361" t="s">
        <v>2203</v>
      </c>
      <c r="AA438" s="7"/>
      <c r="AB438" s="7"/>
      <c r="AC438" s="1408"/>
      <c r="AD438" s="387"/>
    </row>
    <row r="439" spans="6:30" ht="10.5" customHeight="1">
      <c r="F439" s="199"/>
      <c r="G439" s="184"/>
      <c r="H439" s="184"/>
      <c r="I439" s="184"/>
      <c r="J439" s="184"/>
      <c r="K439" s="184"/>
      <c r="L439" s="184"/>
      <c r="M439" s="184"/>
      <c r="N439" s="184"/>
      <c r="O439" s="184"/>
      <c r="P439" s="435" t="s">
        <v>1063</v>
      </c>
      <c r="Q439" s="154"/>
      <c r="R439" s="56"/>
      <c r="S439" s="277"/>
      <c r="T439" s="361" t="s">
        <v>2066</v>
      </c>
      <c r="U439" s="361" t="s">
        <v>301</v>
      </c>
      <c r="AA439" s="7"/>
      <c r="AB439" s="7"/>
      <c r="AC439" s="1408"/>
      <c r="AD439" s="387"/>
    </row>
    <row r="440" spans="6:30" ht="10.5" customHeight="1">
      <c r="F440" s="199"/>
      <c r="G440" s="184"/>
      <c r="H440" s="184"/>
      <c r="I440" s="184"/>
      <c r="J440" s="184"/>
      <c r="K440" s="184"/>
      <c r="L440" s="184"/>
      <c r="M440" s="184"/>
      <c r="N440" s="184"/>
      <c r="O440" s="184"/>
      <c r="P440" s="435" t="s">
        <v>1033</v>
      </c>
      <c r="Q440" s="154"/>
      <c r="R440" s="56"/>
      <c r="S440" s="277"/>
      <c r="T440" s="361" t="s">
        <v>2435</v>
      </c>
      <c r="U440" s="361" t="s">
        <v>1948</v>
      </c>
      <c r="AA440" s="7"/>
      <c r="AB440" s="7"/>
      <c r="AC440" s="1408"/>
      <c r="AD440" s="387"/>
    </row>
    <row r="441" spans="6:30" ht="10.5" customHeight="1">
      <c r="F441" s="199"/>
      <c r="G441" s="184"/>
      <c r="H441" s="184"/>
      <c r="I441" s="184"/>
      <c r="J441" s="184"/>
      <c r="K441" s="184"/>
      <c r="L441" s="184"/>
      <c r="M441" s="184"/>
      <c r="N441" s="184"/>
      <c r="O441" s="184"/>
      <c r="P441" s="435" t="s">
        <v>1034</v>
      </c>
      <c r="Q441" s="154"/>
      <c r="R441" s="56"/>
      <c r="S441" s="277"/>
      <c r="T441" s="361" t="s">
        <v>2048</v>
      </c>
      <c r="U441" s="361" t="s">
        <v>159</v>
      </c>
      <c r="AA441" s="7"/>
      <c r="AB441" s="7"/>
      <c r="AC441" s="1408"/>
      <c r="AD441" s="387"/>
    </row>
    <row r="442" spans="6:30" ht="10.5" customHeight="1">
      <c r="F442" s="199"/>
      <c r="G442" s="184"/>
      <c r="H442" s="184"/>
      <c r="I442" s="184"/>
      <c r="J442" s="184"/>
      <c r="K442" s="184"/>
      <c r="L442" s="184"/>
      <c r="M442" s="184"/>
      <c r="N442" s="184"/>
      <c r="O442" s="184"/>
      <c r="P442" s="435" t="s">
        <v>67</v>
      </c>
      <c r="Q442" s="154"/>
      <c r="R442" s="56"/>
      <c r="S442" s="277"/>
      <c r="T442" s="438" t="s">
        <v>2050</v>
      </c>
      <c r="U442" s="361" t="s">
        <v>1219</v>
      </c>
      <c r="AA442" s="7"/>
      <c r="AB442" s="7"/>
      <c r="AC442" s="1408"/>
      <c r="AD442" s="387"/>
    </row>
    <row r="443" spans="6:30" ht="10.5" customHeight="1">
      <c r="F443" s="199"/>
      <c r="G443" s="184"/>
      <c r="H443" s="184"/>
      <c r="I443" s="184"/>
      <c r="J443" s="184"/>
      <c r="K443" s="184"/>
      <c r="L443" s="184"/>
      <c r="M443" s="184"/>
      <c r="N443" s="184"/>
      <c r="O443" s="184"/>
      <c r="P443" s="435" t="s">
        <v>345</v>
      </c>
      <c r="Q443" s="154"/>
      <c r="R443" s="56"/>
      <c r="S443" s="277"/>
      <c r="T443" s="361" t="s">
        <v>479</v>
      </c>
      <c r="U443" s="361" t="s">
        <v>159</v>
      </c>
      <c r="AA443" s="7"/>
      <c r="AB443" s="7"/>
      <c r="AC443" s="1415"/>
      <c r="AD443" s="387"/>
    </row>
    <row r="444" spans="6:30" ht="10.5" customHeight="1">
      <c r="F444" s="199"/>
      <c r="G444" s="184"/>
      <c r="H444" s="184"/>
      <c r="I444" s="184"/>
      <c r="J444" s="184"/>
      <c r="K444" s="184"/>
      <c r="L444" s="184"/>
      <c r="M444" s="184"/>
      <c r="N444" s="184"/>
      <c r="O444" s="184"/>
      <c r="P444" s="435" t="s">
        <v>1996</v>
      </c>
      <c r="Q444" s="154"/>
      <c r="R444" s="56"/>
      <c r="S444" s="277"/>
      <c r="T444" s="361" t="s">
        <v>973</v>
      </c>
      <c r="U444" s="361" t="s">
        <v>1385</v>
      </c>
      <c r="AA444" s="7"/>
      <c r="AB444" s="7"/>
      <c r="AC444" s="1408"/>
      <c r="AD444" s="387"/>
    </row>
    <row r="445" spans="6:30" ht="10.5" customHeight="1">
      <c r="F445" s="199"/>
      <c r="G445" s="184"/>
      <c r="H445" s="184"/>
      <c r="I445" s="184"/>
      <c r="J445" s="184"/>
      <c r="K445" s="184"/>
      <c r="L445" s="184"/>
      <c r="M445" s="184"/>
      <c r="N445" s="184"/>
      <c r="O445" s="184"/>
      <c r="P445" s="435" t="s">
        <v>1637</v>
      </c>
      <c r="Q445" s="154"/>
      <c r="R445" s="56"/>
      <c r="S445" s="277"/>
      <c r="T445" s="361" t="s">
        <v>167</v>
      </c>
      <c r="U445" s="361" t="s">
        <v>1933</v>
      </c>
      <c r="AA445" s="7"/>
      <c r="AB445" s="7"/>
      <c r="AC445" s="1408"/>
      <c r="AD445" s="387"/>
    </row>
    <row r="446" spans="6:30" ht="10.5" customHeight="1">
      <c r="F446" s="199"/>
      <c r="G446" s="184"/>
      <c r="H446" s="184"/>
      <c r="I446" s="184"/>
      <c r="J446" s="184"/>
      <c r="K446" s="184"/>
      <c r="L446" s="184"/>
      <c r="M446" s="184"/>
      <c r="N446" s="184"/>
      <c r="O446" s="184"/>
      <c r="P446" s="435" t="s">
        <v>1580</v>
      </c>
      <c r="Q446" s="154"/>
      <c r="R446" s="56"/>
      <c r="S446" s="277"/>
      <c r="T446" s="361" t="s">
        <v>974</v>
      </c>
      <c r="U446" s="361" t="s">
        <v>2202</v>
      </c>
      <c r="AA446" s="7"/>
      <c r="AB446" s="7"/>
      <c r="AC446" s="1408"/>
      <c r="AD446" s="387"/>
    </row>
    <row r="447" spans="6:30" ht="10.5" customHeight="1">
      <c r="F447" s="199"/>
      <c r="G447" s="184"/>
      <c r="H447" s="184"/>
      <c r="I447" s="184"/>
      <c r="J447" s="184"/>
      <c r="K447" s="184"/>
      <c r="L447" s="184"/>
      <c r="M447" s="184"/>
      <c r="N447" s="184"/>
      <c r="O447" s="184"/>
      <c r="P447" s="435" t="s">
        <v>253</v>
      </c>
      <c r="Q447" s="154"/>
      <c r="R447" s="56"/>
      <c r="S447" s="277"/>
      <c r="T447" s="436" t="s">
        <v>1777</v>
      </c>
      <c r="U447" s="436" t="s">
        <v>2128</v>
      </c>
      <c r="AA447" s="7"/>
      <c r="AB447" s="7"/>
      <c r="AC447" s="1408"/>
      <c r="AD447" s="387"/>
    </row>
    <row r="448" spans="6:30" ht="10.5" customHeight="1">
      <c r="F448" s="199"/>
      <c r="G448" s="184"/>
      <c r="H448" s="184"/>
      <c r="I448" s="184"/>
      <c r="J448" s="184"/>
      <c r="K448" s="184"/>
      <c r="L448" s="184"/>
      <c r="M448" s="184"/>
      <c r="N448" s="184"/>
      <c r="O448" s="184"/>
      <c r="P448" s="435" t="s">
        <v>2092</v>
      </c>
      <c r="Q448" s="154"/>
      <c r="R448" s="56"/>
      <c r="S448" s="277"/>
      <c r="T448" s="361" t="s">
        <v>975</v>
      </c>
      <c r="U448" s="361" t="s">
        <v>141</v>
      </c>
      <c r="AA448" s="7"/>
      <c r="AB448" s="7"/>
      <c r="AC448" s="1411"/>
      <c r="AD448" s="387"/>
    </row>
    <row r="449" spans="6:30" ht="10.5" customHeight="1">
      <c r="F449" s="199"/>
      <c r="G449" s="184"/>
      <c r="H449" s="184"/>
      <c r="I449" s="184"/>
      <c r="J449" s="184"/>
      <c r="K449" s="184"/>
      <c r="L449" s="184"/>
      <c r="M449" s="184"/>
      <c r="N449" s="184"/>
      <c r="O449" s="184"/>
      <c r="P449" s="435" t="s">
        <v>440</v>
      </c>
      <c r="Q449" s="154"/>
      <c r="R449" s="56"/>
      <c r="S449" s="277"/>
      <c r="T449" s="361" t="s">
        <v>1779</v>
      </c>
      <c r="U449" s="361" t="s">
        <v>2128</v>
      </c>
      <c r="AA449" s="7"/>
      <c r="AB449" s="7"/>
      <c r="AC449" s="1408"/>
      <c r="AD449" s="387"/>
    </row>
    <row r="450" spans="6:30" ht="10.5" customHeight="1">
      <c r="F450" s="199"/>
      <c r="G450" s="184"/>
      <c r="H450" s="184"/>
      <c r="I450" s="184"/>
      <c r="J450" s="184"/>
      <c r="K450" s="184"/>
      <c r="L450" s="184"/>
      <c r="M450" s="184"/>
      <c r="N450" s="184"/>
      <c r="O450" s="184"/>
      <c r="P450" s="435" t="s">
        <v>441</v>
      </c>
      <c r="Q450" s="154"/>
      <c r="R450" s="56"/>
      <c r="S450" s="277"/>
      <c r="T450" s="361" t="s">
        <v>301</v>
      </c>
      <c r="U450" s="361" t="s">
        <v>1230</v>
      </c>
      <c r="AA450" s="7"/>
      <c r="AB450" s="7"/>
      <c r="AC450" s="1408"/>
      <c r="AD450" s="387"/>
    </row>
    <row r="451" spans="6:30" ht="10.5" customHeight="1">
      <c r="F451" s="199"/>
      <c r="G451" s="184"/>
      <c r="H451" s="184"/>
      <c r="I451" s="184"/>
      <c r="J451" s="184"/>
      <c r="K451" s="184"/>
      <c r="L451" s="184"/>
      <c r="M451" s="184"/>
      <c r="N451" s="184"/>
      <c r="O451" s="184"/>
      <c r="P451" s="435" t="s">
        <v>443</v>
      </c>
      <c r="Q451" s="154"/>
      <c r="R451" s="56"/>
      <c r="S451" s="277"/>
      <c r="T451" s="361" t="s">
        <v>1062</v>
      </c>
      <c r="U451" s="361" t="s">
        <v>810</v>
      </c>
      <c r="AA451" s="7"/>
      <c r="AB451" s="7"/>
      <c r="AC451" s="1408"/>
      <c r="AD451" s="387"/>
    </row>
    <row r="452" spans="6:30" ht="10.5" customHeight="1">
      <c r="F452" s="199"/>
      <c r="G452" s="184"/>
      <c r="H452" s="184"/>
      <c r="I452" s="184"/>
      <c r="J452" s="184"/>
      <c r="K452" s="184"/>
      <c r="L452" s="184"/>
      <c r="M452" s="184"/>
      <c r="N452" s="184"/>
      <c r="O452" s="184"/>
      <c r="P452" s="435" t="s">
        <v>445</v>
      </c>
      <c r="Q452" s="154"/>
      <c r="R452" s="56"/>
      <c r="S452" s="277"/>
      <c r="T452" s="361" t="s">
        <v>1032</v>
      </c>
      <c r="U452" s="361" t="s">
        <v>813</v>
      </c>
      <c r="AA452" s="7"/>
      <c r="AB452" s="7"/>
      <c r="AC452" s="1408"/>
      <c r="AD452" s="387"/>
    </row>
    <row r="453" spans="6:30" ht="10.5" customHeight="1">
      <c r="F453" s="199"/>
      <c r="G453" s="184"/>
      <c r="H453" s="184"/>
      <c r="I453" s="184"/>
      <c r="J453" s="184"/>
      <c r="K453" s="184"/>
      <c r="L453" s="184"/>
      <c r="M453" s="184"/>
      <c r="N453" s="184"/>
      <c r="O453" s="184"/>
      <c r="P453" s="435" t="s">
        <v>1147</v>
      </c>
      <c r="Q453" s="154"/>
      <c r="R453" s="56"/>
      <c r="S453" s="277"/>
      <c r="T453" s="361" t="s">
        <v>303</v>
      </c>
      <c r="U453" s="361" t="s">
        <v>1013</v>
      </c>
      <c r="AA453" s="7"/>
      <c r="AB453" s="7"/>
      <c r="AC453" s="1408"/>
      <c r="AD453" s="387"/>
    </row>
    <row r="454" spans="6:30" ht="10.5" customHeight="1">
      <c r="F454" s="199"/>
      <c r="G454" s="184"/>
      <c r="H454" s="184"/>
      <c r="I454" s="184"/>
      <c r="J454" s="184"/>
      <c r="K454" s="184"/>
      <c r="L454" s="184"/>
      <c r="M454" s="184"/>
      <c r="N454" s="184"/>
      <c r="O454" s="184"/>
      <c r="P454" s="435" t="s">
        <v>1149</v>
      </c>
      <c r="Q454" s="154"/>
      <c r="R454" s="56"/>
      <c r="S454" s="277"/>
      <c r="T454" s="361" t="s">
        <v>306</v>
      </c>
      <c r="U454" s="361" t="s">
        <v>301</v>
      </c>
      <c r="AA454" s="7"/>
      <c r="AB454" s="7"/>
      <c r="AC454" s="1408"/>
      <c r="AD454" s="387"/>
    </row>
    <row r="455" spans="6:30" ht="10.5" customHeight="1">
      <c r="F455" s="199"/>
      <c r="G455" s="184"/>
      <c r="H455" s="184"/>
      <c r="I455" s="184"/>
      <c r="J455" s="184"/>
      <c r="K455" s="184"/>
      <c r="L455" s="184"/>
      <c r="M455" s="184"/>
      <c r="N455" s="184"/>
      <c r="O455" s="184"/>
      <c r="P455" s="435" t="s">
        <v>1796</v>
      </c>
      <c r="Q455" s="154"/>
      <c r="R455" s="56"/>
      <c r="S455" s="277"/>
      <c r="T455" s="361" t="s">
        <v>68</v>
      </c>
      <c r="U455" s="361" t="s">
        <v>1727</v>
      </c>
      <c r="AA455" s="7"/>
      <c r="AB455" s="7"/>
      <c r="AC455" s="1408"/>
      <c r="AD455" s="387"/>
    </row>
    <row r="456" spans="6:30" ht="10.5" customHeight="1">
      <c r="F456" s="199"/>
      <c r="G456" s="184"/>
      <c r="H456" s="184"/>
      <c r="I456" s="184"/>
      <c r="J456" s="184"/>
      <c r="K456" s="184"/>
      <c r="L456" s="184"/>
      <c r="M456" s="184"/>
      <c r="N456" s="184"/>
      <c r="O456" s="184"/>
      <c r="P456" s="435" t="s">
        <v>1797</v>
      </c>
      <c r="Q456" s="154"/>
      <c r="R456" s="56"/>
      <c r="S456" s="277"/>
      <c r="T456" s="436" t="s">
        <v>1997</v>
      </c>
      <c r="U456" s="436" t="s">
        <v>1230</v>
      </c>
      <c r="AA456" s="7"/>
      <c r="AB456" s="7"/>
      <c r="AC456" s="1408"/>
      <c r="AD456" s="387"/>
    </row>
    <row r="457" spans="6:30" ht="10.5" customHeight="1">
      <c r="F457" s="199"/>
      <c r="G457" s="184"/>
      <c r="H457" s="184"/>
      <c r="I457" s="184"/>
      <c r="J457" s="184"/>
      <c r="K457" s="184"/>
      <c r="L457" s="184"/>
      <c r="M457" s="184"/>
      <c r="N457" s="184"/>
      <c r="O457" s="184"/>
      <c r="P457" s="435" t="s">
        <v>70</v>
      </c>
      <c r="Q457" s="154"/>
      <c r="R457" s="56"/>
      <c r="S457" s="277"/>
      <c r="T457" s="436" t="s">
        <v>1579</v>
      </c>
      <c r="U457" s="436" t="s">
        <v>1811</v>
      </c>
      <c r="AA457" s="7"/>
      <c r="AB457" s="7"/>
      <c r="AC457" s="1411"/>
      <c r="AD457" s="387"/>
    </row>
    <row r="458" spans="6:30" ht="10.5" customHeight="1">
      <c r="F458" s="199"/>
      <c r="G458" s="184"/>
      <c r="H458" s="184"/>
      <c r="I458" s="184"/>
      <c r="J458" s="184"/>
      <c r="K458" s="184"/>
      <c r="L458" s="184"/>
      <c r="M458" s="184"/>
      <c r="N458" s="184"/>
      <c r="O458" s="184"/>
      <c r="P458" s="435" t="s">
        <v>72</v>
      </c>
      <c r="Q458" s="154"/>
      <c r="R458" s="56"/>
      <c r="S458" s="277"/>
      <c r="T458" s="361" t="s">
        <v>1581</v>
      </c>
      <c r="U458" s="361" t="s">
        <v>100</v>
      </c>
      <c r="AA458" s="7"/>
      <c r="AB458" s="7"/>
      <c r="AC458" s="1411"/>
      <c r="AD458" s="387"/>
    </row>
    <row r="459" spans="6:30" ht="10.5" customHeight="1">
      <c r="F459" s="199"/>
      <c r="G459" s="184"/>
      <c r="H459" s="184"/>
      <c r="I459" s="184"/>
      <c r="J459" s="184"/>
      <c r="K459" s="184"/>
      <c r="L459" s="184"/>
      <c r="M459" s="184"/>
      <c r="N459" s="184"/>
      <c r="O459" s="184"/>
      <c r="P459" s="435" t="s">
        <v>2141</v>
      </c>
      <c r="Q459" s="154"/>
      <c r="R459" s="56"/>
      <c r="S459" s="277"/>
      <c r="T459" s="361" t="s">
        <v>643</v>
      </c>
      <c r="U459" s="361" t="s">
        <v>1114</v>
      </c>
      <c r="AA459" s="7"/>
      <c r="AB459" s="7"/>
      <c r="AC459" s="1408"/>
      <c r="AD459" s="387"/>
    </row>
    <row r="460" spans="6:30" ht="10.5" customHeight="1">
      <c r="F460" s="199"/>
      <c r="G460" s="184"/>
      <c r="H460" s="184"/>
      <c r="I460" s="184"/>
      <c r="J460" s="184"/>
      <c r="K460" s="184"/>
      <c r="L460" s="184"/>
      <c r="M460" s="184"/>
      <c r="N460" s="184"/>
      <c r="O460" s="184"/>
      <c r="P460" s="435" t="s">
        <v>1961</v>
      </c>
      <c r="Q460" s="154"/>
      <c r="R460" s="56"/>
      <c r="S460" s="277"/>
      <c r="T460" s="361" t="s">
        <v>2091</v>
      </c>
      <c r="U460" s="361" t="s">
        <v>2202</v>
      </c>
      <c r="AA460" s="7"/>
      <c r="AB460" s="7"/>
      <c r="AC460" s="1408"/>
      <c r="AD460" s="387"/>
    </row>
    <row r="461" spans="6:30" ht="10.5" customHeight="1">
      <c r="F461" s="199"/>
      <c r="G461" s="184"/>
      <c r="H461" s="184"/>
      <c r="I461" s="184"/>
      <c r="J461" s="184"/>
      <c r="K461" s="184"/>
      <c r="L461" s="184"/>
      <c r="M461" s="184"/>
      <c r="N461" s="184"/>
      <c r="O461" s="184"/>
      <c r="P461" s="435" t="s">
        <v>1962</v>
      </c>
      <c r="Q461" s="154"/>
      <c r="R461" s="56"/>
      <c r="S461" s="277"/>
      <c r="T461" s="361" t="s">
        <v>2093</v>
      </c>
      <c r="U461" s="361" t="s">
        <v>1942</v>
      </c>
      <c r="AA461" s="7"/>
      <c r="AB461" s="7"/>
      <c r="AC461" s="1408"/>
      <c r="AD461" s="387"/>
    </row>
    <row r="462" spans="6:30" ht="10.5" customHeight="1">
      <c r="F462" s="199"/>
      <c r="G462" s="184"/>
      <c r="H462" s="184"/>
      <c r="I462" s="184"/>
      <c r="J462" s="184"/>
      <c r="K462" s="184"/>
      <c r="L462" s="184"/>
      <c r="M462" s="184"/>
      <c r="N462" s="184"/>
      <c r="O462" s="184"/>
      <c r="P462" s="435" t="s">
        <v>894</v>
      </c>
      <c r="Q462" s="154"/>
      <c r="R462" s="56"/>
      <c r="S462" s="277"/>
      <c r="T462" s="361" t="s">
        <v>442</v>
      </c>
      <c r="U462" s="361" t="s">
        <v>2205</v>
      </c>
      <c r="AA462" s="7"/>
      <c r="AB462" s="7"/>
      <c r="AC462" s="1408"/>
      <c r="AD462" s="387"/>
    </row>
    <row r="463" spans="6:30" ht="10.5" customHeight="1">
      <c r="F463" s="199"/>
      <c r="G463" s="184"/>
      <c r="H463" s="184"/>
      <c r="I463" s="184"/>
      <c r="J463" s="184"/>
      <c r="K463" s="184"/>
      <c r="L463" s="184"/>
      <c r="M463" s="184"/>
      <c r="N463" s="184"/>
      <c r="O463" s="184"/>
      <c r="P463" s="435" t="s">
        <v>896</v>
      </c>
      <c r="Q463" s="154"/>
      <c r="R463" s="56"/>
      <c r="S463" s="277"/>
      <c r="T463" s="361" t="s">
        <v>444</v>
      </c>
      <c r="U463" s="361" t="s">
        <v>1228</v>
      </c>
      <c r="AA463" s="7"/>
      <c r="AB463" s="7"/>
      <c r="AC463" s="1408"/>
      <c r="AD463" s="387"/>
    </row>
    <row r="464" spans="6:30" ht="10.5" customHeight="1">
      <c r="F464" s="199"/>
      <c r="G464" s="184"/>
      <c r="H464" s="184"/>
      <c r="I464" s="184"/>
      <c r="J464" s="184"/>
      <c r="K464" s="184"/>
      <c r="L464" s="184"/>
      <c r="M464" s="184"/>
      <c r="N464" s="184"/>
      <c r="O464" s="184"/>
      <c r="P464" s="435" t="s">
        <v>1361</v>
      </c>
      <c r="Q464" s="154"/>
      <c r="R464" s="56"/>
      <c r="S464" s="277"/>
      <c r="T464" s="361" t="s">
        <v>976</v>
      </c>
      <c r="U464" s="361" t="s">
        <v>1233</v>
      </c>
      <c r="AA464" s="7"/>
      <c r="AB464" s="7"/>
      <c r="AC464" s="1408"/>
      <c r="AD464" s="387"/>
    </row>
    <row r="465" spans="6:30" ht="10.5" customHeight="1">
      <c r="F465" s="199"/>
      <c r="G465" s="184"/>
      <c r="H465" s="184"/>
      <c r="I465" s="184"/>
      <c r="J465" s="184"/>
      <c r="K465" s="184"/>
      <c r="L465" s="184"/>
      <c r="M465" s="184"/>
      <c r="N465" s="184"/>
      <c r="O465" s="184"/>
      <c r="P465" s="435" t="s">
        <v>1362</v>
      </c>
      <c r="Q465" s="154"/>
      <c r="R465" s="56"/>
      <c r="S465" s="277"/>
      <c r="T465" s="361" t="s">
        <v>446</v>
      </c>
      <c r="U465" s="361" t="s">
        <v>1233</v>
      </c>
      <c r="AA465" s="7"/>
      <c r="AB465" s="7"/>
      <c r="AC465" s="1408"/>
      <c r="AD465" s="387"/>
    </row>
    <row r="466" spans="6:30" ht="10.5" customHeight="1">
      <c r="F466" s="199"/>
      <c r="G466" s="184"/>
      <c r="H466" s="184"/>
      <c r="I466" s="184"/>
      <c r="J466" s="184"/>
      <c r="K466" s="184"/>
      <c r="L466" s="184"/>
      <c r="M466" s="184"/>
      <c r="N466" s="184"/>
      <c r="O466" s="184"/>
      <c r="P466" s="435" t="s">
        <v>1364</v>
      </c>
      <c r="Q466" s="154"/>
      <c r="R466" s="56"/>
      <c r="S466" s="277"/>
      <c r="T466" s="361" t="s">
        <v>1148</v>
      </c>
      <c r="U466" s="361" t="s">
        <v>1213</v>
      </c>
      <c r="AA466" s="7"/>
      <c r="AB466" s="7"/>
      <c r="AC466" s="1408"/>
      <c r="AD466" s="387"/>
    </row>
    <row r="467" spans="6:30" ht="10.5" customHeight="1">
      <c r="F467" s="199"/>
      <c r="G467" s="184"/>
      <c r="H467" s="184"/>
      <c r="I467" s="184"/>
      <c r="J467" s="184"/>
      <c r="K467" s="184"/>
      <c r="L467" s="184"/>
      <c r="M467" s="184"/>
      <c r="N467" s="184"/>
      <c r="O467" s="184"/>
      <c r="P467" s="435" t="s">
        <v>1366</v>
      </c>
      <c r="Q467" s="154"/>
      <c r="R467" s="56"/>
      <c r="S467" s="277"/>
      <c r="T467" s="436" t="s">
        <v>1150</v>
      </c>
      <c r="U467" s="436" t="s">
        <v>310</v>
      </c>
      <c r="AA467" s="7"/>
      <c r="AB467" s="7"/>
      <c r="AC467" s="1408"/>
      <c r="AD467" s="387"/>
    </row>
    <row r="468" spans="6:30" ht="10.5" customHeight="1">
      <c r="F468" s="199"/>
      <c r="G468" s="184"/>
      <c r="H468" s="184"/>
      <c r="I468" s="184"/>
      <c r="J468" s="184"/>
      <c r="K468" s="184"/>
      <c r="L468" s="184"/>
      <c r="M468" s="184"/>
      <c r="N468" s="184"/>
      <c r="O468" s="184"/>
      <c r="P468" s="435" t="s">
        <v>1368</v>
      </c>
      <c r="Q468" s="154"/>
      <c r="R468" s="56"/>
      <c r="S468" s="277"/>
      <c r="T468" s="361" t="s">
        <v>2436</v>
      </c>
      <c r="U468" s="361" t="s">
        <v>2244</v>
      </c>
      <c r="AA468" s="7"/>
      <c r="AB468" s="7"/>
      <c r="AC468" s="1411"/>
      <c r="AD468" s="387"/>
    </row>
    <row r="469" spans="6:30" ht="10.5" customHeight="1">
      <c r="F469" s="199"/>
      <c r="G469" s="184"/>
      <c r="H469" s="184"/>
      <c r="I469" s="184"/>
      <c r="J469" s="184"/>
      <c r="K469" s="184"/>
      <c r="L469" s="184"/>
      <c r="M469" s="184"/>
      <c r="N469" s="184"/>
      <c r="O469" s="184"/>
      <c r="P469" s="435" t="s">
        <v>2079</v>
      </c>
      <c r="Q469" s="154"/>
      <c r="R469" s="56"/>
      <c r="S469" s="277"/>
      <c r="T469" s="361" t="s">
        <v>1798</v>
      </c>
      <c r="U469" s="361" t="s">
        <v>1810</v>
      </c>
      <c r="AA469" s="7"/>
      <c r="AB469" s="7"/>
      <c r="AC469" s="1408"/>
      <c r="AD469" s="387"/>
    </row>
    <row r="470" spans="6:30" ht="10.5" customHeight="1">
      <c r="F470" s="199"/>
      <c r="G470" s="184"/>
      <c r="H470" s="184"/>
      <c r="I470" s="184"/>
      <c r="J470" s="184"/>
      <c r="K470" s="184"/>
      <c r="L470" s="184"/>
      <c r="M470" s="184"/>
      <c r="N470" s="184"/>
      <c r="O470" s="184"/>
      <c r="P470" s="435" t="s">
        <v>2305</v>
      </c>
      <c r="Q470" s="154"/>
      <c r="R470" s="56"/>
      <c r="S470" s="277"/>
      <c r="T470" s="361" t="s">
        <v>71</v>
      </c>
      <c r="U470" s="361" t="s">
        <v>1723</v>
      </c>
      <c r="AA470" s="7"/>
      <c r="AB470" s="7"/>
      <c r="AC470" s="1408"/>
      <c r="AD470" s="387"/>
    </row>
    <row r="471" spans="6:30" ht="10.5" customHeight="1">
      <c r="F471" s="199"/>
      <c r="G471" s="184"/>
      <c r="H471" s="184"/>
      <c r="I471" s="184"/>
      <c r="J471" s="184"/>
      <c r="K471" s="184"/>
      <c r="L471" s="184"/>
      <c r="M471" s="184"/>
      <c r="N471" s="184"/>
      <c r="O471" s="184"/>
      <c r="P471" s="435" t="s">
        <v>1183</v>
      </c>
      <c r="Q471" s="154"/>
      <c r="R471" s="56"/>
      <c r="S471" s="277"/>
      <c r="T471" s="361" t="s">
        <v>588</v>
      </c>
      <c r="U471" s="361" t="s">
        <v>2202</v>
      </c>
      <c r="AA471" s="7"/>
      <c r="AB471" s="7"/>
      <c r="AC471" s="1408"/>
      <c r="AD471" s="387"/>
    </row>
    <row r="472" spans="6:30" ht="10.5" customHeight="1">
      <c r="F472" s="199"/>
      <c r="G472" s="184"/>
      <c r="H472" s="184"/>
      <c r="I472" s="184"/>
      <c r="J472" s="184"/>
      <c r="K472" s="184"/>
      <c r="L472" s="184"/>
      <c r="M472" s="184"/>
      <c r="N472" s="184"/>
      <c r="O472" s="184"/>
      <c r="P472" s="435" t="s">
        <v>1373</v>
      </c>
      <c r="Q472" s="154"/>
      <c r="R472" s="56"/>
      <c r="S472" s="277"/>
      <c r="T472" s="361" t="s">
        <v>73</v>
      </c>
      <c r="U472" s="361" t="s">
        <v>155</v>
      </c>
      <c r="AA472" s="7"/>
      <c r="AB472" s="7"/>
      <c r="AC472" s="1408"/>
      <c r="AD472" s="387"/>
    </row>
    <row r="473" spans="6:30" ht="10.5" customHeight="1">
      <c r="F473" s="199"/>
      <c r="G473" s="184"/>
      <c r="H473" s="184"/>
      <c r="I473" s="184"/>
      <c r="J473" s="184"/>
      <c r="K473" s="184"/>
      <c r="L473" s="184"/>
      <c r="M473" s="184"/>
      <c r="N473" s="184"/>
      <c r="O473" s="184"/>
      <c r="P473" s="435" t="s">
        <v>758</v>
      </c>
      <c r="Q473" s="154"/>
      <c r="R473" s="56"/>
      <c r="S473" s="277"/>
      <c r="T473" s="361" t="s">
        <v>2142</v>
      </c>
      <c r="U473" s="361" t="s">
        <v>1333</v>
      </c>
      <c r="AA473" s="7"/>
      <c r="AB473" s="7"/>
      <c r="AC473" s="1408"/>
      <c r="AD473" s="387"/>
    </row>
    <row r="474" spans="6:30" ht="10.5" customHeight="1">
      <c r="F474" s="199"/>
      <c r="G474" s="184"/>
      <c r="H474" s="184"/>
      <c r="I474" s="184"/>
      <c r="J474" s="184"/>
      <c r="K474" s="184"/>
      <c r="L474" s="184"/>
      <c r="M474" s="184"/>
      <c r="N474" s="184"/>
      <c r="O474" s="184"/>
      <c r="P474" s="435" t="s">
        <v>759</v>
      </c>
      <c r="Q474" s="154"/>
      <c r="R474" s="56"/>
      <c r="S474" s="277"/>
      <c r="T474" s="361" t="s">
        <v>977</v>
      </c>
      <c r="U474" s="361" t="s">
        <v>1385</v>
      </c>
      <c r="AA474" s="7"/>
      <c r="AB474" s="7"/>
      <c r="AC474" s="1408"/>
      <c r="AD474" s="387"/>
    </row>
    <row r="475" spans="6:30" ht="10.5" customHeight="1">
      <c r="F475" s="199"/>
      <c r="G475" s="184"/>
      <c r="H475" s="184"/>
      <c r="I475" s="184"/>
      <c r="J475" s="184"/>
      <c r="K475" s="184"/>
      <c r="L475" s="184"/>
      <c r="M475" s="184"/>
      <c r="N475" s="184"/>
      <c r="O475" s="184"/>
      <c r="P475" s="435" t="s">
        <v>761</v>
      </c>
      <c r="Q475" s="154"/>
      <c r="R475" s="56"/>
      <c r="S475" s="277"/>
      <c r="T475" s="361" t="s">
        <v>978</v>
      </c>
      <c r="U475" s="361" t="s">
        <v>1030</v>
      </c>
      <c r="AA475" s="7"/>
      <c r="AB475" s="7"/>
      <c r="AC475" s="1408"/>
      <c r="AD475" s="387"/>
    </row>
    <row r="476" spans="6:30" ht="10.5" customHeight="1">
      <c r="F476" s="199"/>
      <c r="G476" s="184"/>
      <c r="H476" s="184"/>
      <c r="I476" s="184"/>
      <c r="J476" s="184"/>
      <c r="K476" s="184"/>
      <c r="L476" s="184"/>
      <c r="M476" s="184"/>
      <c r="N476" s="184"/>
      <c r="O476" s="184"/>
      <c r="P476" s="435" t="s">
        <v>762</v>
      </c>
      <c r="Q476" s="154"/>
      <c r="R476" s="56"/>
      <c r="S476" s="277"/>
      <c r="T476" s="361" t="s">
        <v>570</v>
      </c>
      <c r="U476" s="361" t="s">
        <v>615</v>
      </c>
      <c r="AA476" s="7"/>
      <c r="AB476" s="7"/>
      <c r="AC476" s="1408"/>
      <c r="AD476" s="387"/>
    </row>
    <row r="477" spans="6:30" ht="10.5" customHeight="1">
      <c r="F477" s="199"/>
      <c r="G477" s="184"/>
      <c r="H477" s="184"/>
      <c r="I477" s="184"/>
      <c r="J477" s="184"/>
      <c r="K477" s="184"/>
      <c r="L477" s="184"/>
      <c r="M477" s="184"/>
      <c r="N477" s="184"/>
      <c r="O477" s="184"/>
      <c r="P477" s="435" t="s">
        <v>110</v>
      </c>
      <c r="Q477" s="154"/>
      <c r="R477" s="56"/>
      <c r="S477" s="277"/>
      <c r="T477" s="361" t="s">
        <v>895</v>
      </c>
      <c r="U477" s="361" t="s">
        <v>112</v>
      </c>
      <c r="AA477" s="7"/>
      <c r="AB477" s="7"/>
      <c r="AC477" s="1408"/>
      <c r="AD477" s="387"/>
    </row>
    <row r="478" spans="6:30" ht="10.5" customHeight="1">
      <c r="F478" s="199"/>
      <c r="G478" s="184"/>
      <c r="H478" s="184"/>
      <c r="I478" s="184"/>
      <c r="J478" s="184"/>
      <c r="K478" s="184"/>
      <c r="L478" s="184"/>
      <c r="M478" s="184"/>
      <c r="N478" s="184"/>
      <c r="O478" s="184"/>
      <c r="P478" s="435" t="s">
        <v>230</v>
      </c>
      <c r="Q478" s="154"/>
      <c r="R478" s="56"/>
      <c r="S478" s="277"/>
      <c r="T478" s="361" t="s">
        <v>897</v>
      </c>
      <c r="U478" s="361" t="s">
        <v>1231</v>
      </c>
      <c r="AA478" s="7"/>
      <c r="AB478" s="7"/>
      <c r="AC478" s="1408"/>
      <c r="AD478" s="387"/>
    </row>
    <row r="479" spans="6:30" ht="10.5" customHeight="1">
      <c r="F479" s="199"/>
      <c r="G479" s="184"/>
      <c r="H479" s="184"/>
      <c r="I479" s="184"/>
      <c r="J479" s="184"/>
      <c r="K479" s="184"/>
      <c r="L479" s="184"/>
      <c r="M479" s="184"/>
      <c r="N479" s="184"/>
      <c r="O479" s="184"/>
      <c r="P479" s="435" t="s">
        <v>1371</v>
      </c>
      <c r="Q479" s="154"/>
      <c r="R479" s="56"/>
      <c r="S479" s="277"/>
      <c r="T479" s="361" t="s">
        <v>1363</v>
      </c>
      <c r="U479" s="361" t="s">
        <v>1336</v>
      </c>
      <c r="AA479" s="7"/>
      <c r="AB479" s="7"/>
      <c r="AC479" s="1408"/>
      <c r="AD479" s="387"/>
    </row>
    <row r="480" spans="6:30" ht="10.5" customHeight="1">
      <c r="F480" s="199"/>
      <c r="G480" s="184"/>
      <c r="H480" s="184"/>
      <c r="I480" s="184"/>
      <c r="J480" s="184"/>
      <c r="K480" s="184"/>
      <c r="L480" s="184"/>
      <c r="M480" s="184"/>
      <c r="N480" s="184"/>
      <c r="O480" s="184"/>
      <c r="P480" s="435" t="s">
        <v>225</v>
      </c>
      <c r="Q480" s="154"/>
      <c r="R480" s="56"/>
      <c r="S480" s="277"/>
      <c r="T480" s="361" t="s">
        <v>1365</v>
      </c>
      <c r="U480" s="361" t="s">
        <v>2241</v>
      </c>
      <c r="AA480" s="7"/>
      <c r="AB480" s="7"/>
      <c r="AC480" s="1408"/>
      <c r="AD480" s="387"/>
    </row>
    <row r="481" spans="6:30" ht="10.5" customHeight="1">
      <c r="F481" s="199"/>
      <c r="G481" s="184"/>
      <c r="H481" s="184"/>
      <c r="I481" s="184"/>
      <c r="J481" s="184"/>
      <c r="K481" s="184"/>
      <c r="L481" s="184"/>
      <c r="M481" s="184"/>
      <c r="N481" s="184"/>
      <c r="O481" s="184"/>
      <c r="P481" s="435" t="s">
        <v>1375</v>
      </c>
      <c r="Q481" s="154"/>
      <c r="R481" s="56"/>
      <c r="S481" s="277"/>
      <c r="T481" s="361" t="s">
        <v>1367</v>
      </c>
      <c r="U481" s="361" t="s">
        <v>1940</v>
      </c>
      <c r="AA481" s="7"/>
      <c r="AB481" s="7"/>
      <c r="AC481" s="1408"/>
      <c r="AD481" s="387"/>
    </row>
    <row r="482" spans="6:30" ht="10.5" customHeight="1">
      <c r="F482" s="199"/>
      <c r="G482" s="184"/>
      <c r="H482" s="184"/>
      <c r="I482" s="184"/>
      <c r="J482" s="184"/>
      <c r="K482" s="184"/>
      <c r="L482" s="184"/>
      <c r="M482" s="184"/>
      <c r="N482" s="184"/>
      <c r="O482" s="184"/>
      <c r="P482" s="435" t="s">
        <v>1377</v>
      </c>
      <c r="Q482" s="154"/>
      <c r="R482" s="56"/>
      <c r="S482" s="277"/>
      <c r="T482" s="361" t="s">
        <v>2078</v>
      </c>
      <c r="U482" s="361" t="s">
        <v>2300</v>
      </c>
      <c r="AA482" s="7"/>
      <c r="AB482" s="7"/>
      <c r="AC482" s="1408"/>
      <c r="AD482" s="387"/>
    </row>
    <row r="483" spans="6:30" ht="10.5" customHeight="1">
      <c r="F483" s="199"/>
      <c r="G483" s="184"/>
      <c r="H483" s="184"/>
      <c r="I483" s="184"/>
      <c r="J483" s="184"/>
      <c r="K483" s="184"/>
      <c r="L483" s="184"/>
      <c r="M483" s="184"/>
      <c r="N483" s="184"/>
      <c r="O483" s="184"/>
      <c r="P483" s="435" t="s">
        <v>1284</v>
      </c>
      <c r="Q483" s="154"/>
      <c r="R483" s="56"/>
      <c r="S483" s="277"/>
      <c r="T483" s="361" t="s">
        <v>2080</v>
      </c>
      <c r="U483" s="361" t="s">
        <v>112</v>
      </c>
      <c r="AA483" s="7"/>
      <c r="AB483" s="7"/>
      <c r="AC483" s="1408"/>
      <c r="AD483" s="387"/>
    </row>
    <row r="484" spans="6:30" ht="10.5" customHeight="1">
      <c r="F484" s="199"/>
      <c r="G484" s="184"/>
      <c r="H484" s="184"/>
      <c r="I484" s="184"/>
      <c r="J484" s="184"/>
      <c r="K484" s="184"/>
      <c r="L484" s="184"/>
      <c r="M484" s="184"/>
      <c r="N484" s="184"/>
      <c r="O484" s="184"/>
      <c r="P484" s="435" t="s">
        <v>1286</v>
      </c>
      <c r="Q484" s="154"/>
      <c r="R484" s="56"/>
      <c r="S484" s="277"/>
      <c r="T484" s="361" t="s">
        <v>1182</v>
      </c>
      <c r="U484" s="361" t="s">
        <v>884</v>
      </c>
      <c r="AA484" s="7"/>
      <c r="AB484" s="7"/>
      <c r="AC484" s="1408"/>
      <c r="AD484" s="387"/>
    </row>
    <row r="485" spans="6:30" ht="10.5" customHeight="1">
      <c r="F485" s="199"/>
      <c r="G485" s="184"/>
      <c r="H485" s="184"/>
      <c r="I485" s="184"/>
      <c r="J485" s="184"/>
      <c r="K485" s="184"/>
      <c r="L485" s="184"/>
      <c r="M485" s="184"/>
      <c r="N485" s="184"/>
      <c r="O485" s="184"/>
      <c r="P485" s="435" t="s">
        <v>1288</v>
      </c>
      <c r="Q485" s="154"/>
      <c r="R485" s="56"/>
      <c r="S485" s="277"/>
      <c r="T485" s="436" t="s">
        <v>979</v>
      </c>
      <c r="U485" s="436" t="s">
        <v>1808</v>
      </c>
      <c r="AA485" s="7"/>
      <c r="AB485" s="7"/>
      <c r="AC485" s="1408"/>
      <c r="AD485" s="387"/>
    </row>
    <row r="486" spans="6:30" ht="10.5" customHeight="1">
      <c r="F486" s="199"/>
      <c r="G486" s="184"/>
      <c r="H486" s="184"/>
      <c r="I486" s="184"/>
      <c r="J486" s="184"/>
      <c r="K486" s="184"/>
      <c r="L486" s="184"/>
      <c r="M486" s="184"/>
      <c r="N486" s="184"/>
      <c r="O486" s="184"/>
      <c r="P486" s="435" t="s">
        <v>1289</v>
      </c>
      <c r="Q486" s="154"/>
      <c r="R486" s="56"/>
      <c r="S486" s="277"/>
      <c r="T486" s="361" t="s">
        <v>1184</v>
      </c>
      <c r="U486" s="361" t="s">
        <v>1338</v>
      </c>
      <c r="AA486" s="7"/>
      <c r="AB486" s="7"/>
      <c r="AC486" s="1411"/>
      <c r="AD486" s="387"/>
    </row>
    <row r="487" spans="6:30" ht="10.5" customHeight="1">
      <c r="F487" s="199"/>
      <c r="G487" s="184"/>
      <c r="H487" s="184"/>
      <c r="I487" s="184"/>
      <c r="J487" s="184"/>
      <c r="K487" s="184"/>
      <c r="L487" s="184"/>
      <c r="M487" s="184"/>
      <c r="N487" s="184"/>
      <c r="O487" s="184"/>
      <c r="P487" s="435" t="s">
        <v>1291</v>
      </c>
      <c r="Q487" s="154"/>
      <c r="R487" s="56"/>
      <c r="S487" s="277"/>
      <c r="T487" s="361" t="s">
        <v>766</v>
      </c>
      <c r="U487" s="361" t="s">
        <v>1810</v>
      </c>
      <c r="AA487" s="7"/>
      <c r="AB487" s="7"/>
      <c r="AC487" s="1408"/>
      <c r="AD487" s="387"/>
    </row>
    <row r="488" spans="6:30" ht="10.5" customHeight="1">
      <c r="F488" s="199"/>
      <c r="G488" s="184"/>
      <c r="H488" s="184"/>
      <c r="I488" s="184"/>
      <c r="J488" s="184"/>
      <c r="K488" s="184"/>
      <c r="L488" s="184"/>
      <c r="M488" s="184"/>
      <c r="N488" s="184"/>
      <c r="O488" s="184"/>
      <c r="P488" s="435" t="s">
        <v>1293</v>
      </c>
      <c r="Q488" s="154"/>
      <c r="R488" s="56"/>
      <c r="S488" s="277"/>
      <c r="T488" s="361" t="s">
        <v>767</v>
      </c>
      <c r="U488" s="361" t="s">
        <v>812</v>
      </c>
      <c r="AA488" s="7"/>
      <c r="AB488" s="7"/>
      <c r="AC488" s="1408"/>
      <c r="AD488" s="387"/>
    </row>
    <row r="489" spans="6:30" ht="10.5" customHeight="1">
      <c r="F489" s="199"/>
      <c r="G489" s="184"/>
      <c r="H489" s="184"/>
      <c r="I489" s="184"/>
      <c r="J489" s="184"/>
      <c r="K489" s="184"/>
      <c r="L489" s="184"/>
      <c r="M489" s="184"/>
      <c r="N489" s="184"/>
      <c r="O489" s="184"/>
      <c r="P489" s="435" t="s">
        <v>1425</v>
      </c>
      <c r="Q489" s="154"/>
      <c r="R489" s="56"/>
      <c r="S489" s="277"/>
      <c r="T489" s="361" t="s">
        <v>760</v>
      </c>
      <c r="U489" s="361" t="s">
        <v>584</v>
      </c>
      <c r="AA489" s="7"/>
      <c r="AB489" s="7"/>
      <c r="AC489" s="1408"/>
      <c r="AD489" s="387"/>
    </row>
    <row r="490" spans="6:30" ht="10.5" customHeight="1">
      <c r="F490" s="199"/>
      <c r="G490" s="184"/>
      <c r="H490" s="184"/>
      <c r="I490" s="184"/>
      <c r="J490" s="184"/>
      <c r="K490" s="184"/>
      <c r="L490" s="184"/>
      <c r="M490" s="184"/>
      <c r="N490" s="184"/>
      <c r="O490" s="184"/>
      <c r="P490" s="435" t="s">
        <v>1426</v>
      </c>
      <c r="Q490" s="154"/>
      <c r="R490" s="56"/>
      <c r="S490" s="277"/>
      <c r="T490" s="361" t="s">
        <v>763</v>
      </c>
      <c r="U490" s="361" t="s">
        <v>297</v>
      </c>
      <c r="AA490" s="7"/>
      <c r="AB490" s="7"/>
      <c r="AC490" s="1408"/>
      <c r="AD490" s="387"/>
    </row>
    <row r="491" spans="6:30" ht="10.5" customHeight="1">
      <c r="F491" s="199"/>
      <c r="G491" s="184"/>
      <c r="H491" s="184"/>
      <c r="I491" s="184"/>
      <c r="J491" s="184"/>
      <c r="K491" s="184"/>
      <c r="L491" s="184"/>
      <c r="M491" s="184"/>
      <c r="N491" s="184"/>
      <c r="O491" s="184"/>
      <c r="P491" s="435" t="s">
        <v>1427</v>
      </c>
      <c r="Q491" s="154"/>
      <c r="R491" s="56"/>
      <c r="S491" s="277"/>
      <c r="T491" s="361" t="s">
        <v>111</v>
      </c>
      <c r="U491" s="361" t="s">
        <v>1811</v>
      </c>
      <c r="AA491" s="7"/>
      <c r="AB491" s="7"/>
      <c r="AC491" s="1408"/>
      <c r="AD491" s="387"/>
    </row>
    <row r="492" spans="6:30" ht="10.5" customHeight="1">
      <c r="F492" s="199"/>
      <c r="G492" s="184"/>
      <c r="H492" s="184"/>
      <c r="I492" s="184"/>
      <c r="J492" s="184"/>
      <c r="K492" s="184"/>
      <c r="L492" s="184"/>
      <c r="M492" s="184"/>
      <c r="N492" s="184"/>
      <c r="O492" s="184"/>
      <c r="P492" s="435" t="s">
        <v>1428</v>
      </c>
      <c r="Q492" s="154"/>
      <c r="R492" s="56"/>
      <c r="S492" s="277"/>
      <c r="T492" s="361" t="s">
        <v>231</v>
      </c>
      <c r="U492" s="361" t="s">
        <v>1689</v>
      </c>
      <c r="AA492" s="7"/>
      <c r="AB492" s="7"/>
      <c r="AC492" s="1408"/>
      <c r="AD492" s="387"/>
    </row>
    <row r="493" spans="6:30" ht="10.5" customHeight="1">
      <c r="F493" s="199"/>
      <c r="G493" s="184"/>
      <c r="H493" s="184"/>
      <c r="I493" s="184"/>
      <c r="J493" s="184"/>
      <c r="K493" s="184"/>
      <c r="L493" s="184"/>
      <c r="M493" s="184"/>
      <c r="N493" s="184"/>
      <c r="O493" s="184"/>
      <c r="P493" s="435" t="s">
        <v>1430</v>
      </c>
      <c r="Q493" s="154"/>
      <c r="R493" s="56"/>
      <c r="S493" s="277"/>
      <c r="T493" s="361" t="s">
        <v>1372</v>
      </c>
      <c r="U493" s="361" t="s">
        <v>1810</v>
      </c>
      <c r="AA493" s="7"/>
      <c r="AB493" s="7"/>
      <c r="AC493" s="1408"/>
      <c r="AD493" s="387"/>
    </row>
    <row r="494" spans="6:30" ht="10.5" customHeight="1">
      <c r="F494" s="199"/>
      <c r="G494" s="184"/>
      <c r="H494" s="184"/>
      <c r="I494" s="184"/>
      <c r="J494" s="184"/>
      <c r="K494" s="184"/>
      <c r="L494" s="184"/>
      <c r="M494" s="184"/>
      <c r="N494" s="184"/>
      <c r="O494" s="184"/>
      <c r="P494" s="435" t="s">
        <v>1432</v>
      </c>
      <c r="Q494" s="154"/>
      <c r="R494" s="56"/>
      <c r="S494" s="277"/>
      <c r="T494" s="436" t="s">
        <v>1374</v>
      </c>
      <c r="U494" s="436" t="s">
        <v>306</v>
      </c>
      <c r="AA494" s="7"/>
      <c r="AB494" s="7"/>
      <c r="AC494" s="1408"/>
      <c r="AD494" s="387"/>
    </row>
    <row r="495" spans="6:30" ht="10.5" customHeight="1">
      <c r="F495" s="199"/>
      <c r="G495" s="184"/>
      <c r="H495" s="184"/>
      <c r="I495" s="184"/>
      <c r="J495" s="184"/>
      <c r="K495" s="184"/>
      <c r="L495" s="184"/>
      <c r="M495" s="184"/>
      <c r="N495" s="184"/>
      <c r="O495" s="184"/>
      <c r="P495" s="435" t="s">
        <v>1433</v>
      </c>
      <c r="Q495" s="154"/>
      <c r="R495" s="56"/>
      <c r="S495" s="277"/>
      <c r="T495" s="361" t="s">
        <v>1376</v>
      </c>
      <c r="U495" s="361" t="s">
        <v>2202</v>
      </c>
      <c r="AA495" s="7"/>
      <c r="AB495" s="7"/>
      <c r="AC495" s="1411"/>
      <c r="AD495" s="387"/>
    </row>
    <row r="496" spans="6:30" ht="10.5" customHeight="1">
      <c r="F496" s="199"/>
      <c r="G496" s="184"/>
      <c r="H496" s="184"/>
      <c r="I496" s="184"/>
      <c r="J496" s="184"/>
      <c r="K496" s="184"/>
      <c r="L496" s="184"/>
      <c r="M496" s="184"/>
      <c r="N496" s="184"/>
      <c r="O496" s="184"/>
      <c r="P496" s="435" t="s">
        <v>1435</v>
      </c>
      <c r="Q496" s="154"/>
      <c r="R496" s="56"/>
      <c r="S496" s="277"/>
      <c r="T496" s="361" t="s">
        <v>454</v>
      </c>
      <c r="U496" s="361" t="s">
        <v>1340</v>
      </c>
      <c r="AA496" s="7"/>
      <c r="AB496" s="7"/>
      <c r="AC496" s="1408"/>
      <c r="AD496" s="387"/>
    </row>
    <row r="497" spans="6:30" ht="10.5" customHeight="1">
      <c r="F497" s="199"/>
      <c r="G497" s="184"/>
      <c r="H497" s="184"/>
      <c r="I497" s="184"/>
      <c r="J497" s="184"/>
      <c r="K497" s="184"/>
      <c r="L497" s="184"/>
      <c r="M497" s="184"/>
      <c r="N497" s="184"/>
      <c r="O497" s="184"/>
      <c r="P497" s="435" t="s">
        <v>356</v>
      </c>
      <c r="Q497" s="154"/>
      <c r="R497" s="56"/>
      <c r="S497" s="277"/>
      <c r="T497" s="361" t="s">
        <v>1285</v>
      </c>
      <c r="U497" s="361" t="s">
        <v>289</v>
      </c>
      <c r="AA497" s="7"/>
      <c r="AB497" s="7"/>
      <c r="AC497" s="1408"/>
      <c r="AD497" s="387"/>
    </row>
    <row r="498" spans="6:30" ht="10.5" customHeight="1">
      <c r="F498" s="199"/>
      <c r="G498" s="184"/>
      <c r="H498" s="184"/>
      <c r="I498" s="184"/>
      <c r="J498" s="184"/>
      <c r="K498" s="184"/>
      <c r="L498" s="184"/>
      <c r="M498" s="184"/>
      <c r="N498" s="184"/>
      <c r="O498" s="184"/>
      <c r="P498" s="435" t="s">
        <v>227</v>
      </c>
      <c r="Q498" s="154"/>
      <c r="R498" s="56"/>
      <c r="S498" s="277"/>
      <c r="T498" s="361" t="s">
        <v>1287</v>
      </c>
      <c r="U498" s="361" t="s">
        <v>810</v>
      </c>
      <c r="AA498" s="7"/>
      <c r="AB498" s="7"/>
      <c r="AC498" s="1408"/>
      <c r="AD498" s="387"/>
    </row>
    <row r="499" spans="6:30" ht="10.5" customHeight="1">
      <c r="F499" s="199"/>
      <c r="G499" s="184"/>
      <c r="H499" s="184"/>
      <c r="I499" s="184"/>
      <c r="J499" s="184"/>
      <c r="K499" s="184"/>
      <c r="L499" s="184"/>
      <c r="M499" s="184"/>
      <c r="N499" s="184"/>
      <c r="O499" s="184"/>
      <c r="P499" s="435" t="s">
        <v>229</v>
      </c>
      <c r="Q499" s="154"/>
      <c r="R499" s="56"/>
      <c r="S499" s="277"/>
      <c r="T499" s="361" t="s">
        <v>156</v>
      </c>
      <c r="U499" s="361" t="s">
        <v>1938</v>
      </c>
      <c r="AA499" s="7"/>
      <c r="AB499" s="7"/>
      <c r="AC499" s="1408"/>
      <c r="AD499" s="387"/>
    </row>
    <row r="500" spans="6:30" ht="10.5" customHeight="1">
      <c r="F500" s="199"/>
      <c r="G500" s="184"/>
      <c r="H500" s="184"/>
      <c r="I500" s="184"/>
      <c r="J500" s="184"/>
      <c r="K500" s="184"/>
      <c r="L500" s="184"/>
      <c r="M500" s="184"/>
      <c r="N500" s="184"/>
      <c r="O500" s="184"/>
      <c r="P500" s="435" t="s">
        <v>11</v>
      </c>
      <c r="Q500" s="154"/>
      <c r="R500" s="56"/>
      <c r="S500" s="277"/>
      <c r="T500" s="361" t="s">
        <v>1290</v>
      </c>
      <c r="U500" s="361" t="s">
        <v>1689</v>
      </c>
      <c r="AA500" s="7"/>
      <c r="AB500" s="7"/>
      <c r="AC500" s="1408"/>
      <c r="AD500" s="387"/>
    </row>
    <row r="501" spans="6:30" ht="10.5" customHeight="1">
      <c r="F501" s="199"/>
      <c r="G501" s="184"/>
      <c r="H501" s="184"/>
      <c r="I501" s="184"/>
      <c r="J501" s="184"/>
      <c r="K501" s="184"/>
      <c r="L501" s="184"/>
      <c r="M501" s="184"/>
      <c r="N501" s="184"/>
      <c r="O501" s="184"/>
      <c r="P501" s="435" t="s">
        <v>1005</v>
      </c>
      <c r="Q501" s="154"/>
      <c r="R501" s="56"/>
      <c r="S501" s="277"/>
      <c r="T501" s="361" t="s">
        <v>1292</v>
      </c>
      <c r="U501" s="361" t="s">
        <v>144</v>
      </c>
      <c r="AA501" s="7"/>
      <c r="AB501" s="7"/>
      <c r="AC501" s="1408"/>
      <c r="AD501" s="387"/>
    </row>
    <row r="502" spans="6:30" ht="10.5" customHeight="1">
      <c r="F502" s="199"/>
      <c r="G502" s="184"/>
      <c r="H502" s="184"/>
      <c r="I502" s="184"/>
      <c r="J502" s="184"/>
      <c r="K502" s="184"/>
      <c r="L502" s="184"/>
      <c r="M502" s="184"/>
      <c r="N502" s="184"/>
      <c r="O502" s="184"/>
      <c r="P502" s="435" t="s">
        <v>1007</v>
      </c>
      <c r="Q502" s="154"/>
      <c r="R502" s="56"/>
      <c r="S502" s="277"/>
      <c r="T502" s="361" t="s">
        <v>2210</v>
      </c>
      <c r="U502" s="361" t="s">
        <v>1717</v>
      </c>
      <c r="AA502" s="7"/>
      <c r="AB502" s="7"/>
      <c r="AC502" s="1408"/>
      <c r="AD502" s="387"/>
    </row>
    <row r="503" spans="6:30" ht="10.5" customHeight="1">
      <c r="F503" s="199"/>
      <c r="G503" s="184"/>
      <c r="H503" s="184"/>
      <c r="I503" s="184"/>
      <c r="J503" s="184"/>
      <c r="K503" s="184"/>
      <c r="L503" s="184"/>
      <c r="M503" s="184"/>
      <c r="N503" s="184"/>
      <c r="O503" s="184"/>
      <c r="P503" s="435" t="s">
        <v>1009</v>
      </c>
      <c r="Q503" s="154"/>
      <c r="R503" s="56"/>
      <c r="S503" s="277"/>
      <c r="T503" s="361" t="s">
        <v>980</v>
      </c>
      <c r="U503" s="361" t="s">
        <v>2205</v>
      </c>
      <c r="AA503" s="7"/>
      <c r="AB503" s="7"/>
      <c r="AC503" s="1408"/>
      <c r="AD503" s="387"/>
    </row>
    <row r="504" spans="6:30" ht="10.5" customHeight="1">
      <c r="F504" s="199"/>
      <c r="G504" s="184"/>
      <c r="H504" s="184"/>
      <c r="I504" s="184"/>
      <c r="J504" s="184"/>
      <c r="K504" s="184"/>
      <c r="L504" s="184"/>
      <c r="M504" s="184"/>
      <c r="N504" s="184"/>
      <c r="O504" s="184"/>
      <c r="P504" s="435" t="s">
        <v>236</v>
      </c>
      <c r="Q504" s="154"/>
      <c r="R504" s="56"/>
      <c r="S504" s="277"/>
      <c r="T504" s="361" t="s">
        <v>1219</v>
      </c>
      <c r="U504" s="361" t="s">
        <v>1218</v>
      </c>
      <c r="AA504" s="7"/>
      <c r="AB504" s="7"/>
      <c r="AC504" s="1408"/>
      <c r="AD504" s="387"/>
    </row>
    <row r="505" spans="6:30" ht="10.5" customHeight="1">
      <c r="F505" s="199"/>
      <c r="G505" s="184"/>
      <c r="H505" s="184"/>
      <c r="I505" s="184"/>
      <c r="J505" s="184"/>
      <c r="K505" s="184"/>
      <c r="L505" s="184"/>
      <c r="M505" s="184"/>
      <c r="N505" s="184"/>
      <c r="O505" s="184"/>
      <c r="P505" s="435" t="s">
        <v>238</v>
      </c>
      <c r="Q505" s="154"/>
      <c r="R505" s="56"/>
      <c r="S505" s="277"/>
      <c r="T505" s="361" t="s">
        <v>159</v>
      </c>
      <c r="U505" s="361" t="s">
        <v>2293</v>
      </c>
      <c r="AA505" s="7"/>
      <c r="AB505" s="7"/>
      <c r="AC505" s="1408"/>
      <c r="AD505" s="387"/>
    </row>
    <row r="506" spans="6:30" ht="10.5" customHeight="1">
      <c r="F506" s="199"/>
      <c r="G506" s="184"/>
      <c r="H506" s="184"/>
      <c r="I506" s="184"/>
      <c r="J506" s="184"/>
      <c r="K506" s="184"/>
      <c r="L506" s="184"/>
      <c r="M506" s="184"/>
      <c r="N506" s="184"/>
      <c r="O506" s="184"/>
      <c r="P506" s="435" t="s">
        <v>1479</v>
      </c>
      <c r="Q506" s="154"/>
      <c r="R506" s="56"/>
      <c r="S506" s="277"/>
      <c r="T506" s="361" t="s">
        <v>1429</v>
      </c>
      <c r="U506" s="361" t="s">
        <v>1946</v>
      </c>
      <c r="AA506" s="7"/>
      <c r="AB506" s="7"/>
      <c r="AC506" s="1408"/>
      <c r="AD506" s="387"/>
    </row>
    <row r="507" spans="6:30" ht="10.5" customHeight="1">
      <c r="F507" s="199"/>
      <c r="G507" s="184"/>
      <c r="H507" s="184"/>
      <c r="I507" s="184"/>
      <c r="J507" s="184"/>
      <c r="K507" s="184"/>
      <c r="L507" s="184"/>
      <c r="M507" s="184"/>
      <c r="N507" s="184"/>
      <c r="O507" s="184"/>
      <c r="P507" s="435" t="s">
        <v>2067</v>
      </c>
      <c r="Q507" s="154"/>
      <c r="R507" s="56"/>
      <c r="S507" s="277"/>
      <c r="T507" s="361" t="s">
        <v>1431</v>
      </c>
      <c r="U507" s="361" t="s">
        <v>1689</v>
      </c>
      <c r="AA507" s="7"/>
      <c r="AB507" s="7"/>
      <c r="AC507" s="1408"/>
      <c r="AD507" s="387"/>
    </row>
    <row r="508" spans="6:30" ht="10.5" customHeight="1">
      <c r="F508" s="199"/>
      <c r="G508" s="184"/>
      <c r="H508" s="184"/>
      <c r="I508" s="184"/>
      <c r="J508" s="184"/>
      <c r="K508" s="184"/>
      <c r="L508" s="184"/>
      <c r="M508" s="184"/>
      <c r="N508" s="184"/>
      <c r="O508" s="184"/>
      <c r="P508" s="435" t="s">
        <v>452</v>
      </c>
      <c r="Q508" s="154"/>
      <c r="R508" s="56"/>
      <c r="S508" s="277"/>
      <c r="T508" s="361" t="s">
        <v>1434</v>
      </c>
      <c r="U508" s="361" t="s">
        <v>2298</v>
      </c>
      <c r="AA508" s="7"/>
      <c r="AB508" s="7"/>
      <c r="AC508" s="1408"/>
      <c r="AD508" s="387"/>
    </row>
    <row r="509" spans="6:30" ht="10.5" customHeight="1">
      <c r="F509" s="199"/>
      <c r="G509" s="184"/>
      <c r="H509" s="184"/>
      <c r="I509" s="184"/>
      <c r="J509" s="184"/>
      <c r="K509" s="184"/>
      <c r="L509" s="184"/>
      <c r="M509" s="184"/>
      <c r="N509" s="184"/>
      <c r="O509" s="184"/>
      <c r="P509" s="435" t="s">
        <v>1201</v>
      </c>
      <c r="Q509" s="154"/>
      <c r="R509" s="56"/>
      <c r="S509" s="277"/>
      <c r="T509" s="361" t="s">
        <v>355</v>
      </c>
      <c r="U509" s="361" t="s">
        <v>2205</v>
      </c>
      <c r="AA509" s="7"/>
      <c r="AB509" s="7"/>
      <c r="AC509" s="1408"/>
      <c r="AD509" s="387"/>
    </row>
    <row r="510" spans="6:30" ht="10.5" customHeight="1">
      <c r="F510" s="199"/>
      <c r="G510" s="184"/>
      <c r="H510" s="184"/>
      <c r="I510" s="184"/>
      <c r="J510" s="184"/>
      <c r="K510" s="184"/>
      <c r="L510" s="184"/>
      <c r="M510" s="184"/>
      <c r="N510" s="184"/>
      <c r="O510" s="184"/>
      <c r="P510" s="435" t="s">
        <v>601</v>
      </c>
      <c r="Q510" s="154"/>
      <c r="R510" s="56"/>
      <c r="S510" s="277"/>
      <c r="T510" s="361" t="s">
        <v>357</v>
      </c>
      <c r="U510" s="361" t="s">
        <v>1219</v>
      </c>
      <c r="AA510" s="7"/>
      <c r="AB510" s="7"/>
      <c r="AC510" s="1408"/>
      <c r="AD510" s="387"/>
    </row>
    <row r="511" spans="6:30" ht="10.5" customHeight="1">
      <c r="F511" s="199"/>
      <c r="G511" s="184"/>
      <c r="H511" s="184"/>
      <c r="I511" s="184"/>
      <c r="J511" s="184"/>
      <c r="K511" s="184"/>
      <c r="L511" s="184"/>
      <c r="M511" s="184"/>
      <c r="N511" s="184"/>
      <c r="O511" s="184"/>
      <c r="P511" s="435" t="s">
        <v>639</v>
      </c>
      <c r="Q511" s="154"/>
      <c r="R511" s="56"/>
      <c r="S511" s="277"/>
      <c r="T511" s="438" t="s">
        <v>228</v>
      </c>
      <c r="U511" s="361" t="s">
        <v>1936</v>
      </c>
      <c r="AA511" s="7"/>
      <c r="AB511" s="7"/>
      <c r="AC511" s="1408"/>
      <c r="AD511" s="387"/>
    </row>
    <row r="512" spans="6:30" ht="10.5" customHeight="1">
      <c r="F512" s="199"/>
      <c r="G512" s="184"/>
      <c r="H512" s="184"/>
      <c r="I512" s="184"/>
      <c r="J512" s="184"/>
      <c r="K512" s="184"/>
      <c r="L512" s="184"/>
      <c r="M512" s="184"/>
      <c r="N512" s="184"/>
      <c r="O512" s="184"/>
      <c r="P512" s="435" t="s">
        <v>640</v>
      </c>
      <c r="Q512" s="154"/>
      <c r="R512" s="56"/>
      <c r="S512" s="277"/>
      <c r="T512" s="438" t="s">
        <v>1460</v>
      </c>
      <c r="U512" s="361" t="s">
        <v>2240</v>
      </c>
      <c r="AA512" s="7"/>
      <c r="AB512" s="7"/>
      <c r="AC512" s="1415"/>
      <c r="AD512" s="387"/>
    </row>
    <row r="513" spans="6:30" ht="10.5" customHeight="1">
      <c r="F513" s="199"/>
      <c r="G513" s="184"/>
      <c r="H513" s="184"/>
      <c r="I513" s="184"/>
      <c r="J513" s="184"/>
      <c r="K513" s="184"/>
      <c r="L513" s="184"/>
      <c r="M513" s="184"/>
      <c r="N513" s="184"/>
      <c r="O513" s="184"/>
      <c r="P513" s="435" t="s">
        <v>486</v>
      </c>
      <c r="Q513" s="154"/>
      <c r="R513" s="56"/>
      <c r="S513" s="277"/>
      <c r="T513" s="361" t="s">
        <v>2437</v>
      </c>
      <c r="U513" s="361" t="s">
        <v>306</v>
      </c>
      <c r="AA513" s="7"/>
      <c r="AB513" s="7"/>
      <c r="AC513" s="1415"/>
      <c r="AD513" s="387"/>
    </row>
    <row r="514" spans="6:30" ht="10.5" customHeight="1">
      <c r="F514" s="199"/>
      <c r="G514" s="184"/>
      <c r="H514" s="184"/>
      <c r="I514" s="184"/>
      <c r="J514" s="184"/>
      <c r="K514" s="184"/>
      <c r="L514" s="184"/>
      <c r="M514" s="184"/>
      <c r="N514" s="184"/>
      <c r="O514" s="184"/>
      <c r="P514" s="435" t="s">
        <v>488</v>
      </c>
      <c r="Q514" s="154"/>
      <c r="R514" s="56"/>
      <c r="S514" s="277"/>
      <c r="T514" s="361" t="s">
        <v>1006</v>
      </c>
      <c r="U514" s="361" t="s">
        <v>2300</v>
      </c>
      <c r="AA514" s="7"/>
      <c r="AB514" s="7"/>
      <c r="AC514" s="1408"/>
      <c r="AD514" s="387"/>
    </row>
    <row r="515" spans="6:30" ht="10.5" customHeight="1">
      <c r="F515" s="199"/>
      <c r="G515" s="184"/>
      <c r="H515" s="184"/>
      <c r="I515" s="184"/>
      <c r="J515" s="184"/>
      <c r="K515" s="184"/>
      <c r="L515" s="184"/>
      <c r="M515" s="184"/>
      <c r="N515" s="184"/>
      <c r="O515" s="184"/>
      <c r="P515" s="435" t="s">
        <v>490</v>
      </c>
      <c r="Q515" s="154"/>
      <c r="R515" s="56"/>
      <c r="S515" s="277"/>
      <c r="T515" s="361" t="s">
        <v>1008</v>
      </c>
      <c r="U515" s="361" t="s">
        <v>1209</v>
      </c>
      <c r="AA515" s="7"/>
      <c r="AB515" s="7"/>
      <c r="AC515" s="1408"/>
      <c r="AD515" s="387"/>
    </row>
    <row r="516" spans="6:30" ht="10.5" customHeight="1">
      <c r="F516" s="199"/>
      <c r="G516" s="184"/>
      <c r="H516" s="184"/>
      <c r="I516" s="184"/>
      <c r="J516" s="184"/>
      <c r="K516" s="184"/>
      <c r="L516" s="184"/>
      <c r="M516" s="184"/>
      <c r="N516" s="184"/>
      <c r="O516" s="184"/>
      <c r="P516" s="435" t="s">
        <v>492</v>
      </c>
      <c r="Q516" s="154"/>
      <c r="R516" s="56"/>
      <c r="S516" s="277"/>
      <c r="T516" s="361" t="s">
        <v>1010</v>
      </c>
      <c r="U516" s="361" t="s">
        <v>610</v>
      </c>
      <c r="AA516" s="7"/>
      <c r="AB516" s="7"/>
      <c r="AC516" s="1408"/>
      <c r="AD516" s="387"/>
    </row>
    <row r="517" spans="6:30" ht="10.5" customHeight="1">
      <c r="F517" s="199"/>
      <c r="G517" s="184"/>
      <c r="H517" s="184"/>
      <c r="I517" s="184"/>
      <c r="J517" s="184"/>
      <c r="K517" s="184"/>
      <c r="L517" s="184"/>
      <c r="M517" s="184"/>
      <c r="N517" s="184"/>
      <c r="O517" s="184"/>
      <c r="P517" s="435" t="s">
        <v>505</v>
      </c>
      <c r="Q517" s="154"/>
      <c r="R517" s="56"/>
      <c r="S517" s="277"/>
      <c r="T517" s="436" t="s">
        <v>237</v>
      </c>
      <c r="U517" s="436" t="s">
        <v>297</v>
      </c>
      <c r="AA517" s="7"/>
      <c r="AB517" s="7"/>
      <c r="AC517" s="1408"/>
      <c r="AD517" s="387"/>
    </row>
    <row r="518" spans="6:30" ht="10.5" customHeight="1">
      <c r="F518" s="199"/>
      <c r="G518" s="184"/>
      <c r="H518" s="184"/>
      <c r="I518" s="184"/>
      <c r="J518" s="184"/>
      <c r="K518" s="184"/>
      <c r="L518" s="184"/>
      <c r="M518" s="184"/>
      <c r="N518" s="184"/>
      <c r="O518" s="184"/>
      <c r="P518" s="435" t="s">
        <v>507</v>
      </c>
      <c r="Q518" s="154"/>
      <c r="R518" s="56"/>
      <c r="S518" s="277"/>
      <c r="T518" s="361" t="s">
        <v>239</v>
      </c>
      <c r="U518" s="361" t="s">
        <v>2128</v>
      </c>
      <c r="AA518" s="7"/>
      <c r="AB518" s="7"/>
      <c r="AC518" s="1411"/>
      <c r="AD518" s="387"/>
    </row>
    <row r="519" spans="6:30" ht="10.5" customHeight="1">
      <c r="F519" s="199"/>
      <c r="G519" s="184"/>
      <c r="H519" s="184"/>
      <c r="I519" s="184"/>
      <c r="J519" s="184"/>
      <c r="K519" s="184"/>
      <c r="L519" s="184"/>
      <c r="M519" s="184"/>
      <c r="N519" s="184"/>
      <c r="O519" s="184"/>
      <c r="P519" s="435" t="s">
        <v>664</v>
      </c>
      <c r="Q519" s="154"/>
      <c r="R519" s="56"/>
      <c r="S519" s="277"/>
      <c r="T519" s="361" t="s">
        <v>3641</v>
      </c>
      <c r="U519" s="361" t="s">
        <v>810</v>
      </c>
      <c r="AA519" s="7"/>
      <c r="AB519" s="7"/>
      <c r="AC519" s="1408"/>
      <c r="AD519" s="387"/>
    </row>
    <row r="520" spans="6:30" ht="10.5" customHeight="1">
      <c r="F520" s="199"/>
      <c r="G520" s="184"/>
      <c r="H520" s="184"/>
      <c r="I520" s="184"/>
      <c r="J520" s="184"/>
      <c r="K520" s="184"/>
      <c r="L520" s="184"/>
      <c r="M520" s="184"/>
      <c r="N520" s="184"/>
      <c r="O520" s="184"/>
      <c r="P520" s="435" t="s">
        <v>546</v>
      </c>
      <c r="Q520" s="154"/>
      <c r="R520" s="56"/>
      <c r="S520" s="277"/>
      <c r="T520" s="436" t="s">
        <v>2068</v>
      </c>
      <c r="U520" s="436" t="s">
        <v>1016</v>
      </c>
      <c r="AA520" s="7"/>
      <c r="AB520" s="7"/>
      <c r="AC520" s="1408"/>
      <c r="AD520" s="387"/>
    </row>
    <row r="521" spans="6:30" ht="10.5" customHeight="1">
      <c r="F521" s="199"/>
      <c r="G521" s="184"/>
      <c r="H521" s="184"/>
      <c r="I521" s="184"/>
      <c r="J521" s="184"/>
      <c r="K521" s="184"/>
      <c r="L521" s="184"/>
      <c r="M521" s="184"/>
      <c r="N521" s="184"/>
      <c r="O521" s="184"/>
      <c r="P521" s="435" t="s">
        <v>547</v>
      </c>
      <c r="Q521" s="154"/>
      <c r="R521" s="56"/>
      <c r="S521" s="277"/>
      <c r="T521" s="361" t="s">
        <v>453</v>
      </c>
      <c r="U521" s="361" t="s">
        <v>1496</v>
      </c>
      <c r="AA521" s="7"/>
      <c r="AB521" s="7"/>
      <c r="AC521" s="1411"/>
      <c r="AD521" s="387"/>
    </row>
    <row r="522" spans="6:30" ht="10.5" customHeight="1">
      <c r="F522" s="199"/>
      <c r="G522" s="184"/>
      <c r="H522" s="184"/>
      <c r="I522" s="184"/>
      <c r="J522" s="184"/>
      <c r="K522" s="184"/>
      <c r="L522" s="184"/>
      <c r="M522" s="184"/>
      <c r="N522" s="184"/>
      <c r="O522" s="184"/>
      <c r="P522" s="435" t="s">
        <v>1861</v>
      </c>
      <c r="Q522" s="154"/>
      <c r="R522" s="56"/>
      <c r="S522" s="277"/>
      <c r="T522" s="361" t="s">
        <v>2438</v>
      </c>
      <c r="U522" s="361" t="s">
        <v>1946</v>
      </c>
      <c r="AA522" s="7"/>
      <c r="AB522" s="7"/>
      <c r="AC522" s="1408"/>
      <c r="AD522" s="387"/>
    </row>
    <row r="523" spans="6:30" ht="10.5" customHeight="1">
      <c r="F523" s="199"/>
      <c r="G523" s="184"/>
      <c r="H523" s="184"/>
      <c r="I523" s="184"/>
      <c r="J523" s="184"/>
      <c r="K523" s="184"/>
      <c r="L523" s="184"/>
      <c r="M523" s="184"/>
      <c r="N523" s="184"/>
      <c r="O523" s="184"/>
      <c r="P523" s="435" t="s">
        <v>436</v>
      </c>
      <c r="Q523" s="154"/>
      <c r="R523" s="56"/>
      <c r="S523" s="277"/>
      <c r="T523" s="361" t="s">
        <v>638</v>
      </c>
      <c r="U523" s="361" t="s">
        <v>144</v>
      </c>
      <c r="AA523" s="7"/>
      <c r="AB523" s="7"/>
      <c r="AC523" s="1408"/>
      <c r="AD523" s="387"/>
    </row>
    <row r="524" spans="6:30" ht="10.5" customHeight="1">
      <c r="F524" s="199"/>
      <c r="G524" s="184"/>
      <c r="H524" s="184"/>
      <c r="I524" s="184"/>
      <c r="J524" s="184"/>
      <c r="K524" s="184"/>
      <c r="L524" s="184"/>
      <c r="M524" s="184"/>
      <c r="N524" s="184"/>
      <c r="O524" s="184"/>
      <c r="P524" s="435" t="s">
        <v>437</v>
      </c>
      <c r="Q524" s="154"/>
      <c r="R524" s="56"/>
      <c r="S524" s="277"/>
      <c r="T524" s="361" t="s">
        <v>485</v>
      </c>
      <c r="U524" s="361" t="s">
        <v>677</v>
      </c>
      <c r="AA524" s="7"/>
      <c r="AB524" s="7"/>
      <c r="AC524" s="1408"/>
      <c r="AD524" s="387"/>
    </row>
    <row r="525" spans="6:30" ht="10.5" customHeight="1">
      <c r="F525" s="199"/>
      <c r="G525" s="184"/>
      <c r="H525" s="184"/>
      <c r="I525" s="184"/>
      <c r="J525" s="184"/>
      <c r="K525" s="184"/>
      <c r="L525" s="184"/>
      <c r="M525" s="184"/>
      <c r="N525" s="184"/>
      <c r="O525" s="184"/>
      <c r="P525" s="435" t="s">
        <v>1167</v>
      </c>
      <c r="Q525" s="154"/>
      <c r="R525" s="56"/>
      <c r="S525" s="277"/>
      <c r="T525" s="361" t="s">
        <v>487</v>
      </c>
      <c r="U525" s="361" t="s">
        <v>1228</v>
      </c>
      <c r="AA525" s="7"/>
      <c r="AB525" s="7"/>
      <c r="AC525" s="1408"/>
      <c r="AD525" s="387"/>
    </row>
    <row r="526" spans="6:30" ht="10.5" customHeight="1">
      <c r="F526" s="199"/>
      <c r="G526" s="184"/>
      <c r="H526" s="184"/>
      <c r="I526" s="184"/>
      <c r="J526" s="184"/>
      <c r="K526" s="184"/>
      <c r="L526" s="184"/>
      <c r="M526" s="184"/>
      <c r="N526" s="184"/>
      <c r="O526" s="184"/>
      <c r="P526" s="435" t="s">
        <v>920</v>
      </c>
      <c r="Q526" s="154"/>
      <c r="R526" s="56"/>
      <c r="S526" s="277"/>
      <c r="T526" s="361" t="s">
        <v>489</v>
      </c>
      <c r="U526" s="361" t="s">
        <v>1337</v>
      </c>
      <c r="AA526" s="7"/>
      <c r="AB526" s="7"/>
      <c r="AC526" s="1408"/>
      <c r="AD526" s="387"/>
    </row>
    <row r="527" spans="6:30" ht="10.5" customHeight="1">
      <c r="F527" s="199"/>
      <c r="G527" s="184"/>
      <c r="H527" s="184"/>
      <c r="I527" s="184"/>
      <c r="J527" s="184"/>
      <c r="K527" s="184"/>
      <c r="L527" s="184"/>
      <c r="M527" s="184"/>
      <c r="N527" s="184"/>
      <c r="O527" s="184"/>
      <c r="P527" s="435" t="s">
        <v>922</v>
      </c>
      <c r="Q527" s="154"/>
      <c r="R527" s="56"/>
      <c r="S527" s="277"/>
      <c r="T527" s="361" t="s">
        <v>491</v>
      </c>
      <c r="U527" s="361" t="s">
        <v>810</v>
      </c>
      <c r="AA527" s="7"/>
      <c r="AB527" s="7"/>
      <c r="AC527" s="1408"/>
      <c r="AD527" s="387"/>
    </row>
    <row r="528" spans="6:30" ht="10.5" customHeight="1">
      <c r="F528" s="199"/>
      <c r="G528" s="184"/>
      <c r="H528" s="184"/>
      <c r="I528" s="184"/>
      <c r="J528" s="184"/>
      <c r="K528" s="184"/>
      <c r="L528" s="184"/>
      <c r="M528" s="184"/>
      <c r="N528" s="184"/>
      <c r="O528" s="184"/>
      <c r="P528" s="435" t="s">
        <v>923</v>
      </c>
      <c r="Q528" s="154"/>
      <c r="R528" s="56"/>
      <c r="S528" s="277"/>
      <c r="T528" s="361" t="s">
        <v>493</v>
      </c>
      <c r="U528" s="361" t="s">
        <v>1607</v>
      </c>
      <c r="AA528" s="7"/>
      <c r="AB528" s="7"/>
      <c r="AC528" s="1408"/>
      <c r="AD528" s="387"/>
    </row>
    <row r="529" spans="6:30" ht="10.5" customHeight="1">
      <c r="F529" s="199"/>
      <c r="G529" s="184"/>
      <c r="H529" s="184"/>
      <c r="I529" s="184"/>
      <c r="J529" s="184"/>
      <c r="K529" s="184"/>
      <c r="L529" s="184"/>
      <c r="M529" s="184"/>
      <c r="N529" s="184"/>
      <c r="O529" s="184"/>
      <c r="P529" s="435" t="s">
        <v>126</v>
      </c>
      <c r="Q529" s="154"/>
      <c r="R529" s="56"/>
      <c r="S529" s="277"/>
      <c r="T529" s="361" t="s">
        <v>506</v>
      </c>
      <c r="U529" s="361" t="s">
        <v>308</v>
      </c>
      <c r="AA529" s="7"/>
      <c r="AB529" s="7"/>
      <c r="AC529" s="1408"/>
      <c r="AD529" s="387"/>
    </row>
    <row r="530" spans="6:30" ht="10.5" customHeight="1">
      <c r="F530" s="199"/>
      <c r="G530" s="184"/>
      <c r="H530" s="184"/>
      <c r="I530" s="184"/>
      <c r="J530" s="184"/>
      <c r="K530" s="184"/>
      <c r="L530" s="184"/>
      <c r="M530" s="184"/>
      <c r="N530" s="184"/>
      <c r="O530" s="184"/>
      <c r="P530" s="435" t="s">
        <v>127</v>
      </c>
      <c r="Q530" s="154"/>
      <c r="R530" s="56"/>
      <c r="S530" s="277"/>
      <c r="T530" s="361" t="s">
        <v>508</v>
      </c>
      <c r="U530" s="361" t="s">
        <v>403</v>
      </c>
      <c r="AA530" s="7"/>
      <c r="AB530" s="7"/>
      <c r="AC530" s="1408"/>
      <c r="AD530" s="387"/>
    </row>
    <row r="531" spans="6:30" ht="10.5" customHeight="1">
      <c r="F531" s="199"/>
      <c r="G531" s="184"/>
      <c r="H531" s="184"/>
      <c r="I531" s="184"/>
      <c r="J531" s="184"/>
      <c r="K531" s="184"/>
      <c r="L531" s="184"/>
      <c r="M531" s="184"/>
      <c r="N531" s="184"/>
      <c r="O531" s="184"/>
      <c r="P531" s="435" t="s">
        <v>129</v>
      </c>
      <c r="Q531" s="154"/>
      <c r="R531" s="56"/>
      <c r="S531" s="277"/>
      <c r="T531" s="361" t="s">
        <v>644</v>
      </c>
      <c r="U531" s="361" t="s">
        <v>1114</v>
      </c>
      <c r="AA531" s="7"/>
      <c r="AB531" s="7"/>
      <c r="AC531" s="1408"/>
      <c r="AD531" s="387"/>
    </row>
    <row r="532" spans="6:30" ht="10.5" customHeight="1">
      <c r="F532" s="199"/>
      <c r="G532" s="184"/>
      <c r="H532" s="184"/>
      <c r="I532" s="184"/>
      <c r="J532" s="184"/>
      <c r="K532" s="184"/>
      <c r="L532" s="184"/>
      <c r="M532" s="184"/>
      <c r="N532" s="184"/>
      <c r="O532" s="184"/>
      <c r="P532" s="435" t="s">
        <v>2303</v>
      </c>
      <c r="Q532" s="154"/>
      <c r="R532" s="56"/>
      <c r="S532" s="277"/>
      <c r="T532" s="436" t="s">
        <v>768</v>
      </c>
      <c r="U532" s="436" t="s">
        <v>610</v>
      </c>
      <c r="AA532" s="7"/>
      <c r="AB532" s="7"/>
      <c r="AC532" s="1408"/>
      <c r="AD532" s="387"/>
    </row>
    <row r="533" spans="6:30" ht="10.5" customHeight="1">
      <c r="F533" s="199"/>
      <c r="G533" s="184"/>
      <c r="H533" s="184"/>
      <c r="I533" s="184"/>
      <c r="J533" s="184"/>
      <c r="K533" s="184"/>
      <c r="L533" s="184"/>
      <c r="M533" s="184"/>
      <c r="N533" s="184"/>
      <c r="O533" s="184"/>
      <c r="P533" s="435" t="s">
        <v>1872</v>
      </c>
      <c r="Q533" s="154"/>
      <c r="R533" s="56"/>
      <c r="S533" s="277"/>
      <c r="T533" s="361" t="s">
        <v>1482</v>
      </c>
      <c r="U533" s="361" t="s">
        <v>619</v>
      </c>
      <c r="AA533" s="7"/>
      <c r="AB533" s="7"/>
      <c r="AC533" s="1411"/>
      <c r="AD533" s="387"/>
    </row>
    <row r="534" spans="6:30" ht="10.5" customHeight="1">
      <c r="F534" s="199"/>
      <c r="G534" s="184"/>
      <c r="H534" s="184"/>
      <c r="I534" s="184"/>
      <c r="J534" s="184"/>
      <c r="K534" s="184"/>
      <c r="L534" s="184"/>
      <c r="M534" s="184"/>
      <c r="N534" s="184"/>
      <c r="O534" s="184"/>
      <c r="P534" s="435" t="s">
        <v>1874</v>
      </c>
      <c r="Q534" s="154"/>
      <c r="R534" s="56"/>
      <c r="S534" s="277"/>
      <c r="T534" s="361" t="s">
        <v>1862</v>
      </c>
      <c r="U534" s="361" t="s">
        <v>1016</v>
      </c>
      <c r="AA534" s="7"/>
      <c r="AB534" s="7"/>
      <c r="AC534" s="1408"/>
      <c r="AD534" s="387"/>
    </row>
    <row r="535" spans="6:30" ht="10.5" customHeight="1">
      <c r="F535" s="199"/>
      <c r="G535" s="184"/>
      <c r="H535" s="184"/>
      <c r="I535" s="184"/>
      <c r="J535" s="184"/>
      <c r="K535" s="184"/>
      <c r="L535" s="184"/>
      <c r="M535" s="184"/>
      <c r="N535" s="184"/>
      <c r="O535" s="184"/>
      <c r="P535" s="435" t="s">
        <v>548</v>
      </c>
      <c r="Q535" s="154"/>
      <c r="R535" s="56"/>
      <c r="S535" s="277"/>
      <c r="T535" s="361" t="s">
        <v>1484</v>
      </c>
      <c r="U535" s="361" t="s">
        <v>1811</v>
      </c>
      <c r="AA535" s="7"/>
      <c r="AB535" s="7"/>
      <c r="AC535" s="1408"/>
      <c r="AD535" s="387"/>
    </row>
    <row r="536" spans="6:30" ht="10.5" customHeight="1">
      <c r="F536" s="199"/>
      <c r="G536" s="184"/>
      <c r="H536" s="184"/>
      <c r="I536" s="184"/>
      <c r="J536" s="184"/>
      <c r="K536" s="184"/>
      <c r="L536" s="184"/>
      <c r="M536" s="184"/>
      <c r="N536" s="184"/>
      <c r="O536" s="184"/>
      <c r="P536" s="435" t="s">
        <v>2083</v>
      </c>
      <c r="Q536" s="154"/>
      <c r="R536" s="56"/>
      <c r="S536" s="277"/>
      <c r="T536" s="361" t="s">
        <v>438</v>
      </c>
      <c r="U536" s="361" t="s">
        <v>1219</v>
      </c>
      <c r="AA536" s="7"/>
      <c r="AB536" s="7"/>
      <c r="AC536" s="1408"/>
      <c r="AD536" s="387"/>
    </row>
    <row r="537" spans="6:30" ht="10.5" customHeight="1">
      <c r="F537" s="199"/>
      <c r="G537" s="184"/>
      <c r="H537" s="184"/>
      <c r="I537" s="184"/>
      <c r="J537" s="184"/>
      <c r="K537" s="184"/>
      <c r="L537" s="184"/>
      <c r="M537" s="184"/>
      <c r="N537" s="184"/>
      <c r="O537" s="184"/>
      <c r="P537" s="435" t="s">
        <v>653</v>
      </c>
      <c r="Q537" s="154"/>
      <c r="R537" s="56"/>
      <c r="S537" s="277"/>
      <c r="T537" s="361" t="s">
        <v>164</v>
      </c>
      <c r="U537" s="361" t="s">
        <v>141</v>
      </c>
      <c r="AA537" s="7"/>
      <c r="AB537" s="7"/>
      <c r="AC537" s="1408"/>
      <c r="AD537" s="387"/>
    </row>
    <row r="538" spans="6:30" ht="10.5" customHeight="1">
      <c r="F538" s="199"/>
      <c r="G538" s="184"/>
      <c r="H538" s="184"/>
      <c r="I538" s="184"/>
      <c r="J538" s="184"/>
      <c r="K538" s="184"/>
      <c r="L538" s="184"/>
      <c r="M538" s="184"/>
      <c r="N538" s="184"/>
      <c r="O538" s="184"/>
      <c r="P538" s="435" t="s">
        <v>655</v>
      </c>
      <c r="Q538" s="154"/>
      <c r="R538" s="56"/>
      <c r="S538" s="277"/>
      <c r="T538" s="361" t="s">
        <v>1168</v>
      </c>
      <c r="U538" s="361" t="s">
        <v>303</v>
      </c>
      <c r="AA538" s="7"/>
      <c r="AB538" s="7"/>
      <c r="AC538" s="1408"/>
      <c r="AD538" s="387"/>
    </row>
    <row r="539" spans="6:30" ht="10.5" customHeight="1">
      <c r="F539" s="199"/>
      <c r="G539" s="184"/>
      <c r="H539" s="184"/>
      <c r="I539" s="184"/>
      <c r="J539" s="184"/>
      <c r="K539" s="184"/>
      <c r="L539" s="184"/>
      <c r="M539" s="184"/>
      <c r="N539" s="184"/>
      <c r="O539" s="184"/>
      <c r="P539" s="435" t="s">
        <v>2028</v>
      </c>
      <c r="Q539" s="154"/>
      <c r="R539" s="56"/>
      <c r="S539" s="277"/>
      <c r="T539" s="361" t="s">
        <v>921</v>
      </c>
      <c r="U539" s="361" t="s">
        <v>1334</v>
      </c>
      <c r="AA539" s="7"/>
      <c r="AB539" s="7"/>
      <c r="AC539" s="1408"/>
      <c r="AD539" s="387"/>
    </row>
    <row r="540" spans="6:30" ht="10.5" customHeight="1">
      <c r="F540" s="199"/>
      <c r="G540" s="184"/>
      <c r="H540" s="184"/>
      <c r="I540" s="184"/>
      <c r="J540" s="184"/>
      <c r="K540" s="184"/>
      <c r="L540" s="184"/>
      <c r="M540" s="184"/>
      <c r="N540" s="184"/>
      <c r="O540" s="184"/>
      <c r="P540" s="435" t="s">
        <v>37</v>
      </c>
      <c r="Q540" s="154"/>
      <c r="R540" s="56"/>
      <c r="S540" s="277"/>
      <c r="T540" s="361" t="s">
        <v>982</v>
      </c>
      <c r="U540" s="361" t="s">
        <v>155</v>
      </c>
      <c r="AA540" s="7"/>
      <c r="AB540" s="7"/>
      <c r="AC540" s="1408"/>
      <c r="AD540" s="387"/>
    </row>
    <row r="541" spans="6:30" ht="10.5" customHeight="1">
      <c r="F541" s="199"/>
      <c r="G541" s="184"/>
      <c r="H541" s="184"/>
      <c r="I541" s="184"/>
      <c r="J541" s="184"/>
      <c r="K541" s="184"/>
      <c r="L541" s="184"/>
      <c r="M541" s="184"/>
      <c r="N541" s="184"/>
      <c r="O541" s="184"/>
      <c r="P541" s="435" t="s">
        <v>38</v>
      </c>
      <c r="Q541" s="154"/>
      <c r="R541" s="56"/>
      <c r="S541" s="277"/>
      <c r="T541" s="361" t="s">
        <v>125</v>
      </c>
      <c r="U541" s="361" t="s">
        <v>2243</v>
      </c>
      <c r="AA541" s="7"/>
      <c r="AB541" s="7"/>
      <c r="AC541" s="1408"/>
      <c r="AD541" s="387"/>
    </row>
    <row r="542" spans="6:30" ht="10.5" customHeight="1">
      <c r="F542" s="199"/>
      <c r="G542" s="184"/>
      <c r="H542" s="184"/>
      <c r="I542" s="184"/>
      <c r="J542" s="184"/>
      <c r="K542" s="184"/>
      <c r="L542" s="184"/>
      <c r="M542" s="184"/>
      <c r="N542" s="184"/>
      <c r="O542" s="184"/>
      <c r="P542" s="435" t="s">
        <v>1994</v>
      </c>
      <c r="Q542" s="154"/>
      <c r="R542" s="56"/>
      <c r="S542" s="277"/>
      <c r="T542" s="361" t="s">
        <v>2293</v>
      </c>
      <c r="U542" s="361" t="s">
        <v>1231</v>
      </c>
      <c r="AA542" s="7"/>
      <c r="AB542" s="7"/>
      <c r="AC542" s="1408"/>
      <c r="AD542" s="387"/>
    </row>
    <row r="543" spans="6:30" ht="10.5" customHeight="1">
      <c r="F543" s="199"/>
      <c r="G543" s="184"/>
      <c r="H543" s="184"/>
      <c r="I543" s="184"/>
      <c r="J543" s="184"/>
      <c r="K543" s="184"/>
      <c r="L543" s="184"/>
      <c r="M543" s="184"/>
      <c r="N543" s="184"/>
      <c r="O543" s="184"/>
      <c r="P543" s="435" t="s">
        <v>2020</v>
      </c>
      <c r="Q543" s="154"/>
      <c r="R543" s="56"/>
      <c r="S543" s="277"/>
      <c r="T543" s="361" t="s">
        <v>128</v>
      </c>
      <c r="U543" s="361" t="s">
        <v>610</v>
      </c>
      <c r="AA543" s="7"/>
      <c r="AB543" s="7"/>
      <c r="AC543" s="1408"/>
      <c r="AD543" s="387"/>
    </row>
    <row r="544" spans="6:30" ht="10.5" customHeight="1">
      <c r="F544" s="199"/>
      <c r="G544" s="184"/>
      <c r="H544" s="184"/>
      <c r="I544" s="184"/>
      <c r="J544" s="184"/>
      <c r="K544" s="184"/>
      <c r="L544" s="184"/>
      <c r="M544" s="184"/>
      <c r="N544" s="184"/>
      <c r="O544" s="184"/>
      <c r="P544" s="435" t="s">
        <v>370</v>
      </c>
      <c r="Q544" s="154"/>
      <c r="R544" s="56"/>
      <c r="S544" s="277"/>
      <c r="T544" s="361" t="s">
        <v>130</v>
      </c>
      <c r="U544" s="361" t="s">
        <v>2202</v>
      </c>
      <c r="AA544" s="7"/>
      <c r="AB544" s="7"/>
      <c r="AC544" s="1408"/>
      <c r="AD544" s="387"/>
    </row>
    <row r="545" spans="6:30" ht="10.5" customHeight="1">
      <c r="F545" s="199"/>
      <c r="G545" s="184"/>
      <c r="H545" s="184"/>
      <c r="I545" s="184"/>
      <c r="J545" s="184"/>
      <c r="K545" s="184"/>
      <c r="L545" s="184"/>
      <c r="M545" s="184"/>
      <c r="N545" s="184"/>
      <c r="O545" s="184"/>
      <c r="P545" s="435" t="s">
        <v>372</v>
      </c>
      <c r="Q545" s="154"/>
      <c r="R545" s="56"/>
      <c r="S545" s="277"/>
      <c r="T545" s="436" t="s">
        <v>2304</v>
      </c>
      <c r="U545" s="436" t="s">
        <v>1223</v>
      </c>
      <c r="AA545" s="7"/>
      <c r="AB545" s="7"/>
      <c r="AC545" s="1408"/>
      <c r="AD545" s="387"/>
    </row>
    <row r="546" spans="6:30" ht="10.5" customHeight="1">
      <c r="F546" s="199"/>
      <c r="G546" s="184"/>
      <c r="H546" s="184"/>
      <c r="I546" s="184"/>
      <c r="J546" s="184"/>
      <c r="K546" s="184"/>
      <c r="L546" s="184"/>
      <c r="M546" s="184"/>
      <c r="N546" s="184"/>
      <c r="O546" s="184"/>
      <c r="P546" s="435" t="s">
        <v>374</v>
      </c>
      <c r="Q546" s="154"/>
      <c r="R546" s="56"/>
      <c r="S546" s="277"/>
      <c r="T546" s="436" t="s">
        <v>1873</v>
      </c>
      <c r="U546" s="436" t="s">
        <v>2208</v>
      </c>
      <c r="AA546" s="7"/>
      <c r="AB546" s="7"/>
      <c r="AC546" s="1411"/>
      <c r="AD546" s="387"/>
    </row>
    <row r="547" spans="6:30" ht="10.5" customHeight="1">
      <c r="F547" s="199"/>
      <c r="G547" s="184"/>
      <c r="H547" s="184"/>
      <c r="I547" s="184"/>
      <c r="J547" s="184"/>
      <c r="K547" s="184"/>
      <c r="L547" s="184"/>
      <c r="M547" s="184"/>
      <c r="N547" s="184"/>
      <c r="O547" s="184"/>
      <c r="P547" s="435" t="s">
        <v>376</v>
      </c>
      <c r="Q547" s="154"/>
      <c r="R547" s="56"/>
      <c r="S547" s="277"/>
      <c r="T547" s="436" t="s">
        <v>698</v>
      </c>
      <c r="U547" s="436" t="s">
        <v>113</v>
      </c>
      <c r="AA547" s="7"/>
      <c r="AB547" s="7"/>
      <c r="AC547" s="1411"/>
      <c r="AD547" s="387"/>
    </row>
    <row r="548" spans="6:30" ht="10.5" customHeight="1">
      <c r="F548" s="199"/>
      <c r="G548" s="184"/>
      <c r="H548" s="184"/>
      <c r="I548" s="184"/>
      <c r="J548" s="184"/>
      <c r="K548" s="184"/>
      <c r="L548" s="184"/>
      <c r="M548" s="184"/>
      <c r="N548" s="184"/>
      <c r="O548" s="184"/>
      <c r="P548" s="435" t="s">
        <v>1439</v>
      </c>
      <c r="Q548" s="154"/>
      <c r="R548" s="56"/>
      <c r="S548" s="277"/>
      <c r="T548" s="361" t="s">
        <v>699</v>
      </c>
      <c r="U548" s="361" t="s">
        <v>164</v>
      </c>
      <c r="AA548" s="7"/>
      <c r="AB548" s="7"/>
      <c r="AC548" s="1411"/>
      <c r="AD548" s="387"/>
    </row>
    <row r="549" spans="6:30" ht="10.5" customHeight="1">
      <c r="F549" s="199"/>
      <c r="G549" s="184"/>
      <c r="H549" s="184"/>
      <c r="I549" s="184"/>
      <c r="J549" s="184"/>
      <c r="K549" s="184"/>
      <c r="L549" s="184"/>
      <c r="M549" s="184"/>
      <c r="N549" s="184"/>
      <c r="O549" s="184"/>
      <c r="P549" s="435" t="s">
        <v>1441</v>
      </c>
      <c r="Q549" s="154"/>
      <c r="R549" s="56"/>
      <c r="S549" s="277"/>
      <c r="T549" s="361" t="s">
        <v>654</v>
      </c>
      <c r="U549" s="361" t="s">
        <v>679</v>
      </c>
      <c r="AA549" s="7"/>
      <c r="AB549" s="7"/>
      <c r="AC549" s="1408"/>
      <c r="AD549" s="387"/>
    </row>
    <row r="550" spans="6:30" ht="10.5" customHeight="1">
      <c r="F550" s="199"/>
      <c r="G550" s="184"/>
      <c r="H550" s="184"/>
      <c r="I550" s="184"/>
      <c r="J550" s="184"/>
      <c r="K550" s="184"/>
      <c r="L550" s="184"/>
      <c r="M550" s="184"/>
      <c r="N550" s="184"/>
      <c r="O550" s="184"/>
      <c r="P550" s="435" t="s">
        <v>1443</v>
      </c>
      <c r="Q550" s="154"/>
      <c r="R550" s="56"/>
      <c r="S550" s="277"/>
      <c r="T550" s="361" t="s">
        <v>656</v>
      </c>
      <c r="U550" s="361" t="s">
        <v>1025</v>
      </c>
      <c r="AA550" s="7"/>
      <c r="AB550" s="7"/>
      <c r="AC550" s="1408"/>
      <c r="AD550" s="387"/>
    </row>
    <row r="551" spans="6:30" ht="10.5" customHeight="1">
      <c r="F551" s="199"/>
      <c r="G551" s="184"/>
      <c r="H551" s="184"/>
      <c r="I551" s="184"/>
      <c r="J551" s="184"/>
      <c r="K551" s="184"/>
      <c r="L551" s="184"/>
      <c r="M551" s="184"/>
      <c r="N551" s="184"/>
      <c r="O551" s="184"/>
      <c r="P551" s="435" t="s">
        <v>2302</v>
      </c>
      <c r="Q551" s="154"/>
      <c r="R551" s="56"/>
      <c r="S551" s="277"/>
      <c r="T551" s="361" t="s">
        <v>2029</v>
      </c>
      <c r="U551" s="361" t="s">
        <v>1114</v>
      </c>
      <c r="AA551" s="7"/>
      <c r="AB551" s="7"/>
      <c r="AC551" s="1408"/>
      <c r="AD551" s="387"/>
    </row>
    <row r="552" spans="6:30" ht="10.5" customHeight="1">
      <c r="F552" s="199"/>
      <c r="G552" s="184"/>
      <c r="H552" s="184"/>
      <c r="I552" s="184"/>
      <c r="J552" s="184"/>
      <c r="K552" s="184"/>
      <c r="L552" s="184"/>
      <c r="M552" s="184"/>
      <c r="N552" s="184"/>
      <c r="O552" s="184"/>
      <c r="P552" s="435" t="s">
        <v>2179</v>
      </c>
      <c r="Q552" s="154"/>
      <c r="R552" s="56"/>
      <c r="S552" s="277"/>
      <c r="T552" s="361" t="s">
        <v>2029</v>
      </c>
      <c r="U552" s="361" t="s">
        <v>1114</v>
      </c>
      <c r="AA552" s="7"/>
      <c r="AB552" s="7"/>
      <c r="AC552" s="1408"/>
      <c r="AD552" s="387"/>
    </row>
    <row r="553" spans="6:30" ht="10.5" customHeight="1">
      <c r="F553" s="199"/>
      <c r="G553" s="184"/>
      <c r="H553" s="184"/>
      <c r="I553" s="184"/>
      <c r="J553" s="184"/>
      <c r="K553" s="184"/>
      <c r="L553" s="184"/>
      <c r="M553" s="184"/>
      <c r="N553" s="184"/>
      <c r="O553" s="184"/>
      <c r="P553" s="435" t="s">
        <v>1645</v>
      </c>
      <c r="Q553" s="154"/>
      <c r="R553" s="56"/>
      <c r="S553" s="277"/>
      <c r="T553" s="361" t="s">
        <v>39</v>
      </c>
      <c r="U553" s="361" t="s">
        <v>1222</v>
      </c>
      <c r="AA553" s="7"/>
      <c r="AB553" s="7"/>
      <c r="AC553" s="1408"/>
      <c r="AD553" s="387"/>
    </row>
    <row r="554" spans="6:30" ht="10.5" customHeight="1">
      <c r="F554" s="199"/>
      <c r="G554" s="184"/>
      <c r="H554" s="184"/>
      <c r="I554" s="184"/>
      <c r="J554" s="184"/>
      <c r="K554" s="184"/>
      <c r="L554" s="184"/>
      <c r="M554" s="184"/>
      <c r="N554" s="184"/>
      <c r="O554" s="184"/>
      <c r="P554" s="435" t="s">
        <v>1647</v>
      </c>
      <c r="Q554" s="154"/>
      <c r="R554" s="56"/>
      <c r="S554" s="277"/>
      <c r="T554" s="361" t="s">
        <v>1995</v>
      </c>
      <c r="U554" s="361" t="s">
        <v>1216</v>
      </c>
      <c r="AA554" s="7"/>
      <c r="AB554" s="7"/>
      <c r="AC554" s="1408"/>
      <c r="AD554" s="387"/>
    </row>
    <row r="555" spans="6:30" ht="10.5" customHeight="1">
      <c r="F555" s="199"/>
      <c r="G555" s="184"/>
      <c r="H555" s="184"/>
      <c r="I555" s="184"/>
      <c r="J555" s="184"/>
      <c r="K555" s="184"/>
      <c r="L555" s="184"/>
      <c r="M555" s="184"/>
      <c r="N555" s="184"/>
      <c r="O555" s="184"/>
      <c r="P555" s="435" t="s">
        <v>1649</v>
      </c>
      <c r="Q555" s="154"/>
      <c r="R555" s="56"/>
      <c r="S555" s="277"/>
      <c r="T555" s="361" t="s">
        <v>769</v>
      </c>
      <c r="U555" s="361" t="s">
        <v>155</v>
      </c>
      <c r="AA555" s="7"/>
      <c r="AB555" s="7"/>
      <c r="AC555" s="1408"/>
      <c r="AD555" s="387"/>
    </row>
    <row r="556" spans="6:30" ht="10.5" customHeight="1">
      <c r="F556" s="199"/>
      <c r="G556" s="184"/>
      <c r="H556" s="184"/>
      <c r="I556" s="184"/>
      <c r="J556" s="184"/>
      <c r="K556" s="184"/>
      <c r="L556" s="184"/>
      <c r="M556" s="184"/>
      <c r="N556" s="184"/>
      <c r="O556" s="184"/>
      <c r="P556" s="435" t="s">
        <v>1650</v>
      </c>
      <c r="Q556" s="154"/>
      <c r="R556" s="56"/>
      <c r="S556" s="277"/>
      <c r="T556" s="361" t="s">
        <v>954</v>
      </c>
      <c r="U556" s="361" t="s">
        <v>1013</v>
      </c>
      <c r="AA556" s="7"/>
      <c r="AB556" s="7"/>
      <c r="AC556" s="1408"/>
      <c r="AD556" s="387"/>
    </row>
    <row r="557" spans="6:30" ht="10.5" customHeight="1">
      <c r="F557" s="199"/>
      <c r="G557" s="184"/>
      <c r="H557" s="184"/>
      <c r="I557" s="184"/>
      <c r="J557" s="184"/>
      <c r="K557" s="184"/>
      <c r="L557" s="184"/>
      <c r="M557" s="184"/>
      <c r="N557" s="184"/>
      <c r="O557" s="184"/>
      <c r="P557" s="435" t="s">
        <v>1652</v>
      </c>
      <c r="Q557" s="154"/>
      <c r="R557" s="56"/>
      <c r="S557" s="277"/>
      <c r="T557" s="361" t="s">
        <v>371</v>
      </c>
      <c r="U557" s="361" t="s">
        <v>2298</v>
      </c>
      <c r="AA557" s="7"/>
      <c r="AB557" s="7"/>
      <c r="AC557" s="1408"/>
      <c r="AD557" s="387"/>
    </row>
    <row r="558" spans="6:30" ht="10.5" customHeight="1">
      <c r="F558" s="199"/>
      <c r="G558" s="184"/>
      <c r="H558" s="184"/>
      <c r="I558" s="184"/>
      <c r="J558" s="184"/>
      <c r="K558" s="184"/>
      <c r="L558" s="184"/>
      <c r="M558" s="184"/>
      <c r="N558" s="184"/>
      <c r="O558" s="184"/>
      <c r="P558" s="435" t="s">
        <v>1654</v>
      </c>
      <c r="Q558" s="154"/>
      <c r="R558" s="56"/>
      <c r="S558" s="277"/>
      <c r="T558" s="361" t="s">
        <v>373</v>
      </c>
      <c r="U558" s="361" t="s">
        <v>1931</v>
      </c>
      <c r="AA558" s="7"/>
      <c r="AB558" s="7"/>
      <c r="AC558" s="1408"/>
      <c r="AD558" s="387"/>
    </row>
    <row r="559" spans="6:30" ht="10.5" customHeight="1">
      <c r="F559" s="199"/>
      <c r="G559" s="184"/>
      <c r="H559" s="184"/>
      <c r="I559" s="184"/>
      <c r="J559" s="184"/>
      <c r="K559" s="184"/>
      <c r="L559" s="184"/>
      <c r="M559" s="184"/>
      <c r="N559" s="184"/>
      <c r="O559" s="184"/>
      <c r="P559" s="435" t="s">
        <v>1656</v>
      </c>
      <c r="Q559" s="154"/>
      <c r="R559" s="56"/>
      <c r="S559" s="277"/>
      <c r="T559" s="361" t="s">
        <v>375</v>
      </c>
      <c r="U559" s="361" t="s">
        <v>2243</v>
      </c>
      <c r="AA559" s="7"/>
      <c r="AB559" s="7"/>
      <c r="AC559" s="1408"/>
      <c r="AD559" s="387"/>
    </row>
    <row r="560" spans="6:30" ht="10.5" customHeight="1">
      <c r="F560" s="199"/>
      <c r="G560" s="184"/>
      <c r="H560" s="184"/>
      <c r="I560" s="184"/>
      <c r="J560" s="184"/>
      <c r="K560" s="184"/>
      <c r="L560" s="184"/>
      <c r="M560" s="184"/>
      <c r="N560" s="184"/>
      <c r="O560" s="184"/>
      <c r="P560" s="435" t="s">
        <v>1658</v>
      </c>
      <c r="Q560" s="154"/>
      <c r="R560" s="56"/>
      <c r="S560" s="277"/>
      <c r="T560" s="361" t="s">
        <v>2298</v>
      </c>
      <c r="U560" s="361" t="s">
        <v>1605</v>
      </c>
      <c r="AA560" s="7"/>
      <c r="AB560" s="7"/>
      <c r="AC560" s="1408"/>
      <c r="AD560" s="387"/>
    </row>
    <row r="561" spans="6:30" ht="10.5" customHeight="1">
      <c r="F561" s="199"/>
      <c r="G561" s="184"/>
      <c r="H561" s="184"/>
      <c r="I561" s="184"/>
      <c r="J561" s="184"/>
      <c r="K561" s="184"/>
      <c r="L561" s="184"/>
      <c r="M561" s="184"/>
      <c r="N561" s="184"/>
      <c r="O561" s="184"/>
      <c r="P561" s="435" t="s">
        <v>1659</v>
      </c>
      <c r="Q561" s="154"/>
      <c r="R561" s="56"/>
      <c r="S561" s="277"/>
      <c r="T561" s="361" t="s">
        <v>1440</v>
      </c>
      <c r="U561" s="361" t="s">
        <v>2206</v>
      </c>
      <c r="AA561" s="7"/>
      <c r="AB561" s="7"/>
      <c r="AC561" s="1408"/>
      <c r="AD561" s="387"/>
    </row>
    <row r="562" spans="6:30" ht="10.5" customHeight="1">
      <c r="F562" s="199"/>
      <c r="G562" s="184"/>
      <c r="H562" s="184"/>
      <c r="I562" s="184"/>
      <c r="J562" s="184"/>
      <c r="K562" s="184"/>
      <c r="L562" s="184"/>
      <c r="M562" s="184"/>
      <c r="N562" s="184"/>
      <c r="O562" s="184"/>
      <c r="P562" s="435" t="s">
        <v>1628</v>
      </c>
      <c r="Q562" s="154"/>
      <c r="R562" s="56"/>
      <c r="S562" s="277"/>
      <c r="T562" s="361" t="s">
        <v>1442</v>
      </c>
      <c r="U562" s="361" t="s">
        <v>301</v>
      </c>
      <c r="AA562" s="7"/>
      <c r="AB562" s="7"/>
      <c r="AC562" s="1408"/>
      <c r="AD562" s="387"/>
    </row>
    <row r="563" spans="6:30" ht="10.5" customHeight="1">
      <c r="F563" s="199"/>
      <c r="G563" s="184"/>
      <c r="H563" s="184"/>
      <c r="I563" s="184"/>
      <c r="J563" s="184"/>
      <c r="K563" s="184"/>
      <c r="L563" s="184"/>
      <c r="M563" s="184"/>
      <c r="N563" s="184"/>
      <c r="O563" s="184"/>
      <c r="P563" s="435" t="s">
        <v>1485</v>
      </c>
      <c r="Q563" s="154"/>
      <c r="R563" s="56"/>
      <c r="S563" s="277"/>
      <c r="T563" s="361" t="s">
        <v>1320</v>
      </c>
      <c r="U563" s="361" t="s">
        <v>112</v>
      </c>
      <c r="AA563" s="7"/>
      <c r="AB563" s="7"/>
      <c r="AC563" s="1408"/>
      <c r="AD563" s="387"/>
    </row>
    <row r="564" spans="6:30" ht="10.5" customHeight="1">
      <c r="F564" s="199"/>
      <c r="G564" s="184"/>
      <c r="H564" s="184"/>
      <c r="I564" s="184"/>
      <c r="J564" s="184"/>
      <c r="K564" s="184"/>
      <c r="L564" s="184"/>
      <c r="M564" s="184"/>
      <c r="N564" s="184"/>
      <c r="O564" s="184"/>
      <c r="P564" s="435" t="s">
        <v>1486</v>
      </c>
      <c r="Q564" s="154"/>
      <c r="R564" s="56"/>
      <c r="S564" s="277"/>
      <c r="T564" s="361" t="s">
        <v>2178</v>
      </c>
      <c r="U564" s="361" t="s">
        <v>2208</v>
      </c>
      <c r="AA564" s="7"/>
      <c r="AB564" s="7"/>
      <c r="AC564" s="1408"/>
      <c r="AD564" s="387"/>
    </row>
    <row r="565" spans="6:30" ht="10.5" customHeight="1">
      <c r="F565" s="199"/>
      <c r="G565" s="184"/>
      <c r="H565" s="184"/>
      <c r="I565" s="184"/>
      <c r="J565" s="184"/>
      <c r="K565" s="184"/>
      <c r="L565" s="184"/>
      <c r="M565" s="184"/>
      <c r="N565" s="184"/>
      <c r="O565" s="184"/>
      <c r="P565" s="435" t="s">
        <v>1488</v>
      </c>
      <c r="Q565" s="154"/>
      <c r="R565" s="56"/>
      <c r="S565" s="277"/>
      <c r="T565" s="436" t="s">
        <v>1638</v>
      </c>
      <c r="U565" s="436" t="s">
        <v>2299</v>
      </c>
      <c r="AA565" s="7"/>
      <c r="AB565" s="7"/>
      <c r="AC565" s="1408"/>
      <c r="AD565" s="387"/>
    </row>
    <row r="566" spans="6:30" ht="10.5" customHeight="1">
      <c r="F566" s="199"/>
      <c r="G566" s="184"/>
      <c r="H566" s="184"/>
      <c r="I566" s="184"/>
      <c r="J566" s="184"/>
      <c r="K566" s="184"/>
      <c r="L566" s="184"/>
      <c r="M566" s="184"/>
      <c r="N566" s="184"/>
      <c r="O566" s="184"/>
      <c r="P566" s="435" t="s">
        <v>2018</v>
      </c>
      <c r="Q566" s="154"/>
      <c r="R566" s="56"/>
      <c r="S566" s="277"/>
      <c r="T566" s="361" t="s">
        <v>1646</v>
      </c>
      <c r="U566" s="361" t="s">
        <v>96</v>
      </c>
      <c r="AA566" s="7"/>
      <c r="AB566" s="7"/>
      <c r="AC566" s="1411"/>
      <c r="AD566" s="387"/>
    </row>
    <row r="567" spans="6:30" ht="10.5" customHeight="1">
      <c r="F567" s="199"/>
      <c r="G567" s="184"/>
      <c r="H567" s="184"/>
      <c r="I567" s="184"/>
      <c r="J567" s="184"/>
      <c r="K567" s="184"/>
      <c r="L567" s="184"/>
      <c r="M567" s="184"/>
      <c r="N567" s="184"/>
      <c r="O567" s="184"/>
      <c r="P567" s="435" t="s">
        <v>519</v>
      </c>
      <c r="Q567" s="154"/>
      <c r="R567" s="56"/>
      <c r="S567" s="277"/>
      <c r="T567" s="361" t="s">
        <v>1648</v>
      </c>
      <c r="U567" s="361" t="s">
        <v>1989</v>
      </c>
      <c r="AA567" s="7"/>
      <c r="AB567" s="7"/>
      <c r="AC567" s="1408"/>
      <c r="AD567" s="387"/>
    </row>
    <row r="568" spans="6:30" ht="10.5" customHeight="1">
      <c r="F568" s="199"/>
      <c r="G568" s="184"/>
      <c r="H568" s="184"/>
      <c r="I568" s="184"/>
      <c r="J568" s="184"/>
      <c r="K568" s="184"/>
      <c r="L568" s="184"/>
      <c r="M568" s="184"/>
      <c r="N568" s="184"/>
      <c r="O568" s="184"/>
      <c r="P568" s="435" t="s">
        <v>521</v>
      </c>
      <c r="Q568" s="154"/>
      <c r="R568" s="56"/>
      <c r="S568" s="277"/>
      <c r="T568" s="361" t="s">
        <v>1651</v>
      </c>
      <c r="U568" s="361" t="s">
        <v>1989</v>
      </c>
      <c r="AA568" s="7"/>
      <c r="AB568" s="7"/>
      <c r="AC568" s="1408"/>
      <c r="AD568" s="387"/>
    </row>
    <row r="569" spans="6:30" ht="10.5" customHeight="1">
      <c r="F569" s="199"/>
      <c r="G569" s="184"/>
      <c r="H569" s="184"/>
      <c r="I569" s="184"/>
      <c r="J569" s="184"/>
      <c r="K569" s="184"/>
      <c r="L569" s="184"/>
      <c r="M569" s="184"/>
      <c r="N569" s="184"/>
      <c r="O569" s="184"/>
      <c r="P569" s="435" t="s">
        <v>523</v>
      </c>
      <c r="Q569" s="154"/>
      <c r="R569" s="56"/>
      <c r="S569" s="277"/>
      <c r="T569" s="361" t="s">
        <v>1653</v>
      </c>
      <c r="U569" s="361" t="s">
        <v>289</v>
      </c>
      <c r="AA569" s="7"/>
      <c r="AB569" s="7"/>
      <c r="AC569" s="1408"/>
      <c r="AD569" s="387"/>
    </row>
    <row r="570" spans="6:30" ht="10.5" customHeight="1">
      <c r="F570" s="199"/>
      <c r="G570" s="184"/>
      <c r="H570" s="184"/>
      <c r="I570" s="184"/>
      <c r="J570" s="184"/>
      <c r="K570" s="184"/>
      <c r="L570" s="184"/>
      <c r="M570" s="184"/>
      <c r="N570" s="184"/>
      <c r="O570" s="184"/>
      <c r="P570" s="435" t="s">
        <v>1837</v>
      </c>
      <c r="Q570" s="154"/>
      <c r="R570" s="56"/>
      <c r="S570" s="277"/>
      <c r="T570" s="361" t="s">
        <v>1655</v>
      </c>
      <c r="U570" s="361" t="s">
        <v>1496</v>
      </c>
      <c r="AA570" s="7"/>
      <c r="AB570" s="7"/>
      <c r="AC570" s="1408"/>
      <c r="AD570" s="387"/>
    </row>
    <row r="571" spans="6:30" ht="10.5" customHeight="1">
      <c r="F571" s="199"/>
      <c r="G571" s="184"/>
      <c r="H571" s="184"/>
      <c r="I571" s="184"/>
      <c r="J571" s="184"/>
      <c r="K571" s="184"/>
      <c r="L571" s="184"/>
      <c r="M571" s="184"/>
      <c r="N571" s="184"/>
      <c r="O571" s="184"/>
      <c r="P571" s="435" t="s">
        <v>1328</v>
      </c>
      <c r="Q571" s="154"/>
      <c r="R571" s="56"/>
      <c r="S571" s="277"/>
      <c r="T571" s="361" t="s">
        <v>1657</v>
      </c>
      <c r="U571" s="361" t="s">
        <v>299</v>
      </c>
      <c r="AA571" s="7"/>
      <c r="AB571" s="7"/>
      <c r="AC571" s="1408"/>
      <c r="AD571" s="387"/>
    </row>
    <row r="572" spans="6:30" ht="10.5" customHeight="1">
      <c r="F572" s="199"/>
      <c r="G572" s="184"/>
      <c r="H572" s="184"/>
      <c r="I572" s="184"/>
      <c r="J572" s="184"/>
      <c r="K572" s="184"/>
      <c r="L572" s="184"/>
      <c r="M572" s="184"/>
      <c r="N572" s="184"/>
      <c r="O572" s="184"/>
      <c r="P572" s="435" t="s">
        <v>1330</v>
      </c>
      <c r="Q572" s="154"/>
      <c r="R572" s="56"/>
      <c r="S572" s="277"/>
      <c r="T572" s="361" t="s">
        <v>2299</v>
      </c>
      <c r="U572" s="361" t="s">
        <v>98</v>
      </c>
      <c r="AA572" s="7"/>
      <c r="AB572" s="7"/>
      <c r="AC572" s="1408"/>
      <c r="AD572" s="387"/>
    </row>
    <row r="573" spans="6:30" ht="10.5" customHeight="1">
      <c r="F573" s="199"/>
      <c r="G573" s="184"/>
      <c r="H573" s="184"/>
      <c r="I573" s="184"/>
      <c r="J573" s="184"/>
      <c r="K573" s="184"/>
      <c r="L573" s="184"/>
      <c r="M573" s="184"/>
      <c r="N573" s="184"/>
      <c r="O573" s="184"/>
      <c r="P573" s="435" t="s">
        <v>1331</v>
      </c>
      <c r="Q573" s="154"/>
      <c r="R573" s="56"/>
      <c r="S573" s="277"/>
      <c r="T573" s="361" t="s">
        <v>1752</v>
      </c>
      <c r="U573" s="361" t="s">
        <v>100</v>
      </c>
      <c r="AA573" s="7"/>
      <c r="AB573" s="7"/>
      <c r="AC573" s="1408"/>
      <c r="AD573" s="387"/>
    </row>
    <row r="574" spans="6:30" ht="10.5" customHeight="1">
      <c r="F574" s="199"/>
      <c r="G574" s="184"/>
      <c r="H574" s="184"/>
      <c r="I574" s="184"/>
      <c r="J574" s="184"/>
      <c r="K574" s="184"/>
      <c r="L574" s="184"/>
      <c r="M574" s="184"/>
      <c r="N574" s="184"/>
      <c r="O574" s="184"/>
      <c r="P574" s="435" t="s">
        <v>1437</v>
      </c>
      <c r="Q574" s="154"/>
      <c r="R574" s="56"/>
      <c r="S574" s="277"/>
      <c r="T574" s="361" t="s">
        <v>1629</v>
      </c>
      <c r="U574" s="361" t="s">
        <v>1014</v>
      </c>
      <c r="AA574" s="7"/>
      <c r="AB574" s="7"/>
      <c r="AC574" s="1408"/>
      <c r="AD574" s="387"/>
    </row>
    <row r="575" spans="6:30" ht="10.5" customHeight="1">
      <c r="F575" s="199"/>
      <c r="G575" s="184"/>
      <c r="H575" s="184"/>
      <c r="I575" s="184"/>
      <c r="J575" s="184"/>
      <c r="K575" s="184"/>
      <c r="L575" s="184"/>
      <c r="M575" s="184"/>
      <c r="N575" s="184"/>
      <c r="O575" s="184"/>
      <c r="P575" s="435" t="s">
        <v>1892</v>
      </c>
      <c r="Q575" s="154"/>
      <c r="R575" s="56"/>
      <c r="S575" s="277"/>
      <c r="T575" s="361" t="s">
        <v>2300</v>
      </c>
      <c r="U575" s="361" t="s">
        <v>1219</v>
      </c>
      <c r="AA575" s="7"/>
      <c r="AB575" s="7"/>
      <c r="AC575" s="1408"/>
      <c r="AD575" s="387"/>
    </row>
    <row r="576" spans="6:30" ht="10.5" customHeight="1">
      <c r="F576" s="199"/>
      <c r="G576" s="184"/>
      <c r="H576" s="184"/>
      <c r="I576" s="184"/>
      <c r="J576" s="184"/>
      <c r="K576" s="184"/>
      <c r="L576" s="184"/>
      <c r="M576" s="184"/>
      <c r="N576" s="184"/>
      <c r="O576" s="184"/>
      <c r="P576" s="435" t="s">
        <v>1894</v>
      </c>
      <c r="Q576" s="154"/>
      <c r="R576" s="56"/>
      <c r="S576" s="277"/>
      <c r="T576" s="436" t="s">
        <v>1487</v>
      </c>
      <c r="U576" s="436" t="s">
        <v>1931</v>
      </c>
      <c r="AA576" s="7"/>
      <c r="AB576" s="7"/>
      <c r="AC576" s="1408"/>
      <c r="AD576" s="387"/>
    </row>
    <row r="577" spans="6:30" ht="10.5" customHeight="1">
      <c r="F577" s="199"/>
      <c r="G577" s="184"/>
      <c r="H577" s="184"/>
      <c r="I577" s="184"/>
      <c r="J577" s="184"/>
      <c r="K577" s="184"/>
      <c r="L577" s="184"/>
      <c r="M577" s="184"/>
      <c r="N577" s="184"/>
      <c r="O577" s="184"/>
      <c r="P577" s="435" t="s">
        <v>1896</v>
      </c>
      <c r="Q577" s="154"/>
      <c r="R577" s="56"/>
      <c r="S577" s="277"/>
      <c r="T577" s="361" t="s">
        <v>770</v>
      </c>
      <c r="U577" s="361" t="s">
        <v>1938</v>
      </c>
      <c r="AA577" s="7"/>
      <c r="AB577" s="7"/>
      <c r="AC577" s="1411"/>
      <c r="AD577" s="387"/>
    </row>
    <row r="578" spans="6:30" ht="10.5" customHeight="1">
      <c r="F578" s="199"/>
      <c r="G578" s="184"/>
      <c r="H578" s="184"/>
      <c r="I578" s="184"/>
      <c r="J578" s="184"/>
      <c r="K578" s="184"/>
      <c r="L578" s="184"/>
      <c r="M578" s="184"/>
      <c r="N578" s="184"/>
      <c r="O578" s="184"/>
      <c r="P578" s="435" t="s">
        <v>1322</v>
      </c>
      <c r="Q578" s="154"/>
      <c r="R578" s="56"/>
      <c r="S578" s="277"/>
      <c r="T578" s="361" t="s">
        <v>2017</v>
      </c>
      <c r="U578" s="361" t="s">
        <v>1498</v>
      </c>
      <c r="AA578" s="7"/>
      <c r="AB578" s="7"/>
      <c r="AC578" s="1408"/>
      <c r="AD578" s="387"/>
    </row>
    <row r="579" spans="6:30" ht="10.5" customHeight="1">
      <c r="F579" s="199"/>
      <c r="G579" s="184"/>
      <c r="H579" s="184"/>
      <c r="I579" s="184"/>
      <c r="J579" s="184"/>
      <c r="K579" s="184"/>
      <c r="L579" s="184"/>
      <c r="M579" s="184"/>
      <c r="N579" s="184"/>
      <c r="O579" s="184"/>
      <c r="P579" s="435" t="s">
        <v>1324</v>
      </c>
      <c r="Q579" s="154"/>
      <c r="R579" s="56"/>
      <c r="S579" s="277"/>
      <c r="T579" s="361" t="s">
        <v>2019</v>
      </c>
      <c r="U579" s="361" t="s">
        <v>1935</v>
      </c>
      <c r="AA579" s="7"/>
      <c r="AB579" s="7"/>
      <c r="AC579" s="1408"/>
      <c r="AD579" s="387"/>
    </row>
    <row r="580" spans="6:30" ht="10.5" customHeight="1">
      <c r="F580" s="199"/>
      <c r="G580" s="184"/>
      <c r="H580" s="184"/>
      <c r="I580" s="184"/>
      <c r="J580" s="184"/>
      <c r="K580" s="184"/>
      <c r="L580" s="184"/>
      <c r="M580" s="184"/>
      <c r="N580" s="184"/>
      <c r="O580" s="184"/>
      <c r="P580" s="435" t="s">
        <v>1411</v>
      </c>
      <c r="Q580" s="154"/>
      <c r="R580" s="56"/>
      <c r="S580" s="277"/>
      <c r="T580" s="361" t="s">
        <v>520</v>
      </c>
      <c r="U580" s="361" t="s">
        <v>2298</v>
      </c>
      <c r="AA580" s="7"/>
      <c r="AB580" s="7"/>
      <c r="AC580" s="1408"/>
      <c r="AD580" s="387"/>
    </row>
    <row r="581" spans="6:30" ht="10.5" customHeight="1">
      <c r="F581" s="199"/>
      <c r="G581" s="184"/>
      <c r="H581" s="184"/>
      <c r="I581" s="184"/>
      <c r="J581" s="184"/>
      <c r="K581" s="184"/>
      <c r="L581" s="184"/>
      <c r="M581" s="184"/>
      <c r="N581" s="184"/>
      <c r="O581" s="184"/>
      <c r="P581" s="435" t="s">
        <v>1413</v>
      </c>
      <c r="Q581" s="154"/>
      <c r="R581" s="56"/>
      <c r="S581" s="277"/>
      <c r="T581" s="361" t="s">
        <v>522</v>
      </c>
      <c r="U581" s="361" t="s">
        <v>1114</v>
      </c>
      <c r="AA581" s="7"/>
      <c r="AB581" s="7"/>
      <c r="AC581" s="1408"/>
      <c r="AD581" s="387"/>
    </row>
    <row r="582" spans="6:30" ht="10.5" customHeight="1">
      <c r="F582" s="199"/>
      <c r="G582" s="184"/>
      <c r="H582" s="184"/>
      <c r="I582" s="184"/>
      <c r="J582" s="184"/>
      <c r="K582" s="184"/>
      <c r="L582" s="184"/>
      <c r="M582" s="184"/>
      <c r="N582" s="184"/>
      <c r="O582" s="184"/>
      <c r="P582" s="435" t="s">
        <v>1835</v>
      </c>
      <c r="Q582" s="154"/>
      <c r="R582" s="56"/>
      <c r="S582" s="277"/>
      <c r="T582" s="361" t="s">
        <v>986</v>
      </c>
      <c r="U582" s="361" t="s">
        <v>584</v>
      </c>
      <c r="AA582" s="7"/>
      <c r="AB582" s="7"/>
      <c r="AC582" s="1408"/>
      <c r="AD582" s="387"/>
    </row>
    <row r="583" spans="6:30" ht="10.5" customHeight="1">
      <c r="F583" s="199"/>
      <c r="G583" s="184"/>
      <c r="H583" s="184"/>
      <c r="I583" s="184"/>
      <c r="J583" s="184"/>
      <c r="K583" s="184"/>
      <c r="L583" s="184"/>
      <c r="M583" s="184"/>
      <c r="N583" s="184"/>
      <c r="O583" s="184"/>
      <c r="P583" s="435" t="s">
        <v>1685</v>
      </c>
      <c r="Q583" s="154"/>
      <c r="R583" s="56"/>
      <c r="S583" s="277"/>
      <c r="T583" s="361" t="s">
        <v>524</v>
      </c>
      <c r="U583" s="361" t="s">
        <v>1495</v>
      </c>
      <c r="AA583" s="7"/>
      <c r="AB583" s="7"/>
      <c r="AC583" s="1408"/>
      <c r="AD583" s="387"/>
    </row>
    <row r="584" spans="6:30" ht="10.5" customHeight="1">
      <c r="F584" s="199"/>
      <c r="G584" s="184"/>
      <c r="H584" s="184"/>
      <c r="I584" s="184"/>
      <c r="J584" s="184"/>
      <c r="K584" s="184"/>
      <c r="L584" s="184"/>
      <c r="M584" s="184"/>
      <c r="N584" s="184"/>
      <c r="O584" s="184"/>
      <c r="P584" s="435" t="s">
        <v>256</v>
      </c>
      <c r="Q584" s="154"/>
      <c r="R584" s="56"/>
      <c r="S584" s="277"/>
      <c r="T584" s="361" t="s">
        <v>1094</v>
      </c>
      <c r="U584" s="361" t="s">
        <v>1014</v>
      </c>
      <c r="AA584" s="7"/>
      <c r="AB584" s="7"/>
      <c r="AC584" s="1408"/>
      <c r="AD584" s="387"/>
    </row>
    <row r="585" spans="6:30" ht="10.5" customHeight="1">
      <c r="F585" s="199"/>
      <c r="G585" s="184"/>
      <c r="H585" s="184"/>
      <c r="I585" s="184"/>
      <c r="J585" s="184"/>
      <c r="K585" s="184"/>
      <c r="L585" s="184"/>
      <c r="M585" s="184"/>
      <c r="N585" s="184"/>
      <c r="O585" s="184"/>
      <c r="P585" s="435" t="s">
        <v>1514</v>
      </c>
      <c r="Q585" s="154"/>
      <c r="R585" s="56"/>
      <c r="S585" s="277"/>
      <c r="T585" s="361" t="s">
        <v>1329</v>
      </c>
      <c r="U585" s="361" t="s">
        <v>1496</v>
      </c>
      <c r="AA585" s="7"/>
      <c r="AB585" s="7"/>
      <c r="AC585" s="1408"/>
      <c r="AD585" s="387"/>
    </row>
    <row r="586" spans="6:30" ht="10.5" customHeight="1">
      <c r="F586" s="199"/>
      <c r="G586" s="184"/>
      <c r="H586" s="184"/>
      <c r="I586" s="184"/>
      <c r="J586" s="184"/>
      <c r="K586" s="184"/>
      <c r="L586" s="184"/>
      <c r="M586" s="184"/>
      <c r="N586" s="184"/>
      <c r="O586" s="184"/>
      <c r="P586" s="435" t="s">
        <v>240</v>
      </c>
      <c r="Q586" s="154"/>
      <c r="R586" s="56"/>
      <c r="S586" s="277"/>
      <c r="T586" s="361" t="s">
        <v>2439</v>
      </c>
      <c r="U586" s="361" t="s">
        <v>1218</v>
      </c>
      <c r="AA586" s="7"/>
      <c r="AB586" s="7"/>
      <c r="AC586" s="1408"/>
      <c r="AD586" s="387"/>
    </row>
    <row r="587" spans="6:30" ht="10.5" customHeight="1">
      <c r="F587" s="199"/>
      <c r="G587" s="184"/>
      <c r="H587" s="184"/>
      <c r="I587" s="184"/>
      <c r="J587" s="184"/>
      <c r="K587" s="184"/>
      <c r="L587" s="184"/>
      <c r="M587" s="184"/>
      <c r="N587" s="184"/>
      <c r="O587" s="184"/>
      <c r="P587" s="435" t="s">
        <v>254</v>
      </c>
      <c r="Q587" s="154"/>
      <c r="R587" s="56"/>
      <c r="S587" s="277"/>
      <c r="T587" s="361" t="s">
        <v>1332</v>
      </c>
      <c r="U587" s="361" t="s">
        <v>612</v>
      </c>
      <c r="AA587" s="7"/>
      <c r="AB587" s="7"/>
      <c r="AC587" s="1408"/>
      <c r="AD587" s="387"/>
    </row>
    <row r="588" spans="6:30" ht="10.5" customHeight="1">
      <c r="F588" s="199"/>
      <c r="G588" s="184"/>
      <c r="H588" s="184"/>
      <c r="I588" s="184"/>
      <c r="J588" s="184"/>
      <c r="K588" s="184"/>
      <c r="L588" s="184"/>
      <c r="M588" s="184"/>
      <c r="N588" s="184"/>
      <c r="O588" s="184"/>
      <c r="P588" s="435" t="s">
        <v>1098</v>
      </c>
      <c r="Q588" s="154"/>
      <c r="R588" s="56"/>
      <c r="S588" s="277"/>
      <c r="T588" s="361" t="s">
        <v>2440</v>
      </c>
      <c r="U588" s="361" t="s">
        <v>112</v>
      </c>
      <c r="AA588" s="7"/>
      <c r="AB588" s="7"/>
      <c r="AC588" s="1408"/>
      <c r="AD588" s="387"/>
    </row>
    <row r="589" spans="6:30" ht="10.5" customHeight="1">
      <c r="F589" s="199"/>
      <c r="G589" s="184"/>
      <c r="H589" s="184"/>
      <c r="I589" s="184"/>
      <c r="J589" s="184"/>
      <c r="K589" s="184"/>
      <c r="L589" s="184"/>
      <c r="M589" s="184"/>
      <c r="N589" s="184"/>
      <c r="O589" s="184"/>
      <c r="P589" s="435" t="s">
        <v>688</v>
      </c>
      <c r="Q589" s="154"/>
      <c r="R589" s="56"/>
      <c r="S589" s="277"/>
      <c r="T589" s="361" t="s">
        <v>1438</v>
      </c>
      <c r="U589" s="361" t="s">
        <v>1601</v>
      </c>
      <c r="AA589" s="7"/>
      <c r="AB589" s="7"/>
      <c r="AC589" s="1408"/>
      <c r="AD589" s="387"/>
    </row>
    <row r="590" spans="6:30" ht="10.5" customHeight="1">
      <c r="F590" s="199"/>
      <c r="G590" s="184"/>
      <c r="H590" s="184"/>
      <c r="I590" s="184"/>
      <c r="J590" s="184"/>
      <c r="K590" s="184"/>
      <c r="L590" s="184"/>
      <c r="M590" s="184"/>
      <c r="N590" s="184"/>
      <c r="O590" s="184"/>
      <c r="P590" s="435" t="s">
        <v>690</v>
      </c>
      <c r="Q590" s="154"/>
      <c r="R590" s="56"/>
      <c r="S590" s="277"/>
      <c r="T590" s="361" t="s">
        <v>1893</v>
      </c>
      <c r="U590" s="361" t="s">
        <v>1482</v>
      </c>
      <c r="AA590" s="7"/>
      <c r="AB590" s="7"/>
      <c r="AC590" s="1408"/>
      <c r="AD590" s="387"/>
    </row>
    <row r="591" spans="6:30" ht="10.5" customHeight="1">
      <c r="F591" s="199"/>
      <c r="G591" s="184"/>
      <c r="H591" s="184"/>
      <c r="I591" s="184"/>
      <c r="J591" s="184"/>
      <c r="K591" s="184"/>
      <c r="L591" s="184"/>
      <c r="M591" s="184"/>
      <c r="N591" s="184"/>
      <c r="O591" s="184"/>
      <c r="P591" s="435" t="s">
        <v>951</v>
      </c>
      <c r="Q591" s="154"/>
      <c r="R591" s="56"/>
      <c r="S591" s="277"/>
      <c r="T591" s="361" t="s">
        <v>1895</v>
      </c>
      <c r="U591" s="361" t="s">
        <v>1224</v>
      </c>
      <c r="AA591" s="7"/>
      <c r="AB591" s="7"/>
      <c r="AC591" s="1408"/>
      <c r="AD591" s="387"/>
    </row>
    <row r="592" spans="6:30" ht="10.5" customHeight="1">
      <c r="F592" s="199"/>
      <c r="G592" s="184"/>
      <c r="H592" s="184"/>
      <c r="I592" s="184"/>
      <c r="J592" s="184"/>
      <c r="K592" s="184"/>
      <c r="L592" s="184"/>
      <c r="M592" s="184"/>
      <c r="N592" s="184"/>
      <c r="O592" s="184"/>
      <c r="P592" s="435" t="s">
        <v>953</v>
      </c>
      <c r="Q592" s="154"/>
      <c r="R592" s="56"/>
      <c r="S592" s="277"/>
      <c r="T592" s="436" t="s">
        <v>1321</v>
      </c>
      <c r="U592" s="436" t="s">
        <v>301</v>
      </c>
      <c r="AA592" s="7"/>
      <c r="AB592" s="7"/>
      <c r="AC592" s="1408"/>
      <c r="AD592" s="387"/>
    </row>
    <row r="593" spans="6:30" ht="10.5" customHeight="1">
      <c r="F593" s="199"/>
      <c r="G593" s="184"/>
      <c r="H593" s="184"/>
      <c r="I593" s="184"/>
      <c r="J593" s="184"/>
      <c r="K593" s="184"/>
      <c r="L593" s="184"/>
      <c r="M593" s="184"/>
      <c r="N593" s="184"/>
      <c r="O593" s="184"/>
      <c r="P593" s="435" t="s">
        <v>1633</v>
      </c>
      <c r="Q593" s="154"/>
      <c r="R593" s="56"/>
      <c r="S593" s="277"/>
      <c r="T593" s="361" t="s">
        <v>2441</v>
      </c>
      <c r="U593" s="361" t="s">
        <v>308</v>
      </c>
      <c r="AA593" s="7"/>
      <c r="AB593" s="7"/>
      <c r="AC593" s="1411"/>
      <c r="AD593" s="387"/>
    </row>
    <row r="594" spans="6:30" ht="10.5" customHeight="1">
      <c r="F594" s="199"/>
      <c r="G594" s="184"/>
      <c r="H594" s="184"/>
      <c r="I594" s="184"/>
      <c r="J594" s="184"/>
      <c r="K594" s="184"/>
      <c r="L594" s="184"/>
      <c r="M594" s="184"/>
      <c r="N594" s="184"/>
      <c r="O594" s="184"/>
      <c r="P594" s="435" t="s">
        <v>1635</v>
      </c>
      <c r="Q594" s="154"/>
      <c r="R594" s="56"/>
      <c r="S594" s="277"/>
      <c r="T594" s="361" t="s">
        <v>1323</v>
      </c>
      <c r="U594" s="361" t="s">
        <v>298</v>
      </c>
      <c r="AA594" s="7"/>
      <c r="AB594" s="7"/>
      <c r="AC594" s="1408"/>
      <c r="AD594" s="387"/>
    </row>
    <row r="595" spans="6:30" ht="10.5" customHeight="1">
      <c r="F595" s="199"/>
      <c r="G595" s="184"/>
      <c r="H595" s="184"/>
      <c r="I595" s="184"/>
      <c r="J595" s="184"/>
      <c r="K595" s="184"/>
      <c r="L595" s="184"/>
      <c r="M595" s="184"/>
      <c r="N595" s="184"/>
      <c r="O595" s="184"/>
      <c r="P595" s="435" t="s">
        <v>1636</v>
      </c>
      <c r="Q595" s="154"/>
      <c r="R595" s="56"/>
      <c r="S595" s="277"/>
      <c r="T595" s="436" t="s">
        <v>987</v>
      </c>
      <c r="U595" s="436" t="s">
        <v>1498</v>
      </c>
      <c r="AA595" s="7"/>
      <c r="AB595" s="7"/>
      <c r="AC595" s="1408"/>
      <c r="AD595" s="387"/>
    </row>
    <row r="596" spans="6:30" ht="10.5" customHeight="1">
      <c r="F596" s="199"/>
      <c r="G596" s="184"/>
      <c r="H596" s="184"/>
      <c r="I596" s="184"/>
      <c r="J596" s="184"/>
      <c r="K596" s="184"/>
      <c r="L596" s="184"/>
      <c r="M596" s="184"/>
      <c r="N596" s="184"/>
      <c r="O596" s="184"/>
      <c r="P596" s="435" t="s">
        <v>1051</v>
      </c>
      <c r="Q596" s="154"/>
      <c r="R596" s="56"/>
      <c r="S596" s="277"/>
      <c r="T596" s="361" t="s">
        <v>1325</v>
      </c>
      <c r="U596" s="361" t="s">
        <v>584</v>
      </c>
      <c r="AA596" s="7"/>
      <c r="AB596" s="7"/>
      <c r="AC596" s="1411"/>
      <c r="AD596" s="387"/>
    </row>
    <row r="597" spans="6:30" ht="10.5" customHeight="1">
      <c r="F597" s="199"/>
      <c r="G597" s="184"/>
      <c r="H597" s="184"/>
      <c r="I597" s="184"/>
      <c r="J597" s="184"/>
      <c r="K597" s="184"/>
      <c r="L597" s="184"/>
      <c r="M597" s="184"/>
      <c r="N597" s="184"/>
      <c r="O597" s="184"/>
      <c r="P597" s="435" t="s">
        <v>377</v>
      </c>
      <c r="Q597" s="154"/>
      <c r="R597" s="56"/>
      <c r="S597" s="277"/>
      <c r="T597" s="361" t="s">
        <v>1412</v>
      </c>
      <c r="U597" s="361" t="s">
        <v>293</v>
      </c>
      <c r="AA597" s="7"/>
      <c r="AB597" s="7"/>
      <c r="AC597" s="1408"/>
      <c r="AD597" s="387"/>
    </row>
    <row r="598" spans="6:30" ht="10.5" customHeight="1">
      <c r="F598" s="199"/>
      <c r="G598" s="184"/>
      <c r="H598" s="184"/>
      <c r="I598" s="184"/>
      <c r="J598" s="184"/>
      <c r="K598" s="184"/>
      <c r="L598" s="184"/>
      <c r="M598" s="184"/>
      <c r="N598" s="184"/>
      <c r="O598" s="184"/>
      <c r="P598" s="435" t="s">
        <v>0</v>
      </c>
      <c r="Q598" s="154"/>
      <c r="R598" s="56"/>
      <c r="S598" s="277"/>
      <c r="T598" s="361" t="s">
        <v>1836</v>
      </c>
      <c r="U598" s="361" t="s">
        <v>884</v>
      </c>
      <c r="AA598" s="7"/>
      <c r="AB598" s="7"/>
      <c r="AC598" s="1408"/>
      <c r="AD598" s="387"/>
    </row>
    <row r="599" spans="6:30" ht="10.5" customHeight="1">
      <c r="F599" s="199"/>
      <c r="G599" s="184"/>
      <c r="H599" s="184"/>
      <c r="I599" s="184"/>
      <c r="J599" s="184"/>
      <c r="K599" s="184"/>
      <c r="L599" s="184"/>
      <c r="M599" s="184"/>
      <c r="N599" s="184"/>
      <c r="O599" s="184"/>
      <c r="P599" s="435" t="s">
        <v>2</v>
      </c>
      <c r="Q599" s="154"/>
      <c r="R599" s="56"/>
      <c r="S599" s="277"/>
      <c r="T599" s="436" t="s">
        <v>1686</v>
      </c>
      <c r="U599" s="436" t="s">
        <v>1754</v>
      </c>
      <c r="AA599" s="7"/>
      <c r="AB599" s="7"/>
      <c r="AC599" s="1408"/>
      <c r="AD599" s="387"/>
    </row>
    <row r="600" spans="6:30" ht="10.5" customHeight="1">
      <c r="F600" s="199"/>
      <c r="G600" s="184"/>
      <c r="H600" s="184"/>
      <c r="I600" s="184"/>
      <c r="J600" s="184"/>
      <c r="K600" s="184"/>
      <c r="L600" s="184"/>
      <c r="M600" s="184"/>
      <c r="N600" s="184"/>
      <c r="O600" s="184"/>
      <c r="P600" s="435" t="s">
        <v>4</v>
      </c>
      <c r="Q600" s="154"/>
      <c r="R600" s="56"/>
      <c r="S600" s="277"/>
      <c r="T600" s="436" t="s">
        <v>257</v>
      </c>
      <c r="U600" s="436" t="s">
        <v>1754</v>
      </c>
      <c r="AA600" s="7"/>
      <c r="AB600" s="7"/>
      <c r="AC600" s="1411"/>
      <c r="AD600" s="387"/>
    </row>
    <row r="601" spans="6:30" ht="10.5" customHeight="1">
      <c r="F601" s="199"/>
      <c r="G601" s="184"/>
      <c r="H601" s="184"/>
      <c r="I601" s="184"/>
      <c r="J601" s="184"/>
      <c r="K601" s="184"/>
      <c r="L601" s="184"/>
      <c r="M601" s="184"/>
      <c r="N601" s="184"/>
      <c r="O601" s="184"/>
      <c r="P601" s="435" t="s">
        <v>6</v>
      </c>
      <c r="Q601" s="154"/>
      <c r="R601" s="56"/>
      <c r="S601" s="277"/>
      <c r="T601" s="361" t="s">
        <v>1515</v>
      </c>
      <c r="U601" s="361" t="s">
        <v>1940</v>
      </c>
      <c r="AA601" s="7"/>
      <c r="AB601" s="7"/>
      <c r="AC601" s="1411"/>
      <c r="AD601" s="387"/>
    </row>
    <row r="602" spans="6:30" ht="10.5" customHeight="1">
      <c r="F602" s="199"/>
      <c r="G602" s="184"/>
      <c r="H602" s="184"/>
      <c r="I602" s="184"/>
      <c r="J602" s="184"/>
      <c r="K602" s="184"/>
      <c r="L602" s="184"/>
      <c r="M602" s="184"/>
      <c r="N602" s="184"/>
      <c r="O602" s="184"/>
      <c r="P602" s="435" t="s">
        <v>1909</v>
      </c>
      <c r="Q602" s="154"/>
      <c r="R602" s="56"/>
      <c r="S602" s="277"/>
      <c r="T602" s="361" t="s">
        <v>241</v>
      </c>
      <c r="U602" s="361" t="s">
        <v>622</v>
      </c>
      <c r="AA602" s="7"/>
      <c r="AB602" s="7"/>
      <c r="AC602" s="1408"/>
      <c r="AD602" s="387"/>
    </row>
    <row r="603" spans="6:30" ht="10.5" customHeight="1">
      <c r="F603" s="199"/>
      <c r="G603" s="184"/>
      <c r="H603" s="184"/>
      <c r="I603" s="184"/>
      <c r="J603" s="184"/>
      <c r="K603" s="184"/>
      <c r="L603" s="184"/>
      <c r="M603" s="184"/>
      <c r="N603" s="184"/>
      <c r="O603" s="184"/>
      <c r="P603" s="435" t="s">
        <v>1911</v>
      </c>
      <c r="Q603" s="154"/>
      <c r="R603" s="56"/>
      <c r="S603" s="277"/>
      <c r="T603" s="361" t="s">
        <v>1097</v>
      </c>
      <c r="U603" s="361" t="s">
        <v>141</v>
      </c>
      <c r="AA603" s="7"/>
      <c r="AB603" s="7"/>
      <c r="AC603" s="1408"/>
      <c r="AD603" s="387"/>
    </row>
    <row r="604" spans="6:30" ht="10.5" customHeight="1">
      <c r="F604" s="199"/>
      <c r="G604" s="184"/>
      <c r="H604" s="184"/>
      <c r="I604" s="184"/>
      <c r="J604" s="184"/>
      <c r="K604" s="184"/>
      <c r="L604" s="184"/>
      <c r="M604" s="184"/>
      <c r="N604" s="184"/>
      <c r="O604" s="184"/>
      <c r="P604" s="435" t="s">
        <v>1913</v>
      </c>
      <c r="Q604" s="154"/>
      <c r="R604" s="56"/>
      <c r="S604" s="277"/>
      <c r="T604" s="361" t="s">
        <v>1099</v>
      </c>
      <c r="U604" s="361" t="s">
        <v>141</v>
      </c>
      <c r="AA604" s="7"/>
      <c r="AB604" s="7"/>
      <c r="AC604" s="1408"/>
      <c r="AD604" s="387"/>
    </row>
    <row r="605" spans="6:30" ht="10.5" customHeight="1">
      <c r="F605" s="199"/>
      <c r="G605" s="184"/>
      <c r="H605" s="184"/>
      <c r="I605" s="184"/>
      <c r="J605" s="184"/>
      <c r="K605" s="184"/>
      <c r="L605" s="184"/>
      <c r="M605" s="184"/>
      <c r="N605" s="184"/>
      <c r="O605" s="184"/>
      <c r="P605" s="435" t="s">
        <v>1915</v>
      </c>
      <c r="Q605" s="154"/>
      <c r="R605" s="56"/>
      <c r="S605" s="277"/>
      <c r="T605" s="361" t="s">
        <v>689</v>
      </c>
      <c r="U605" s="361" t="s">
        <v>1226</v>
      </c>
      <c r="AA605" s="7"/>
      <c r="AB605" s="7"/>
      <c r="AC605" s="1408"/>
      <c r="AD605" s="387"/>
    </row>
    <row r="606" spans="6:30" ht="10.5" customHeight="1">
      <c r="F606" s="199"/>
      <c r="G606" s="184"/>
      <c r="H606" s="184"/>
      <c r="I606" s="184"/>
      <c r="J606" s="184"/>
      <c r="K606" s="184"/>
      <c r="L606" s="184"/>
      <c r="M606" s="184"/>
      <c r="N606" s="184"/>
      <c r="O606" s="184"/>
      <c r="P606" s="435" t="s">
        <v>1917</v>
      </c>
      <c r="Q606" s="154"/>
      <c r="R606" s="56"/>
      <c r="S606" s="277"/>
      <c r="T606" s="361" t="s">
        <v>226</v>
      </c>
      <c r="U606" s="361" t="s">
        <v>2298</v>
      </c>
      <c r="AA606" s="7"/>
      <c r="AB606" s="7"/>
      <c r="AC606" s="1408"/>
      <c r="AD606" s="387"/>
    </row>
    <row r="607" spans="6:30" ht="10.5" customHeight="1">
      <c r="F607" s="199"/>
      <c r="G607" s="184"/>
      <c r="H607" s="184"/>
      <c r="I607" s="184"/>
      <c r="J607" s="184"/>
      <c r="K607" s="184"/>
      <c r="L607" s="184"/>
      <c r="M607" s="184"/>
      <c r="N607" s="184"/>
      <c r="O607" s="184"/>
      <c r="P607" s="435" t="s">
        <v>83</v>
      </c>
      <c r="Q607" s="154"/>
      <c r="R607" s="56"/>
      <c r="S607" s="277"/>
      <c r="T607" s="361" t="s">
        <v>952</v>
      </c>
      <c r="U607" s="361" t="s">
        <v>2130</v>
      </c>
      <c r="AA607" s="7"/>
      <c r="AB607" s="7"/>
      <c r="AC607" s="1408"/>
      <c r="AD607" s="387"/>
    </row>
    <row r="608" spans="6:30" ht="10.5" customHeight="1">
      <c r="F608" s="199"/>
      <c r="G608" s="184"/>
      <c r="H608" s="184"/>
      <c r="I608" s="184"/>
      <c r="J608" s="184"/>
      <c r="K608" s="184"/>
      <c r="L608" s="184"/>
      <c r="M608" s="184"/>
      <c r="N608" s="184"/>
      <c r="O608" s="184"/>
      <c r="P608" s="435" t="s">
        <v>1818</v>
      </c>
      <c r="Q608" s="154"/>
      <c r="R608" s="56"/>
      <c r="S608" s="277"/>
      <c r="T608" s="361" t="s">
        <v>1578</v>
      </c>
      <c r="U608" s="361" t="s">
        <v>2205</v>
      </c>
      <c r="AA608" s="7"/>
      <c r="AB608" s="7"/>
      <c r="AC608" s="1408"/>
      <c r="AD608" s="387"/>
    </row>
    <row r="609" spans="6:30" ht="10.5" customHeight="1">
      <c r="F609" s="199"/>
      <c r="G609" s="184"/>
      <c r="H609" s="184"/>
      <c r="I609" s="184"/>
      <c r="J609" s="184"/>
      <c r="K609" s="184"/>
      <c r="L609" s="184"/>
      <c r="M609" s="184"/>
      <c r="N609" s="184"/>
      <c r="O609" s="184"/>
      <c r="P609" s="435" t="s">
        <v>1379</v>
      </c>
      <c r="Q609" s="154"/>
      <c r="R609" s="56"/>
      <c r="S609" s="277"/>
      <c r="T609" s="361" t="s">
        <v>1634</v>
      </c>
      <c r="U609" s="361" t="s">
        <v>102</v>
      </c>
      <c r="AA609" s="7"/>
      <c r="AB609" s="7"/>
      <c r="AC609" s="1408"/>
      <c r="AD609" s="387"/>
    </row>
    <row r="610" spans="6:30" ht="10.5" customHeight="1">
      <c r="F610" s="199"/>
      <c r="G610" s="184"/>
      <c r="H610" s="184"/>
      <c r="I610" s="184"/>
      <c r="J610" s="184"/>
      <c r="K610" s="184"/>
      <c r="L610" s="184"/>
      <c r="M610" s="184"/>
      <c r="N610" s="184"/>
      <c r="O610" s="184"/>
      <c r="P610" s="435" t="s">
        <v>1381</v>
      </c>
      <c r="Q610" s="154"/>
      <c r="R610" s="56"/>
      <c r="S610" s="277"/>
      <c r="T610" s="361" t="s">
        <v>1019</v>
      </c>
      <c r="U610" s="361" t="s">
        <v>677</v>
      </c>
      <c r="AA610" s="7"/>
      <c r="AB610" s="7"/>
      <c r="AC610" s="1408"/>
      <c r="AD610" s="387"/>
    </row>
    <row r="611" spans="6:30" ht="10.5" customHeight="1">
      <c r="F611" s="199"/>
      <c r="G611" s="184"/>
      <c r="H611" s="184"/>
      <c r="I611" s="184"/>
      <c r="J611" s="184"/>
      <c r="K611" s="184"/>
      <c r="L611" s="184"/>
      <c r="M611" s="184"/>
      <c r="N611" s="184"/>
      <c r="O611" s="184"/>
      <c r="P611" s="435" t="s">
        <v>1383</v>
      </c>
      <c r="Q611" s="154"/>
      <c r="R611" s="56"/>
      <c r="S611" s="277"/>
      <c r="T611" s="361" t="s">
        <v>988</v>
      </c>
      <c r="U611" s="361" t="s">
        <v>886</v>
      </c>
      <c r="AA611" s="7"/>
      <c r="AB611" s="7"/>
      <c r="AC611" s="1408"/>
      <c r="AD611" s="387"/>
    </row>
    <row r="612" spans="6:30" ht="10.5" customHeight="1">
      <c r="F612" s="199"/>
      <c r="G612" s="184"/>
      <c r="H612" s="184"/>
      <c r="I612" s="184"/>
      <c r="J612" s="184"/>
      <c r="K612" s="184"/>
      <c r="L612" s="184"/>
      <c r="M612" s="184"/>
      <c r="N612" s="184"/>
      <c r="O612" s="184"/>
      <c r="P612" s="435" t="s">
        <v>57</v>
      </c>
      <c r="Q612" s="154"/>
      <c r="R612" s="56"/>
      <c r="S612" s="277"/>
      <c r="T612" s="361" t="s">
        <v>1023</v>
      </c>
      <c r="U612" s="361" t="s">
        <v>1223</v>
      </c>
      <c r="AA612" s="7"/>
      <c r="AB612" s="7"/>
      <c r="AC612" s="1408"/>
      <c r="AD612" s="387"/>
    </row>
    <row r="613" spans="6:30" ht="10.5" customHeight="1">
      <c r="F613" s="199"/>
      <c r="G613" s="184"/>
      <c r="H613" s="184"/>
      <c r="I613" s="184"/>
      <c r="J613" s="184"/>
      <c r="K613" s="184"/>
      <c r="L613" s="184"/>
      <c r="M613" s="184"/>
      <c r="N613" s="184"/>
      <c r="O613" s="184"/>
      <c r="P613" s="435" t="s">
        <v>59</v>
      </c>
      <c r="Q613" s="154"/>
      <c r="R613" s="56"/>
      <c r="S613" s="277"/>
      <c r="T613" s="361" t="s">
        <v>378</v>
      </c>
      <c r="U613" s="361" t="s">
        <v>622</v>
      </c>
      <c r="AA613" s="7"/>
      <c r="AB613" s="7"/>
      <c r="AC613" s="1408"/>
      <c r="AD613" s="387"/>
    </row>
    <row r="614" spans="6:30" ht="10.5" customHeight="1">
      <c r="F614" s="199"/>
      <c r="G614" s="184"/>
      <c r="H614" s="184"/>
      <c r="I614" s="184"/>
      <c r="J614" s="184"/>
      <c r="K614" s="184"/>
      <c r="L614" s="184"/>
      <c r="M614" s="184"/>
      <c r="N614" s="184"/>
      <c r="O614" s="184"/>
      <c r="P614" s="435" t="s">
        <v>61</v>
      </c>
      <c r="Q614" s="154"/>
      <c r="R614" s="56"/>
      <c r="S614" s="277"/>
      <c r="T614" s="361" t="s">
        <v>989</v>
      </c>
      <c r="U614" s="361" t="s">
        <v>113</v>
      </c>
      <c r="AA614" s="7"/>
      <c r="AB614" s="7"/>
      <c r="AC614" s="1408"/>
      <c r="AD614" s="387"/>
    </row>
    <row r="615" spans="6:30" ht="10.5" customHeight="1">
      <c r="F615" s="199"/>
      <c r="G615" s="184"/>
      <c r="H615" s="184"/>
      <c r="I615" s="184"/>
      <c r="J615" s="184"/>
      <c r="K615" s="184"/>
      <c r="L615" s="184"/>
      <c r="M615" s="184"/>
      <c r="N615" s="184"/>
      <c r="O615" s="184"/>
      <c r="P615" s="435" t="s">
        <v>63</v>
      </c>
      <c r="Q615" s="154"/>
      <c r="R615" s="56"/>
      <c r="S615" s="277"/>
      <c r="T615" s="361" t="s">
        <v>1</v>
      </c>
      <c r="U615" s="361" t="s">
        <v>1216</v>
      </c>
      <c r="AA615" s="7"/>
      <c r="AB615" s="7"/>
      <c r="AC615" s="1408"/>
      <c r="AD615" s="387"/>
    </row>
    <row r="616" spans="6:30" ht="10.5" customHeight="1">
      <c r="F616" s="199"/>
      <c r="G616" s="184"/>
      <c r="H616" s="184"/>
      <c r="I616" s="184"/>
      <c r="J616" s="184"/>
      <c r="K616" s="184"/>
      <c r="L616" s="184"/>
      <c r="M616" s="184"/>
      <c r="N616" s="184"/>
      <c r="O616" s="184"/>
      <c r="P616" s="435" t="s">
        <v>65</v>
      </c>
      <c r="Q616" s="154"/>
      <c r="R616" s="56"/>
      <c r="S616" s="277"/>
      <c r="T616" s="361" t="s">
        <v>3</v>
      </c>
      <c r="U616" s="361" t="s">
        <v>2126</v>
      </c>
      <c r="AA616" s="7"/>
      <c r="AB616" s="7"/>
      <c r="AC616" s="1408"/>
      <c r="AD616" s="387"/>
    </row>
    <row r="617" spans="6:30" ht="10.5" customHeight="1">
      <c r="F617" s="199"/>
      <c r="G617" s="184"/>
      <c r="H617" s="184"/>
      <c r="I617" s="184"/>
      <c r="J617" s="184"/>
      <c r="K617" s="184"/>
      <c r="L617" s="184"/>
      <c r="M617" s="184"/>
      <c r="N617" s="184"/>
      <c r="O617" s="184"/>
      <c r="P617" s="435" t="s">
        <v>716</v>
      </c>
      <c r="Q617" s="154"/>
      <c r="R617" s="56"/>
      <c r="S617" s="277"/>
      <c r="T617" s="361" t="s">
        <v>5</v>
      </c>
      <c r="U617" s="361" t="s">
        <v>1725</v>
      </c>
      <c r="AA617" s="7"/>
      <c r="AB617" s="7"/>
      <c r="AC617" s="1408"/>
      <c r="AD617" s="387"/>
    </row>
    <row r="618" spans="6:30" ht="10.5" customHeight="1">
      <c r="F618" s="199"/>
      <c r="G618" s="184"/>
      <c r="H618" s="184"/>
      <c r="I618" s="184"/>
      <c r="J618" s="184"/>
      <c r="K618" s="184"/>
      <c r="L618" s="184"/>
      <c r="M618" s="184"/>
      <c r="N618" s="184"/>
      <c r="O618" s="184"/>
      <c r="P618" s="435" t="s">
        <v>673</v>
      </c>
      <c r="Q618" s="154"/>
      <c r="R618" s="56"/>
      <c r="S618" s="277"/>
      <c r="T618" s="436" t="s">
        <v>990</v>
      </c>
      <c r="U618" s="436" t="s">
        <v>584</v>
      </c>
      <c r="AA618" s="7"/>
      <c r="AB618" s="7"/>
      <c r="AC618" s="1408"/>
      <c r="AD618" s="387"/>
    </row>
    <row r="619" spans="6:30" ht="10.5" customHeight="1">
      <c r="F619" s="199"/>
      <c r="G619" s="184"/>
      <c r="H619" s="184"/>
      <c r="I619" s="184"/>
      <c r="J619" s="184"/>
      <c r="K619" s="184"/>
      <c r="L619" s="184"/>
      <c r="M619" s="184"/>
      <c r="N619" s="184"/>
      <c r="O619" s="184"/>
      <c r="P619" s="435" t="s">
        <v>675</v>
      </c>
      <c r="Q619" s="154"/>
      <c r="R619" s="56"/>
      <c r="S619" s="277"/>
      <c r="T619" s="361" t="s">
        <v>991</v>
      </c>
      <c r="U619" s="361" t="s">
        <v>294</v>
      </c>
      <c r="AA619" s="7"/>
      <c r="AB619" s="7"/>
      <c r="AC619" s="1411"/>
      <c r="AD619" s="387"/>
    </row>
    <row r="620" spans="6:30" ht="10.5" customHeight="1">
      <c r="F620" s="199"/>
      <c r="G620" s="184"/>
      <c r="H620" s="184"/>
      <c r="I620" s="184"/>
      <c r="J620" s="184"/>
      <c r="K620" s="184"/>
      <c r="L620" s="184"/>
      <c r="M620" s="184"/>
      <c r="N620" s="184"/>
      <c r="O620" s="184"/>
      <c r="P620" s="435" t="s">
        <v>1095</v>
      </c>
      <c r="Q620" s="154"/>
      <c r="R620" s="56"/>
      <c r="S620" s="277"/>
      <c r="T620" s="361" t="s">
        <v>1908</v>
      </c>
      <c r="U620" s="361" t="s">
        <v>1226</v>
      </c>
      <c r="AA620" s="7"/>
      <c r="AB620" s="7"/>
      <c r="AC620" s="1408"/>
      <c r="AD620" s="387"/>
    </row>
    <row r="621" spans="6:30" ht="10.5" customHeight="1">
      <c r="F621" s="199"/>
      <c r="G621" s="184"/>
      <c r="H621" s="184"/>
      <c r="I621" s="184"/>
      <c r="J621" s="184"/>
      <c r="K621" s="184"/>
      <c r="L621" s="184"/>
      <c r="M621" s="184"/>
      <c r="N621" s="184"/>
      <c r="O621" s="184"/>
      <c r="P621" s="435" t="s">
        <v>964</v>
      </c>
      <c r="Q621" s="154"/>
      <c r="R621" s="56"/>
      <c r="S621" s="277"/>
      <c r="T621" s="361" t="s">
        <v>1910</v>
      </c>
      <c r="U621" s="361" t="s">
        <v>1946</v>
      </c>
      <c r="AA621" s="7"/>
      <c r="AB621" s="7"/>
      <c r="AC621" s="1408"/>
      <c r="AD621" s="387"/>
    </row>
    <row r="622" spans="6:30" ht="10.5" customHeight="1">
      <c r="F622" s="199"/>
      <c r="G622" s="184"/>
      <c r="H622" s="184"/>
      <c r="I622" s="184"/>
      <c r="J622" s="184"/>
      <c r="K622" s="184"/>
      <c r="L622" s="184"/>
      <c r="M622" s="184"/>
      <c r="N622" s="184"/>
      <c r="O622" s="184"/>
      <c r="P622" s="435" t="s">
        <v>965</v>
      </c>
      <c r="Q622" s="154"/>
      <c r="R622" s="56"/>
      <c r="S622" s="277"/>
      <c r="T622" s="361" t="s">
        <v>1912</v>
      </c>
      <c r="U622" s="361" t="s">
        <v>155</v>
      </c>
      <c r="AA622" s="7"/>
      <c r="AB622" s="7"/>
      <c r="AC622" s="1408"/>
      <c r="AD622" s="387"/>
    </row>
    <row r="623" spans="6:30" ht="10.5" customHeight="1">
      <c r="F623" s="199"/>
      <c r="G623" s="184"/>
      <c r="H623" s="184"/>
      <c r="I623" s="184"/>
      <c r="J623" s="184"/>
      <c r="K623" s="184"/>
      <c r="L623" s="184"/>
      <c r="M623" s="184"/>
      <c r="N623" s="184"/>
      <c r="O623" s="184"/>
      <c r="P623" s="435" t="s">
        <v>967</v>
      </c>
      <c r="Q623" s="154"/>
      <c r="R623" s="56"/>
      <c r="S623" s="277"/>
      <c r="T623" s="361" t="s">
        <v>1914</v>
      </c>
      <c r="U623" s="361" t="s">
        <v>1334</v>
      </c>
      <c r="AA623" s="7"/>
      <c r="AB623" s="7"/>
      <c r="AC623" s="1408"/>
      <c r="AD623" s="387"/>
    </row>
    <row r="624" spans="6:30" ht="10.5" customHeight="1">
      <c r="F624" s="199"/>
      <c r="G624" s="184"/>
      <c r="H624" s="184"/>
      <c r="I624" s="184"/>
      <c r="J624" s="184"/>
      <c r="K624" s="184"/>
      <c r="L624" s="184"/>
      <c r="M624" s="184"/>
      <c r="N624" s="184"/>
      <c r="O624" s="184"/>
      <c r="P624" s="435" t="s">
        <v>2010</v>
      </c>
      <c r="Q624" s="154"/>
      <c r="R624" s="56"/>
      <c r="S624" s="277"/>
      <c r="T624" s="361" t="s">
        <v>1916</v>
      </c>
      <c r="U624" s="361" t="s">
        <v>622</v>
      </c>
      <c r="AA624" s="7"/>
      <c r="AB624" s="7"/>
      <c r="AC624" s="1408"/>
      <c r="AD624" s="387"/>
    </row>
    <row r="625" spans="6:30" ht="10.5" customHeight="1">
      <c r="F625" s="199"/>
      <c r="G625" s="184"/>
      <c r="H625" s="184"/>
      <c r="I625" s="184"/>
      <c r="J625" s="184"/>
      <c r="K625" s="184"/>
      <c r="L625" s="184"/>
      <c r="M625" s="184"/>
      <c r="N625" s="184"/>
      <c r="O625" s="184"/>
      <c r="P625" s="435" t="s">
        <v>2012</v>
      </c>
      <c r="Q625" s="154"/>
      <c r="R625" s="56"/>
      <c r="S625" s="277"/>
      <c r="T625" s="361" t="s">
        <v>84</v>
      </c>
      <c r="U625" s="361" t="s">
        <v>112</v>
      </c>
      <c r="AA625" s="7"/>
      <c r="AB625" s="7"/>
      <c r="AC625" s="1408"/>
      <c r="AD625" s="387"/>
    </row>
    <row r="626" spans="6:30" ht="10.5" customHeight="1">
      <c r="F626" s="199"/>
      <c r="G626" s="184"/>
      <c r="H626" s="184"/>
      <c r="I626" s="184"/>
      <c r="J626" s="184"/>
      <c r="K626" s="184"/>
      <c r="L626" s="184"/>
      <c r="M626" s="184"/>
      <c r="N626" s="184"/>
      <c r="O626" s="184"/>
      <c r="P626" s="435" t="s">
        <v>1593</v>
      </c>
      <c r="Q626" s="154"/>
      <c r="R626" s="56"/>
      <c r="S626" s="277"/>
      <c r="T626" s="361" t="s">
        <v>1378</v>
      </c>
      <c r="U626" s="361" t="s">
        <v>1948</v>
      </c>
      <c r="AA626" s="7"/>
      <c r="AB626" s="7"/>
      <c r="AC626" s="1408"/>
      <c r="AD626" s="387"/>
    </row>
    <row r="627" spans="6:30" ht="10.5" customHeight="1">
      <c r="F627" s="199"/>
      <c r="G627" s="184"/>
      <c r="H627" s="184"/>
      <c r="I627" s="184"/>
      <c r="J627" s="184"/>
      <c r="K627" s="184"/>
      <c r="L627" s="184"/>
      <c r="M627" s="184"/>
      <c r="N627" s="184"/>
      <c r="O627" s="184"/>
      <c r="P627" s="435" t="s">
        <v>2233</v>
      </c>
      <c r="Q627" s="154"/>
      <c r="R627" s="56"/>
      <c r="S627" s="277"/>
      <c r="T627" s="361" t="s">
        <v>1380</v>
      </c>
      <c r="U627" s="361" t="s">
        <v>179</v>
      </c>
      <c r="AA627" s="7"/>
      <c r="AB627" s="7"/>
      <c r="AC627" s="1408"/>
      <c r="AD627" s="387"/>
    </row>
    <row r="628" spans="6:30" ht="10.5" customHeight="1">
      <c r="F628" s="199"/>
      <c r="G628" s="184"/>
      <c r="H628" s="184"/>
      <c r="I628" s="184"/>
      <c r="J628" s="184"/>
      <c r="K628" s="184"/>
      <c r="L628" s="184"/>
      <c r="M628" s="184"/>
      <c r="N628" s="184"/>
      <c r="O628" s="184"/>
      <c r="P628" s="435" t="s">
        <v>1926</v>
      </c>
      <c r="Q628" s="154"/>
      <c r="R628" s="56"/>
      <c r="S628" s="277"/>
      <c r="T628" s="436" t="s">
        <v>1382</v>
      </c>
      <c r="U628" s="436" t="s">
        <v>1337</v>
      </c>
      <c r="AA628" s="7"/>
      <c r="AB628" s="7"/>
      <c r="AC628" s="1408"/>
      <c r="AD628" s="387"/>
    </row>
    <row r="629" spans="6:30" ht="10.5" customHeight="1">
      <c r="F629" s="199"/>
      <c r="G629" s="184"/>
      <c r="H629" s="184"/>
      <c r="I629" s="184"/>
      <c r="J629" s="184"/>
      <c r="K629" s="184"/>
      <c r="L629" s="184"/>
      <c r="M629" s="184"/>
      <c r="N629" s="184"/>
      <c r="O629" s="184"/>
      <c r="P629" s="435" t="s">
        <v>1463</v>
      </c>
      <c r="Q629" s="154"/>
      <c r="R629" s="56"/>
      <c r="S629" s="277"/>
      <c r="T629" s="361" t="s">
        <v>1384</v>
      </c>
      <c r="U629" s="361" t="s">
        <v>1938</v>
      </c>
      <c r="AA629" s="7"/>
      <c r="AB629" s="7"/>
      <c r="AC629" s="1411"/>
      <c r="AD629" s="387"/>
    </row>
    <row r="630" spans="6:30" ht="10.5" customHeight="1">
      <c r="F630" s="199"/>
      <c r="G630" s="184"/>
      <c r="H630" s="184"/>
      <c r="I630" s="184"/>
      <c r="J630" s="184"/>
      <c r="K630" s="184"/>
      <c r="L630" s="184"/>
      <c r="M630" s="184"/>
      <c r="N630" s="184"/>
      <c r="O630" s="184"/>
      <c r="P630" s="435" t="s">
        <v>1464</v>
      </c>
      <c r="Q630" s="154"/>
      <c r="R630" s="56"/>
      <c r="S630" s="277"/>
      <c r="T630" s="361" t="s">
        <v>58</v>
      </c>
      <c r="U630" s="361" t="s">
        <v>1224</v>
      </c>
      <c r="AA630" s="7"/>
      <c r="AB630" s="7"/>
      <c r="AC630" s="1408"/>
      <c r="AD630" s="387"/>
    </row>
    <row r="631" spans="6:30" ht="10.5" customHeight="1">
      <c r="F631" s="199"/>
      <c r="G631" s="184"/>
      <c r="H631" s="184"/>
      <c r="I631" s="184"/>
      <c r="J631" s="184"/>
      <c r="K631" s="184"/>
      <c r="L631" s="184"/>
      <c r="M631" s="184"/>
      <c r="N631" s="184"/>
      <c r="O631" s="184"/>
      <c r="P631" s="435" t="s">
        <v>1466</v>
      </c>
      <c r="Q631" s="154"/>
      <c r="R631" s="56"/>
      <c r="S631" s="277"/>
      <c r="T631" s="436" t="s">
        <v>60</v>
      </c>
      <c r="U631" s="436" t="s">
        <v>98</v>
      </c>
      <c r="AA631" s="7"/>
      <c r="AB631" s="7"/>
      <c r="AC631" s="1408"/>
      <c r="AD631" s="387"/>
    </row>
    <row r="632" spans="6:30" ht="10.5" customHeight="1">
      <c r="F632" s="199"/>
      <c r="G632" s="184"/>
      <c r="H632" s="184"/>
      <c r="I632" s="184"/>
      <c r="J632" s="184"/>
      <c r="K632" s="184"/>
      <c r="L632" s="184"/>
      <c r="M632" s="184"/>
      <c r="N632" s="184"/>
      <c r="O632" s="184"/>
      <c r="P632" s="435" t="s">
        <v>1467</v>
      </c>
      <c r="Q632" s="154"/>
      <c r="R632" s="56"/>
      <c r="S632" s="277"/>
      <c r="T632" s="361" t="s">
        <v>62</v>
      </c>
      <c r="U632" s="361" t="s">
        <v>816</v>
      </c>
      <c r="AA632" s="7"/>
      <c r="AB632" s="7"/>
      <c r="AC632" s="1411"/>
      <c r="AD632" s="387"/>
    </row>
    <row r="633" spans="6:30" ht="10.5" customHeight="1">
      <c r="F633" s="199"/>
      <c r="G633" s="184"/>
      <c r="H633" s="184"/>
      <c r="I633" s="184"/>
      <c r="J633" s="184"/>
      <c r="K633" s="184"/>
      <c r="L633" s="184"/>
      <c r="M633" s="184"/>
      <c r="N633" s="184"/>
      <c r="O633" s="184"/>
      <c r="P633" s="435" t="s">
        <v>1469</v>
      </c>
      <c r="Q633" s="154"/>
      <c r="R633" s="56"/>
      <c r="S633" s="277"/>
      <c r="T633" s="361" t="s">
        <v>64</v>
      </c>
      <c r="U633" s="361" t="s">
        <v>1385</v>
      </c>
      <c r="AA633" s="7"/>
      <c r="AB633" s="7"/>
      <c r="AC633" s="1408"/>
      <c r="AD633" s="387"/>
    </row>
    <row r="634" spans="6:30" ht="10.5" customHeight="1">
      <c r="F634" s="199"/>
      <c r="G634" s="184"/>
      <c r="H634" s="184"/>
      <c r="I634" s="184"/>
      <c r="J634" s="184"/>
      <c r="K634" s="184"/>
      <c r="L634" s="184"/>
      <c r="M634" s="184"/>
      <c r="N634" s="184"/>
      <c r="O634" s="184"/>
      <c r="P634" s="435" t="s">
        <v>1470</v>
      </c>
      <c r="Q634" s="154"/>
      <c r="R634" s="56"/>
      <c r="S634" s="277"/>
      <c r="T634" s="361" t="s">
        <v>717</v>
      </c>
      <c r="U634" s="361" t="s">
        <v>2202</v>
      </c>
      <c r="AA634" s="7"/>
      <c r="AB634" s="7"/>
      <c r="AC634" s="1408"/>
      <c r="AD634" s="387"/>
    </row>
    <row r="635" spans="6:30" ht="10.5" customHeight="1">
      <c r="F635" s="199"/>
      <c r="G635" s="184"/>
      <c r="H635" s="184"/>
      <c r="I635" s="184"/>
      <c r="J635" s="184"/>
      <c r="K635" s="184"/>
      <c r="L635" s="184"/>
      <c r="M635" s="184"/>
      <c r="N635" s="184"/>
      <c r="O635" s="184"/>
      <c r="P635" s="435" t="s">
        <v>1472</v>
      </c>
      <c r="Q635" s="154"/>
      <c r="R635" s="56"/>
      <c r="S635" s="277"/>
      <c r="T635" s="361" t="s">
        <v>674</v>
      </c>
      <c r="U635" s="361" t="s">
        <v>2208</v>
      </c>
      <c r="AA635" s="7"/>
      <c r="AB635" s="7"/>
      <c r="AC635" s="1408"/>
      <c r="AD635" s="387"/>
    </row>
    <row r="636" spans="6:30" ht="10.5" customHeight="1">
      <c r="F636" s="199"/>
      <c r="G636" s="184"/>
      <c r="H636" s="184"/>
      <c r="I636" s="184"/>
      <c r="J636" s="184"/>
      <c r="K636" s="184"/>
      <c r="L636" s="184"/>
      <c r="M636" s="184"/>
      <c r="N636" s="184"/>
      <c r="O636" s="184"/>
      <c r="P636" s="435" t="s">
        <v>2145</v>
      </c>
      <c r="Q636" s="154"/>
      <c r="R636" s="56"/>
      <c r="S636" s="277"/>
      <c r="T636" s="361" t="s">
        <v>874</v>
      </c>
      <c r="U636" s="361" t="s">
        <v>2244</v>
      </c>
      <c r="AA636" s="7"/>
      <c r="AB636" s="7"/>
      <c r="AC636" s="1408"/>
      <c r="AD636" s="387"/>
    </row>
    <row r="637" spans="6:30" ht="10.5" customHeight="1">
      <c r="F637" s="199"/>
      <c r="G637" s="184"/>
      <c r="H637" s="184"/>
      <c r="I637" s="184"/>
      <c r="J637" s="184"/>
      <c r="K637" s="184"/>
      <c r="L637" s="184"/>
      <c r="M637" s="184"/>
      <c r="N637" s="184"/>
      <c r="O637" s="184"/>
      <c r="P637" s="435" t="s">
        <v>149</v>
      </c>
      <c r="Q637" s="154"/>
      <c r="R637" s="56"/>
      <c r="S637" s="277"/>
      <c r="T637" s="361" t="s">
        <v>992</v>
      </c>
      <c r="U637" s="361" t="s">
        <v>298</v>
      </c>
      <c r="AA637" s="7"/>
      <c r="AB637" s="7"/>
      <c r="AC637" s="1408"/>
      <c r="AD637" s="387"/>
    </row>
    <row r="638" spans="6:30" ht="10.5" customHeight="1">
      <c r="F638" s="199"/>
      <c r="G638" s="184"/>
      <c r="H638" s="184"/>
      <c r="I638" s="184"/>
      <c r="J638" s="184"/>
      <c r="K638" s="184"/>
      <c r="L638" s="184"/>
      <c r="M638" s="184"/>
      <c r="N638" s="184"/>
      <c r="O638" s="184"/>
      <c r="P638" s="435" t="s">
        <v>914</v>
      </c>
      <c r="Q638" s="154"/>
      <c r="R638" s="56"/>
      <c r="S638" s="277"/>
      <c r="T638" s="361" t="s">
        <v>1096</v>
      </c>
      <c r="U638" s="361" t="s">
        <v>1754</v>
      </c>
      <c r="AA638" s="7"/>
      <c r="AB638" s="7"/>
      <c r="AC638" s="1408"/>
      <c r="AD638" s="387"/>
    </row>
    <row r="639" spans="6:30" ht="10.5" customHeight="1">
      <c r="F639" s="199"/>
      <c r="G639" s="184"/>
      <c r="H639" s="184"/>
      <c r="I639" s="184"/>
      <c r="J639" s="184"/>
      <c r="K639" s="184"/>
      <c r="L639" s="184"/>
      <c r="M639" s="184"/>
      <c r="N639" s="184"/>
      <c r="O639" s="184"/>
      <c r="P639" s="435" t="s">
        <v>915</v>
      </c>
      <c r="Q639" s="154"/>
      <c r="R639" s="56"/>
      <c r="S639" s="277"/>
      <c r="T639" s="436" t="s">
        <v>2442</v>
      </c>
      <c r="U639" s="436" t="s">
        <v>1603</v>
      </c>
      <c r="AA639" s="7"/>
      <c r="AB639" s="7"/>
      <c r="AC639" s="1408"/>
      <c r="AD639" s="387"/>
    </row>
    <row r="640" spans="6:30" ht="10.5" customHeight="1">
      <c r="F640" s="199"/>
      <c r="G640" s="184"/>
      <c r="H640" s="184"/>
      <c r="I640" s="184"/>
      <c r="J640" s="184"/>
      <c r="K640" s="184"/>
      <c r="L640" s="184"/>
      <c r="M640" s="184"/>
      <c r="N640" s="184"/>
      <c r="O640" s="184"/>
      <c r="P640" s="435" t="s">
        <v>917</v>
      </c>
      <c r="Q640" s="154"/>
      <c r="R640" s="56"/>
      <c r="S640" s="277"/>
      <c r="T640" s="361" t="s">
        <v>966</v>
      </c>
      <c r="U640" s="361" t="s">
        <v>1017</v>
      </c>
      <c r="AA640" s="7"/>
      <c r="AB640" s="7"/>
      <c r="AC640" s="1411"/>
      <c r="AD640" s="387"/>
    </row>
    <row r="641" spans="6:30" ht="10.5" customHeight="1">
      <c r="F641" s="199"/>
      <c r="G641" s="184"/>
      <c r="H641" s="184"/>
      <c r="I641" s="184"/>
      <c r="J641" s="184"/>
      <c r="K641" s="184"/>
      <c r="L641" s="184"/>
      <c r="M641" s="184"/>
      <c r="N641" s="184"/>
      <c r="O641" s="184"/>
      <c r="P641" s="435" t="s">
        <v>2112</v>
      </c>
      <c r="Q641" s="154"/>
      <c r="R641" s="56"/>
      <c r="S641" s="277"/>
      <c r="T641" s="361" t="s">
        <v>2011</v>
      </c>
      <c r="U641" s="361" t="s">
        <v>1931</v>
      </c>
      <c r="AA641" s="7"/>
      <c r="AB641" s="7"/>
      <c r="AC641" s="1408"/>
      <c r="AD641" s="387"/>
    </row>
    <row r="642" spans="6:30" ht="10.5" customHeight="1">
      <c r="F642" s="199"/>
      <c r="G642" s="184"/>
      <c r="H642" s="184"/>
      <c r="I642" s="184"/>
      <c r="J642" s="184"/>
      <c r="K642" s="184"/>
      <c r="L642" s="184"/>
      <c r="M642" s="184"/>
      <c r="N642" s="184"/>
      <c r="O642" s="184"/>
      <c r="P642" s="435" t="s">
        <v>2237</v>
      </c>
      <c r="Q642" s="154"/>
      <c r="R642" s="56"/>
      <c r="S642" s="277"/>
      <c r="T642" s="361" t="s">
        <v>2013</v>
      </c>
      <c r="U642" s="361" t="s">
        <v>613</v>
      </c>
      <c r="AA642" s="7"/>
      <c r="AB642" s="7"/>
      <c r="AC642" s="1408"/>
      <c r="AD642" s="387"/>
    </row>
    <row r="643" spans="6:30" ht="10.5" customHeight="1">
      <c r="F643" s="199"/>
      <c r="G643" s="184"/>
      <c r="H643" s="184"/>
      <c r="I643" s="184"/>
      <c r="J643" s="184"/>
      <c r="K643" s="184"/>
      <c r="L643" s="184"/>
      <c r="M643" s="184"/>
      <c r="N643" s="184"/>
      <c r="O643" s="184"/>
      <c r="P643" s="435" t="s">
        <v>1804</v>
      </c>
      <c r="Q643" s="154"/>
      <c r="R643" s="56"/>
      <c r="S643" s="277"/>
      <c r="T643" s="361" t="s">
        <v>1594</v>
      </c>
      <c r="U643" s="361" t="s">
        <v>679</v>
      </c>
      <c r="AA643" s="7"/>
      <c r="AB643" s="7"/>
      <c r="AC643" s="1408"/>
      <c r="AD643" s="387"/>
    </row>
    <row r="644" spans="6:30" ht="10.5" customHeight="1">
      <c r="F644" s="199"/>
      <c r="G644" s="184"/>
      <c r="H644" s="184"/>
      <c r="I644" s="184"/>
      <c r="J644" s="184"/>
      <c r="K644" s="184"/>
      <c r="L644" s="184"/>
      <c r="M644" s="184"/>
      <c r="N644" s="184"/>
      <c r="O644" s="184"/>
      <c r="P644" s="435" t="s">
        <v>877</v>
      </c>
      <c r="Q644" s="154"/>
      <c r="R644" s="56"/>
      <c r="S644" s="277"/>
      <c r="T644" s="436" t="s">
        <v>2234</v>
      </c>
      <c r="U644" s="436" t="s">
        <v>1810</v>
      </c>
      <c r="AA644" s="7"/>
      <c r="AB644" s="7"/>
      <c r="AC644" s="1408"/>
      <c r="AD644" s="387"/>
    </row>
    <row r="645" spans="6:30" ht="10.5" customHeight="1">
      <c r="F645" s="199"/>
      <c r="G645" s="184"/>
      <c r="H645" s="184"/>
      <c r="I645" s="184"/>
      <c r="J645" s="184"/>
      <c r="K645" s="184"/>
      <c r="L645" s="184"/>
      <c r="M645" s="184"/>
      <c r="N645" s="184"/>
      <c r="O645" s="184"/>
      <c r="P645" s="435" t="s">
        <v>714</v>
      </c>
      <c r="Q645" s="154"/>
      <c r="R645" s="56"/>
      <c r="S645" s="277"/>
      <c r="T645" s="361" t="s">
        <v>1927</v>
      </c>
      <c r="U645" s="361" t="s">
        <v>1114</v>
      </c>
      <c r="AA645" s="7"/>
      <c r="AB645" s="7"/>
      <c r="AC645" s="1411"/>
      <c r="AD645" s="387"/>
    </row>
    <row r="646" spans="6:30" ht="10.5" customHeight="1">
      <c r="F646" s="199"/>
      <c r="G646" s="184"/>
      <c r="H646" s="184"/>
      <c r="I646" s="184"/>
      <c r="J646" s="184"/>
      <c r="K646" s="184"/>
      <c r="L646" s="184"/>
      <c r="M646" s="184"/>
      <c r="N646" s="184"/>
      <c r="O646" s="184"/>
      <c r="P646" s="435" t="s">
        <v>1346</v>
      </c>
      <c r="Q646" s="154"/>
      <c r="R646" s="56"/>
      <c r="S646" s="277"/>
      <c r="T646" s="361" t="s">
        <v>1465</v>
      </c>
      <c r="U646" s="361" t="s">
        <v>615</v>
      </c>
      <c r="AA646" s="7"/>
      <c r="AB646" s="7"/>
      <c r="AC646" s="1408"/>
      <c r="AD646" s="387"/>
    </row>
    <row r="647" spans="6:30" ht="10.5" customHeight="1">
      <c r="F647" s="199"/>
      <c r="G647" s="184"/>
      <c r="H647" s="184"/>
      <c r="I647" s="184"/>
      <c r="J647" s="184"/>
      <c r="K647" s="184"/>
      <c r="L647" s="184"/>
      <c r="M647" s="184"/>
      <c r="N647" s="184"/>
      <c r="O647" s="184"/>
      <c r="P647" s="435" t="s">
        <v>1348</v>
      </c>
      <c r="Q647" s="154"/>
      <c r="R647" s="56"/>
      <c r="S647" s="277"/>
      <c r="T647" s="361" t="s">
        <v>771</v>
      </c>
      <c r="U647" s="361" t="s">
        <v>1212</v>
      </c>
      <c r="AA647" s="7"/>
      <c r="AB647" s="7"/>
      <c r="AC647" s="1408"/>
      <c r="AD647" s="387"/>
    </row>
    <row r="648" spans="6:30" ht="10.5" customHeight="1">
      <c r="F648" s="199"/>
      <c r="G648" s="184"/>
      <c r="H648" s="184"/>
      <c r="I648" s="184"/>
      <c r="J648" s="184"/>
      <c r="K648" s="184"/>
      <c r="L648" s="184"/>
      <c r="M648" s="184"/>
      <c r="N648" s="184"/>
      <c r="O648" s="184"/>
      <c r="P648" s="435" t="s">
        <v>1350</v>
      </c>
      <c r="Q648" s="154"/>
      <c r="R648" s="56"/>
      <c r="S648" s="277"/>
      <c r="T648" s="361" t="s">
        <v>1468</v>
      </c>
      <c r="U648" s="361" t="s">
        <v>2293</v>
      </c>
      <c r="AA648" s="7"/>
      <c r="AB648" s="7"/>
      <c r="AC648" s="1408"/>
      <c r="AD648" s="387"/>
    </row>
    <row r="649" spans="6:30" ht="10.5" customHeight="1">
      <c r="F649" s="199"/>
      <c r="G649" s="184"/>
      <c r="H649" s="184"/>
      <c r="I649" s="184"/>
      <c r="J649" s="184"/>
      <c r="K649" s="184"/>
      <c r="L649" s="184"/>
      <c r="M649" s="184"/>
      <c r="N649" s="184"/>
      <c r="O649" s="184"/>
      <c r="P649" s="435" t="s">
        <v>1204</v>
      </c>
      <c r="Q649" s="154"/>
      <c r="R649" s="56"/>
      <c r="S649" s="277"/>
      <c r="T649" s="361" t="s">
        <v>1471</v>
      </c>
      <c r="U649" s="361" t="s">
        <v>1482</v>
      </c>
      <c r="AA649" s="7"/>
      <c r="AB649" s="7"/>
      <c r="AC649" s="1408"/>
      <c r="AD649" s="387"/>
    </row>
    <row r="650" spans="6:30" ht="10.5" customHeight="1">
      <c r="F650" s="199"/>
      <c r="G650" s="184"/>
      <c r="H650" s="184"/>
      <c r="I650" s="184"/>
      <c r="J650" s="184"/>
      <c r="K650" s="184"/>
      <c r="L650" s="184"/>
      <c r="M650" s="184"/>
      <c r="N650" s="184"/>
      <c r="O650" s="184"/>
      <c r="P650" s="435" t="s">
        <v>1206</v>
      </c>
      <c r="Q650" s="154"/>
      <c r="R650" s="56"/>
      <c r="S650" s="277"/>
      <c r="T650" s="436" t="s">
        <v>994</v>
      </c>
      <c r="U650" s="436" t="s">
        <v>1385</v>
      </c>
      <c r="AA650" s="7"/>
      <c r="AB650" s="7"/>
      <c r="AC650" s="1408"/>
      <c r="AD650" s="387"/>
    </row>
    <row r="651" spans="6:30" ht="10.5" customHeight="1">
      <c r="F651" s="199"/>
      <c r="G651" s="184"/>
      <c r="H651" s="184"/>
      <c r="I651" s="184"/>
      <c r="J651" s="184"/>
      <c r="K651" s="184"/>
      <c r="L651" s="184"/>
      <c r="M651" s="184"/>
      <c r="N651" s="184"/>
      <c r="O651" s="184"/>
      <c r="P651" s="435" t="s">
        <v>1794</v>
      </c>
      <c r="Q651" s="154"/>
      <c r="R651" s="56"/>
      <c r="S651" s="277"/>
      <c r="T651" s="361" t="s">
        <v>2144</v>
      </c>
      <c r="U651" s="361" t="s">
        <v>98</v>
      </c>
      <c r="AA651" s="7"/>
      <c r="AB651" s="7"/>
      <c r="AC651" s="1411"/>
      <c r="AD651" s="387"/>
    </row>
    <row r="652" spans="6:30" ht="10.5" customHeight="1">
      <c r="F652" s="199"/>
      <c r="G652" s="184"/>
      <c r="H652" s="184"/>
      <c r="I652" s="184"/>
      <c r="J652" s="184"/>
      <c r="K652" s="184"/>
      <c r="L652" s="184"/>
      <c r="M652" s="184"/>
      <c r="N652" s="184"/>
      <c r="O652" s="184"/>
      <c r="P652" s="435" t="s">
        <v>680</v>
      </c>
      <c r="Q652" s="154"/>
      <c r="R652" s="56"/>
      <c r="S652" s="277"/>
      <c r="T652" s="361" t="s">
        <v>754</v>
      </c>
      <c r="U652" s="361" t="s">
        <v>1114</v>
      </c>
      <c r="AA652" s="7"/>
      <c r="AB652" s="7"/>
      <c r="AC652" s="1408"/>
      <c r="AD652" s="387"/>
    </row>
    <row r="653" spans="6:30" ht="10.5" customHeight="1">
      <c r="F653" s="199"/>
      <c r="G653" s="184"/>
      <c r="H653" s="184"/>
      <c r="I653" s="184"/>
      <c r="J653" s="184"/>
      <c r="K653" s="184"/>
      <c r="L653" s="184"/>
      <c r="M653" s="184"/>
      <c r="N653" s="184"/>
      <c r="O653" s="184"/>
      <c r="P653" s="435" t="s">
        <v>1169</v>
      </c>
      <c r="Q653" s="154"/>
      <c r="R653" s="56"/>
      <c r="S653" s="277"/>
      <c r="T653" s="361" t="s">
        <v>1203</v>
      </c>
      <c r="U653" s="361" t="s">
        <v>1717</v>
      </c>
      <c r="AA653" s="7"/>
      <c r="AB653" s="7"/>
      <c r="AC653" s="1408"/>
      <c r="AD653" s="387"/>
    </row>
    <row r="654" spans="6:30" ht="10.5" customHeight="1">
      <c r="F654" s="199"/>
      <c r="G654" s="184"/>
      <c r="H654" s="184"/>
      <c r="I654" s="184"/>
      <c r="J654" s="184"/>
      <c r="K654" s="184"/>
      <c r="L654" s="184"/>
      <c r="M654" s="184"/>
      <c r="N654" s="184"/>
      <c r="O654" s="184"/>
      <c r="P654" s="435" t="s">
        <v>1691</v>
      </c>
      <c r="Q654" s="154"/>
      <c r="R654" s="56"/>
      <c r="S654" s="277"/>
      <c r="T654" s="361" t="s">
        <v>150</v>
      </c>
      <c r="U654" s="361" t="s">
        <v>1228</v>
      </c>
      <c r="AA654" s="7"/>
      <c r="AB654" s="7"/>
      <c r="AC654" s="1408"/>
      <c r="AD654" s="387"/>
    </row>
    <row r="655" spans="6:30" ht="10.5" customHeight="1">
      <c r="F655" s="199"/>
      <c r="G655" s="184"/>
      <c r="H655" s="184"/>
      <c r="I655" s="184"/>
      <c r="J655" s="184"/>
      <c r="K655" s="184"/>
      <c r="L655" s="184"/>
      <c r="M655" s="184"/>
      <c r="N655" s="184"/>
      <c r="O655" s="184"/>
      <c r="P655" s="435" t="s">
        <v>1692</v>
      </c>
      <c r="Q655" s="154"/>
      <c r="R655" s="56"/>
      <c r="S655" s="277"/>
      <c r="T655" s="361" t="s">
        <v>916</v>
      </c>
      <c r="U655" s="361" t="s">
        <v>1495</v>
      </c>
      <c r="AA655" s="7"/>
      <c r="AB655" s="7"/>
      <c r="AC655" s="1408"/>
      <c r="AD655" s="387"/>
    </row>
    <row r="656" spans="6:30" ht="10.5" customHeight="1">
      <c r="F656" s="199"/>
      <c r="G656" s="184"/>
      <c r="H656" s="184"/>
      <c r="I656" s="184"/>
      <c r="J656" s="184"/>
      <c r="K656" s="184"/>
      <c r="L656" s="184"/>
      <c r="M656" s="184"/>
      <c r="N656" s="184"/>
      <c r="O656" s="184"/>
      <c r="P656" s="435" t="s">
        <v>1694</v>
      </c>
      <c r="Q656" s="154"/>
      <c r="R656" s="56"/>
      <c r="S656" s="277"/>
      <c r="T656" s="361" t="s">
        <v>2443</v>
      </c>
      <c r="U656" s="361" t="s">
        <v>304</v>
      </c>
      <c r="AA656" s="7"/>
      <c r="AB656" s="7"/>
      <c r="AC656" s="1408"/>
      <c r="AD656" s="387"/>
    </row>
    <row r="657" spans="6:30" ht="10.5" customHeight="1">
      <c r="F657" s="199"/>
      <c r="G657" s="184"/>
      <c r="H657" s="184"/>
      <c r="I657" s="184"/>
      <c r="J657" s="184"/>
      <c r="K657" s="184"/>
      <c r="L657" s="184"/>
      <c r="M657" s="184"/>
      <c r="N657" s="184"/>
      <c r="O657" s="184"/>
      <c r="P657" s="435" t="s">
        <v>1696</v>
      </c>
      <c r="Q657" s="154"/>
      <c r="R657" s="56"/>
      <c r="S657" s="277"/>
      <c r="T657" s="361" t="s">
        <v>2444</v>
      </c>
      <c r="U657" s="361" t="s">
        <v>106</v>
      </c>
      <c r="AA657" s="7"/>
      <c r="AB657" s="7"/>
      <c r="AC657" s="1408"/>
      <c r="AD657" s="387"/>
    </row>
    <row r="658" spans="6:30" ht="10.5" customHeight="1">
      <c r="F658" s="199"/>
      <c r="G658" s="184"/>
      <c r="H658" s="184"/>
      <c r="I658" s="184"/>
      <c r="J658" s="184"/>
      <c r="K658" s="184"/>
      <c r="L658" s="184"/>
      <c r="M658" s="184"/>
      <c r="N658" s="184"/>
      <c r="O658" s="184"/>
      <c r="P658" s="435" t="s">
        <v>1698</v>
      </c>
      <c r="Q658" s="154"/>
      <c r="R658" s="56"/>
      <c r="S658" s="277"/>
      <c r="T658" s="361" t="s">
        <v>1225</v>
      </c>
      <c r="U658" s="361" t="s">
        <v>141</v>
      </c>
      <c r="AA658" s="7"/>
      <c r="AB658" s="7"/>
      <c r="AC658" s="1408"/>
      <c r="AD658" s="387"/>
    </row>
    <row r="659" spans="6:30" ht="10.5" customHeight="1">
      <c r="F659" s="199"/>
      <c r="G659" s="184"/>
      <c r="H659" s="184"/>
      <c r="I659" s="184"/>
      <c r="J659" s="184"/>
      <c r="K659" s="184"/>
      <c r="L659" s="184"/>
      <c r="M659" s="184"/>
      <c r="N659" s="184"/>
      <c r="O659" s="184"/>
      <c r="P659" s="435" t="s">
        <v>470</v>
      </c>
      <c r="Q659" s="154"/>
      <c r="R659" s="56"/>
      <c r="S659" s="277"/>
      <c r="T659" s="361" t="s">
        <v>2238</v>
      </c>
      <c r="U659" s="361" t="s">
        <v>810</v>
      </c>
      <c r="AA659" s="7"/>
      <c r="AB659" s="7"/>
      <c r="AC659" s="1408"/>
      <c r="AD659" s="387"/>
    </row>
    <row r="660" spans="6:30" ht="10.5" customHeight="1">
      <c r="F660" s="199"/>
      <c r="G660" s="184"/>
      <c r="H660" s="184"/>
      <c r="I660" s="184"/>
      <c r="J660" s="184"/>
      <c r="K660" s="184"/>
      <c r="L660" s="184"/>
      <c r="M660" s="184"/>
      <c r="N660" s="184"/>
      <c r="O660" s="184"/>
      <c r="P660" s="435" t="s">
        <v>2247</v>
      </c>
      <c r="Q660" s="154"/>
      <c r="R660" s="56"/>
      <c r="S660" s="277"/>
      <c r="T660" s="361" t="s">
        <v>995</v>
      </c>
      <c r="U660" s="361" t="s">
        <v>584</v>
      </c>
      <c r="AA660" s="7"/>
      <c r="AB660" s="7"/>
      <c r="AC660" s="1408"/>
      <c r="AD660" s="387"/>
    </row>
    <row r="661" spans="6:30" ht="10.5" customHeight="1">
      <c r="F661" s="199"/>
      <c r="G661" s="184"/>
      <c r="H661" s="184"/>
      <c r="I661" s="184"/>
      <c r="J661" s="184"/>
      <c r="K661" s="184"/>
      <c r="L661" s="184"/>
      <c r="M661" s="184"/>
      <c r="N661" s="184"/>
      <c r="O661" s="184"/>
      <c r="P661" s="435" t="s">
        <v>2249</v>
      </c>
      <c r="Q661" s="154"/>
      <c r="R661" s="56"/>
      <c r="S661" s="277"/>
      <c r="T661" s="436" t="s">
        <v>1931</v>
      </c>
      <c r="U661" s="436" t="s">
        <v>100</v>
      </c>
      <c r="AA661" s="7"/>
      <c r="AB661" s="7"/>
      <c r="AC661" s="1408"/>
      <c r="AD661" s="387"/>
    </row>
    <row r="662" spans="6:30" ht="10.5" customHeight="1">
      <c r="F662" s="199"/>
      <c r="G662" s="184"/>
      <c r="H662" s="184"/>
      <c r="I662" s="184"/>
      <c r="J662" s="184"/>
      <c r="K662" s="184"/>
      <c r="L662" s="184"/>
      <c r="M662" s="184"/>
      <c r="N662" s="184"/>
      <c r="O662" s="184"/>
      <c r="P662" s="435" t="s">
        <v>1070</v>
      </c>
      <c r="Q662" s="154"/>
      <c r="R662" s="56"/>
      <c r="S662" s="277"/>
      <c r="T662" s="361" t="s">
        <v>2382</v>
      </c>
      <c r="U662" s="361" t="s">
        <v>1461</v>
      </c>
      <c r="AA662" s="7"/>
      <c r="AB662" s="7"/>
      <c r="AC662" s="1411"/>
      <c r="AD662" s="387"/>
    </row>
    <row r="663" spans="6:30" ht="10.5" customHeight="1">
      <c r="F663" s="199"/>
      <c r="G663" s="184"/>
      <c r="H663" s="184"/>
      <c r="I663" s="184"/>
      <c r="J663" s="184"/>
      <c r="K663" s="184"/>
      <c r="L663" s="184"/>
      <c r="M663" s="184"/>
      <c r="N663" s="184"/>
      <c r="O663" s="184"/>
      <c r="P663" s="435" t="s">
        <v>2229</v>
      </c>
      <c r="Q663" s="154"/>
      <c r="R663" s="56"/>
      <c r="S663" s="277"/>
      <c r="T663" s="361" t="s">
        <v>1347</v>
      </c>
      <c r="U663" s="361" t="s">
        <v>2243</v>
      </c>
      <c r="AA663" s="7"/>
      <c r="AB663" s="7"/>
      <c r="AC663" s="1408"/>
      <c r="AD663" s="387"/>
    </row>
    <row r="664" spans="6:30" ht="10.5" customHeight="1">
      <c r="F664" s="199"/>
      <c r="G664" s="184"/>
      <c r="H664" s="184"/>
      <c r="I664" s="184"/>
      <c r="J664" s="184"/>
      <c r="K664" s="184"/>
      <c r="L664" s="184"/>
      <c r="M664" s="184"/>
      <c r="N664" s="184"/>
      <c r="O664" s="184"/>
      <c r="P664" s="435" t="s">
        <v>2231</v>
      </c>
      <c r="Q664" s="154"/>
      <c r="R664" s="56"/>
      <c r="S664" s="277"/>
      <c r="T664" s="361" t="s">
        <v>2445</v>
      </c>
      <c r="U664" s="361" t="s">
        <v>1754</v>
      </c>
      <c r="AA664" s="7"/>
      <c r="AB664" s="7"/>
      <c r="AC664" s="1408"/>
      <c r="AD664" s="387"/>
    </row>
    <row r="665" spans="6:30" ht="10.5" customHeight="1">
      <c r="F665" s="199"/>
      <c r="G665" s="184"/>
      <c r="H665" s="184"/>
      <c r="I665" s="184"/>
      <c r="J665" s="184"/>
      <c r="K665" s="184"/>
      <c r="L665" s="184"/>
      <c r="M665" s="184"/>
      <c r="N665" s="184"/>
      <c r="O665" s="184"/>
      <c r="P665" s="435" t="s">
        <v>1394</v>
      </c>
      <c r="Q665" s="154"/>
      <c r="R665" s="56"/>
      <c r="S665" s="277"/>
      <c r="T665" s="361" t="s">
        <v>1349</v>
      </c>
      <c r="U665" s="361" t="s">
        <v>303</v>
      </c>
      <c r="AA665" s="7"/>
      <c r="AB665" s="7"/>
      <c r="AC665" s="1408"/>
      <c r="AD665" s="387"/>
    </row>
    <row r="666" spans="6:30" ht="10.5" customHeight="1">
      <c r="F666" s="199"/>
      <c r="G666" s="184"/>
      <c r="H666" s="184"/>
      <c r="I666" s="184"/>
      <c r="J666" s="184"/>
      <c r="K666" s="184"/>
      <c r="L666" s="184"/>
      <c r="M666" s="184"/>
      <c r="N666" s="184"/>
      <c r="O666" s="184"/>
      <c r="P666" s="435" t="s">
        <v>1395</v>
      </c>
      <c r="Q666" s="154"/>
      <c r="R666" s="56"/>
      <c r="S666" s="277"/>
      <c r="T666" s="361" t="s">
        <v>996</v>
      </c>
      <c r="U666" s="361" t="s">
        <v>613</v>
      </c>
      <c r="AA666" s="7"/>
      <c r="AB666" s="7"/>
      <c r="AC666" s="1408"/>
      <c r="AD666" s="387"/>
    </row>
    <row r="667" spans="6:30" ht="10.5" customHeight="1">
      <c r="F667" s="199"/>
      <c r="G667" s="184"/>
      <c r="H667" s="184"/>
      <c r="I667" s="184"/>
      <c r="J667" s="184"/>
      <c r="K667" s="184"/>
      <c r="L667" s="184"/>
      <c r="M667" s="184"/>
      <c r="N667" s="184"/>
      <c r="O667" s="184"/>
      <c r="P667" s="435" t="s">
        <v>1878</v>
      </c>
      <c r="Q667" s="154"/>
      <c r="R667" s="56"/>
      <c r="S667" s="277"/>
      <c r="T667" s="361" t="s">
        <v>1205</v>
      </c>
      <c r="U667" s="361" t="s">
        <v>1944</v>
      </c>
      <c r="AA667" s="7"/>
      <c r="AB667" s="7"/>
      <c r="AC667" s="1408"/>
      <c r="AD667" s="387"/>
    </row>
    <row r="668" spans="6:30" ht="10.5" customHeight="1">
      <c r="F668" s="199"/>
      <c r="G668" s="184"/>
      <c r="H668" s="184"/>
      <c r="I668" s="184"/>
      <c r="J668" s="184"/>
      <c r="K668" s="184"/>
      <c r="L668" s="184"/>
      <c r="M668" s="184"/>
      <c r="N668" s="184"/>
      <c r="O668" s="184"/>
      <c r="P668" s="435" t="s">
        <v>1879</v>
      </c>
      <c r="Q668" s="154"/>
      <c r="R668" s="56"/>
      <c r="S668" s="277"/>
      <c r="T668" s="361" t="s">
        <v>1207</v>
      </c>
      <c r="U668" s="361" t="s">
        <v>2243</v>
      </c>
      <c r="AA668" s="7"/>
      <c r="AB668" s="7"/>
      <c r="AC668" s="1408"/>
      <c r="AD668" s="387"/>
    </row>
    <row r="669" spans="6:30" ht="10.5" customHeight="1">
      <c r="F669" s="199"/>
      <c r="G669" s="184"/>
      <c r="H669" s="184"/>
      <c r="I669" s="184"/>
      <c r="J669" s="184"/>
      <c r="K669" s="184"/>
      <c r="L669" s="184"/>
      <c r="M669" s="184"/>
      <c r="N669" s="184"/>
      <c r="O669" s="184"/>
      <c r="P669" s="435" t="s">
        <v>1473</v>
      </c>
      <c r="Q669" s="154"/>
      <c r="R669" s="56"/>
      <c r="S669" s="277"/>
      <c r="T669" s="361" t="s">
        <v>1795</v>
      </c>
      <c r="U669" s="361" t="s">
        <v>1027</v>
      </c>
      <c r="AA669" s="7"/>
      <c r="AB669" s="7"/>
      <c r="AC669" s="1408"/>
      <c r="AD669" s="387"/>
    </row>
    <row r="670" spans="6:30" ht="10.5" customHeight="1">
      <c r="F670" s="199"/>
      <c r="G670" s="184"/>
      <c r="H670" s="184"/>
      <c r="I670" s="184"/>
      <c r="J670" s="184"/>
      <c r="K670" s="184"/>
      <c r="L670" s="184"/>
      <c r="M670" s="184"/>
      <c r="N670" s="184"/>
      <c r="O670" s="184"/>
      <c r="P670" s="435" t="s">
        <v>1475</v>
      </c>
      <c r="Q670" s="154"/>
      <c r="R670" s="56"/>
      <c r="S670" s="277"/>
      <c r="T670" s="361" t="s">
        <v>681</v>
      </c>
      <c r="U670" s="361" t="s">
        <v>293</v>
      </c>
      <c r="AA670" s="7"/>
      <c r="AB670" s="7"/>
      <c r="AC670" s="1408"/>
      <c r="AD670" s="387"/>
    </row>
    <row r="671" spans="6:30" ht="10.5" customHeight="1">
      <c r="F671" s="199"/>
      <c r="G671" s="184"/>
      <c r="H671" s="184"/>
      <c r="I671" s="184"/>
      <c r="J671" s="184"/>
      <c r="K671" s="184"/>
      <c r="L671" s="184"/>
      <c r="M671" s="184"/>
      <c r="N671" s="184"/>
      <c r="O671" s="184"/>
      <c r="P671" s="435" t="s">
        <v>869</v>
      </c>
      <c r="Q671" s="154"/>
      <c r="R671" s="56"/>
      <c r="S671" s="277"/>
      <c r="T671" s="361" t="s">
        <v>1170</v>
      </c>
      <c r="U671" s="361" t="s">
        <v>626</v>
      </c>
      <c r="AA671" s="7"/>
      <c r="AB671" s="7"/>
      <c r="AC671" s="1408"/>
      <c r="AD671" s="387"/>
    </row>
    <row r="672" spans="6:30" ht="10.5" customHeight="1">
      <c r="F672" s="199"/>
      <c r="G672" s="184"/>
      <c r="H672" s="184"/>
      <c r="I672" s="184"/>
      <c r="J672" s="184"/>
      <c r="K672" s="184"/>
      <c r="L672" s="184"/>
      <c r="M672" s="184"/>
      <c r="N672" s="184"/>
      <c r="O672" s="184"/>
      <c r="P672" s="435" t="s">
        <v>871</v>
      </c>
      <c r="Q672" s="154"/>
      <c r="R672" s="56"/>
      <c r="S672" s="277"/>
      <c r="T672" s="361" t="s">
        <v>997</v>
      </c>
      <c r="U672" s="361" t="s">
        <v>141</v>
      </c>
      <c r="AA672" s="7"/>
      <c r="AB672" s="7"/>
      <c r="AC672" s="1408"/>
      <c r="AD672" s="387"/>
    </row>
    <row r="673" spans="6:30" ht="10.5" customHeight="1">
      <c r="F673" s="199"/>
      <c r="G673" s="184"/>
      <c r="H673" s="184"/>
      <c r="I673" s="184"/>
      <c r="J673" s="184"/>
      <c r="K673" s="184"/>
      <c r="L673" s="184"/>
      <c r="M673" s="184"/>
      <c r="N673" s="184"/>
      <c r="O673" s="184"/>
      <c r="P673" s="435" t="s">
        <v>873</v>
      </c>
      <c r="Q673" s="154"/>
      <c r="R673" s="56"/>
      <c r="S673" s="277"/>
      <c r="T673" s="436" t="s">
        <v>1693</v>
      </c>
      <c r="U673" s="436" t="s">
        <v>1025</v>
      </c>
      <c r="AA673" s="7"/>
      <c r="AB673" s="7"/>
      <c r="AC673" s="1408"/>
      <c r="AD673" s="387"/>
    </row>
    <row r="674" spans="6:30" ht="10.5" customHeight="1">
      <c r="F674" s="199"/>
      <c r="G674" s="184"/>
      <c r="H674" s="184"/>
      <c r="I674" s="184"/>
      <c r="J674" s="184"/>
      <c r="K674" s="184"/>
      <c r="L674" s="184"/>
      <c r="M674" s="184"/>
      <c r="N674" s="184"/>
      <c r="O674" s="184"/>
      <c r="P674" s="435" t="s">
        <v>2218</v>
      </c>
      <c r="Q674" s="154"/>
      <c r="R674" s="56"/>
      <c r="S674" s="277"/>
      <c r="T674" s="436" t="s">
        <v>1695</v>
      </c>
      <c r="U674" s="436" t="s">
        <v>1336</v>
      </c>
      <c r="AA674" s="7"/>
      <c r="AB674" s="7"/>
      <c r="AC674" s="1411"/>
      <c r="AD674" s="387"/>
    </row>
    <row r="675" spans="6:30" ht="10.5" customHeight="1">
      <c r="F675" s="199"/>
      <c r="G675" s="184"/>
      <c r="H675" s="184"/>
      <c r="I675" s="184"/>
      <c r="J675" s="184"/>
      <c r="K675" s="184"/>
      <c r="L675" s="184"/>
      <c r="M675" s="184"/>
      <c r="N675" s="184"/>
      <c r="O675" s="184"/>
      <c r="P675" s="435" t="s">
        <v>2220</v>
      </c>
      <c r="Q675" s="154"/>
      <c r="R675" s="56"/>
      <c r="S675" s="277"/>
      <c r="T675" s="361" t="s">
        <v>1697</v>
      </c>
      <c r="U675" s="361" t="s">
        <v>2205</v>
      </c>
      <c r="AA675" s="7"/>
      <c r="AB675" s="7"/>
      <c r="AC675" s="1411"/>
      <c r="AD675" s="387"/>
    </row>
    <row r="676" spans="6:30" ht="10.5" customHeight="1">
      <c r="F676" s="199"/>
      <c r="G676" s="184"/>
      <c r="H676" s="184"/>
      <c r="I676" s="184"/>
      <c r="J676" s="184"/>
      <c r="K676" s="184"/>
      <c r="L676" s="184"/>
      <c r="M676" s="184"/>
      <c r="N676" s="184"/>
      <c r="O676" s="184"/>
      <c r="P676" s="435" t="s">
        <v>2221</v>
      </c>
      <c r="Q676" s="154"/>
      <c r="R676" s="56"/>
      <c r="S676" s="277"/>
      <c r="T676" s="361" t="s">
        <v>1699</v>
      </c>
      <c r="U676" s="361" t="s">
        <v>112</v>
      </c>
      <c r="AA676" s="7"/>
      <c r="AB676" s="7"/>
      <c r="AC676" s="1408"/>
      <c r="AD676" s="387"/>
    </row>
    <row r="677" spans="6:30" ht="10.5" customHeight="1">
      <c r="F677" s="199"/>
      <c r="G677" s="184"/>
      <c r="H677" s="184"/>
      <c r="I677" s="184"/>
      <c r="J677" s="184"/>
      <c r="K677" s="184"/>
      <c r="L677" s="184"/>
      <c r="M677" s="184"/>
      <c r="N677" s="184"/>
      <c r="O677" s="184"/>
      <c r="P677" s="435" t="s">
        <v>1710</v>
      </c>
      <c r="Q677" s="154"/>
      <c r="R677" s="56"/>
      <c r="S677" s="277"/>
      <c r="T677" s="361" t="s">
        <v>471</v>
      </c>
      <c r="U677" s="361" t="s">
        <v>1811</v>
      </c>
      <c r="AA677" s="7"/>
      <c r="AB677" s="7"/>
      <c r="AC677" s="1408"/>
      <c r="AD677" s="387"/>
    </row>
    <row r="678" spans="6:30" ht="10.5" customHeight="1">
      <c r="F678" s="199"/>
      <c r="G678" s="184"/>
      <c r="H678" s="184"/>
      <c r="I678" s="184"/>
      <c r="J678" s="184"/>
      <c r="K678" s="184"/>
      <c r="L678" s="184"/>
      <c r="M678" s="184"/>
      <c r="N678" s="184"/>
      <c r="O678" s="184"/>
      <c r="P678" s="435" t="s">
        <v>1711</v>
      </c>
      <c r="Q678" s="154"/>
      <c r="R678" s="56"/>
      <c r="S678" s="277"/>
      <c r="T678" s="361" t="s">
        <v>2248</v>
      </c>
      <c r="U678" s="361" t="s">
        <v>1721</v>
      </c>
      <c r="AA678" s="7"/>
      <c r="AB678" s="7"/>
      <c r="AC678" s="1408"/>
      <c r="AD678" s="387"/>
    </row>
    <row r="679" spans="6:30" ht="10.5" customHeight="1">
      <c r="F679" s="199"/>
      <c r="G679" s="184"/>
      <c r="H679" s="184"/>
      <c r="I679" s="184"/>
      <c r="J679" s="184"/>
      <c r="K679" s="184"/>
      <c r="L679" s="184"/>
      <c r="M679" s="184"/>
      <c r="N679" s="184"/>
      <c r="O679" s="184"/>
      <c r="P679" s="435" t="s">
        <v>1713</v>
      </c>
      <c r="Q679" s="154"/>
      <c r="R679" s="56"/>
      <c r="S679" s="277"/>
      <c r="T679" s="361" t="s">
        <v>3642</v>
      </c>
      <c r="U679" s="361" t="s">
        <v>1114</v>
      </c>
      <c r="AA679" s="7"/>
      <c r="AB679" s="7"/>
      <c r="AC679" s="1408"/>
      <c r="AD679" s="387"/>
    </row>
    <row r="680" spans="6:30" ht="10.5" customHeight="1">
      <c r="F680" s="199"/>
      <c r="G680" s="184"/>
      <c r="H680" s="184"/>
      <c r="I680" s="184"/>
      <c r="J680" s="184"/>
      <c r="K680" s="184"/>
      <c r="L680" s="184"/>
      <c r="M680" s="184"/>
      <c r="N680" s="184"/>
      <c r="O680" s="184"/>
      <c r="P680" s="435" t="s">
        <v>597</v>
      </c>
      <c r="Q680" s="154"/>
      <c r="R680" s="56"/>
      <c r="S680" s="277"/>
      <c r="T680" s="361" t="s">
        <v>2250</v>
      </c>
      <c r="U680" s="361" t="s">
        <v>2241</v>
      </c>
      <c r="AA680" s="7"/>
      <c r="AB680" s="7"/>
      <c r="AC680" s="1408"/>
      <c r="AD680" s="387"/>
    </row>
    <row r="681" spans="6:30" ht="10.5" customHeight="1">
      <c r="F681" s="199"/>
      <c r="G681" s="184"/>
      <c r="H681" s="184"/>
      <c r="I681" s="184"/>
      <c r="J681" s="184"/>
      <c r="K681" s="184"/>
      <c r="L681" s="184"/>
      <c r="M681" s="184"/>
      <c r="N681" s="184"/>
      <c r="O681" s="184"/>
      <c r="P681" s="435" t="s">
        <v>599</v>
      </c>
      <c r="Q681" s="154"/>
      <c r="R681" s="56"/>
      <c r="S681" s="277"/>
      <c r="T681" s="361" t="s">
        <v>1071</v>
      </c>
      <c r="U681" s="361" t="s">
        <v>290</v>
      </c>
      <c r="AA681" s="7"/>
      <c r="AB681" s="7"/>
      <c r="AC681" s="1408"/>
      <c r="AD681" s="387"/>
    </row>
    <row r="682" spans="6:30" ht="10.5" customHeight="1">
      <c r="F682" s="199"/>
      <c r="G682" s="184"/>
      <c r="H682" s="184"/>
      <c r="I682" s="184"/>
      <c r="J682" s="184"/>
      <c r="K682" s="184"/>
      <c r="L682" s="184"/>
      <c r="M682" s="184"/>
      <c r="N682" s="184"/>
      <c r="O682" s="184"/>
      <c r="P682" s="435" t="s">
        <v>600</v>
      </c>
      <c r="Q682" s="154"/>
      <c r="R682" s="56"/>
      <c r="S682" s="277"/>
      <c r="T682" s="361" t="s">
        <v>2230</v>
      </c>
      <c r="U682" s="361" t="s">
        <v>816</v>
      </c>
      <c r="AA682" s="7"/>
      <c r="AB682" s="7"/>
      <c r="AC682" s="1408"/>
      <c r="AD682" s="387"/>
    </row>
    <row r="683" spans="6:30" ht="10.5" customHeight="1">
      <c r="F683" s="199"/>
      <c r="G683" s="184"/>
      <c r="H683" s="184"/>
      <c r="I683" s="184"/>
      <c r="J683" s="184"/>
      <c r="K683" s="184"/>
      <c r="L683" s="184"/>
      <c r="M683" s="184"/>
      <c r="N683" s="184"/>
      <c r="O683" s="184"/>
      <c r="P683" s="435" t="s">
        <v>2051</v>
      </c>
      <c r="Q683" s="154"/>
      <c r="R683" s="56"/>
      <c r="S683" s="277"/>
      <c r="T683" s="361" t="s">
        <v>755</v>
      </c>
      <c r="U683" s="361" t="s">
        <v>1233</v>
      </c>
      <c r="AA683" s="7"/>
      <c r="AB683" s="7"/>
      <c r="AC683" s="1408"/>
      <c r="AD683" s="387"/>
    </row>
    <row r="684" spans="6:30" ht="10.5" customHeight="1">
      <c r="F684" s="199"/>
      <c r="G684" s="184"/>
      <c r="H684" s="184"/>
      <c r="I684" s="184"/>
      <c r="J684" s="184"/>
      <c r="K684" s="184"/>
      <c r="L684" s="184"/>
      <c r="M684" s="184"/>
      <c r="N684" s="184"/>
      <c r="O684" s="184"/>
      <c r="P684" s="435" t="s">
        <v>66</v>
      </c>
      <c r="Q684" s="154"/>
      <c r="R684" s="56"/>
      <c r="S684" s="277"/>
      <c r="T684" s="361" t="s">
        <v>993</v>
      </c>
      <c r="U684" s="361" t="s">
        <v>621</v>
      </c>
      <c r="AA684" s="7"/>
      <c r="AB684" s="7"/>
      <c r="AC684" s="1408"/>
      <c r="AD684" s="387"/>
    </row>
    <row r="685" spans="6:30" ht="10.5" customHeight="1">
      <c r="F685" s="199"/>
      <c r="G685" s="184"/>
      <c r="H685" s="184"/>
      <c r="I685" s="184"/>
      <c r="J685" s="184"/>
      <c r="K685" s="184"/>
      <c r="L685" s="184"/>
      <c r="M685" s="184"/>
      <c r="N685" s="184"/>
      <c r="O685" s="184"/>
      <c r="P685" s="435" t="s">
        <v>1301</v>
      </c>
      <c r="Q685" s="154"/>
      <c r="R685" s="56"/>
      <c r="S685" s="277"/>
      <c r="T685" s="361" t="s">
        <v>1396</v>
      </c>
      <c r="U685" s="361" t="s">
        <v>306</v>
      </c>
      <c r="AA685" s="7"/>
      <c r="AB685" s="7"/>
      <c r="AC685" s="1408"/>
      <c r="AD685" s="387"/>
    </row>
    <row r="686" spans="6:30" ht="10.5" customHeight="1">
      <c r="F686" s="199"/>
      <c r="G686" s="184"/>
      <c r="H686" s="184"/>
      <c r="I686" s="184"/>
      <c r="J686" s="184"/>
      <c r="K686" s="184"/>
      <c r="L686" s="184"/>
      <c r="M686" s="184"/>
      <c r="N686" s="184"/>
      <c r="O686" s="184"/>
      <c r="P686" s="435" t="s">
        <v>2002</v>
      </c>
      <c r="Q686" s="154"/>
      <c r="R686" s="56"/>
      <c r="S686" s="277"/>
      <c r="T686" s="361" t="s">
        <v>2446</v>
      </c>
      <c r="U686" s="361" t="s">
        <v>815</v>
      </c>
      <c r="AA686" s="7"/>
      <c r="AB686" s="7"/>
      <c r="AC686" s="1408"/>
      <c r="AD686" s="387"/>
    </row>
    <row r="687" spans="6:30" ht="10.5" customHeight="1">
      <c r="F687" s="199"/>
      <c r="G687" s="184"/>
      <c r="H687" s="184"/>
      <c r="I687" s="184"/>
      <c r="J687" s="184"/>
      <c r="K687" s="184"/>
      <c r="L687" s="184"/>
      <c r="M687" s="184"/>
      <c r="N687" s="184"/>
      <c r="O687" s="184"/>
      <c r="P687" s="435" t="s">
        <v>2004</v>
      </c>
      <c r="Q687" s="154"/>
      <c r="R687" s="56"/>
      <c r="S687" s="277"/>
      <c r="T687" s="361" t="s">
        <v>1880</v>
      </c>
      <c r="U687" s="361" t="s">
        <v>1226</v>
      </c>
      <c r="AA687" s="7"/>
      <c r="AB687" s="7"/>
      <c r="AC687" s="1408"/>
      <c r="AD687" s="387"/>
    </row>
    <row r="688" spans="6:30" ht="10.5" customHeight="1">
      <c r="F688" s="199"/>
      <c r="G688" s="184"/>
      <c r="H688" s="184"/>
      <c r="I688" s="184"/>
      <c r="J688" s="184"/>
      <c r="K688" s="184"/>
      <c r="L688" s="184"/>
      <c r="M688" s="184"/>
      <c r="N688" s="184"/>
      <c r="O688" s="184"/>
      <c r="P688" s="435" t="s">
        <v>1624</v>
      </c>
      <c r="Q688" s="154"/>
      <c r="R688" s="56"/>
      <c r="S688" s="277"/>
      <c r="T688" s="361" t="s">
        <v>1474</v>
      </c>
      <c r="U688" s="361" t="s">
        <v>1212</v>
      </c>
      <c r="AA688" s="7"/>
      <c r="AB688" s="7"/>
      <c r="AC688" s="1408"/>
      <c r="AD688" s="387"/>
    </row>
    <row r="689" spans="6:30" ht="10.5" customHeight="1">
      <c r="F689" s="199"/>
      <c r="G689" s="184"/>
      <c r="H689" s="184"/>
      <c r="I689" s="184"/>
      <c r="J689" s="184"/>
      <c r="K689" s="184"/>
      <c r="L689" s="184"/>
      <c r="M689" s="184"/>
      <c r="N689" s="184"/>
      <c r="O689" s="184"/>
      <c r="P689" s="435" t="s">
        <v>1037</v>
      </c>
      <c r="Q689" s="154"/>
      <c r="R689" s="56"/>
      <c r="S689" s="277"/>
      <c r="T689" s="361" t="s">
        <v>870</v>
      </c>
      <c r="U689" s="361" t="s">
        <v>1989</v>
      </c>
      <c r="AA689" s="7"/>
      <c r="AB689" s="7"/>
      <c r="AC689" s="1408"/>
      <c r="AD689" s="387"/>
    </row>
    <row r="690" spans="6:30" ht="10.5" customHeight="1">
      <c r="F690" s="199"/>
      <c r="G690" s="184"/>
      <c r="H690" s="184"/>
      <c r="I690" s="184"/>
      <c r="J690" s="184"/>
      <c r="K690" s="184"/>
      <c r="L690" s="184"/>
      <c r="M690" s="184"/>
      <c r="N690" s="184"/>
      <c r="O690" s="184"/>
      <c r="P690" s="435" t="s">
        <v>1832</v>
      </c>
      <c r="Q690" s="154"/>
      <c r="R690" s="56"/>
      <c r="S690" s="277"/>
      <c r="T690" s="361" t="s">
        <v>872</v>
      </c>
      <c r="U690" s="361" t="s">
        <v>297</v>
      </c>
      <c r="AA690" s="7"/>
      <c r="AB690" s="7"/>
      <c r="AC690" s="1408"/>
      <c r="AD690" s="387"/>
    </row>
    <row r="691" spans="6:30" ht="10.5" customHeight="1">
      <c r="F691" s="199"/>
      <c r="G691" s="184"/>
      <c r="H691" s="184"/>
      <c r="I691" s="184"/>
      <c r="J691" s="184"/>
      <c r="K691" s="184"/>
      <c r="L691" s="184"/>
      <c r="M691" s="184"/>
      <c r="N691" s="184"/>
      <c r="O691" s="184"/>
      <c r="P691" s="435" t="s">
        <v>1771</v>
      </c>
      <c r="Q691" s="154"/>
      <c r="R691" s="56"/>
      <c r="S691" s="277"/>
      <c r="T691" s="361" t="s">
        <v>2219</v>
      </c>
      <c r="U691" s="361" t="s">
        <v>584</v>
      </c>
      <c r="AA691" s="7"/>
      <c r="AB691" s="7"/>
      <c r="AC691" s="1408"/>
      <c r="AD691" s="387"/>
    </row>
    <row r="692" spans="6:30" ht="10.5" customHeight="1">
      <c r="F692" s="199"/>
      <c r="G692" s="184"/>
      <c r="H692" s="184"/>
      <c r="I692" s="184"/>
      <c r="J692" s="184"/>
      <c r="K692" s="184"/>
      <c r="L692" s="184"/>
      <c r="M692" s="184"/>
      <c r="N692" s="184"/>
      <c r="O692" s="184"/>
      <c r="P692" s="435" t="s">
        <v>1773</v>
      </c>
      <c r="Q692" s="154"/>
      <c r="R692" s="56"/>
      <c r="S692" s="277"/>
      <c r="T692" s="361" t="s">
        <v>3643</v>
      </c>
      <c r="U692" s="361" t="s">
        <v>584</v>
      </c>
      <c r="AA692" s="7"/>
      <c r="AB692" s="7"/>
      <c r="AC692" s="1408"/>
      <c r="AD692" s="387"/>
    </row>
    <row r="693" spans="6:30" ht="10.5" customHeight="1">
      <c r="F693" s="199"/>
      <c r="G693" s="184"/>
      <c r="H693" s="184"/>
      <c r="I693" s="184"/>
      <c r="J693" s="184"/>
      <c r="K693" s="184"/>
      <c r="L693" s="184"/>
      <c r="M693" s="184"/>
      <c r="N693" s="184"/>
      <c r="O693" s="184"/>
      <c r="P693" s="435" t="s">
        <v>1775</v>
      </c>
      <c r="Q693" s="154"/>
      <c r="R693" s="56"/>
      <c r="S693" s="277"/>
      <c r="T693" s="361" t="s">
        <v>1709</v>
      </c>
      <c r="U693" s="361" t="s">
        <v>112</v>
      </c>
      <c r="AA693" s="7"/>
      <c r="AB693" s="7"/>
      <c r="AC693" s="1408"/>
      <c r="AD693" s="387"/>
    </row>
    <row r="694" spans="6:30" ht="10.5" customHeight="1">
      <c r="F694" s="199"/>
      <c r="G694" s="184"/>
      <c r="H694" s="184"/>
      <c r="I694" s="184"/>
      <c r="J694" s="184"/>
      <c r="K694" s="184"/>
      <c r="L694" s="184"/>
      <c r="M694" s="184"/>
      <c r="N694" s="184"/>
      <c r="O694" s="184"/>
      <c r="P694" s="435" t="s">
        <v>463</v>
      </c>
      <c r="Q694" s="154"/>
      <c r="R694" s="56"/>
      <c r="S694" s="277"/>
      <c r="T694" s="361" t="s">
        <v>1712</v>
      </c>
      <c r="U694" s="361" t="s">
        <v>1989</v>
      </c>
      <c r="AA694" s="7"/>
      <c r="AB694" s="7"/>
      <c r="AC694" s="1408"/>
      <c r="AD694" s="387"/>
    </row>
    <row r="695" spans="6:30" ht="10.5" customHeight="1">
      <c r="F695" s="199"/>
      <c r="G695" s="184"/>
      <c r="H695" s="184"/>
      <c r="I695" s="184"/>
      <c r="J695" s="184"/>
      <c r="K695" s="184"/>
      <c r="L695" s="184"/>
      <c r="M695" s="184"/>
      <c r="N695" s="184"/>
      <c r="O695" s="184"/>
      <c r="P695" s="435" t="s">
        <v>428</v>
      </c>
      <c r="Q695" s="154"/>
      <c r="R695" s="56"/>
      <c r="S695" s="277"/>
      <c r="T695" s="361" t="s">
        <v>1714</v>
      </c>
      <c r="U695" s="361" t="s">
        <v>144</v>
      </c>
      <c r="AA695" s="7"/>
      <c r="AB695" s="7"/>
      <c r="AC695" s="1408"/>
      <c r="AD695" s="387"/>
    </row>
    <row r="696" spans="6:30" ht="10.5" customHeight="1">
      <c r="F696" s="199"/>
      <c r="G696" s="184"/>
      <c r="H696" s="184"/>
      <c r="I696" s="184"/>
      <c r="J696" s="184"/>
      <c r="K696" s="184"/>
      <c r="L696" s="184"/>
      <c r="M696" s="184"/>
      <c r="N696" s="184"/>
      <c r="O696" s="184"/>
      <c r="P696" s="435" t="s">
        <v>1875</v>
      </c>
      <c r="Q696" s="154"/>
      <c r="R696" s="56"/>
      <c r="S696" s="277"/>
      <c r="T696" s="361" t="s">
        <v>598</v>
      </c>
      <c r="U696" s="361" t="s">
        <v>2130</v>
      </c>
      <c r="AA696" s="7"/>
      <c r="AB696" s="7"/>
      <c r="AC696" s="1408"/>
      <c r="AD696" s="387"/>
    </row>
    <row r="697" spans="6:30" ht="10.5" customHeight="1">
      <c r="F697" s="199"/>
      <c r="G697" s="184"/>
      <c r="H697" s="184"/>
      <c r="I697" s="184"/>
      <c r="J697" s="184"/>
      <c r="K697" s="184"/>
      <c r="L697" s="184"/>
      <c r="M697" s="184"/>
      <c r="N697" s="184"/>
      <c r="O697" s="184"/>
      <c r="P697" s="435" t="s">
        <v>1897</v>
      </c>
      <c r="Q697" s="1416"/>
      <c r="R697" s="1416"/>
      <c r="S697" s="1417"/>
      <c r="T697" s="361" t="s">
        <v>756</v>
      </c>
      <c r="U697" s="361" t="s">
        <v>1935</v>
      </c>
      <c r="AA697" s="7"/>
      <c r="AB697" s="7"/>
      <c r="AC697" s="1408"/>
      <c r="AD697" s="387"/>
    </row>
    <row r="698" spans="6:30" ht="10.5" customHeight="1">
      <c r="F698" s="199"/>
      <c r="G698" s="184"/>
      <c r="H698" s="184"/>
      <c r="I698" s="184"/>
      <c r="J698" s="184"/>
      <c r="K698" s="184"/>
      <c r="L698" s="184"/>
      <c r="M698" s="184"/>
      <c r="N698" s="184"/>
      <c r="O698" s="184"/>
      <c r="P698" s="1418"/>
      <c r="Q698" s="440"/>
      <c r="R698" s="53"/>
      <c r="S698" s="184"/>
      <c r="T698" s="361" t="s">
        <v>998</v>
      </c>
      <c r="U698" s="361" t="s">
        <v>1719</v>
      </c>
      <c r="AA698" s="7"/>
      <c r="AB698" s="7"/>
      <c r="AC698" s="1408"/>
      <c r="AD698" s="387"/>
    </row>
    <row r="699" spans="6:30" ht="10.5" customHeight="1">
      <c r="F699" s="199"/>
      <c r="G699" s="184"/>
      <c r="H699" s="184"/>
      <c r="I699" s="184"/>
      <c r="J699" s="184"/>
      <c r="K699" s="184"/>
      <c r="L699" s="184"/>
      <c r="M699" s="184"/>
      <c r="N699" s="184"/>
      <c r="O699" s="184"/>
      <c r="P699" s="439"/>
      <c r="Q699" s="184"/>
      <c r="R699" s="184"/>
      <c r="S699" s="184"/>
      <c r="T699" s="361" t="s">
        <v>999</v>
      </c>
      <c r="U699" s="361" t="s">
        <v>1808</v>
      </c>
      <c r="AA699" s="7"/>
      <c r="AB699" s="7"/>
      <c r="AC699" s="1408"/>
      <c r="AD699" s="387"/>
    </row>
    <row r="700" spans="6:30" ht="10.5" customHeight="1">
      <c r="F700" s="199"/>
      <c r="G700" s="184"/>
      <c r="H700" s="184"/>
      <c r="I700" s="184"/>
      <c r="J700" s="184"/>
      <c r="K700" s="440"/>
      <c r="L700" s="53"/>
      <c r="M700" s="184"/>
      <c r="N700" s="184"/>
      <c r="O700" s="184"/>
      <c r="P700" s="184"/>
      <c r="Q700" s="184"/>
      <c r="R700" s="184"/>
      <c r="S700" s="184"/>
      <c r="T700" s="361" t="s">
        <v>1345</v>
      </c>
      <c r="U700" s="361" t="s">
        <v>1118</v>
      </c>
      <c r="AA700" s="7"/>
      <c r="AB700" s="7"/>
      <c r="AC700" s="1408"/>
      <c r="AD700" s="387"/>
    </row>
    <row r="701" spans="6:30" ht="10.5" customHeight="1">
      <c r="F701" s="199"/>
      <c r="G701" s="184"/>
      <c r="H701" s="184"/>
      <c r="I701" s="184"/>
      <c r="J701" s="439"/>
      <c r="K701" s="440"/>
      <c r="L701" s="53"/>
      <c r="M701" s="184"/>
      <c r="N701" s="184"/>
      <c r="O701" s="184"/>
      <c r="P701" s="184"/>
      <c r="Q701" s="184"/>
      <c r="R701" s="184"/>
      <c r="S701" s="184"/>
      <c r="T701" s="361" t="s">
        <v>2052</v>
      </c>
      <c r="U701" s="361" t="s">
        <v>112</v>
      </c>
      <c r="AA701" s="7"/>
      <c r="AB701" s="7"/>
      <c r="AC701" s="1408"/>
      <c r="AD701" s="387"/>
    </row>
    <row r="702" spans="6:30" ht="10.5" customHeight="1">
      <c r="F702" s="199"/>
      <c r="G702" s="184"/>
      <c r="H702" s="184"/>
      <c r="I702" s="184"/>
      <c r="J702" s="439"/>
      <c r="K702" s="440"/>
      <c r="L702" s="53"/>
      <c r="M702" s="184"/>
      <c r="N702" s="184"/>
      <c r="O702" s="184"/>
      <c r="P702" s="184"/>
      <c r="Q702" s="184"/>
      <c r="R702" s="184"/>
      <c r="S702" s="184"/>
      <c r="T702" s="436" t="s">
        <v>1300</v>
      </c>
      <c r="U702" s="436" t="s">
        <v>1989</v>
      </c>
      <c r="AA702" s="7"/>
      <c r="AB702" s="7"/>
      <c r="AC702" s="1408"/>
      <c r="AD702" s="387"/>
    </row>
    <row r="703" spans="6:30" ht="10.5" customHeight="1">
      <c r="F703" s="199"/>
      <c r="G703" s="184"/>
      <c r="H703" s="184"/>
      <c r="I703" s="184"/>
      <c r="J703" s="439"/>
      <c r="K703" s="440"/>
      <c r="L703" s="53"/>
      <c r="M703" s="184"/>
      <c r="N703" s="184"/>
      <c r="O703" s="184"/>
      <c r="P703" s="184"/>
      <c r="Q703" s="184"/>
      <c r="R703" s="184"/>
      <c r="S703" s="184"/>
      <c r="T703" s="361" t="s">
        <v>2001</v>
      </c>
      <c r="U703" s="361" t="s">
        <v>1725</v>
      </c>
      <c r="AA703" s="7"/>
      <c r="AB703" s="7"/>
      <c r="AC703" s="1411"/>
      <c r="AD703" s="387"/>
    </row>
    <row r="704" spans="6:30" ht="10.5" customHeight="1">
      <c r="F704" s="199"/>
      <c r="G704" s="184"/>
      <c r="H704" s="184"/>
      <c r="I704" s="184"/>
      <c r="J704" s="439"/>
      <c r="K704" s="440"/>
      <c r="L704" s="53"/>
      <c r="M704" s="184"/>
      <c r="N704" s="184"/>
      <c r="O704" s="184"/>
      <c r="P704" s="184"/>
      <c r="Q704" s="184"/>
      <c r="R704" s="184"/>
      <c r="S704" s="184"/>
      <c r="T704" s="361" t="s">
        <v>2003</v>
      </c>
      <c r="U704" s="361" t="s">
        <v>1931</v>
      </c>
      <c r="AA704" s="7"/>
      <c r="AB704" s="7"/>
      <c r="AC704" s="1408"/>
      <c r="AD704" s="387"/>
    </row>
    <row r="705" spans="6:30" ht="10.5" customHeight="1">
      <c r="F705" s="199"/>
      <c r="G705" s="184"/>
      <c r="H705" s="184"/>
      <c r="I705" s="184"/>
      <c r="J705" s="439"/>
      <c r="K705" s="440"/>
      <c r="L705" s="53"/>
      <c r="M705" s="184"/>
      <c r="N705" s="184"/>
      <c r="O705" s="184"/>
      <c r="P705" s="184"/>
      <c r="Q705" s="184"/>
      <c r="R705" s="184"/>
      <c r="S705" s="184"/>
      <c r="T705" s="361" t="s">
        <v>2005</v>
      </c>
      <c r="U705" s="361" t="s">
        <v>2130</v>
      </c>
      <c r="AA705" s="7"/>
      <c r="AB705" s="7"/>
      <c r="AC705" s="1408"/>
      <c r="AD705" s="387"/>
    </row>
    <row r="706" spans="6:30" ht="10.5" customHeight="1">
      <c r="F706" s="199"/>
      <c r="G706" s="184"/>
      <c r="H706" s="184"/>
      <c r="I706" s="184"/>
      <c r="J706" s="439"/>
      <c r="K706" s="440"/>
      <c r="L706" s="53"/>
      <c r="M706" s="184"/>
      <c r="N706" s="184"/>
      <c r="O706" s="184"/>
      <c r="P706" s="184"/>
      <c r="Q706" s="184"/>
      <c r="R706" s="184"/>
      <c r="S706" s="184"/>
      <c r="T706" s="361" t="s">
        <v>2447</v>
      </c>
      <c r="U706" s="361" t="s">
        <v>141</v>
      </c>
      <c r="AA706" s="7"/>
      <c r="AB706" s="7"/>
      <c r="AC706" s="1408"/>
      <c r="AD706" s="387"/>
    </row>
    <row r="707" spans="6:30" ht="10.5" customHeight="1">
      <c r="F707" s="199"/>
      <c r="G707" s="184"/>
      <c r="H707" s="184"/>
      <c r="I707" s="184"/>
      <c r="J707" s="439"/>
      <c r="K707" s="440"/>
      <c r="L707" s="53"/>
      <c r="M707" s="184"/>
      <c r="N707" s="184"/>
      <c r="O707" s="184"/>
      <c r="P707" s="184"/>
      <c r="Q707" s="184"/>
      <c r="R707" s="184"/>
      <c r="S707" s="184"/>
      <c r="T707" s="361" t="s">
        <v>1036</v>
      </c>
      <c r="U707" s="361" t="s">
        <v>1942</v>
      </c>
      <c r="AA707" s="7"/>
      <c r="AB707" s="7"/>
      <c r="AC707" s="1408"/>
      <c r="AD707" s="387"/>
    </row>
    <row r="708" spans="6:30" ht="10.5" customHeight="1">
      <c r="F708" s="199"/>
      <c r="G708" s="184"/>
      <c r="H708" s="184"/>
      <c r="I708" s="184"/>
      <c r="J708" s="439"/>
      <c r="K708" s="440"/>
      <c r="L708" s="53"/>
      <c r="M708" s="184"/>
      <c r="N708" s="184"/>
      <c r="O708" s="184"/>
      <c r="P708" s="184"/>
      <c r="Q708" s="184"/>
      <c r="R708" s="184"/>
      <c r="S708" s="184"/>
      <c r="T708" s="361" t="s">
        <v>1038</v>
      </c>
      <c r="U708" s="361" t="s">
        <v>1013</v>
      </c>
      <c r="AA708" s="7"/>
      <c r="AB708" s="7"/>
      <c r="AC708" s="1408"/>
      <c r="AD708" s="387"/>
    </row>
    <row r="709" spans="6:30" ht="10.5" customHeight="1">
      <c r="F709" s="199"/>
      <c r="G709" s="184"/>
      <c r="H709" s="184"/>
      <c r="I709" s="184"/>
      <c r="J709" s="439"/>
      <c r="K709" s="440"/>
      <c r="L709" s="53"/>
      <c r="M709" s="184"/>
      <c r="N709" s="184"/>
      <c r="O709" s="184"/>
      <c r="P709" s="184"/>
      <c r="Q709" s="184"/>
      <c r="R709" s="184"/>
      <c r="S709" s="184"/>
      <c r="T709" s="361" t="s">
        <v>1833</v>
      </c>
      <c r="U709" s="361" t="s">
        <v>292</v>
      </c>
      <c r="AA709" s="7"/>
      <c r="AB709" s="7"/>
      <c r="AC709" s="1408"/>
      <c r="AD709" s="387"/>
    </row>
    <row r="710" spans="6:30" ht="10.5" customHeight="1">
      <c r="F710" s="199"/>
      <c r="G710" s="184"/>
      <c r="H710" s="184"/>
      <c r="I710" s="184"/>
      <c r="J710" s="439"/>
      <c r="K710" s="440"/>
      <c r="L710" s="53"/>
      <c r="M710" s="184"/>
      <c r="N710" s="184"/>
      <c r="O710" s="184"/>
      <c r="P710" s="184"/>
      <c r="Q710" s="184"/>
      <c r="R710" s="184"/>
      <c r="S710" s="184"/>
      <c r="T710" s="361" t="s">
        <v>1772</v>
      </c>
      <c r="U710" s="361" t="s">
        <v>113</v>
      </c>
      <c r="AA710" s="7"/>
      <c r="AB710" s="7"/>
      <c r="AC710" s="1408"/>
      <c r="AD710" s="387"/>
    </row>
    <row r="711" spans="6:30" ht="10.5" customHeight="1">
      <c r="F711" s="199"/>
      <c r="G711" s="184"/>
      <c r="H711" s="184"/>
      <c r="I711" s="184"/>
      <c r="J711" s="439"/>
      <c r="K711" s="440"/>
      <c r="L711" s="53"/>
      <c r="M711" s="184"/>
      <c r="N711" s="184"/>
      <c r="O711" s="184"/>
      <c r="P711" s="184"/>
      <c r="Q711" s="184"/>
      <c r="R711" s="184"/>
      <c r="S711" s="184"/>
      <c r="T711" s="361" t="s">
        <v>1774</v>
      </c>
      <c r="U711" s="361" t="s">
        <v>301</v>
      </c>
      <c r="AA711" s="7"/>
      <c r="AB711" s="7"/>
      <c r="AC711" s="1408"/>
      <c r="AD711" s="387"/>
    </row>
    <row r="712" spans="6:30" ht="10.5" customHeight="1">
      <c r="F712" s="199"/>
      <c r="G712" s="184"/>
      <c r="H712" s="184"/>
      <c r="I712" s="184"/>
      <c r="J712" s="439"/>
      <c r="K712" s="440"/>
      <c r="L712" s="53"/>
      <c r="M712" s="184"/>
      <c r="N712" s="184"/>
      <c r="O712" s="184"/>
      <c r="P712" s="184"/>
      <c r="Q712" s="184"/>
      <c r="R712" s="184"/>
      <c r="S712" s="184"/>
      <c r="T712" s="436" t="s">
        <v>1776</v>
      </c>
      <c r="U712" s="436" t="s">
        <v>164</v>
      </c>
      <c r="AA712" s="7"/>
      <c r="AB712" s="7"/>
      <c r="AC712" s="1408"/>
      <c r="AD712" s="387"/>
    </row>
    <row r="713" spans="6:30" ht="10.5" customHeight="1">
      <c r="F713" s="199"/>
      <c r="G713" s="184"/>
      <c r="H713" s="184"/>
      <c r="I713" s="184"/>
      <c r="J713" s="439"/>
      <c r="K713" s="440"/>
      <c r="L713" s="53"/>
      <c r="M713" s="184"/>
      <c r="N713" s="184"/>
      <c r="O713" s="184"/>
      <c r="P713" s="184"/>
      <c r="Q713" s="184"/>
      <c r="R713" s="184"/>
      <c r="S713" s="184"/>
      <c r="T713" s="361" t="s">
        <v>2448</v>
      </c>
      <c r="U713" s="361" t="s">
        <v>1719</v>
      </c>
      <c r="AA713" s="7"/>
      <c r="AB713" s="7"/>
      <c r="AC713" s="1411"/>
      <c r="AD713" s="387"/>
    </row>
    <row r="714" spans="6:30" ht="10.5" customHeight="1">
      <c r="F714" s="199"/>
      <c r="G714" s="184"/>
      <c r="H714" s="184"/>
      <c r="I714" s="184"/>
      <c r="J714" s="439"/>
      <c r="K714" s="440"/>
      <c r="L714" s="53"/>
      <c r="M714" s="184"/>
      <c r="N714" s="184"/>
      <c r="O714" s="184"/>
      <c r="P714" s="184"/>
      <c r="Q714" s="184"/>
      <c r="R714" s="184"/>
      <c r="S714" s="184"/>
      <c r="T714" s="361" t="s">
        <v>429</v>
      </c>
      <c r="U714" s="361" t="s">
        <v>1213</v>
      </c>
      <c r="AA714" s="7"/>
      <c r="AB714" s="7"/>
      <c r="AC714" s="1408"/>
      <c r="AD714" s="387"/>
    </row>
    <row r="715" spans="6:30" ht="10.5" customHeight="1">
      <c r="F715" s="199"/>
      <c r="G715" s="184"/>
      <c r="H715" s="184"/>
      <c r="I715" s="184"/>
      <c r="J715" s="439"/>
      <c r="K715" s="440"/>
      <c r="L715" s="53"/>
      <c r="M715" s="184"/>
      <c r="N715" s="184"/>
      <c r="O715" s="184"/>
      <c r="P715" s="184"/>
      <c r="Q715" s="184"/>
      <c r="R715" s="184"/>
      <c r="S715" s="184"/>
      <c r="T715" s="361" t="s">
        <v>1876</v>
      </c>
      <c r="U715" s="361" t="s">
        <v>679</v>
      </c>
      <c r="AA715" s="7"/>
      <c r="AB715" s="7"/>
      <c r="AC715" s="1408"/>
      <c r="AD715" s="387"/>
    </row>
    <row r="716" spans="6:30" ht="10.5" customHeight="1">
      <c r="F716" s="199"/>
      <c r="G716" s="184"/>
      <c r="H716" s="184"/>
      <c r="I716" s="184"/>
      <c r="J716" s="439"/>
      <c r="K716" s="440"/>
      <c r="L716" s="53"/>
      <c r="M716" s="184"/>
      <c r="N716" s="184"/>
      <c r="O716" s="184"/>
      <c r="P716" s="184"/>
      <c r="Q716" s="184"/>
      <c r="R716" s="184"/>
      <c r="S716" s="184"/>
      <c r="T716" s="361" t="s">
        <v>1898</v>
      </c>
      <c r="U716" s="361" t="s">
        <v>98</v>
      </c>
      <c r="AA716" s="7"/>
      <c r="AB716" s="7"/>
      <c r="AC716" s="1408"/>
      <c r="AD716" s="387"/>
    </row>
    <row r="717" spans="6:30" ht="10.5" customHeight="1">
      <c r="F717" s="199"/>
      <c r="G717" s="184"/>
      <c r="H717" s="184"/>
      <c r="I717" s="184"/>
      <c r="J717" s="439"/>
      <c r="K717" s="440"/>
      <c r="L717" s="53"/>
      <c r="M717" s="184"/>
      <c r="N717" s="184"/>
      <c r="O717" s="184"/>
      <c r="P717" s="184"/>
      <c r="Q717" s="184"/>
      <c r="R717" s="184"/>
      <c r="S717" s="184"/>
      <c r="T717" s="361" t="s">
        <v>772</v>
      </c>
      <c r="U717" s="361" t="s">
        <v>1808</v>
      </c>
      <c r="AA717" s="7"/>
      <c r="AB717" s="7"/>
      <c r="AC717" s="1408"/>
      <c r="AD717" s="387"/>
    </row>
    <row r="718" spans="6:30" ht="10.5" customHeight="1">
      <c r="F718" s="199"/>
      <c r="G718" s="184"/>
      <c r="H718" s="184"/>
      <c r="I718" s="184"/>
      <c r="J718" s="439"/>
      <c r="K718" s="440"/>
      <c r="L718" s="53"/>
      <c r="M718" s="184"/>
      <c r="N718" s="184"/>
      <c r="O718" s="184"/>
      <c r="P718" s="184"/>
      <c r="Q718" s="184"/>
      <c r="R718" s="184"/>
      <c r="S718" s="184"/>
      <c r="T718" s="361" t="s">
        <v>1899</v>
      </c>
      <c r="U718" s="361" t="s">
        <v>1808</v>
      </c>
      <c r="AA718" s="7"/>
      <c r="AB718" s="7"/>
      <c r="AC718" s="1408"/>
      <c r="AD718" s="387"/>
    </row>
    <row r="719" spans="6:30" ht="10.5" customHeight="1">
      <c r="F719" s="199"/>
      <c r="G719" s="184"/>
      <c r="H719" s="184"/>
      <c r="I719" s="184"/>
      <c r="J719" s="439"/>
      <c r="K719" s="440"/>
      <c r="L719" s="53"/>
      <c r="M719" s="184"/>
      <c r="N719" s="184"/>
      <c r="O719" s="184"/>
      <c r="P719" s="184"/>
      <c r="Q719" s="184"/>
      <c r="R719" s="184"/>
      <c r="S719" s="184"/>
      <c r="T719" s="361" t="s">
        <v>1900</v>
      </c>
      <c r="U719" s="361" t="s">
        <v>1496</v>
      </c>
      <c r="AA719" s="7"/>
      <c r="AB719" s="7"/>
      <c r="AC719" s="1408"/>
      <c r="AD719" s="387"/>
    </row>
    <row r="720" spans="6:30" ht="10.5" customHeight="1">
      <c r="F720" s="199"/>
      <c r="G720" s="184"/>
      <c r="H720" s="184"/>
      <c r="I720" s="184"/>
      <c r="J720" s="439"/>
      <c r="K720" s="440"/>
      <c r="L720" s="53"/>
      <c r="M720" s="184"/>
      <c r="N720" s="184"/>
      <c r="O720" s="184"/>
      <c r="P720" s="184"/>
      <c r="Q720" s="184"/>
      <c r="R720" s="184"/>
      <c r="S720" s="184"/>
      <c r="T720" s="361" t="s">
        <v>2073</v>
      </c>
      <c r="U720" s="361" t="s">
        <v>1687</v>
      </c>
      <c r="AA720" s="7"/>
      <c r="AB720" s="7"/>
      <c r="AC720" s="1408"/>
      <c r="AD720" s="387"/>
    </row>
    <row r="721" spans="6:30" ht="10.5" customHeight="1">
      <c r="F721" s="199"/>
      <c r="G721" s="184"/>
      <c r="H721" s="184"/>
      <c r="I721" s="184"/>
      <c r="J721" s="439"/>
      <c r="K721" s="440"/>
      <c r="L721" s="53"/>
      <c r="M721" s="184"/>
      <c r="N721" s="184"/>
      <c r="O721" s="184"/>
      <c r="P721" s="184"/>
      <c r="Q721" s="184"/>
      <c r="R721" s="184"/>
      <c r="S721" s="184"/>
      <c r="T721" s="436" t="s">
        <v>2074</v>
      </c>
      <c r="U721" s="436" t="s">
        <v>141</v>
      </c>
      <c r="AA721" s="7"/>
      <c r="AB721" s="7"/>
      <c r="AC721" s="1408"/>
      <c r="AD721" s="387"/>
    </row>
    <row r="722" spans="6:30" ht="10.5" customHeight="1">
      <c r="F722" s="199"/>
      <c r="G722" s="184"/>
      <c r="H722" s="184"/>
      <c r="I722" s="184"/>
      <c r="J722" s="439"/>
      <c r="K722" s="440"/>
      <c r="L722" s="53"/>
      <c r="M722" s="184"/>
      <c r="N722" s="184"/>
      <c r="O722" s="184"/>
      <c r="P722" s="184"/>
      <c r="Q722" s="184"/>
      <c r="R722" s="184"/>
      <c r="S722" s="184"/>
      <c r="T722" s="361" t="s">
        <v>2075</v>
      </c>
      <c r="U722" s="361" t="s">
        <v>1498</v>
      </c>
      <c r="AA722" s="7"/>
      <c r="AB722" s="7"/>
      <c r="AC722" s="1411"/>
      <c r="AD722" s="387"/>
    </row>
    <row r="723" spans="6:30" ht="10.5" customHeight="1">
      <c r="F723" s="199"/>
      <c r="G723" s="184"/>
      <c r="H723" s="184"/>
      <c r="I723" s="184"/>
      <c r="J723" s="439"/>
      <c r="K723" s="440"/>
      <c r="L723" s="53"/>
      <c r="M723" s="184"/>
      <c r="N723" s="184"/>
      <c r="O723" s="184"/>
      <c r="P723" s="184"/>
      <c r="Q723" s="184"/>
      <c r="R723" s="184"/>
      <c r="S723" s="184"/>
      <c r="T723" s="361" t="s">
        <v>2076</v>
      </c>
      <c r="U723" s="361" t="s">
        <v>1025</v>
      </c>
      <c r="AA723" s="7"/>
      <c r="AB723" s="7"/>
      <c r="AC723" s="1408"/>
      <c r="AD723" s="387"/>
    </row>
    <row r="724" spans="6:30" ht="10.5" customHeight="1">
      <c r="F724" s="199"/>
      <c r="G724" s="184"/>
      <c r="H724" s="184"/>
      <c r="I724" s="184"/>
      <c r="J724" s="439"/>
      <c r="K724" s="440"/>
      <c r="L724" s="53"/>
      <c r="M724" s="184"/>
      <c r="N724" s="184"/>
      <c r="O724" s="184"/>
      <c r="P724" s="184"/>
      <c r="Q724" s="184"/>
      <c r="R724" s="184"/>
      <c r="S724" s="184"/>
      <c r="T724" s="361" t="s">
        <v>2077</v>
      </c>
      <c r="U724" s="361" t="s">
        <v>2126</v>
      </c>
      <c r="AA724" s="7"/>
      <c r="AB724" s="7"/>
      <c r="AC724" s="1408"/>
      <c r="AD724" s="387"/>
    </row>
    <row r="725" spans="6:30" ht="10.5" customHeight="1">
      <c r="F725" s="199"/>
      <c r="G725" s="184"/>
      <c r="H725" s="184"/>
      <c r="I725" s="184"/>
      <c r="J725" s="439"/>
      <c r="K725" s="440"/>
      <c r="L725" s="53"/>
      <c r="M725" s="184"/>
      <c r="N725" s="184"/>
      <c r="O725" s="184"/>
      <c r="P725" s="184"/>
      <c r="Q725" s="184"/>
      <c r="R725" s="184"/>
      <c r="S725" s="184"/>
      <c r="T725" s="361" t="s">
        <v>2006</v>
      </c>
      <c r="U725" s="361" t="s">
        <v>1936</v>
      </c>
      <c r="AA725" s="7"/>
      <c r="AB725" s="7"/>
      <c r="AC725" s="1408"/>
      <c r="AD725" s="387"/>
    </row>
    <row r="726" spans="6:30" ht="10.5" customHeight="1">
      <c r="F726" s="199"/>
      <c r="G726" s="184"/>
      <c r="H726" s="184"/>
      <c r="I726" s="184"/>
      <c r="J726" s="439"/>
      <c r="K726" s="440"/>
      <c r="L726" s="53"/>
      <c r="M726" s="184"/>
      <c r="N726" s="184"/>
      <c r="O726" s="184"/>
      <c r="P726" s="184"/>
      <c r="Q726" s="184"/>
      <c r="R726" s="184"/>
      <c r="S726" s="184"/>
      <c r="T726" s="361" t="s">
        <v>1477</v>
      </c>
      <c r="U726" s="361" t="s">
        <v>2128</v>
      </c>
      <c r="AA726" s="7"/>
      <c r="AB726" s="7"/>
      <c r="AC726" s="1408"/>
      <c r="AD726" s="387"/>
    </row>
    <row r="727" spans="6:30" ht="10.5" customHeight="1">
      <c r="F727" s="199"/>
      <c r="G727" s="184"/>
      <c r="H727" s="184"/>
      <c r="I727" s="184"/>
      <c r="J727" s="439"/>
      <c r="K727" s="440"/>
      <c r="L727" s="53"/>
      <c r="M727" s="184"/>
      <c r="N727" s="184"/>
      <c r="O727" s="184"/>
      <c r="P727" s="184"/>
      <c r="Q727" s="184"/>
      <c r="R727" s="184"/>
      <c r="S727" s="184"/>
      <c r="T727" s="361" t="s">
        <v>1478</v>
      </c>
      <c r="U727" s="361" t="s">
        <v>174</v>
      </c>
      <c r="AA727" s="7"/>
      <c r="AB727" s="7"/>
      <c r="AC727" s="1408"/>
      <c r="AD727" s="387"/>
    </row>
    <row r="728" spans="6:30" ht="10.5" customHeight="1">
      <c r="F728" s="199"/>
      <c r="G728" s="184"/>
      <c r="H728" s="184"/>
      <c r="I728" s="184"/>
      <c r="J728" s="439"/>
      <c r="K728" s="440"/>
      <c r="L728" s="53"/>
      <c r="M728" s="184"/>
      <c r="N728" s="184"/>
      <c r="O728" s="184"/>
      <c r="P728" s="184"/>
      <c r="Q728" s="184"/>
      <c r="R728" s="184"/>
      <c r="S728" s="184"/>
      <c r="T728" s="361" t="s">
        <v>1516</v>
      </c>
      <c r="U728" s="361" t="s">
        <v>144</v>
      </c>
      <c r="AA728" s="7"/>
      <c r="AB728" s="7"/>
      <c r="AC728" s="1408"/>
      <c r="AD728" s="387"/>
    </row>
    <row r="729" spans="6:30" ht="10.5" customHeight="1">
      <c r="F729" s="199"/>
      <c r="G729" s="184"/>
      <c r="H729" s="184"/>
      <c r="I729" s="184"/>
      <c r="J729" s="439"/>
      <c r="K729" s="440"/>
      <c r="L729" s="53"/>
      <c r="M729" s="184"/>
      <c r="N729" s="184"/>
      <c r="O729" s="184"/>
      <c r="P729" s="184"/>
      <c r="Q729" s="184"/>
      <c r="R729" s="184"/>
      <c r="S729" s="184"/>
      <c r="T729" s="361" t="s">
        <v>1000</v>
      </c>
      <c r="U729" s="361" t="s">
        <v>584</v>
      </c>
      <c r="AA729" s="7"/>
      <c r="AB729" s="7"/>
      <c r="AC729" s="1408"/>
      <c r="AD729" s="387"/>
    </row>
    <row r="730" spans="6:30" ht="10.5" customHeight="1">
      <c r="F730" s="199"/>
      <c r="G730" s="184"/>
      <c r="H730" s="184"/>
      <c r="I730" s="184"/>
      <c r="J730" s="439"/>
      <c r="K730" s="440"/>
      <c r="L730" s="53"/>
      <c r="M730" s="184"/>
      <c r="N730" s="184"/>
      <c r="O730" s="184"/>
      <c r="P730" s="184"/>
      <c r="Q730" s="184"/>
      <c r="R730" s="184"/>
      <c r="S730" s="184"/>
      <c r="T730" s="361" t="s">
        <v>757</v>
      </c>
      <c r="U730" s="361" t="s">
        <v>1753</v>
      </c>
      <c r="AA730" s="7"/>
      <c r="AB730" s="7"/>
      <c r="AC730" s="1408"/>
      <c r="AD730" s="387"/>
    </row>
    <row r="731" spans="6:30" ht="10.5" customHeight="1">
      <c r="F731" s="199"/>
      <c r="G731" s="184"/>
      <c r="H731" s="184"/>
      <c r="I731" s="184"/>
      <c r="J731" s="439"/>
      <c r="K731" s="440"/>
      <c r="L731" s="53"/>
      <c r="M731" s="184"/>
      <c r="N731" s="184"/>
      <c r="O731" s="184"/>
      <c r="P731" s="184"/>
      <c r="Q731" s="184"/>
      <c r="R731" s="184"/>
      <c r="S731" s="184"/>
      <c r="T731" s="361" t="s">
        <v>1517</v>
      </c>
      <c r="U731" s="361" t="s">
        <v>2243</v>
      </c>
      <c r="AA731" s="7"/>
      <c r="AB731" s="7"/>
      <c r="AC731" s="1408"/>
      <c r="AD731" s="387"/>
    </row>
    <row r="732" spans="6:30" ht="10.5" customHeight="1">
      <c r="F732" s="199"/>
      <c r="G732" s="184"/>
      <c r="H732" s="184"/>
      <c r="I732" s="184"/>
      <c r="J732" s="439"/>
      <c r="K732" s="440"/>
      <c r="L732" s="53"/>
      <c r="M732" s="184"/>
      <c r="N732" s="184"/>
      <c r="O732" s="184"/>
      <c r="P732" s="184"/>
      <c r="Q732" s="184"/>
      <c r="R732" s="184"/>
      <c r="S732" s="184"/>
      <c r="T732" s="361" t="s">
        <v>1518</v>
      </c>
      <c r="U732" s="361" t="s">
        <v>1989</v>
      </c>
      <c r="AA732" s="7"/>
      <c r="AB732" s="7"/>
      <c r="AC732" s="1408"/>
      <c r="AD732" s="387"/>
    </row>
    <row r="733" spans="6:30" ht="10.5" customHeight="1">
      <c r="F733" s="199"/>
      <c r="G733" s="184"/>
      <c r="H733" s="184"/>
      <c r="I733" s="184"/>
      <c r="J733" s="439"/>
      <c r="K733" s="440"/>
      <c r="L733" s="53"/>
      <c r="M733" s="184"/>
      <c r="N733" s="184"/>
      <c r="O733" s="184"/>
      <c r="P733" s="184"/>
      <c r="Q733" s="184"/>
      <c r="R733" s="184"/>
      <c r="S733" s="184"/>
      <c r="T733" s="361" t="s">
        <v>1519</v>
      </c>
      <c r="U733" s="361" t="s">
        <v>1498</v>
      </c>
      <c r="AA733" s="7"/>
      <c r="AB733" s="7"/>
      <c r="AC733" s="1408"/>
      <c r="AD733" s="387"/>
    </row>
    <row r="734" spans="6:30" ht="10.5" customHeight="1">
      <c r="F734" s="199"/>
      <c r="G734" s="184"/>
      <c r="H734" s="184"/>
      <c r="I734" s="184"/>
      <c r="J734" s="439"/>
      <c r="K734" s="440"/>
      <c r="L734" s="53"/>
      <c r="M734" s="184"/>
      <c r="N734" s="184"/>
      <c r="O734" s="184"/>
      <c r="P734" s="184"/>
      <c r="Q734" s="184"/>
      <c r="R734" s="184"/>
      <c r="S734" s="184"/>
      <c r="T734" s="361" t="s">
        <v>1520</v>
      </c>
      <c r="U734" s="361" t="s">
        <v>141</v>
      </c>
      <c r="AA734" s="7"/>
      <c r="AB734" s="7"/>
      <c r="AC734" s="1408"/>
      <c r="AD734" s="387"/>
    </row>
    <row r="735" spans="6:30" ht="10.5" customHeight="1">
      <c r="F735" s="199"/>
      <c r="G735" s="184"/>
      <c r="H735" s="184"/>
      <c r="I735" s="184"/>
      <c r="J735" s="439"/>
      <c r="K735" s="440"/>
      <c r="L735" s="53"/>
      <c r="M735" s="184"/>
      <c r="N735" s="184"/>
      <c r="O735" s="184"/>
      <c r="P735" s="184"/>
      <c r="Q735" s="184"/>
      <c r="R735" s="184"/>
      <c r="S735" s="184"/>
      <c r="T735" s="361" t="s">
        <v>1521</v>
      </c>
      <c r="U735" s="361" t="s">
        <v>612</v>
      </c>
      <c r="AA735" s="7"/>
      <c r="AB735" s="7"/>
      <c r="AC735" s="1408"/>
      <c r="AD735" s="387"/>
    </row>
    <row r="736" spans="6:30" ht="10.5" customHeight="1">
      <c r="F736" s="199"/>
      <c r="G736" s="184"/>
      <c r="H736" s="184"/>
      <c r="I736" s="184"/>
      <c r="J736" s="439"/>
      <c r="K736" s="440"/>
      <c r="L736" s="53"/>
      <c r="M736" s="184"/>
      <c r="N736" s="184"/>
      <c r="O736" s="184"/>
      <c r="P736" s="184"/>
      <c r="Q736" s="184"/>
      <c r="R736" s="184"/>
      <c r="S736" s="184"/>
      <c r="T736" s="361" t="s">
        <v>1522</v>
      </c>
      <c r="U736" s="361" t="s">
        <v>884</v>
      </c>
      <c r="AA736" s="7"/>
      <c r="AB736" s="7"/>
      <c r="AC736" s="1408"/>
      <c r="AD736" s="387"/>
    </row>
    <row r="737" spans="6:30" ht="10.5" customHeight="1">
      <c r="F737" s="199"/>
      <c r="G737" s="184"/>
      <c r="H737" s="184"/>
      <c r="I737" s="184"/>
      <c r="J737" s="439"/>
      <c r="K737" s="440"/>
      <c r="L737" s="53"/>
      <c r="M737" s="184"/>
      <c r="N737" s="184"/>
      <c r="O737" s="184"/>
      <c r="P737" s="184"/>
      <c r="Q737" s="184"/>
      <c r="R737" s="184"/>
      <c r="S737" s="184"/>
      <c r="T737" s="361" t="s">
        <v>1523</v>
      </c>
      <c r="U737" s="361" t="s">
        <v>1114</v>
      </c>
      <c r="AA737" s="7"/>
      <c r="AB737" s="7"/>
      <c r="AC737" s="1408"/>
      <c r="AD737" s="387"/>
    </row>
    <row r="738" spans="6:30" ht="10.5" customHeight="1">
      <c r="F738" s="199"/>
      <c r="G738" s="184"/>
      <c r="H738" s="184"/>
      <c r="I738" s="184"/>
      <c r="J738" s="439"/>
      <c r="K738" s="440"/>
      <c r="L738" s="53"/>
      <c r="M738" s="184"/>
      <c r="N738" s="184"/>
      <c r="O738" s="184"/>
      <c r="P738" s="184"/>
      <c r="Q738" s="184"/>
      <c r="R738" s="184"/>
      <c r="S738" s="184"/>
      <c r="T738" s="361" t="s">
        <v>1524</v>
      </c>
      <c r="U738" s="361" t="s">
        <v>626</v>
      </c>
      <c r="AA738" s="7"/>
      <c r="AB738" s="7"/>
      <c r="AC738" s="1408"/>
      <c r="AD738" s="387"/>
    </row>
    <row r="739" spans="6:30" ht="10.5" customHeight="1">
      <c r="F739" s="199"/>
      <c r="G739" s="184"/>
      <c r="H739" s="184"/>
      <c r="I739" s="184"/>
      <c r="J739" s="439"/>
      <c r="K739" s="440"/>
      <c r="L739" s="53"/>
      <c r="M739" s="184"/>
      <c r="N739" s="184"/>
      <c r="O739" s="184"/>
      <c r="P739" s="184"/>
      <c r="Q739" s="184"/>
      <c r="R739" s="184"/>
      <c r="S739" s="184"/>
      <c r="T739" s="361" t="s">
        <v>1001</v>
      </c>
      <c r="U739" s="361" t="s">
        <v>1498</v>
      </c>
      <c r="AA739" s="7"/>
      <c r="AB739" s="7"/>
      <c r="AC739" s="1408"/>
      <c r="AD739" s="387"/>
    </row>
    <row r="740" spans="6:30" ht="10.5" customHeight="1">
      <c r="F740" s="199"/>
      <c r="G740" s="184"/>
      <c r="H740" s="184"/>
      <c r="I740" s="184"/>
      <c r="J740" s="439"/>
      <c r="K740" s="440"/>
      <c r="L740" s="53"/>
      <c r="M740" s="184"/>
      <c r="N740" s="184"/>
      <c r="O740" s="184"/>
      <c r="P740" s="184"/>
      <c r="Q740" s="184"/>
      <c r="R740" s="184"/>
      <c r="S740" s="184"/>
      <c r="T740" s="361" t="s">
        <v>1525</v>
      </c>
      <c r="U740" s="361" t="s">
        <v>164</v>
      </c>
      <c r="AA740" s="7"/>
      <c r="AB740" s="7"/>
      <c r="AC740" s="1408"/>
      <c r="AD740" s="387"/>
    </row>
    <row r="741" spans="6:30" ht="10.5" customHeight="1">
      <c r="F741" s="199"/>
      <c r="G741" s="184"/>
      <c r="H741" s="184"/>
      <c r="I741" s="184"/>
      <c r="J741" s="439"/>
      <c r="K741" s="440"/>
      <c r="L741" s="53"/>
      <c r="M741" s="184"/>
      <c r="N741" s="184"/>
      <c r="O741" s="184"/>
      <c r="P741" s="184"/>
      <c r="Q741" s="184"/>
      <c r="R741" s="184"/>
      <c r="S741" s="184"/>
      <c r="T741" s="436" t="s">
        <v>1526</v>
      </c>
      <c r="U741" s="436" t="s">
        <v>155</v>
      </c>
      <c r="AA741" s="7"/>
      <c r="AB741" s="7"/>
      <c r="AC741" s="1408"/>
      <c r="AD741" s="387"/>
    </row>
    <row r="742" spans="6:30" ht="10.5" customHeight="1">
      <c r="F742" s="199"/>
      <c r="G742" s="184"/>
      <c r="H742" s="184"/>
      <c r="I742" s="184"/>
      <c r="J742" s="439"/>
      <c r="K742" s="440"/>
      <c r="L742" s="53"/>
      <c r="M742" s="184"/>
      <c r="N742" s="184"/>
      <c r="O742" s="184"/>
      <c r="P742" s="184"/>
      <c r="Q742" s="184"/>
      <c r="R742" s="184"/>
      <c r="S742" s="184"/>
      <c r="T742" s="361" t="s">
        <v>1527</v>
      </c>
      <c r="U742" s="361" t="s">
        <v>1753</v>
      </c>
      <c r="AA742" s="7"/>
      <c r="AB742" s="7"/>
      <c r="AC742" s="1411"/>
      <c r="AD742" s="387"/>
    </row>
    <row r="743" spans="6:30" ht="10.5" customHeight="1">
      <c r="F743" s="199"/>
      <c r="G743" s="184"/>
      <c r="H743" s="184"/>
      <c r="I743" s="184"/>
      <c r="J743" s="439"/>
      <c r="K743" s="440"/>
      <c r="L743" s="53"/>
      <c r="M743" s="184"/>
      <c r="N743" s="184"/>
      <c r="O743" s="184"/>
      <c r="P743" s="184"/>
      <c r="Q743" s="184"/>
      <c r="R743" s="184"/>
      <c r="S743" s="184"/>
      <c r="T743" s="361" t="s">
        <v>1528</v>
      </c>
      <c r="U743" s="361" t="s">
        <v>141</v>
      </c>
      <c r="AA743" s="7"/>
      <c r="AB743" s="7"/>
      <c r="AC743" s="1408"/>
      <c r="AD743" s="387"/>
    </row>
    <row r="744" spans="6:30" ht="10.5" customHeight="1">
      <c r="F744" s="199"/>
      <c r="G744" s="184"/>
      <c r="H744" s="184"/>
      <c r="I744" s="184"/>
      <c r="J744" s="439"/>
      <c r="K744" s="440"/>
      <c r="L744" s="53"/>
      <c r="M744" s="184"/>
      <c r="N744" s="184"/>
      <c r="O744" s="184"/>
      <c r="P744" s="184"/>
      <c r="Q744" s="184"/>
      <c r="R744" s="184"/>
      <c r="S744" s="184"/>
      <c r="T744" s="361" t="s">
        <v>1529</v>
      </c>
      <c r="U744" s="361" t="s">
        <v>1717</v>
      </c>
      <c r="AA744" s="7"/>
      <c r="AB744" s="7"/>
      <c r="AC744" s="1408"/>
      <c r="AD744" s="387"/>
    </row>
    <row r="745" spans="6:30" ht="10.5" customHeight="1">
      <c r="F745" s="199"/>
      <c r="G745" s="184"/>
      <c r="H745" s="184"/>
      <c r="I745" s="184"/>
      <c r="J745" s="439"/>
      <c r="K745" s="440"/>
      <c r="L745" s="53"/>
      <c r="M745" s="184"/>
      <c r="N745" s="184"/>
      <c r="O745" s="184"/>
      <c r="P745" s="184"/>
      <c r="Q745" s="184"/>
      <c r="R745" s="184"/>
      <c r="S745" s="184"/>
      <c r="T745" s="436" t="s">
        <v>1530</v>
      </c>
      <c r="U745" s="436" t="s">
        <v>1228</v>
      </c>
      <c r="AA745" s="7"/>
      <c r="AB745" s="7"/>
      <c r="AC745" s="1408"/>
      <c r="AD745" s="387"/>
    </row>
    <row r="746" spans="6:30" ht="10.5" customHeight="1">
      <c r="F746" s="199"/>
      <c r="G746" s="184"/>
      <c r="H746" s="184"/>
      <c r="I746" s="184"/>
      <c r="J746" s="439"/>
      <c r="K746" s="440"/>
      <c r="L746" s="53"/>
      <c r="M746" s="184"/>
      <c r="N746" s="184"/>
      <c r="O746" s="184"/>
      <c r="P746" s="184"/>
      <c r="Q746" s="184"/>
      <c r="R746" s="184"/>
      <c r="S746" s="184"/>
      <c r="T746" s="361" t="s">
        <v>1531</v>
      </c>
      <c r="U746" s="361" t="s">
        <v>884</v>
      </c>
      <c r="AA746" s="7"/>
      <c r="AB746" s="7"/>
      <c r="AC746" s="1411"/>
      <c r="AD746" s="387"/>
    </row>
    <row r="747" spans="6:30" ht="10.5" customHeight="1">
      <c r="F747" s="199"/>
      <c r="G747" s="184"/>
      <c r="H747" s="184"/>
      <c r="I747" s="184"/>
      <c r="J747" s="439"/>
      <c r="K747" s="440"/>
      <c r="L747" s="53"/>
      <c r="M747" s="184"/>
      <c r="N747" s="184"/>
      <c r="O747" s="184"/>
      <c r="P747" s="184"/>
      <c r="Q747" s="184"/>
      <c r="R747" s="184"/>
      <c r="S747" s="184"/>
      <c r="T747" s="361" t="s">
        <v>1532</v>
      </c>
      <c r="U747" s="361" t="s">
        <v>679</v>
      </c>
      <c r="AA747" s="7"/>
      <c r="AB747" s="7"/>
      <c r="AC747" s="1408"/>
      <c r="AD747" s="387"/>
    </row>
    <row r="748" spans="6:30" ht="10.5" customHeight="1">
      <c r="F748" s="199"/>
      <c r="G748" s="184"/>
      <c r="H748" s="184"/>
      <c r="I748" s="184"/>
      <c r="J748" s="439"/>
      <c r="K748" s="440"/>
      <c r="L748" s="53"/>
      <c r="M748" s="184"/>
      <c r="N748" s="184"/>
      <c r="O748" s="184"/>
      <c r="P748" s="184"/>
      <c r="Q748" s="184"/>
      <c r="R748" s="184"/>
      <c r="S748" s="184"/>
      <c r="T748" s="361" t="s">
        <v>1002</v>
      </c>
      <c r="U748" s="361" t="s">
        <v>2205</v>
      </c>
      <c r="AA748" s="7"/>
      <c r="AB748" s="7"/>
      <c r="AC748" s="1408"/>
      <c r="AD748" s="387"/>
    </row>
    <row r="749" spans="6:30" ht="10.5" customHeight="1">
      <c r="F749" s="199"/>
      <c r="G749" s="184"/>
      <c r="H749" s="184"/>
      <c r="I749" s="184"/>
      <c r="J749" s="439"/>
      <c r="K749" s="440"/>
      <c r="L749" s="53"/>
      <c r="M749" s="184"/>
      <c r="N749" s="184"/>
      <c r="O749" s="184"/>
      <c r="P749" s="184"/>
      <c r="Q749" s="184"/>
      <c r="R749" s="184"/>
      <c r="S749" s="184"/>
      <c r="T749" s="361" t="s">
        <v>1533</v>
      </c>
      <c r="U749" s="361" t="s">
        <v>292</v>
      </c>
      <c r="AA749" s="7"/>
      <c r="AB749" s="7"/>
      <c r="AC749" s="1408"/>
      <c r="AD749" s="387"/>
    </row>
    <row r="750" spans="6:30" ht="10.5" customHeight="1">
      <c r="F750" s="199"/>
      <c r="G750" s="184"/>
      <c r="H750" s="184"/>
      <c r="I750" s="184"/>
      <c r="J750" s="439"/>
      <c r="K750" s="440"/>
      <c r="L750" s="53"/>
      <c r="M750" s="184"/>
      <c r="N750" s="184"/>
      <c r="O750" s="184"/>
      <c r="P750" s="184"/>
      <c r="Q750" s="184"/>
      <c r="R750" s="184"/>
      <c r="S750" s="184"/>
      <c r="T750" s="361" t="s">
        <v>1534</v>
      </c>
      <c r="U750" s="361" t="s">
        <v>306</v>
      </c>
      <c r="AA750" s="7"/>
      <c r="AB750" s="7"/>
      <c r="AC750" s="1408"/>
      <c r="AD750" s="387"/>
    </row>
    <row r="751" spans="6:30" ht="10.5" customHeight="1">
      <c r="F751" s="199"/>
      <c r="G751" s="184"/>
      <c r="H751" s="184"/>
      <c r="I751" s="184"/>
      <c r="J751" s="439"/>
      <c r="K751" s="440"/>
      <c r="L751" s="53"/>
      <c r="M751" s="184"/>
      <c r="N751" s="184"/>
      <c r="O751" s="184"/>
      <c r="P751" s="184"/>
      <c r="Q751" s="184"/>
      <c r="R751" s="184"/>
      <c r="S751" s="184"/>
      <c r="T751" s="361" t="s">
        <v>1535</v>
      </c>
      <c r="U751" s="361" t="s">
        <v>146</v>
      </c>
      <c r="AA751" s="7"/>
      <c r="AB751" s="7"/>
      <c r="AC751" s="1408"/>
      <c r="AD751" s="387"/>
    </row>
    <row r="752" spans="6:30" ht="10.5" customHeight="1">
      <c r="F752" s="199"/>
      <c r="G752" s="184"/>
      <c r="H752" s="184"/>
      <c r="I752" s="184"/>
      <c r="J752" s="439"/>
      <c r="K752" s="440"/>
      <c r="L752" s="53"/>
      <c r="M752" s="184"/>
      <c r="N752" s="184"/>
      <c r="O752" s="184"/>
      <c r="P752" s="184"/>
      <c r="Q752" s="184"/>
      <c r="R752" s="184"/>
      <c r="S752" s="184"/>
      <c r="T752" s="361" t="s">
        <v>1536</v>
      </c>
      <c r="U752" s="361" t="s">
        <v>1811</v>
      </c>
      <c r="AA752" s="7"/>
      <c r="AB752" s="7"/>
      <c r="AC752" s="1408"/>
      <c r="AD752" s="387"/>
    </row>
    <row r="753" spans="6:30" ht="10.5" customHeight="1">
      <c r="F753" s="199"/>
      <c r="G753" s="184"/>
      <c r="H753" s="184"/>
      <c r="I753" s="184"/>
      <c r="J753" s="439"/>
      <c r="K753" s="440"/>
      <c r="L753" s="53"/>
      <c r="M753" s="184"/>
      <c r="N753" s="184"/>
      <c r="O753" s="184"/>
      <c r="P753" s="184"/>
      <c r="Q753" s="184"/>
      <c r="R753" s="184"/>
      <c r="S753" s="184"/>
      <c r="T753" s="361" t="s">
        <v>1537</v>
      </c>
      <c r="U753" s="361" t="s">
        <v>1337</v>
      </c>
      <c r="AA753" s="7"/>
      <c r="AB753" s="7"/>
      <c r="AC753" s="1408"/>
      <c r="AD753" s="387"/>
    </row>
    <row r="754" spans="6:30" ht="10.5" customHeight="1">
      <c r="F754" s="199"/>
      <c r="G754" s="184"/>
      <c r="H754" s="184"/>
      <c r="I754" s="184"/>
      <c r="J754" s="439"/>
      <c r="K754" s="440"/>
      <c r="L754" s="53"/>
      <c r="M754" s="184"/>
      <c r="N754" s="184"/>
      <c r="O754" s="184"/>
      <c r="P754" s="184"/>
      <c r="Q754" s="184"/>
      <c r="R754" s="184"/>
      <c r="S754" s="184"/>
      <c r="T754" s="361" t="s">
        <v>1538</v>
      </c>
      <c r="U754" s="361" t="s">
        <v>1689</v>
      </c>
      <c r="AA754" s="7"/>
      <c r="AB754" s="7"/>
      <c r="AC754" s="1408"/>
      <c r="AD754" s="387"/>
    </row>
    <row r="755" spans="6:30" ht="10.5" customHeight="1">
      <c r="F755" s="199"/>
      <c r="G755" s="184"/>
      <c r="H755" s="184"/>
      <c r="I755" s="184"/>
      <c r="J755" s="439"/>
      <c r="K755" s="440"/>
      <c r="L755" s="53"/>
      <c r="M755" s="184"/>
      <c r="N755" s="184"/>
      <c r="O755" s="184"/>
      <c r="P755" s="184"/>
      <c r="Q755" s="184"/>
      <c r="R755" s="184"/>
      <c r="S755" s="184"/>
      <c r="T755" s="361" t="s">
        <v>1539</v>
      </c>
      <c r="U755" s="361" t="s">
        <v>298</v>
      </c>
      <c r="AA755" s="7"/>
      <c r="AB755" s="7"/>
      <c r="AC755" s="1408"/>
      <c r="AD755" s="387"/>
    </row>
    <row r="756" spans="6:30" ht="10.5" customHeight="1">
      <c r="F756" s="199"/>
      <c r="G756" s="184"/>
      <c r="H756" s="184"/>
      <c r="I756" s="184"/>
      <c r="J756" s="439"/>
      <c r="K756" s="440"/>
      <c r="L756" s="53"/>
      <c r="M756" s="184"/>
      <c r="N756" s="184"/>
      <c r="O756" s="184"/>
      <c r="P756" s="184"/>
      <c r="Q756" s="184"/>
      <c r="R756" s="184"/>
      <c r="S756" s="184"/>
      <c r="T756" s="361" t="s">
        <v>1540</v>
      </c>
      <c r="U756" s="361" t="s">
        <v>96</v>
      </c>
      <c r="AA756" s="7"/>
      <c r="AB756" s="7"/>
      <c r="AC756" s="1408"/>
      <c r="AD756" s="387"/>
    </row>
    <row r="757" spans="6:30" ht="10.5" customHeight="1">
      <c r="F757" s="199"/>
      <c r="G757" s="184"/>
      <c r="H757" s="184"/>
      <c r="I757" s="184"/>
      <c r="J757" s="439"/>
      <c r="K757" s="440"/>
      <c r="L757" s="53"/>
      <c r="M757" s="184"/>
      <c r="N757" s="184"/>
      <c r="O757" s="184"/>
      <c r="P757" s="184"/>
      <c r="Q757" s="184"/>
      <c r="R757" s="184"/>
      <c r="S757" s="184"/>
      <c r="T757" s="361" t="s">
        <v>273</v>
      </c>
      <c r="U757" s="361" t="s">
        <v>2130</v>
      </c>
      <c r="AA757" s="7"/>
      <c r="AB757" s="7"/>
      <c r="AC757" s="1408"/>
      <c r="AD757" s="387"/>
    </row>
    <row r="758" spans="6:30" ht="10.5" customHeight="1">
      <c r="F758" s="199"/>
      <c r="G758" s="184"/>
      <c r="H758" s="184"/>
      <c r="I758" s="184"/>
      <c r="J758" s="439"/>
      <c r="K758" s="440"/>
      <c r="L758" s="53"/>
      <c r="M758" s="184"/>
      <c r="N758" s="184"/>
      <c r="O758" s="184"/>
      <c r="P758" s="184"/>
      <c r="Q758" s="184"/>
      <c r="R758" s="184"/>
      <c r="S758" s="184"/>
      <c r="T758" s="361" t="s">
        <v>98</v>
      </c>
      <c r="U758" s="361" t="s">
        <v>2126</v>
      </c>
      <c r="AA758" s="7"/>
      <c r="AB758" s="7"/>
      <c r="AC758" s="1408"/>
      <c r="AD758" s="387"/>
    </row>
    <row r="759" spans="6:30" ht="10.5" customHeight="1">
      <c r="F759" s="199"/>
      <c r="G759" s="184"/>
      <c r="H759" s="184"/>
      <c r="I759" s="184"/>
      <c r="J759" s="439"/>
      <c r="K759" s="440"/>
      <c r="L759" s="53"/>
      <c r="M759" s="184"/>
      <c r="N759" s="184"/>
      <c r="O759" s="184"/>
      <c r="P759" s="184"/>
      <c r="Q759" s="184"/>
      <c r="R759" s="184"/>
      <c r="S759" s="184"/>
      <c r="T759" s="277" t="s">
        <v>274</v>
      </c>
      <c r="U759" s="277" t="s">
        <v>2299</v>
      </c>
      <c r="AA759" s="7"/>
      <c r="AB759" s="7"/>
      <c r="AC759" s="1408"/>
      <c r="AD759" s="387"/>
    </row>
    <row r="760" spans="6:30" ht="10.5" customHeight="1">
      <c r="F760" s="199"/>
      <c r="G760" s="184"/>
      <c r="H760" s="184"/>
      <c r="I760" s="184"/>
      <c r="J760" s="439"/>
      <c r="K760" s="440"/>
      <c r="L760" s="53"/>
      <c r="M760" s="184"/>
      <c r="N760" s="184"/>
      <c r="O760" s="184"/>
      <c r="P760" s="184"/>
      <c r="Q760" s="184"/>
      <c r="R760" s="184"/>
      <c r="S760" s="184"/>
      <c r="T760" s="361" t="s">
        <v>275</v>
      </c>
      <c r="U760" s="361" t="s">
        <v>293</v>
      </c>
      <c r="AA760" s="7"/>
      <c r="AB760" s="7"/>
      <c r="AC760" s="21"/>
      <c r="AD760" s="387"/>
    </row>
    <row r="761" spans="6:30" ht="10.5" customHeight="1">
      <c r="F761" s="199"/>
      <c r="G761" s="184"/>
      <c r="H761" s="184"/>
      <c r="I761" s="184"/>
      <c r="J761" s="439"/>
      <c r="K761" s="440"/>
      <c r="L761" s="53"/>
      <c r="M761" s="184"/>
      <c r="N761" s="184"/>
      <c r="O761" s="184"/>
      <c r="P761" s="184"/>
      <c r="Q761" s="184"/>
      <c r="R761" s="184"/>
      <c r="S761" s="184"/>
      <c r="T761" s="361" t="s">
        <v>276</v>
      </c>
      <c r="U761" s="277" t="s">
        <v>1812</v>
      </c>
      <c r="AA761" s="7"/>
      <c r="AB761" s="7"/>
      <c r="AC761" s="1408"/>
      <c r="AD761" s="387"/>
    </row>
    <row r="762" spans="6:30" ht="13.5">
      <c r="F762" s="199"/>
      <c r="G762" s="184"/>
      <c r="H762" s="184"/>
      <c r="I762" s="184"/>
      <c r="J762" s="439"/>
      <c r="K762" s="440"/>
      <c r="L762" s="53"/>
      <c r="M762" s="184"/>
      <c r="N762" s="184"/>
      <c r="O762" s="184"/>
      <c r="P762" s="184"/>
      <c r="Q762" s="184"/>
      <c r="R762" s="184"/>
      <c r="S762" s="184"/>
      <c r="T762" s="277" t="s">
        <v>277</v>
      </c>
      <c r="U762" s="277" t="s">
        <v>1228</v>
      </c>
      <c r="AA762" s="7"/>
      <c r="AB762" s="7"/>
      <c r="AC762" s="1408"/>
      <c r="AD762" s="387"/>
    </row>
    <row r="763" spans="6:30" ht="13.5">
      <c r="F763" s="199"/>
      <c r="G763" s="184"/>
      <c r="H763" s="184"/>
      <c r="I763" s="184"/>
      <c r="J763" s="439"/>
      <c r="K763" s="440"/>
      <c r="L763" s="53"/>
      <c r="M763" s="184"/>
      <c r="N763" s="184"/>
      <c r="O763" s="184"/>
      <c r="P763" s="184"/>
      <c r="Q763" s="184"/>
      <c r="R763" s="184"/>
      <c r="S763" s="184"/>
      <c r="T763" s="277" t="s">
        <v>278</v>
      </c>
      <c r="U763" s="277" t="s">
        <v>1723</v>
      </c>
      <c r="AA763" s="7"/>
      <c r="AB763" s="7"/>
      <c r="AC763" s="21"/>
      <c r="AD763" s="387"/>
    </row>
    <row r="764" spans="6:30" ht="13.5">
      <c r="F764" s="199"/>
      <c r="G764" s="184"/>
      <c r="H764" s="184"/>
      <c r="I764" s="184"/>
      <c r="J764" s="439"/>
      <c r="K764" s="440"/>
      <c r="L764" s="53"/>
      <c r="M764" s="184"/>
      <c r="N764" s="184"/>
      <c r="O764" s="184"/>
      <c r="P764" s="184"/>
      <c r="Q764" s="184"/>
      <c r="R764" s="184"/>
      <c r="S764" s="184"/>
      <c r="T764" s="277" t="s">
        <v>279</v>
      </c>
      <c r="U764" s="277" t="s">
        <v>102</v>
      </c>
      <c r="AA764" s="7"/>
      <c r="AB764" s="7"/>
      <c r="AC764" s="21"/>
      <c r="AD764" s="387"/>
    </row>
    <row r="765" spans="6:30" ht="13.5">
      <c r="F765" s="199"/>
      <c r="G765" s="184"/>
      <c r="H765" s="184"/>
      <c r="I765" s="184"/>
      <c r="J765" s="439"/>
      <c r="K765" s="440"/>
      <c r="L765" s="53"/>
      <c r="M765" s="184"/>
      <c r="N765" s="184"/>
      <c r="O765" s="184"/>
      <c r="P765" s="184"/>
      <c r="Q765" s="184"/>
      <c r="R765" s="184"/>
      <c r="S765" s="184"/>
      <c r="T765" s="277" t="s">
        <v>280</v>
      </c>
      <c r="U765" s="277" t="s">
        <v>624</v>
      </c>
      <c r="AA765" s="7"/>
      <c r="AB765" s="7"/>
      <c r="AC765" s="21"/>
      <c r="AD765" s="387"/>
    </row>
    <row r="766" spans="6:30" ht="13.5">
      <c r="F766" s="199"/>
      <c r="G766" s="184"/>
      <c r="H766" s="184"/>
      <c r="I766" s="184"/>
      <c r="J766" s="439"/>
      <c r="K766" s="440"/>
      <c r="L766" s="53"/>
      <c r="M766" s="184"/>
      <c r="N766" s="184"/>
      <c r="O766" s="184"/>
      <c r="P766" s="184"/>
      <c r="Q766" s="184"/>
      <c r="R766" s="184"/>
      <c r="S766" s="184"/>
      <c r="T766" s="277" t="s">
        <v>106</v>
      </c>
      <c r="U766" s="277" t="s">
        <v>1213</v>
      </c>
      <c r="AA766" s="7"/>
      <c r="AB766" s="7"/>
      <c r="AC766" s="21"/>
      <c r="AD766" s="387"/>
    </row>
    <row r="767" spans="6:30" ht="13.5">
      <c r="F767" s="199"/>
      <c r="G767" s="184"/>
      <c r="H767" s="184"/>
      <c r="I767" s="184"/>
      <c r="J767" s="439"/>
      <c r="K767" s="440"/>
      <c r="L767" s="53"/>
      <c r="M767" s="184"/>
      <c r="N767" s="184"/>
      <c r="O767" s="184"/>
      <c r="P767" s="184"/>
      <c r="Q767" s="184"/>
      <c r="R767" s="184"/>
      <c r="S767" s="184"/>
      <c r="T767" s="277" t="s">
        <v>1400</v>
      </c>
      <c r="U767" s="277" t="s">
        <v>626</v>
      </c>
      <c r="AA767" s="7"/>
      <c r="AB767" s="7"/>
      <c r="AC767" s="21"/>
      <c r="AD767" s="387"/>
    </row>
    <row r="768" spans="6:30" ht="13.5">
      <c r="F768" s="199"/>
      <c r="G768" s="184"/>
      <c r="H768" s="184"/>
      <c r="I768" s="184"/>
      <c r="J768" s="439"/>
      <c r="K768" s="440"/>
      <c r="L768" s="53"/>
      <c r="M768" s="184"/>
      <c r="N768" s="184"/>
      <c r="O768" s="184"/>
      <c r="P768" s="184"/>
      <c r="Q768" s="184"/>
      <c r="R768" s="184"/>
      <c r="S768" s="184"/>
      <c r="T768" s="277" t="s">
        <v>1003</v>
      </c>
      <c r="U768" s="277" t="s">
        <v>141</v>
      </c>
      <c r="AA768" s="7"/>
      <c r="AB768" s="7"/>
      <c r="AC768" s="21"/>
      <c r="AD768" s="387"/>
    </row>
    <row r="769" spans="6:30" ht="13.5">
      <c r="F769" s="199"/>
      <c r="G769" s="184"/>
      <c r="H769" s="184"/>
      <c r="I769" s="184"/>
      <c r="J769" s="439"/>
      <c r="K769" s="440"/>
      <c r="L769" s="53"/>
      <c r="M769" s="184"/>
      <c r="N769" s="184"/>
      <c r="O769" s="184"/>
      <c r="P769" s="184"/>
      <c r="Q769" s="184"/>
      <c r="R769" s="184"/>
      <c r="S769" s="184"/>
      <c r="T769" s="277" t="s">
        <v>1401</v>
      </c>
      <c r="U769" s="277" t="s">
        <v>679</v>
      </c>
      <c r="AA769" s="7"/>
      <c r="AB769" s="7"/>
      <c r="AC769" s="21"/>
      <c r="AD769" s="387"/>
    </row>
    <row r="770" spans="6:30" ht="13.5">
      <c r="F770" s="199"/>
      <c r="G770" s="184"/>
      <c r="H770" s="184"/>
      <c r="I770" s="184"/>
      <c r="J770" s="439"/>
      <c r="K770" s="184"/>
      <c r="L770" s="184"/>
      <c r="M770" s="184"/>
      <c r="N770" s="184"/>
      <c r="O770" s="184"/>
      <c r="P770" s="184"/>
      <c r="Q770" s="184"/>
      <c r="R770" s="184"/>
      <c r="S770" s="184"/>
      <c r="T770" s="277" t="s">
        <v>1402</v>
      </c>
      <c r="U770" s="277" t="s">
        <v>1601</v>
      </c>
      <c r="AA770" s="7"/>
      <c r="AB770" s="7"/>
      <c r="AC770" s="21"/>
      <c r="AD770" s="387"/>
    </row>
    <row r="771" spans="6:30" ht="13.5">
      <c r="F771" s="199"/>
      <c r="G771" s="184"/>
      <c r="H771" s="184"/>
      <c r="I771" s="184"/>
      <c r="J771" s="184"/>
      <c r="K771" s="184"/>
      <c r="L771" s="184"/>
      <c r="M771" s="184"/>
      <c r="N771" s="184"/>
      <c r="O771" s="184"/>
      <c r="P771" s="184"/>
      <c r="Q771" s="184"/>
      <c r="R771" s="184"/>
      <c r="S771" s="184"/>
      <c r="T771" s="277" t="s">
        <v>1403</v>
      </c>
      <c r="U771" s="277" t="s">
        <v>1016</v>
      </c>
      <c r="AA771" s="7"/>
      <c r="AB771" s="7"/>
      <c r="AC771" s="21"/>
      <c r="AD771" s="387"/>
    </row>
    <row r="772" spans="6:30" ht="13.5">
      <c r="F772" s="199"/>
      <c r="G772" s="184"/>
      <c r="H772" s="184"/>
      <c r="I772" s="184"/>
      <c r="J772" s="184"/>
      <c r="K772" s="184"/>
      <c r="L772" s="184"/>
      <c r="M772" s="184"/>
      <c r="N772" s="184"/>
      <c r="O772" s="184"/>
      <c r="P772" s="184"/>
      <c r="Q772" s="184"/>
      <c r="R772" s="184"/>
      <c r="S772" s="184"/>
      <c r="T772" s="277" t="s">
        <v>1004</v>
      </c>
      <c r="U772" s="277" t="s">
        <v>141</v>
      </c>
      <c r="AA772" s="7"/>
      <c r="AB772" s="7"/>
      <c r="AC772" s="21"/>
      <c r="AD772" s="387"/>
    </row>
    <row r="773" spans="6:30" ht="13.5">
      <c r="F773" s="199"/>
      <c r="G773" s="184"/>
      <c r="H773" s="184"/>
      <c r="I773" s="184"/>
      <c r="J773" s="184"/>
      <c r="K773" s="184"/>
      <c r="L773" s="184"/>
      <c r="M773" s="184"/>
      <c r="N773" s="184"/>
      <c r="O773" s="184"/>
      <c r="P773" s="184"/>
      <c r="Q773" s="184"/>
      <c r="R773" s="184"/>
      <c r="S773" s="184"/>
      <c r="T773" s="277" t="s">
        <v>1404</v>
      </c>
      <c r="U773" s="277" t="s">
        <v>1212</v>
      </c>
      <c r="AA773" s="7"/>
      <c r="AB773" s="7"/>
      <c r="AC773" s="21"/>
      <c r="AD773" s="387"/>
    </row>
    <row r="774" spans="6:30" ht="13.5">
      <c r="F774" s="199"/>
      <c r="G774" s="184"/>
      <c r="H774" s="184"/>
      <c r="I774" s="184"/>
      <c r="J774" s="184"/>
      <c r="K774" s="184"/>
      <c r="L774" s="184"/>
      <c r="M774" s="184"/>
      <c r="N774" s="184"/>
      <c r="O774" s="184"/>
      <c r="P774" s="184"/>
      <c r="Q774" s="184"/>
      <c r="R774" s="184"/>
      <c r="S774" s="184"/>
      <c r="T774" s="277" t="s">
        <v>1405</v>
      </c>
      <c r="U774" s="277" t="s">
        <v>147</v>
      </c>
      <c r="AA774" s="7"/>
      <c r="AB774" s="7"/>
      <c r="AC774" s="21"/>
      <c r="AD774" s="387"/>
    </row>
    <row r="775" spans="6:30" ht="13.5">
      <c r="F775" s="199"/>
      <c r="G775" s="184"/>
      <c r="H775" s="184"/>
      <c r="I775" s="184"/>
      <c r="J775" s="184"/>
      <c r="K775" s="184"/>
      <c r="L775" s="184"/>
      <c r="M775" s="184"/>
      <c r="N775" s="184"/>
      <c r="O775" s="184"/>
      <c r="P775" s="184"/>
      <c r="Q775" s="184"/>
      <c r="R775" s="184"/>
      <c r="S775" s="184"/>
      <c r="T775" s="277" t="s">
        <v>1406</v>
      </c>
      <c r="U775" s="277" t="s">
        <v>1233</v>
      </c>
      <c r="AA775" s="7"/>
      <c r="AB775" s="7"/>
      <c r="AC775" s="21"/>
      <c r="AD775" s="387"/>
    </row>
    <row r="776" spans="6:30" ht="13.5">
      <c r="F776" s="199"/>
      <c r="G776" s="184"/>
      <c r="H776" s="184"/>
      <c r="I776" s="184"/>
      <c r="J776" s="184"/>
      <c r="K776" s="184"/>
      <c r="L776" s="184"/>
      <c r="M776" s="184"/>
      <c r="N776" s="184"/>
      <c r="O776" s="184"/>
      <c r="P776" s="184"/>
      <c r="Q776" s="184"/>
      <c r="R776" s="184"/>
      <c r="S776" s="184"/>
      <c r="T776" s="277" t="s">
        <v>1407</v>
      </c>
      <c r="U776" s="277" t="s">
        <v>1689</v>
      </c>
      <c r="AA776" s="7"/>
      <c r="AB776" s="7"/>
      <c r="AC776" s="21"/>
      <c r="AD776" s="387"/>
    </row>
    <row r="777" spans="6:30" ht="13.5">
      <c r="F777" s="199"/>
      <c r="G777" s="184"/>
      <c r="H777" s="184"/>
      <c r="I777" s="184"/>
      <c r="J777" s="184"/>
      <c r="K777" s="184"/>
      <c r="L777" s="184"/>
      <c r="M777" s="184"/>
      <c r="N777" s="184"/>
      <c r="O777" s="184"/>
      <c r="P777" s="184"/>
      <c r="Q777" s="184"/>
      <c r="R777" s="184"/>
      <c r="S777" s="184"/>
      <c r="T777" s="277" t="s">
        <v>1408</v>
      </c>
      <c r="U777" s="277" t="s">
        <v>1942</v>
      </c>
      <c r="AA777" s="7"/>
      <c r="AB777" s="7"/>
      <c r="AC777" s="21"/>
      <c r="AD777" s="387"/>
    </row>
    <row r="778" spans="6:30" ht="13.5">
      <c r="F778" s="199"/>
      <c r="G778" s="184"/>
      <c r="H778" s="184"/>
      <c r="I778" s="184"/>
      <c r="J778" s="184"/>
      <c r="K778" s="184"/>
      <c r="L778" s="184"/>
      <c r="M778" s="184"/>
      <c r="N778" s="184"/>
      <c r="O778" s="184"/>
      <c r="P778" s="184"/>
      <c r="Q778" s="184"/>
      <c r="R778" s="184"/>
      <c r="S778" s="184"/>
      <c r="T778" s="277" t="s">
        <v>1409</v>
      </c>
      <c r="U778" s="277" t="s">
        <v>146</v>
      </c>
      <c r="AA778" s="7"/>
      <c r="AB778" s="7"/>
      <c r="AC778" s="21"/>
      <c r="AD778" s="387"/>
    </row>
    <row r="779" spans="6:30" ht="13.5">
      <c r="F779" s="199"/>
      <c r="G779" s="184"/>
      <c r="H779" s="184"/>
      <c r="I779" s="184"/>
      <c r="J779" s="184"/>
      <c r="K779" s="184"/>
      <c r="L779" s="184"/>
      <c r="M779" s="184"/>
      <c r="N779" s="184"/>
      <c r="O779" s="184"/>
      <c r="P779" s="184"/>
      <c r="Q779" s="184"/>
      <c r="R779" s="184"/>
      <c r="S779" s="184"/>
      <c r="T779" s="277" t="s">
        <v>2113</v>
      </c>
      <c r="U779" s="277" t="s">
        <v>626</v>
      </c>
      <c r="AA779" s="7"/>
      <c r="AB779" s="7"/>
      <c r="AC779" s="21"/>
      <c r="AD779" s="387"/>
    </row>
    <row r="780" spans="6:30" ht="13.5">
      <c r="F780" s="199"/>
      <c r="G780" s="184"/>
      <c r="H780" s="184"/>
      <c r="I780" s="184"/>
      <c r="J780" s="184"/>
      <c r="K780" s="184"/>
      <c r="L780" s="184"/>
      <c r="M780" s="184"/>
      <c r="N780" s="184"/>
      <c r="O780" s="184"/>
      <c r="P780" s="184"/>
      <c r="Q780" s="184"/>
      <c r="R780" s="184"/>
      <c r="S780" s="184"/>
      <c r="T780" s="277" t="s">
        <v>2114</v>
      </c>
      <c r="U780" s="277" t="s">
        <v>612</v>
      </c>
      <c r="AA780" s="7"/>
      <c r="AB780" s="7"/>
      <c r="AC780" s="21"/>
      <c r="AD780" s="387"/>
    </row>
    <row r="781" spans="6:30" ht="13.5">
      <c r="F781" s="199"/>
      <c r="G781" s="184"/>
      <c r="H781" s="184"/>
      <c r="I781" s="184"/>
      <c r="J781" s="184"/>
      <c r="K781" s="184"/>
      <c r="L781" s="184"/>
      <c r="M781" s="184"/>
      <c r="N781" s="184"/>
      <c r="O781" s="184"/>
      <c r="P781" s="184"/>
      <c r="Q781" s="184"/>
      <c r="R781" s="184"/>
      <c r="S781" s="184"/>
      <c r="T781" s="277" t="s">
        <v>2115</v>
      </c>
      <c r="U781" s="277" t="s">
        <v>306</v>
      </c>
      <c r="AA781" s="7"/>
      <c r="AB781" s="7"/>
      <c r="AC781" s="21"/>
      <c r="AD781" s="387"/>
    </row>
    <row r="782" spans="6:30" ht="13.5">
      <c r="F782" s="199"/>
      <c r="G782" s="184"/>
      <c r="H782" s="184"/>
      <c r="I782" s="184"/>
      <c r="J782" s="184"/>
      <c r="K782" s="184"/>
      <c r="L782" s="184"/>
      <c r="M782" s="184"/>
      <c r="N782" s="184"/>
      <c r="O782" s="184"/>
      <c r="P782" s="184"/>
      <c r="Q782" s="184"/>
      <c r="R782" s="184"/>
      <c r="S782" s="184"/>
      <c r="T782" s="277" t="s">
        <v>773</v>
      </c>
      <c r="U782" s="277" t="s">
        <v>310</v>
      </c>
      <c r="AA782" s="7"/>
      <c r="AB782" s="7"/>
      <c r="AC782" s="21"/>
      <c r="AD782" s="387"/>
    </row>
    <row r="783" spans="6:30" ht="13.5">
      <c r="F783" s="199"/>
      <c r="G783" s="184"/>
      <c r="H783" s="184"/>
      <c r="I783" s="184"/>
      <c r="J783" s="184"/>
      <c r="K783" s="184"/>
      <c r="L783" s="184"/>
      <c r="M783" s="184"/>
      <c r="N783" s="184"/>
      <c r="O783" s="184"/>
      <c r="P783" s="184"/>
      <c r="Q783" s="184"/>
      <c r="R783" s="184"/>
      <c r="S783" s="184"/>
      <c r="T783" s="277" t="s">
        <v>774</v>
      </c>
      <c r="U783" s="277" t="s">
        <v>1808</v>
      </c>
      <c r="AA783" s="7"/>
      <c r="AB783" s="7"/>
      <c r="AC783" s="21"/>
      <c r="AD783" s="387"/>
    </row>
    <row r="784" spans="6:30" ht="13.5">
      <c r="F784" s="199"/>
      <c r="G784" s="184"/>
      <c r="H784" s="184"/>
      <c r="I784" s="184"/>
      <c r="J784" s="184"/>
      <c r="K784" s="184"/>
      <c r="L784" s="184"/>
      <c r="M784" s="184"/>
      <c r="N784" s="184"/>
      <c r="O784" s="184"/>
      <c r="P784" s="184"/>
      <c r="Q784" s="184"/>
      <c r="R784" s="184"/>
      <c r="S784" s="184"/>
      <c r="T784" s="277" t="s">
        <v>2449</v>
      </c>
      <c r="U784" s="277" t="s">
        <v>106</v>
      </c>
      <c r="AA784" s="7"/>
      <c r="AB784" s="7"/>
      <c r="AC784" s="21"/>
      <c r="AD784" s="387"/>
    </row>
    <row r="785" spans="6:30" ht="13.5">
      <c r="F785" s="199"/>
      <c r="G785" s="184"/>
      <c r="H785" s="184"/>
      <c r="I785" s="184"/>
      <c r="J785" s="184"/>
      <c r="K785" s="184"/>
      <c r="L785" s="184"/>
      <c r="M785" s="184"/>
      <c r="N785" s="184"/>
      <c r="O785" s="184"/>
      <c r="P785" s="184"/>
      <c r="Q785" s="184"/>
      <c r="R785" s="184"/>
      <c r="S785" s="184"/>
      <c r="T785" s="277" t="s">
        <v>775</v>
      </c>
      <c r="U785" s="277" t="s">
        <v>1719</v>
      </c>
      <c r="AA785" s="7"/>
      <c r="AB785" s="7"/>
      <c r="AC785" s="21"/>
      <c r="AD785" s="387"/>
    </row>
    <row r="786" spans="6:30" ht="13.5">
      <c r="F786" s="199"/>
      <c r="G786" s="184"/>
      <c r="H786" s="184"/>
      <c r="I786" s="184"/>
      <c r="J786" s="184"/>
      <c r="K786" s="184"/>
      <c r="L786" s="184"/>
      <c r="M786" s="184"/>
      <c r="N786" s="184"/>
      <c r="O786" s="184"/>
      <c r="P786" s="184"/>
      <c r="Q786" s="184"/>
      <c r="R786" s="184"/>
      <c r="S786" s="184"/>
      <c r="T786" s="277" t="s">
        <v>776</v>
      </c>
      <c r="U786" s="277" t="s">
        <v>1016</v>
      </c>
      <c r="AA786" s="7"/>
      <c r="AB786" s="7"/>
      <c r="AC786" s="21"/>
      <c r="AD786" s="387"/>
    </row>
    <row r="787" spans="6:30" ht="13.5">
      <c r="F787" s="199"/>
      <c r="G787" s="184"/>
      <c r="H787" s="184"/>
      <c r="I787" s="184"/>
      <c r="J787" s="184"/>
      <c r="K787" s="184"/>
      <c r="L787" s="184"/>
      <c r="M787" s="184"/>
      <c r="N787" s="184"/>
      <c r="O787" s="184"/>
      <c r="P787" s="184"/>
      <c r="Q787" s="184"/>
      <c r="R787" s="184"/>
      <c r="S787" s="184"/>
      <c r="T787" s="277"/>
      <c r="U787" s="277"/>
      <c r="AA787" s="7"/>
      <c r="AB787" s="7"/>
      <c r="AC787" s="21"/>
      <c r="AD787" s="387"/>
    </row>
    <row r="788" spans="6:30" ht="13.5">
      <c r="F788" s="199"/>
      <c r="G788" s="184"/>
      <c r="H788" s="184"/>
      <c r="I788" s="184"/>
      <c r="J788" s="184"/>
      <c r="K788" s="184"/>
      <c r="L788" s="184"/>
      <c r="M788" s="184"/>
      <c r="N788" s="184"/>
      <c r="O788" s="184"/>
      <c r="P788" s="184"/>
      <c r="Q788" s="184"/>
      <c r="R788" s="184"/>
      <c r="S788" s="184"/>
      <c r="T788" s="277"/>
      <c r="U788" s="277"/>
      <c r="AA788" s="7"/>
      <c r="AB788" s="7"/>
      <c r="AC788" s="21"/>
      <c r="AD788" s="387"/>
    </row>
    <row r="789" spans="6:30">
      <c r="N789" s="184"/>
      <c r="O789" s="184"/>
      <c r="P789" s="184"/>
      <c r="T789" s="297"/>
      <c r="U789" s="297"/>
      <c r="AA789" s="7"/>
      <c r="AB789" s="7"/>
      <c r="AC789" s="21"/>
      <c r="AD789" s="387"/>
    </row>
    <row r="790" spans="6:30">
      <c r="T790" s="297"/>
      <c r="U790" s="297"/>
      <c r="AA790" s="7"/>
      <c r="AB790" s="7"/>
      <c r="AC790" s="387"/>
      <c r="AD790" s="387"/>
    </row>
    <row r="791" spans="6:30">
      <c r="T791" s="297"/>
      <c r="U791" s="297"/>
      <c r="AA791" s="7"/>
      <c r="AB791" s="7"/>
      <c r="AC791" s="387"/>
      <c r="AD791" s="387"/>
    </row>
    <row r="792" spans="6:30">
      <c r="T792" s="297"/>
      <c r="U792" s="297"/>
      <c r="AA792" s="7"/>
      <c r="AB792" s="7"/>
      <c r="AC792" s="387"/>
      <c r="AD792" s="387"/>
    </row>
    <row r="793" spans="6:30">
      <c r="AA793" s="7"/>
      <c r="AB793" s="7"/>
      <c r="AC793" s="387"/>
      <c r="AD793" s="387"/>
    </row>
    <row r="794" spans="6:30">
      <c r="AA794" s="7"/>
      <c r="AB794" s="7"/>
      <c r="AC794" s="387"/>
      <c r="AD794" s="387"/>
    </row>
    <row r="795" spans="6:30">
      <c r="AA795" s="7"/>
      <c r="AB795" s="7"/>
      <c r="AC795" s="387"/>
      <c r="AD795" s="387"/>
    </row>
    <row r="796" spans="6:30">
      <c r="AA796" s="7"/>
      <c r="AB796" s="7"/>
      <c r="AC796" s="387"/>
      <c r="AD796" s="387"/>
    </row>
    <row r="797" spans="6:30">
      <c r="AA797" s="7"/>
      <c r="AB797" s="7"/>
      <c r="AC797" s="387"/>
      <c r="AD797" s="387"/>
    </row>
    <row r="798" spans="6:30">
      <c r="AA798" s="7"/>
      <c r="AB798" s="7"/>
      <c r="AC798" s="387"/>
      <c r="AD798" s="387"/>
    </row>
    <row r="799" spans="6:30">
      <c r="AA799" s="7"/>
      <c r="AB799" s="7"/>
      <c r="AC799" s="387"/>
      <c r="AD799" s="387"/>
    </row>
    <row r="800" spans="6:30">
      <c r="AA800" s="7"/>
      <c r="AB800" s="7"/>
      <c r="AC800" s="387"/>
      <c r="AD800" s="387"/>
    </row>
    <row r="801" spans="27:30">
      <c r="AA801" s="7"/>
      <c r="AB801" s="7"/>
      <c r="AC801" s="387"/>
      <c r="AD801" s="387"/>
    </row>
    <row r="802" spans="27:30">
      <c r="AA802" s="7"/>
      <c r="AB802" s="7"/>
      <c r="AC802" s="387"/>
      <c r="AD802" s="387"/>
    </row>
    <row r="803" spans="27:30">
      <c r="AA803" s="7"/>
      <c r="AB803" s="7"/>
      <c r="AC803" s="387"/>
      <c r="AD803" s="387"/>
    </row>
    <row r="804" spans="27:30">
      <c r="AA804" s="7"/>
      <c r="AB804" s="7"/>
      <c r="AC804" s="387"/>
      <c r="AD804" s="387"/>
    </row>
    <row r="805" spans="27:30">
      <c r="AA805" s="7"/>
      <c r="AB805" s="7"/>
      <c r="AC805" s="387"/>
      <c r="AD805" s="387"/>
    </row>
    <row r="806" spans="27:30">
      <c r="AA806" s="7"/>
      <c r="AB806" s="7"/>
      <c r="AC806" s="387"/>
      <c r="AD806" s="387"/>
    </row>
    <row r="807" spans="27:30">
      <c r="AA807" s="7"/>
      <c r="AB807" s="7"/>
      <c r="AC807" s="387"/>
      <c r="AD807" s="387"/>
    </row>
    <row r="808" spans="27:30">
      <c r="AA808" s="7"/>
      <c r="AB808" s="7"/>
      <c r="AC808" s="387"/>
      <c r="AD808" s="387"/>
    </row>
    <row r="809" spans="27:30">
      <c r="AA809" s="7"/>
      <c r="AB809" s="7"/>
      <c r="AC809" s="387"/>
      <c r="AD809" s="387"/>
    </row>
    <row r="810" spans="27:30">
      <c r="AA810" s="7"/>
      <c r="AB810" s="7"/>
      <c r="AC810" s="387"/>
      <c r="AD810" s="387"/>
    </row>
    <row r="811" spans="27:30">
      <c r="AA811" s="7"/>
      <c r="AB811" s="7"/>
      <c r="AC811" s="387"/>
      <c r="AD811" s="387"/>
    </row>
    <row r="812" spans="27:30">
      <c r="AA812" s="7"/>
      <c r="AB812" s="7"/>
      <c r="AC812" s="387"/>
      <c r="AD812" s="387"/>
    </row>
    <row r="813" spans="27:30">
      <c r="AA813" s="7"/>
      <c r="AB813" s="7"/>
      <c r="AC813" s="387"/>
      <c r="AD813" s="387"/>
    </row>
    <row r="814" spans="27:30">
      <c r="AA814" s="7"/>
      <c r="AB814" s="7"/>
      <c r="AC814" s="387"/>
      <c r="AD814" s="387"/>
    </row>
    <row r="815" spans="27:30">
      <c r="AA815" s="7"/>
      <c r="AB815" s="7"/>
      <c r="AC815" s="387"/>
      <c r="AD815" s="387"/>
    </row>
    <row r="816" spans="27:30">
      <c r="AA816" s="7"/>
      <c r="AB816" s="7"/>
      <c r="AC816" s="387"/>
      <c r="AD816" s="387"/>
    </row>
    <row r="817" spans="27:30">
      <c r="AA817" s="7"/>
      <c r="AB817" s="7"/>
      <c r="AC817" s="387"/>
      <c r="AD817" s="387"/>
    </row>
    <row r="818" spans="27:30">
      <c r="AA818" s="7"/>
      <c r="AB818" s="7"/>
      <c r="AC818" s="387"/>
      <c r="AD818" s="387"/>
    </row>
    <row r="819" spans="27:30">
      <c r="AA819" s="7"/>
      <c r="AB819" s="7"/>
      <c r="AC819" s="387"/>
      <c r="AD819" s="387"/>
    </row>
    <row r="820" spans="27:30">
      <c r="AA820" s="7"/>
      <c r="AB820" s="7"/>
      <c r="AC820" s="387"/>
      <c r="AD820" s="387"/>
    </row>
    <row r="821" spans="27:30">
      <c r="AA821" s="7"/>
      <c r="AB821" s="7"/>
      <c r="AC821" s="387"/>
      <c r="AD821" s="387"/>
    </row>
    <row r="822" spans="27:30">
      <c r="AA822" s="7"/>
      <c r="AC822" s="387"/>
    </row>
    <row r="823" spans="27:30">
      <c r="AA823" s="7"/>
      <c r="AC823" s="387"/>
    </row>
    <row r="824" spans="27:30">
      <c r="AA824" s="7"/>
      <c r="AC824" s="387"/>
    </row>
    <row r="825" spans="27:30">
      <c r="AA825" s="7"/>
      <c r="AC825" s="387"/>
    </row>
    <row r="826" spans="27:30">
      <c r="AA826" s="7"/>
      <c r="AC826" s="387"/>
    </row>
    <row r="827" spans="27:30">
      <c r="AA827" s="7"/>
      <c r="AC827" s="387"/>
    </row>
    <row r="828" spans="27:30">
      <c r="AA828" s="7"/>
      <c r="AC828" s="387"/>
    </row>
    <row r="829" spans="27:30">
      <c r="AA829" s="7"/>
      <c r="AC829" s="387"/>
    </row>
    <row r="830" spans="27:30">
      <c r="AA830" s="7"/>
      <c r="AC830" s="387"/>
    </row>
    <row r="831" spans="27:30">
      <c r="AA831" s="7"/>
      <c r="AC831" s="387"/>
    </row>
    <row r="832" spans="27:30">
      <c r="AA832" s="7"/>
      <c r="AC832" s="387"/>
    </row>
    <row r="833" spans="27:29">
      <c r="AA833" s="7"/>
      <c r="AC833" s="387"/>
    </row>
    <row r="834" spans="27:29">
      <c r="AA834" s="7"/>
      <c r="AC834" s="387"/>
    </row>
    <row r="835" spans="27:29">
      <c r="AA835" s="7"/>
      <c r="AC835" s="387"/>
    </row>
    <row r="836" spans="27:29">
      <c r="AA836" s="7"/>
      <c r="AC836" s="387"/>
    </row>
    <row r="837" spans="27:29">
      <c r="AA837" s="7"/>
      <c r="AC837" s="387"/>
    </row>
    <row r="838" spans="27:29">
      <c r="AA838" s="7"/>
      <c r="AC838" s="387"/>
    </row>
    <row r="839" spans="27:29">
      <c r="AA839" s="7"/>
      <c r="AC839" s="387"/>
    </row>
    <row r="840" spans="27:29">
      <c r="AA840" s="7"/>
      <c r="AC840" s="387"/>
    </row>
    <row r="841" spans="27:29">
      <c r="AA841" s="7"/>
      <c r="AC841" s="387"/>
    </row>
    <row r="842" spans="27:29">
      <c r="AA842" s="7"/>
      <c r="AC842" s="387"/>
    </row>
    <row r="843" spans="27:29">
      <c r="AA843" s="7"/>
      <c r="AC843" s="387"/>
    </row>
    <row r="844" spans="27:29">
      <c r="AA844" s="7"/>
      <c r="AC844" s="387"/>
    </row>
    <row r="845" spans="27:29">
      <c r="AA845" s="7"/>
      <c r="AC845" s="387"/>
    </row>
    <row r="846" spans="27:29">
      <c r="AA846" s="7"/>
      <c r="AC846" s="387"/>
    </row>
    <row r="847" spans="27:29">
      <c r="AA847" s="7"/>
      <c r="AC847" s="387"/>
    </row>
    <row r="848" spans="27:29">
      <c r="AA848" s="7"/>
      <c r="AC848" s="387"/>
    </row>
    <row r="849" spans="27:29">
      <c r="AA849" s="7"/>
      <c r="AC849" s="387"/>
    </row>
    <row r="850" spans="27:29">
      <c r="AA850" s="7"/>
      <c r="AC850" s="387"/>
    </row>
    <row r="851" spans="27:29">
      <c r="AA851" s="7"/>
      <c r="AC851" s="387"/>
    </row>
    <row r="852" spans="27:29">
      <c r="AA852" s="7"/>
      <c r="AC852" s="387"/>
    </row>
    <row r="853" spans="27:29">
      <c r="AA853" s="7"/>
      <c r="AC853" s="387"/>
    </row>
    <row r="854" spans="27:29">
      <c r="AA854" s="7"/>
      <c r="AC854" s="387"/>
    </row>
    <row r="855" spans="27:29">
      <c r="AA855" s="7"/>
      <c r="AC855" s="387"/>
    </row>
    <row r="856" spans="27:29">
      <c r="AA856" s="7"/>
      <c r="AC856" s="387"/>
    </row>
    <row r="857" spans="27:29">
      <c r="AA857" s="7"/>
      <c r="AC857" s="387"/>
    </row>
    <row r="858" spans="27:29">
      <c r="AA858" s="7"/>
      <c r="AC858" s="387"/>
    </row>
    <row r="859" spans="27:29">
      <c r="AA859" s="7"/>
      <c r="AC859" s="387"/>
    </row>
    <row r="860" spans="27:29">
      <c r="AA860" s="7"/>
      <c r="AC860" s="387"/>
    </row>
    <row r="861" spans="27:29">
      <c r="AA861" s="7"/>
      <c r="AC861" s="387"/>
    </row>
    <row r="862" spans="27:29">
      <c r="AA862" s="7"/>
      <c r="AC862" s="387"/>
    </row>
    <row r="863" spans="27:29">
      <c r="AA863" s="7"/>
      <c r="AC863" s="387"/>
    </row>
  </sheetData>
  <sheetProtection algorithmName="SHA-512" hashValue="3sYaOr9gwYlDeB7V2+vTrzA2AZ7Lk5arJtYMDETpmGLR4IjkKYgLJtUBBhZ7CKuBSjEvpfDE0yPu8Y659dxygA==" saltValue="uAyIff8V2h2ukJElCdCYgA==" spinCount="100000" sheet="1" objects="1" scenarios="1"/>
  <mergeCells count="52">
    <mergeCell ref="Q139:R139"/>
    <mergeCell ref="Q140:R140"/>
    <mergeCell ref="Q141:R141"/>
    <mergeCell ref="C154:C156"/>
    <mergeCell ref="Q130:R130"/>
    <mergeCell ref="Q131:R131"/>
    <mergeCell ref="Q132:R132"/>
    <mergeCell ref="Q133:R133"/>
    <mergeCell ref="Q136:R136"/>
    <mergeCell ref="Q137:R137"/>
    <mergeCell ref="Q129:R129"/>
    <mergeCell ref="Q105:R105"/>
    <mergeCell ref="Q106:R106"/>
    <mergeCell ref="Q107:R107"/>
    <mergeCell ref="Q113:R113"/>
    <mergeCell ref="Q121:R121"/>
    <mergeCell ref="Q122:R122"/>
    <mergeCell ref="Q123:R123"/>
    <mergeCell ref="Q124:R124"/>
    <mergeCell ref="Q125:R125"/>
    <mergeCell ref="Q126:R126"/>
    <mergeCell ref="Q128:R128"/>
    <mergeCell ref="Q104:R104"/>
    <mergeCell ref="Q92:R92"/>
    <mergeCell ref="Q93:R93"/>
    <mergeCell ref="Q94:R94"/>
    <mergeCell ref="Q95:R95"/>
    <mergeCell ref="Q97:R97"/>
    <mergeCell ref="Q98:R98"/>
    <mergeCell ref="Q99:R99"/>
    <mergeCell ref="Q100:R100"/>
    <mergeCell ref="Q101:R101"/>
    <mergeCell ref="Q102:R102"/>
    <mergeCell ref="Q103:R103"/>
    <mergeCell ref="Q91:R91"/>
    <mergeCell ref="Q80:R80"/>
    <mergeCell ref="Q81:R81"/>
    <mergeCell ref="Q82:R82"/>
    <mergeCell ref="Q83:R83"/>
    <mergeCell ref="Q84:R84"/>
    <mergeCell ref="Q85:R85"/>
    <mergeCell ref="Q86:R86"/>
    <mergeCell ref="Q87:R87"/>
    <mergeCell ref="Q88:R88"/>
    <mergeCell ref="Q89:R89"/>
    <mergeCell ref="Q90:R90"/>
    <mergeCell ref="Q79:R79"/>
    <mergeCell ref="A2:R2"/>
    <mergeCell ref="F13:J13"/>
    <mergeCell ref="N13:R13"/>
    <mergeCell ref="Q77:R77"/>
    <mergeCell ref="Q78:R78"/>
  </mergeCells>
  <printOptions horizontalCentered="1"/>
  <pageMargins left="0.25" right="0.25" top="0.25" bottom="0.25" header="0.05" footer="0.05"/>
  <pageSetup scale="70" fitToHeight="0" orientation="portrait" horizontalDpi="1200" verticalDpi="1200" r:id="rId1"/>
  <headerFooter>
    <oddHeader>&amp;COHF Cost Certification Application</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MT1583"/>
  <sheetViews>
    <sheetView showGridLines="0" workbookViewId="0">
      <selection sqref="A1:XFD1048576"/>
    </sheetView>
  </sheetViews>
  <sheetFormatPr defaultColWidth="9.140625" defaultRowHeight="12.75"/>
  <cols>
    <col min="1" max="7" width="9.28515625" style="838" bestFit="1" customWidth="1"/>
    <col min="8" max="8" width="12.140625" style="838" bestFit="1" customWidth="1"/>
    <col min="9" max="9" width="14.28515625" style="838" bestFit="1" customWidth="1"/>
    <col min="10" max="14" width="9.28515625" style="838" bestFit="1" customWidth="1"/>
    <col min="15" max="15" width="12.140625" style="838" bestFit="1" customWidth="1"/>
    <col min="16" max="19" width="9.28515625" style="838" bestFit="1" customWidth="1"/>
    <col min="20" max="22" width="9.140625" style="838"/>
    <col min="23" max="358" width="9.28515625" style="838" bestFit="1" customWidth="1"/>
    <col min="359" max="16384" width="9.140625" style="838"/>
  </cols>
  <sheetData>
    <row r="1" spans="1:26" s="1154" customFormat="1" ht="15">
      <c r="A1" s="1517" t="s">
        <v>3233</v>
      </c>
      <c r="B1" s="1517"/>
      <c r="C1" s="1517"/>
      <c r="D1" s="1517"/>
      <c r="E1" s="1517"/>
      <c r="F1" s="1517"/>
      <c r="G1" s="1517"/>
      <c r="H1" s="1518"/>
      <c r="I1" s="1518"/>
      <c r="J1" s="1518"/>
      <c r="K1" s="1518"/>
      <c r="L1" s="1518"/>
      <c r="M1" s="1518"/>
      <c r="N1" s="1518"/>
      <c r="O1" s="1518"/>
      <c r="P1" s="1518"/>
      <c r="Q1" s="1518"/>
      <c r="R1" s="1518"/>
      <c r="S1" s="1518"/>
      <c r="T1" s="1518"/>
      <c r="U1" s="1518"/>
      <c r="V1" s="1518"/>
      <c r="W1" s="1518"/>
      <c r="X1" s="1518"/>
      <c r="Y1" s="1518"/>
      <c r="Z1" s="1518"/>
    </row>
    <row r="2" spans="1:26" s="1154" customFormat="1" ht="6" customHeight="1"/>
    <row r="3" spans="1:26" s="1154" customFormat="1" ht="52.5" customHeight="1">
      <c r="A3" s="1519" t="s">
        <v>3700</v>
      </c>
      <c r="B3" s="1519"/>
      <c r="C3" s="1519"/>
      <c r="D3" s="1519"/>
      <c r="E3" s="1519"/>
      <c r="F3" s="1519"/>
      <c r="G3" s="1519"/>
      <c r="H3" s="1519"/>
      <c r="I3" s="1519"/>
      <c r="J3" s="1519"/>
      <c r="K3" s="1519"/>
      <c r="L3" s="1519"/>
      <c r="M3" s="1519"/>
      <c r="N3" s="1519"/>
      <c r="O3" s="1519"/>
      <c r="P3" s="1519"/>
      <c r="Q3" s="1519"/>
      <c r="R3" s="1519"/>
      <c r="S3" s="1519"/>
      <c r="T3" s="1519"/>
      <c r="U3" s="1519"/>
      <c r="V3" s="1519"/>
      <c r="W3" s="1519"/>
      <c r="X3" s="1519"/>
      <c r="Y3" s="1519"/>
      <c r="Z3" s="1519"/>
    </row>
    <row r="4" spans="1:26" s="1154" customFormat="1" ht="36.75" customHeight="1">
      <c r="A4" s="1520" t="s">
        <v>3234</v>
      </c>
      <c r="B4" s="1167" t="s">
        <v>3235</v>
      </c>
      <c r="E4" s="1521" t="s">
        <v>3236</v>
      </c>
      <c r="F4" s="1521"/>
      <c r="G4" s="1521" t="s">
        <v>3237</v>
      </c>
    </row>
    <row r="5" spans="1:26" s="1518" customFormat="1" ht="17.25" customHeight="1">
      <c r="A5" s="1522" t="s">
        <v>1789</v>
      </c>
      <c r="B5" s="1523" t="s">
        <v>3238</v>
      </c>
      <c r="C5" s="1167"/>
      <c r="E5" s="1524">
        <f>'Final Alloc Applicatn Checklist'!E5</f>
        <v>0</v>
      </c>
      <c r="F5" s="1167"/>
      <c r="G5" s="1524">
        <f>'Final Alloc Applicatn Checklist'!G5</f>
        <v>0</v>
      </c>
    </row>
    <row r="6" spans="1:26" s="1518" customFormat="1" ht="17.25" customHeight="1">
      <c r="A6" s="1522">
        <v>2</v>
      </c>
      <c r="B6" s="1523" t="s">
        <v>3117</v>
      </c>
      <c r="C6" s="1167"/>
      <c r="E6" s="1524">
        <f>'Final Alloc Applicatn Checklist'!E6</f>
        <v>0</v>
      </c>
      <c r="F6" s="1167"/>
      <c r="G6" s="1524">
        <f>'Final Alloc Applicatn Checklist'!G6</f>
        <v>0</v>
      </c>
    </row>
    <row r="7" spans="1:26" s="1518" customFormat="1" ht="17.25" customHeight="1">
      <c r="A7" s="1522">
        <v>3</v>
      </c>
      <c r="B7" s="1523" t="s">
        <v>3239</v>
      </c>
      <c r="C7" s="1167"/>
      <c r="E7" s="1524">
        <f>'Final Alloc Applicatn Checklist'!E7</f>
        <v>0</v>
      </c>
      <c r="F7" s="1167"/>
      <c r="G7" s="1524">
        <f>'Final Alloc Applicatn Checklist'!G7</f>
        <v>0</v>
      </c>
    </row>
    <row r="8" spans="1:26" s="1518" customFormat="1" ht="17.25" customHeight="1">
      <c r="A8" s="1522">
        <v>4</v>
      </c>
      <c r="B8" s="1523" t="s">
        <v>3111</v>
      </c>
      <c r="C8" s="1167"/>
      <c r="E8" s="1524">
        <f>'Final Alloc Applicatn Checklist'!E8</f>
        <v>0</v>
      </c>
      <c r="F8" s="1167"/>
      <c r="G8" s="1524">
        <f>'Final Alloc Applicatn Checklist'!G8</f>
        <v>0</v>
      </c>
    </row>
    <row r="9" spans="1:26" s="1518" customFormat="1" ht="17.25" customHeight="1">
      <c r="A9" s="1522">
        <v>5</v>
      </c>
      <c r="B9" s="1523" t="s">
        <v>3240</v>
      </c>
      <c r="C9" s="1167"/>
      <c r="E9" s="1524">
        <f>'Final Alloc Applicatn Checklist'!E9</f>
        <v>0</v>
      </c>
      <c r="F9" s="1167"/>
      <c r="G9" s="1524">
        <f>'Final Alloc Applicatn Checklist'!G9</f>
        <v>0</v>
      </c>
    </row>
    <row r="10" spans="1:26" s="1518" customFormat="1" ht="17.25" customHeight="1">
      <c r="A10" s="1522">
        <v>6</v>
      </c>
      <c r="B10" s="1523" t="s">
        <v>3118</v>
      </c>
      <c r="C10" s="1167"/>
      <c r="E10" s="1524">
        <f>'Final Alloc Applicatn Checklist'!E10</f>
        <v>0</v>
      </c>
      <c r="F10" s="1167"/>
      <c r="G10" s="1524">
        <f>'Final Alloc Applicatn Checklist'!G10</f>
        <v>0</v>
      </c>
    </row>
    <row r="11" spans="1:26" s="1518" customFormat="1" ht="17.25" customHeight="1">
      <c r="A11" s="1522">
        <v>7</v>
      </c>
      <c r="B11" s="1523" t="s">
        <v>3124</v>
      </c>
      <c r="C11" s="1167"/>
      <c r="E11" s="1524">
        <f>'Final Alloc Applicatn Checklist'!E11</f>
        <v>0</v>
      </c>
      <c r="F11" s="1167"/>
      <c r="G11" s="1524">
        <f>'Final Alloc Applicatn Checklist'!G11</f>
        <v>0</v>
      </c>
    </row>
    <row r="12" spans="1:26" s="1518" customFormat="1" ht="17.25" customHeight="1">
      <c r="A12" s="1522">
        <v>8</v>
      </c>
      <c r="B12" s="1523" t="s">
        <v>3120</v>
      </c>
      <c r="C12" s="1167"/>
      <c r="E12" s="1524">
        <f>'Final Alloc Applicatn Checklist'!E12</f>
        <v>0</v>
      </c>
      <c r="F12" s="1167"/>
      <c r="G12" s="1524">
        <f>'Final Alloc Applicatn Checklist'!G12</f>
        <v>0</v>
      </c>
    </row>
    <row r="13" spans="1:26" s="1518" customFormat="1" ht="17.25" customHeight="1">
      <c r="A13" s="1522">
        <v>9</v>
      </c>
      <c r="B13" s="1523" t="s">
        <v>3241</v>
      </c>
      <c r="C13" s="1167"/>
      <c r="E13" s="1524">
        <f>'Final Alloc Applicatn Checklist'!E13</f>
        <v>0</v>
      </c>
      <c r="F13" s="1167"/>
      <c r="G13" s="1524">
        <f>'Final Alloc Applicatn Checklist'!G13</f>
        <v>0</v>
      </c>
    </row>
    <row r="14" spans="1:26" s="1518" customFormat="1" ht="17.25" customHeight="1">
      <c r="A14" s="1522" t="s">
        <v>199</v>
      </c>
      <c r="B14" s="1523" t="s">
        <v>3113</v>
      </c>
      <c r="C14" s="1167"/>
      <c r="E14" s="1524">
        <f>'Final Alloc Applicatn Checklist'!E14</f>
        <v>0</v>
      </c>
      <c r="F14" s="1167"/>
      <c r="G14" s="1524">
        <f>'Final Alloc Applicatn Checklist'!G14</f>
        <v>0</v>
      </c>
    </row>
    <row r="15" spans="1:26" s="1518" customFormat="1" ht="17.25" customHeight="1">
      <c r="A15" s="1522" t="s">
        <v>200</v>
      </c>
      <c r="B15" s="1523" t="s">
        <v>3121</v>
      </c>
      <c r="C15" s="1167"/>
      <c r="E15" s="1524">
        <f>'Final Alloc Applicatn Checklist'!E15</f>
        <v>0</v>
      </c>
      <c r="F15" s="1167"/>
      <c r="G15" s="1524">
        <f>'Final Alloc Applicatn Checklist'!G15</f>
        <v>0</v>
      </c>
    </row>
    <row r="16" spans="1:26" s="1518" customFormat="1" ht="17.25" customHeight="1">
      <c r="A16" s="1522" t="s">
        <v>216</v>
      </c>
      <c r="B16" s="1523" t="s">
        <v>3122</v>
      </c>
      <c r="C16" s="1167"/>
      <c r="E16" s="1524">
        <f>'Final Alloc Applicatn Checklist'!E16</f>
        <v>0</v>
      </c>
      <c r="F16" s="1167"/>
      <c r="G16" s="1524">
        <f>'Final Alloc Applicatn Checklist'!G16</f>
        <v>0</v>
      </c>
    </row>
    <row r="17" spans="1:16" s="1518" customFormat="1" ht="17.25" customHeight="1">
      <c r="A17" s="1522" t="s">
        <v>217</v>
      </c>
      <c r="B17" s="1523" t="s">
        <v>3242</v>
      </c>
      <c r="C17" s="1167"/>
      <c r="E17" s="1524">
        <f>'Final Alloc Applicatn Checklist'!E17</f>
        <v>0</v>
      </c>
      <c r="F17" s="1167"/>
      <c r="G17" s="1524">
        <f>'Final Alloc Applicatn Checklist'!G17</f>
        <v>0</v>
      </c>
    </row>
    <row r="18" spans="1:16" s="1154" customFormat="1" ht="17.25" customHeight="1">
      <c r="A18" s="1525"/>
      <c r="B18" s="1523" t="s">
        <v>3243</v>
      </c>
    </row>
    <row r="19" spans="1:16" s="1518" customFormat="1" ht="17.25" customHeight="1">
      <c r="A19" s="1522" t="s">
        <v>1296</v>
      </c>
      <c r="B19" s="1523" t="s">
        <v>3123</v>
      </c>
      <c r="C19" s="1167"/>
      <c r="E19" s="1524">
        <f>'Final Alloc Applicatn Checklist'!E19</f>
        <v>0</v>
      </c>
      <c r="F19" s="1167"/>
      <c r="G19" s="1524">
        <f>'Final Alloc Applicatn Checklist'!G19</f>
        <v>0</v>
      </c>
    </row>
    <row r="20" spans="1:16" s="1518" customFormat="1" ht="17.25" customHeight="1">
      <c r="A20" s="1522" t="s">
        <v>1499</v>
      </c>
      <c r="B20" s="1523" t="s">
        <v>3244</v>
      </c>
      <c r="C20" s="1167"/>
      <c r="E20" s="1524">
        <f>'Final Alloc Applicatn Checklist'!E20</f>
        <v>0</v>
      </c>
      <c r="F20" s="1167"/>
      <c r="G20" s="1524">
        <f>'Final Alloc Applicatn Checklist'!G20</f>
        <v>0</v>
      </c>
    </row>
    <row r="21" spans="1:16" s="1518" customFormat="1" ht="17.25" customHeight="1">
      <c r="A21" s="1522" t="s">
        <v>1500</v>
      </c>
      <c r="B21" s="1523" t="s">
        <v>3112</v>
      </c>
      <c r="C21" s="1167"/>
      <c r="E21" s="1524">
        <f>'Final Alloc Applicatn Checklist'!E21</f>
        <v>0</v>
      </c>
      <c r="F21" s="1167"/>
      <c r="G21" s="1524">
        <f>'Final Alloc Applicatn Checklist'!G21</f>
        <v>0</v>
      </c>
    </row>
    <row r="22" spans="1:16" s="1518" customFormat="1" ht="17.25" customHeight="1">
      <c r="A22" s="1522" t="s">
        <v>1501</v>
      </c>
      <c r="B22" s="1523" t="s">
        <v>3245</v>
      </c>
      <c r="C22" s="1167"/>
      <c r="E22" s="1524">
        <f>'Final Alloc Applicatn Checklist'!E22</f>
        <v>0</v>
      </c>
      <c r="F22" s="1167"/>
      <c r="G22" s="1524">
        <f>'Final Alloc Applicatn Checklist'!G22</f>
        <v>0</v>
      </c>
    </row>
    <row r="23" spans="1:16" s="1518" customFormat="1" ht="17.25" customHeight="1">
      <c r="A23" s="1522" t="s">
        <v>1502</v>
      </c>
      <c r="B23" s="1523" t="s">
        <v>3119</v>
      </c>
      <c r="C23" s="1167"/>
      <c r="E23" s="1524">
        <f>'Final Alloc Applicatn Checklist'!E23</f>
        <v>0</v>
      </c>
      <c r="F23" s="1167"/>
      <c r="G23" s="1524">
        <f>'Final Alloc Applicatn Checklist'!G23</f>
        <v>0</v>
      </c>
    </row>
    <row r="24" spans="1:16" s="1518" customFormat="1" ht="17.25" customHeight="1">
      <c r="A24" s="1522" t="s">
        <v>1503</v>
      </c>
      <c r="B24" s="1167" t="s">
        <v>3246</v>
      </c>
      <c r="C24" s="1167"/>
      <c r="D24" s="1167"/>
      <c r="E24" s="1524">
        <f>'Final Alloc Applicatn Checklist'!E24</f>
        <v>0</v>
      </c>
      <c r="F24" s="1167"/>
      <c r="G24" s="1524">
        <f>'Final Alloc Applicatn Checklist'!G24</f>
        <v>0</v>
      </c>
    </row>
    <row r="25" spans="1:16" s="1518" customFormat="1" ht="23.25" customHeight="1">
      <c r="A25" s="1522"/>
      <c r="B25" s="1526" t="s">
        <v>3701</v>
      </c>
      <c r="C25" s="1526"/>
    </row>
    <row r="26" spans="1:16" s="1518" customFormat="1" ht="21.75" customHeight="1">
      <c r="A26" s="1522" t="s">
        <v>2409</v>
      </c>
      <c r="B26" s="1523" t="s">
        <v>3248</v>
      </c>
      <c r="C26" s="1527"/>
      <c r="E26" s="1524">
        <f>'Final Alloc Applicatn Checklist'!E26</f>
        <v>0</v>
      </c>
      <c r="G26" s="1524">
        <f>'Final Alloc Applicatn Checklist'!G26</f>
        <v>0</v>
      </c>
    </row>
    <row r="27" spans="1:16" s="1518" customFormat="1" ht="19.5" customHeight="1">
      <c r="A27" s="1522" t="s">
        <v>2410</v>
      </c>
      <c r="B27" s="1523" t="s">
        <v>3249</v>
      </c>
      <c r="C27" s="1524">
        <f>'Final Alloc Applicatn Checklist'!C27</f>
        <v>0</v>
      </c>
      <c r="E27" s="1524">
        <f>'Final Alloc Applicatn Checklist'!E27</f>
        <v>0</v>
      </c>
      <c r="F27" s="1167"/>
      <c r="G27" s="1524">
        <f>'Final Alloc Applicatn Checklist'!G27</f>
        <v>0</v>
      </c>
    </row>
    <row r="28" spans="1:16" s="1154" customFormat="1" ht="6" customHeight="1">
      <c r="B28" s="1518"/>
    </row>
    <row r="29" spans="1:16" s="1154" customFormat="1" ht="30.6" customHeight="1">
      <c r="A29" s="1528" t="s">
        <v>3250</v>
      </c>
      <c r="B29" s="1528"/>
      <c r="C29" s="1519"/>
      <c r="E29" s="1519"/>
      <c r="F29" s="1519"/>
      <c r="G29" s="1519"/>
    </row>
    <row r="30" spans="1:16" s="1154" customFormat="1">
      <c r="A30" s="1528"/>
      <c r="B30" s="1528"/>
      <c r="C30" s="1519"/>
      <c r="E30" s="1519"/>
      <c r="F30" s="1519"/>
      <c r="G30" s="1519"/>
    </row>
    <row r="31" spans="1:16">
      <c r="A31" s="1529" t="str">
        <f>CONCATENATE("PART ONE - PROJECT INFORMATION"," - ",$O$34," ",$F$54,", ",'Part I-Project Information'!F27,", ",'Part I-Project Information'!J28," County")</f>
        <v>PART ONE - PROJECT INFORMATION - 20##-### SB OHF Test Villas, Peachtree Corners, Gwinnett County</v>
      </c>
      <c r="B31" s="1529"/>
      <c r="C31" s="1529"/>
      <c r="D31" s="1529"/>
      <c r="E31" s="1529"/>
      <c r="F31" s="1529"/>
      <c r="G31" s="1529"/>
      <c r="H31" s="1529"/>
      <c r="I31" s="1529"/>
      <c r="J31" s="1529"/>
      <c r="K31" s="1529"/>
      <c r="L31" s="1529"/>
      <c r="M31" s="1529"/>
      <c r="N31" s="1529"/>
      <c r="O31" s="1529"/>
      <c r="P31" s="1529"/>
    </row>
    <row r="32" spans="1:16">
      <c r="A32" s="1530"/>
      <c r="B32" s="1530"/>
      <c r="C32" s="1530"/>
      <c r="D32" s="1530"/>
      <c r="E32" s="1530"/>
      <c r="F32" s="1530"/>
      <c r="G32" s="1530"/>
      <c r="H32" s="1530"/>
      <c r="I32" s="1530"/>
      <c r="J32" s="1530"/>
      <c r="K32" s="1530"/>
      <c r="L32" s="1530"/>
      <c r="M32" s="1530"/>
      <c r="N32" s="1530"/>
      <c r="O32" s="1530"/>
      <c r="P32" s="1530"/>
    </row>
    <row r="33" spans="1:16" ht="13.5">
      <c r="A33" s="1529"/>
      <c r="B33" s="1531" t="s">
        <v>2102</v>
      </c>
      <c r="C33" s="1529"/>
      <c r="D33" s="1529"/>
      <c r="E33" s="1529"/>
      <c r="F33" s="1530"/>
      <c r="G33" s="1532" t="s">
        <v>3702</v>
      </c>
      <c r="H33" s="1529"/>
      <c r="I33" s="1529"/>
      <c r="J33" s="1529"/>
      <c r="K33" s="1529"/>
      <c r="L33" s="1530"/>
      <c r="M33" s="1529"/>
      <c r="N33" s="1529"/>
      <c r="O33" s="1529" t="s">
        <v>3109</v>
      </c>
      <c r="P33" s="1529"/>
    </row>
    <row r="34" spans="1:16" ht="13.5">
      <c r="A34" s="1530"/>
      <c r="B34" s="1529"/>
      <c r="C34" s="1529"/>
      <c r="D34" s="1529"/>
      <c r="E34" s="1529"/>
      <c r="F34" s="1530"/>
      <c r="G34" s="1532" t="s">
        <v>3703</v>
      </c>
      <c r="H34" s="1530"/>
      <c r="I34" s="1530"/>
      <c r="J34" s="1530"/>
      <c r="K34" s="1529"/>
      <c r="L34" s="1529"/>
      <c r="M34" s="1529"/>
      <c r="N34" s="1529"/>
      <c r="O34" s="1529" t="str">
        <f>'Part I-Project Information'!O4</f>
        <v>20##-###</v>
      </c>
      <c r="P34" s="1529"/>
    </row>
    <row r="35" spans="1:16">
      <c r="A35" s="1530"/>
      <c r="B35" s="1529"/>
      <c r="C35" s="1529"/>
      <c r="D35" s="1533"/>
      <c r="E35" s="1529"/>
      <c r="F35" s="1529"/>
      <c r="G35" s="1533" t="s">
        <v>2899</v>
      </c>
      <c r="H35" s="1530"/>
      <c r="I35" s="1530"/>
      <c r="J35" s="1530"/>
      <c r="K35" s="1529"/>
      <c r="L35" s="1529"/>
      <c r="M35" s="1529"/>
      <c r="N35" s="1529"/>
      <c r="O35" s="1529"/>
      <c r="P35" s="1529"/>
    </row>
    <row r="36" spans="1:16">
      <c r="A36" s="1530"/>
      <c r="B36" s="1529"/>
      <c r="C36" s="1529"/>
      <c r="D36" s="1529"/>
      <c r="E36" s="1530"/>
      <c r="F36" s="1529"/>
      <c r="G36" s="1529"/>
      <c r="H36" s="1530"/>
      <c r="I36" s="1530"/>
      <c r="J36" s="1530"/>
      <c r="K36" s="1531"/>
      <c r="L36" s="1529"/>
      <c r="M36" s="1530"/>
      <c r="N36" s="1529"/>
      <c r="O36" s="1529"/>
      <c r="P36" s="1529"/>
    </row>
    <row r="37" spans="1:16">
      <c r="A37" s="1529" t="s">
        <v>572</v>
      </c>
      <c r="B37" s="1529" t="s">
        <v>2110</v>
      </c>
      <c r="C37" s="1529"/>
      <c r="D37" s="1534"/>
      <c r="E37" s="1530"/>
      <c r="F37" s="1531" t="s">
        <v>1546</v>
      </c>
      <c r="G37" s="1529"/>
      <c r="H37" s="1529"/>
      <c r="I37" s="1529"/>
      <c r="J37" s="1535">
        <f>'Part IV-Uses of Funds'!J169</f>
        <v>0</v>
      </c>
      <c r="K37" s="1535"/>
      <c r="L37" s="1529"/>
      <c r="M37" s="1530"/>
      <c r="N37" s="1529"/>
      <c r="O37" s="1529"/>
      <c r="P37" s="1529"/>
    </row>
    <row r="38" spans="1:16">
      <c r="A38" s="1536"/>
      <c r="B38" s="1536"/>
      <c r="C38" s="1536"/>
      <c r="E38" s="1537"/>
      <c r="F38" s="1529" t="s">
        <v>1187</v>
      </c>
      <c r="G38" s="1536"/>
      <c r="H38" s="1536"/>
      <c r="I38" s="1536"/>
      <c r="J38" s="1538">
        <f>'Part III-Sources of Funds'!H4</f>
        <v>0</v>
      </c>
      <c r="K38" s="1538"/>
      <c r="L38" s="1529"/>
      <c r="M38" s="1530"/>
      <c r="N38" s="1529"/>
      <c r="O38" s="1529"/>
      <c r="P38" s="1529"/>
    </row>
    <row r="39" spans="1:16">
      <c r="A39" s="1529"/>
      <c r="B39" s="1529"/>
      <c r="C39" s="1529"/>
      <c r="D39" s="1534"/>
      <c r="E39" s="1530"/>
      <c r="F39" s="1530"/>
      <c r="G39" s="1529"/>
      <c r="H39" s="1529"/>
      <c r="I39" s="1531"/>
      <c r="J39" s="1529"/>
      <c r="K39" s="1529"/>
      <c r="L39" s="1529"/>
      <c r="M39" s="1529"/>
      <c r="N39" s="1539"/>
      <c r="O39" s="1529"/>
      <c r="P39" s="1529"/>
    </row>
    <row r="40" spans="1:16" ht="13.5">
      <c r="A40" s="1531" t="s">
        <v>685</v>
      </c>
      <c r="B40" s="1529" t="s">
        <v>1826</v>
      </c>
      <c r="C40" s="1529"/>
      <c r="D40" s="1529"/>
      <c r="E40" s="1529"/>
      <c r="F40" s="1540" t="str">
        <f>'Part I-Project Information'!F10</f>
        <v>(Select an Application Type)</v>
      </c>
      <c r="G40" s="1540"/>
      <c r="H40" s="1540"/>
      <c r="I40" s="1541"/>
      <c r="J40" s="1531" t="s">
        <v>3216</v>
      </c>
      <c r="K40" s="1531"/>
      <c r="L40" s="1529"/>
      <c r="M40" s="1530"/>
      <c r="N40" s="1529"/>
      <c r="O40" s="1540" t="str">
        <f>'Part I-Project Information'!O10</f>
        <v>&lt;&lt;Select&gt;&gt;</v>
      </c>
      <c r="P40" s="1540"/>
    </row>
    <row r="41" spans="1:16">
      <c r="A41" s="1530"/>
      <c r="B41" s="1529"/>
      <c r="C41" s="1529"/>
      <c r="D41" s="1529"/>
      <c r="E41" s="1529"/>
      <c r="F41" s="1529"/>
      <c r="G41" s="1529"/>
      <c r="H41" s="1530"/>
      <c r="I41" s="1529"/>
      <c r="J41" s="1529"/>
      <c r="K41" s="1529"/>
      <c r="L41" s="1529"/>
      <c r="M41" s="1529"/>
      <c r="N41" s="1529"/>
      <c r="O41" s="1529"/>
      <c r="P41" s="1529"/>
    </row>
    <row r="42" spans="1:16">
      <c r="A42" s="1529"/>
      <c r="B42" s="1529"/>
      <c r="C42" s="1529"/>
      <c r="D42" s="1529"/>
      <c r="E42" s="1529"/>
      <c r="F42" s="1529"/>
      <c r="G42" s="1529"/>
      <c r="H42" s="1529"/>
      <c r="I42" s="1534"/>
      <c r="J42" s="1534"/>
      <c r="K42" s="1534"/>
      <c r="L42" s="1534"/>
      <c r="M42" s="1534"/>
      <c r="N42" s="1534"/>
      <c r="O42" s="1534"/>
      <c r="P42" s="1534"/>
    </row>
    <row r="43" spans="1:16">
      <c r="A43" s="1531" t="s">
        <v>687</v>
      </c>
      <c r="B43" s="1529" t="s">
        <v>1351</v>
      </c>
      <c r="C43" s="1529"/>
      <c r="D43" s="1531"/>
      <c r="E43" s="1530"/>
      <c r="F43" s="1529"/>
      <c r="G43" s="1530"/>
      <c r="H43" s="1530"/>
      <c r="I43" s="1530"/>
      <c r="J43" s="1529"/>
      <c r="K43" s="1539"/>
      <c r="L43" s="1539"/>
      <c r="M43" s="1529"/>
      <c r="N43" s="1529"/>
      <c r="O43" s="1529"/>
      <c r="P43" s="1529"/>
    </row>
    <row r="44" spans="1:16">
      <c r="A44" s="1531"/>
      <c r="B44" s="1530"/>
      <c r="C44" s="1529"/>
      <c r="D44" s="1531"/>
      <c r="E44" s="1530"/>
      <c r="F44" s="1529"/>
      <c r="G44" s="1530"/>
      <c r="H44" s="1530"/>
      <c r="I44" s="1530"/>
      <c r="J44" s="1529"/>
      <c r="K44" s="1539"/>
      <c r="L44" s="1539"/>
      <c r="M44" s="1529"/>
      <c r="N44" s="1529"/>
      <c r="O44" s="1530"/>
      <c r="P44" s="1529"/>
    </row>
    <row r="45" spans="1:16">
      <c r="A45" s="1529"/>
      <c r="B45" s="1529" t="s">
        <v>2044</v>
      </c>
      <c r="C45" s="1529"/>
      <c r="D45" s="1529"/>
      <c r="E45" s="1529"/>
      <c r="F45" s="1529">
        <f>'Part I-Project Information'!F15</f>
        <v>0</v>
      </c>
      <c r="G45" s="1529"/>
      <c r="H45" s="1529"/>
      <c r="I45" s="1529"/>
      <c r="J45" s="1529"/>
      <c r="K45" s="1529"/>
      <c r="L45" s="1529"/>
      <c r="M45" s="1531" t="s">
        <v>1782</v>
      </c>
      <c r="N45" s="1529">
        <f>'Part I-Project Information'!N15</f>
        <v>0</v>
      </c>
      <c r="O45" s="1529"/>
      <c r="P45" s="1529"/>
    </row>
    <row r="46" spans="1:16">
      <c r="A46" s="1529"/>
      <c r="B46" s="1531" t="s">
        <v>1783</v>
      </c>
      <c r="C46" s="1529"/>
      <c r="D46" s="1529"/>
      <c r="E46" s="1529"/>
      <c r="F46" s="1529">
        <f>'Part I-Project Information'!F16</f>
        <v>0</v>
      </c>
      <c r="G46" s="1529"/>
      <c r="H46" s="1529"/>
      <c r="I46" s="1529"/>
      <c r="J46" s="1529"/>
      <c r="K46" s="1529"/>
      <c r="L46" s="1529"/>
      <c r="M46" s="1531" t="s">
        <v>1552</v>
      </c>
      <c r="N46" s="1529"/>
      <c r="O46" s="1542">
        <f>'Part I-Project Information'!O16</f>
        <v>0</v>
      </c>
      <c r="P46" s="1542"/>
    </row>
    <row r="47" spans="1:16">
      <c r="A47" s="1529"/>
      <c r="B47" s="1531" t="s">
        <v>574</v>
      </c>
      <c r="C47" s="1529"/>
      <c r="D47" s="1529"/>
      <c r="E47" s="1529"/>
      <c r="F47" s="1529">
        <f>'Part I-Project Information'!F17</f>
        <v>0</v>
      </c>
      <c r="G47" s="1529"/>
      <c r="H47" s="1529"/>
      <c r="I47" s="1529"/>
      <c r="J47" s="1529"/>
      <c r="K47" s="1529"/>
      <c r="L47" s="1529"/>
      <c r="M47" s="1531" t="s">
        <v>1621</v>
      </c>
      <c r="N47" s="1529"/>
      <c r="O47" s="1542">
        <f>'Part I-Project Information'!O17</f>
        <v>0</v>
      </c>
      <c r="P47" s="1542"/>
    </row>
    <row r="48" spans="1:16">
      <c r="A48" s="1529"/>
      <c r="B48" s="1531" t="s">
        <v>1619</v>
      </c>
      <c r="C48" s="1529"/>
      <c r="D48" s="1529"/>
      <c r="E48" s="1529"/>
      <c r="F48" s="1543">
        <f>'Part I-Project Information'!F18</f>
        <v>0</v>
      </c>
      <c r="G48" s="1529"/>
      <c r="H48" s="1529"/>
      <c r="I48" s="1530" t="s">
        <v>1979</v>
      </c>
      <c r="J48" s="1544">
        <f>'Part I-Project Information'!J18</f>
        <v>0</v>
      </c>
      <c r="K48" s="1544"/>
      <c r="L48" s="1529"/>
      <c r="M48" s="1531" t="s">
        <v>1781</v>
      </c>
      <c r="N48" s="1529"/>
      <c r="O48" s="1542">
        <f>'Part I-Project Information'!O18</f>
        <v>0</v>
      </c>
      <c r="P48" s="1542"/>
    </row>
    <row r="49" spans="1:16">
      <c r="A49" s="1529"/>
      <c r="B49" s="1531" t="s">
        <v>1551</v>
      </c>
      <c r="C49" s="1529"/>
      <c r="D49" s="1529"/>
      <c r="E49" s="1529"/>
      <c r="F49" s="1542">
        <f>'Part I-Project Information'!F19</f>
        <v>0</v>
      </c>
      <c r="G49" s="1542"/>
      <c r="H49" s="1542"/>
      <c r="I49" s="1530" t="s">
        <v>1550</v>
      </c>
      <c r="J49" s="1530">
        <f>'Part I-Project Information'!J19</f>
        <v>0</v>
      </c>
      <c r="K49" s="1530" t="s">
        <v>1786</v>
      </c>
      <c r="L49" s="1529">
        <f>'Part I-Project Information'!L19</f>
        <v>0</v>
      </c>
      <c r="M49" s="1529"/>
      <c r="N49" s="1529"/>
      <c r="O49" s="1529"/>
      <c r="P49" s="1529"/>
    </row>
    <row r="50" spans="1:16" ht="13.5">
      <c r="A50" s="1529"/>
      <c r="B50" s="1532" t="s">
        <v>608</v>
      </c>
      <c r="C50" s="1529"/>
      <c r="D50" s="1530"/>
      <c r="E50" s="1529"/>
      <c r="F50" s="1529"/>
      <c r="G50" s="1530"/>
      <c r="H50" s="1530"/>
      <c r="I50" s="1530"/>
      <c r="J50" s="1529"/>
      <c r="K50" s="1529"/>
      <c r="L50" s="1529"/>
      <c r="M50" s="1529"/>
      <c r="N50" s="1529"/>
      <c r="O50" s="1529"/>
      <c r="P50" s="1529"/>
    </row>
    <row r="51" spans="1:16">
      <c r="A51" s="1530"/>
      <c r="B51" s="1530"/>
      <c r="C51" s="1534"/>
      <c r="D51" s="1529"/>
      <c r="E51" s="1529"/>
      <c r="F51" s="1529"/>
      <c r="G51" s="1529"/>
      <c r="H51" s="1530"/>
      <c r="I51" s="1529"/>
      <c r="J51" s="1534"/>
      <c r="K51" s="1529"/>
      <c r="L51" s="1529"/>
      <c r="M51" s="1529"/>
      <c r="N51" s="1529"/>
      <c r="O51" s="1529"/>
      <c r="P51" s="1545"/>
    </row>
    <row r="52" spans="1:16">
      <c r="A52" s="1531" t="s">
        <v>1614</v>
      </c>
      <c r="B52" s="1529" t="s">
        <v>1352</v>
      </c>
      <c r="C52" s="1529"/>
      <c r="D52" s="1534"/>
      <c r="E52" s="1530"/>
      <c r="F52" s="1530"/>
      <c r="G52" s="1531"/>
      <c r="H52" s="1530"/>
      <c r="I52" s="1530"/>
      <c r="J52" s="1530"/>
      <c r="K52" s="1529"/>
      <c r="L52" s="1539"/>
      <c r="M52" s="1539"/>
      <c r="N52" s="1529"/>
      <c r="O52" s="1529"/>
      <c r="P52" s="1529"/>
    </row>
    <row r="53" spans="1:16">
      <c r="A53" s="1531"/>
      <c r="B53" s="1529"/>
      <c r="C53" s="1529"/>
      <c r="D53" s="1534"/>
      <c r="E53" s="1530"/>
      <c r="F53" s="1530"/>
      <c r="G53" s="1531"/>
      <c r="H53" s="1530"/>
      <c r="I53" s="1530"/>
      <c r="J53" s="1530"/>
      <c r="K53" s="1529"/>
      <c r="L53" s="1539"/>
      <c r="M53" s="1529"/>
      <c r="N53" s="1529"/>
      <c r="O53" s="1529"/>
      <c r="P53" s="1529"/>
    </row>
    <row r="54" spans="1:16">
      <c r="A54" s="1529"/>
      <c r="B54" s="1529" t="s">
        <v>573</v>
      </c>
      <c r="C54" s="1529"/>
      <c r="D54" s="1529"/>
      <c r="E54" s="1529"/>
      <c r="F54" s="1546" t="str">
        <f>'Part I-Project Information'!F24</f>
        <v>SB OHF Test Villas</v>
      </c>
      <c r="G54" s="1546"/>
      <c r="H54" s="1546"/>
      <c r="I54" s="1546"/>
      <c r="J54" s="1546"/>
      <c r="K54" s="1546"/>
      <c r="L54" s="1546"/>
      <c r="M54" s="1531" t="s">
        <v>1955</v>
      </c>
      <c r="N54" s="1529"/>
      <c r="O54" s="1529">
        <f>'Part I-Project Information'!O24</f>
        <v>0</v>
      </c>
      <c r="P54" s="1529"/>
    </row>
    <row r="55" spans="1:16">
      <c r="A55" s="1539"/>
      <c r="B55" s="1529" t="s">
        <v>3218</v>
      </c>
      <c r="C55" s="1529"/>
      <c r="D55" s="1539"/>
      <c r="E55" s="1529"/>
      <c r="F55" s="1529">
        <f>'Part I-Project Information'!F25</f>
        <v>0</v>
      </c>
      <c r="G55" s="1529"/>
      <c r="H55" s="1529"/>
      <c r="I55" s="1529"/>
      <c r="J55" s="1529"/>
      <c r="K55" s="1529"/>
      <c r="L55" s="1529"/>
      <c r="M55" s="1531" t="s">
        <v>3219</v>
      </c>
      <c r="N55" s="1529"/>
      <c r="O55" s="1529">
        <f>'Part I-Project Information'!O25</f>
        <v>0</v>
      </c>
      <c r="P55" s="1547">
        <f>'Part I-Project Information'!P25</f>
        <v>0</v>
      </c>
    </row>
    <row r="56" spans="1:16">
      <c r="A56" s="1539"/>
      <c r="B56" s="1529" t="s">
        <v>2396</v>
      </c>
      <c r="C56" s="1529"/>
      <c r="D56" s="1539"/>
      <c r="E56" s="1529"/>
      <c r="F56" s="1529">
        <f>'Part I-Project Information'!F26</f>
        <v>0</v>
      </c>
      <c r="G56" s="1529"/>
      <c r="H56" s="1529"/>
      <c r="I56" s="1529"/>
      <c r="J56" s="1529"/>
      <c r="K56" s="1529"/>
      <c r="L56" s="1529"/>
      <c r="M56" s="1531" t="s">
        <v>2027</v>
      </c>
      <c r="N56" s="1529"/>
      <c r="O56" s="1548">
        <f>'Part I-Project Information'!O26</f>
        <v>0</v>
      </c>
      <c r="P56" s="1548"/>
    </row>
    <row r="57" spans="1:16" ht="16.5">
      <c r="A57" s="1530"/>
      <c r="B57" s="1529" t="s">
        <v>574</v>
      </c>
      <c r="C57" s="1529"/>
      <c r="D57" s="1529"/>
      <c r="E57" s="1529"/>
      <c r="F57" s="1529" t="str">
        <f>'Part I-Project Information'!F27</f>
        <v>Peachtree Corners</v>
      </c>
      <c r="G57" s="1529"/>
      <c r="H57" s="1529"/>
      <c r="I57" s="1541" t="s">
        <v>3720</v>
      </c>
      <c r="J57" s="1544">
        <f>'Part I-Project Information'!J27</f>
        <v>0</v>
      </c>
      <c r="K57" s="1544"/>
      <c r="L57" s="1529" t="str">
        <f>'Part I-Project Information'!L27</f>
        <v>Enter Zip!</v>
      </c>
      <c r="M57" s="1549" t="s">
        <v>2460</v>
      </c>
      <c r="N57" s="1529"/>
      <c r="O57" s="1550">
        <f>'Part I-Project Information'!O27</f>
        <v>0</v>
      </c>
      <c r="P57" s="1551"/>
    </row>
    <row r="58" spans="1:16">
      <c r="A58" s="1530"/>
      <c r="B58" s="1529" t="s">
        <v>3107</v>
      </c>
      <c r="C58" s="1529"/>
      <c r="D58" s="1529"/>
      <c r="E58" s="1529"/>
      <c r="F58" s="1529" t="str">
        <f>'Part I-Project Information'!F28</f>
        <v>&lt;&lt; Select from list &gt;&gt;</v>
      </c>
      <c r="G58" s="1529"/>
      <c r="H58" s="1529"/>
      <c r="I58" s="1552" t="s">
        <v>575</v>
      </c>
      <c r="J58" s="1546" t="str">
        <f>'Part I-Project Information'!J28</f>
        <v>Gwinnett</v>
      </c>
      <c r="K58" s="1546"/>
      <c r="L58" s="1529"/>
      <c r="M58" s="1531" t="s">
        <v>426</v>
      </c>
      <c r="N58" s="1553">
        <f>'Part I-Project Information'!N28</f>
        <v>0</v>
      </c>
      <c r="O58" s="1539" t="s">
        <v>427</v>
      </c>
      <c r="P58" s="1553">
        <f>'Part I-Project Information'!P28</f>
        <v>0</v>
      </c>
    </row>
    <row r="59" spans="1:16">
      <c r="A59" s="1530"/>
      <c r="B59" s="1529"/>
      <c r="C59" s="1529" t="s">
        <v>1414</v>
      </c>
      <c r="D59" s="1529"/>
      <c r="E59" s="1529"/>
      <c r="F59" s="1531">
        <f>'Part I-Project Information'!F29</f>
        <v>0</v>
      </c>
      <c r="G59" s="1529" t="s">
        <v>2397</v>
      </c>
      <c r="H59" s="1529"/>
      <c r="I59" s="1530" t="str">
        <f>'Part I-Project Information'!I29</f>
        <v>No</v>
      </c>
      <c r="J59" s="1530" t="s">
        <v>2401</v>
      </c>
      <c r="K59" s="1530" t="str">
        <f>'Part I-Project Information'!K29</f>
        <v>Urban</v>
      </c>
      <c r="L59" s="1529"/>
      <c r="M59" s="1531" t="s">
        <v>2320</v>
      </c>
      <c r="N59" s="1530" t="str">
        <f>'Part I-Project Information'!N29</f>
        <v>MSA</v>
      </c>
      <c r="O59" s="1529" t="str">
        <f>IF($F$57="","",VLOOKUP($J$58,'DCA Underwriting Assumptions'!$G$158:$L$317,3,FALSE))</f>
        <v>Atlanta-Sandy Springs-Marietta</v>
      </c>
      <c r="P59" s="1529"/>
    </row>
    <row r="60" spans="1:16">
      <c r="A60" s="1530"/>
      <c r="B60" s="1529"/>
      <c r="C60" s="1529"/>
      <c r="D60" s="1529"/>
      <c r="E60" s="1529"/>
      <c r="F60" s="1529"/>
      <c r="G60" s="1529"/>
      <c r="H60" s="1529"/>
      <c r="I60" s="1531"/>
      <c r="J60" s="1529"/>
      <c r="K60" s="1529"/>
      <c r="L60" s="1554"/>
      <c r="M60" s="1554"/>
      <c r="N60" s="1554"/>
      <c r="O60" s="1554"/>
      <c r="P60" s="1554"/>
    </row>
    <row r="61" spans="1:16" ht="13.5">
      <c r="A61" s="1530"/>
      <c r="B61" s="1529"/>
      <c r="C61" s="1529"/>
      <c r="D61" s="1529"/>
      <c r="E61" s="1529"/>
      <c r="F61" s="1555" t="s">
        <v>2379</v>
      </c>
      <c r="G61" s="1555"/>
      <c r="H61" s="1529" t="s">
        <v>682</v>
      </c>
      <c r="I61" s="1529"/>
      <c r="J61" s="1529" t="s">
        <v>683</v>
      </c>
      <c r="K61" s="1529"/>
      <c r="L61" s="1556" t="s">
        <v>3684</v>
      </c>
      <c r="M61" s="1529"/>
      <c r="N61" s="1529"/>
      <c r="O61" s="1529"/>
      <c r="P61" s="1529"/>
    </row>
    <row r="62" spans="1:16">
      <c r="A62" s="1530"/>
      <c r="B62" s="1529" t="s">
        <v>3704</v>
      </c>
      <c r="C62" s="1529"/>
      <c r="D62" s="1529"/>
      <c r="E62" s="1529"/>
      <c r="F62" s="1557">
        <f>'Part I-Project Information'!F32</f>
        <v>0</v>
      </c>
      <c r="G62" s="1557"/>
      <c r="H62" s="1557">
        <f>'Part I-Project Information'!H32</f>
        <v>0</v>
      </c>
      <c r="I62" s="1557"/>
      <c r="J62" s="1557">
        <f>'Part I-Project Information'!J32</f>
        <v>0</v>
      </c>
      <c r="K62" s="1557"/>
      <c r="L62" s="1533" t="s">
        <v>1185</v>
      </c>
      <c r="M62" s="1529"/>
      <c r="N62" s="1558" t="s">
        <v>1186</v>
      </c>
      <c r="O62" s="1558"/>
      <c r="P62" s="1558"/>
    </row>
    <row r="63" spans="1:16">
      <c r="A63" s="1530"/>
      <c r="B63" s="1531" t="s">
        <v>684</v>
      </c>
      <c r="C63" s="1529"/>
      <c r="D63" s="1529"/>
      <c r="E63" s="1529"/>
      <c r="F63" s="1557">
        <f>'Part I-Project Information'!F33</f>
        <v>0</v>
      </c>
      <c r="G63" s="1557"/>
      <c r="H63" s="1557">
        <f>'Part I-Project Information'!H33</f>
        <v>0</v>
      </c>
      <c r="I63" s="1557"/>
      <c r="J63" s="1557">
        <f>'Part I-Project Information'!J33</f>
        <v>0</v>
      </c>
      <c r="K63" s="1557"/>
      <c r="L63" s="1533" t="s">
        <v>2377</v>
      </c>
      <c r="M63" s="1529"/>
      <c r="N63" s="1559" t="s">
        <v>2376</v>
      </c>
      <c r="O63" s="1559"/>
      <c r="P63" s="1529"/>
    </row>
    <row r="64" spans="1:16">
      <c r="A64" s="1530"/>
      <c r="B64" s="1529"/>
      <c r="C64" s="1529"/>
      <c r="D64" s="1529"/>
      <c r="E64" s="1529"/>
      <c r="F64" s="1529"/>
      <c r="G64" s="1529"/>
      <c r="H64" s="1529"/>
      <c r="I64" s="1554"/>
      <c r="J64" s="1554"/>
      <c r="K64" s="1554"/>
      <c r="L64" s="1529"/>
      <c r="M64" s="1529"/>
      <c r="N64" s="1529"/>
      <c r="O64" s="1529"/>
      <c r="P64" s="1529"/>
    </row>
    <row r="65" spans="1:16">
      <c r="A65" s="1530"/>
      <c r="B65" s="1529" t="s">
        <v>592</v>
      </c>
      <c r="C65" s="1529"/>
      <c r="D65" s="1529"/>
      <c r="E65" s="1529"/>
      <c r="F65" s="1560">
        <f>'Part I-Project Information'!F35</f>
        <v>0</v>
      </c>
      <c r="G65" s="1560"/>
      <c r="H65" s="1560"/>
      <c r="I65" s="1560"/>
      <c r="J65" s="1560"/>
      <c r="K65" s="1560"/>
      <c r="L65" s="1529"/>
      <c r="M65" s="1561" t="s">
        <v>2351</v>
      </c>
      <c r="N65" s="1529">
        <f>'Part I-Project Information'!N35</f>
        <v>0</v>
      </c>
      <c r="O65" s="1529"/>
      <c r="P65" s="1529"/>
    </row>
    <row r="66" spans="1:16">
      <c r="A66" s="1530"/>
      <c r="B66" s="1529" t="s">
        <v>593</v>
      </c>
      <c r="C66" s="1529"/>
      <c r="D66" s="1529"/>
      <c r="E66" s="1529"/>
      <c r="F66" s="1560">
        <f>'Part I-Project Information'!F36</f>
        <v>0</v>
      </c>
      <c r="G66" s="1560"/>
      <c r="H66" s="1560"/>
      <c r="I66" s="1530" t="s">
        <v>1782</v>
      </c>
      <c r="J66" s="1529">
        <f>'Part I-Project Information'!J36</f>
        <v>0</v>
      </c>
      <c r="K66" s="1529"/>
      <c r="L66" s="1529"/>
      <c r="M66" s="1531" t="s">
        <v>1620</v>
      </c>
      <c r="N66" s="1560">
        <f>'Part I-Project Information'!N36</f>
        <v>0</v>
      </c>
      <c r="O66" s="1560"/>
      <c r="P66" s="1560"/>
    </row>
    <row r="67" spans="1:16">
      <c r="A67" s="1530"/>
      <c r="B67" s="1529" t="s">
        <v>1783</v>
      </c>
      <c r="C67" s="1529"/>
      <c r="D67" s="1529"/>
      <c r="E67" s="1529"/>
      <c r="F67" s="1560">
        <f>'Part I-Project Information'!F37</f>
        <v>0</v>
      </c>
      <c r="G67" s="1560"/>
      <c r="H67" s="1560"/>
      <c r="I67" s="1560"/>
      <c r="J67" s="1560"/>
      <c r="K67" s="1560"/>
      <c r="L67" s="1529"/>
      <c r="M67" s="1531" t="s">
        <v>574</v>
      </c>
      <c r="N67" s="1529">
        <f>'Part I-Project Information'!N37</f>
        <v>0</v>
      </c>
      <c r="O67" s="1529"/>
      <c r="P67" s="1529"/>
    </row>
    <row r="68" spans="1:16">
      <c r="A68" s="1530"/>
      <c r="B68" s="1531" t="s">
        <v>1979</v>
      </c>
      <c r="C68" s="1529"/>
      <c r="D68" s="1529"/>
      <c r="E68" s="1529"/>
      <c r="F68" s="1544">
        <f>'Part I-Project Information'!F38</f>
        <v>0</v>
      </c>
      <c r="G68" s="1544"/>
      <c r="H68" s="1530" t="s">
        <v>1784</v>
      </c>
      <c r="I68" s="1542">
        <f>'Part I-Project Information'!I38</f>
        <v>0</v>
      </c>
      <c r="J68" s="1542"/>
      <c r="K68" s="1542"/>
      <c r="L68" s="1529"/>
      <c r="M68" s="1531" t="s">
        <v>1621</v>
      </c>
      <c r="N68" s="1542">
        <f>'Part I-Project Information'!N38</f>
        <v>0</v>
      </c>
      <c r="O68" s="1542"/>
      <c r="P68" s="1529"/>
    </row>
    <row r="69" spans="1:16">
      <c r="A69" s="1530"/>
      <c r="B69" s="1530"/>
      <c r="C69" s="1541"/>
      <c r="D69" s="1541"/>
      <c r="E69" s="1541"/>
      <c r="F69" s="1530"/>
      <c r="G69" s="1530"/>
      <c r="H69" s="1530"/>
      <c r="I69" s="1530"/>
      <c r="J69" s="1541"/>
      <c r="K69" s="1530"/>
      <c r="L69" s="1530"/>
      <c r="M69" s="1529"/>
      <c r="N69" s="1529"/>
      <c r="O69" s="1529"/>
      <c r="P69" s="1545"/>
    </row>
    <row r="70" spans="1:16">
      <c r="A70" s="1531" t="s">
        <v>1616</v>
      </c>
      <c r="B70" s="1529" t="s">
        <v>1353</v>
      </c>
      <c r="C70" s="1529"/>
      <c r="D70" s="1529"/>
      <c r="E70" s="1529"/>
      <c r="F70" s="1562"/>
      <c r="G70" s="1529"/>
      <c r="H70" s="1529"/>
      <c r="I70" s="1531"/>
      <c r="J70" s="1529"/>
      <c r="K70" s="1529"/>
      <c r="L70" s="1529"/>
      <c r="M70" s="1529"/>
      <c r="N70" s="1529"/>
      <c r="O70" s="1529"/>
      <c r="P70" s="1529"/>
    </row>
    <row r="71" spans="1:16">
      <c r="A71" s="1530"/>
      <c r="B71" s="1529"/>
      <c r="C71" s="1529"/>
      <c r="D71" s="1529"/>
      <c r="E71" s="1529"/>
      <c r="F71" s="1529"/>
      <c r="G71" s="1529"/>
      <c r="H71" s="1529"/>
      <c r="I71" s="1531"/>
      <c r="J71" s="1529"/>
      <c r="K71" s="1529"/>
      <c r="L71" s="1529"/>
      <c r="M71" s="1529"/>
      <c r="N71" s="1529"/>
      <c r="O71" s="1529"/>
      <c r="P71" s="1529"/>
    </row>
    <row r="72" spans="1:16">
      <c r="A72" s="1530"/>
      <c r="B72" s="1530" t="s">
        <v>1785</v>
      </c>
      <c r="C72" s="1529" t="s">
        <v>3705</v>
      </c>
      <c r="D72" s="1529"/>
      <c r="E72" s="1529"/>
      <c r="F72" s="1529"/>
      <c r="G72" s="1529"/>
      <c r="H72" s="1529"/>
      <c r="I72" s="1529"/>
      <c r="J72" s="1529"/>
      <c r="K72" s="1533"/>
      <c r="L72" s="1529"/>
      <c r="M72" s="1558"/>
      <c r="N72" s="1558"/>
      <c r="O72" s="1558"/>
      <c r="P72" s="1558"/>
    </row>
    <row r="73" spans="1:16">
      <c r="A73" s="1534"/>
      <c r="B73" s="1530"/>
      <c r="C73" s="1529" t="s">
        <v>2039</v>
      </c>
      <c r="D73" s="1529"/>
      <c r="E73" s="1529"/>
      <c r="F73" s="1534"/>
      <c r="G73" s="1534"/>
      <c r="H73" s="1563">
        <f>'Part I-Project Information'!H43</f>
        <v>0</v>
      </c>
      <c r="I73" s="1534"/>
      <c r="J73" s="1534"/>
      <c r="K73" s="1531" t="s">
        <v>343</v>
      </c>
      <c r="L73" s="1529"/>
      <c r="M73" s="1534"/>
      <c r="N73" s="1534"/>
      <c r="O73" s="1534"/>
      <c r="P73" s="1563">
        <f>'Part I-Project Information'!P43</f>
        <v>0</v>
      </c>
    </row>
    <row r="74" spans="1:16">
      <c r="A74" s="1530"/>
      <c r="B74" s="1530"/>
      <c r="C74" s="1564" t="s">
        <v>325</v>
      </c>
      <c r="D74" s="1529"/>
      <c r="E74" s="1529"/>
      <c r="F74" s="1529"/>
      <c r="G74" s="1529"/>
      <c r="H74" s="1563">
        <f>'Part I-Project Information'!H44</f>
        <v>0</v>
      </c>
      <c r="I74" s="1529"/>
      <c r="J74" s="1529"/>
      <c r="K74" s="1564" t="s">
        <v>344</v>
      </c>
      <c r="L74" s="1529"/>
      <c r="M74" s="1529"/>
      <c r="N74" s="1529"/>
      <c r="O74" s="1529"/>
      <c r="P74" s="1563">
        <f>'Part I-Project Information'!P44</f>
        <v>0</v>
      </c>
    </row>
    <row r="75" spans="1:16">
      <c r="A75" s="1529"/>
      <c r="B75" s="1530"/>
      <c r="C75" s="1531" t="s">
        <v>324</v>
      </c>
      <c r="D75" s="1529"/>
      <c r="E75" s="1529"/>
      <c r="F75" s="1529"/>
      <c r="G75" s="1529"/>
      <c r="H75" s="1563">
        <f>'Part I-Project Information'!H45</f>
        <v>0</v>
      </c>
      <c r="I75" s="1565" t="s">
        <v>2464</v>
      </c>
      <c r="J75" s="1529"/>
      <c r="K75" s="1529" t="s">
        <v>326</v>
      </c>
      <c r="L75" s="1529"/>
      <c r="M75" s="1529"/>
      <c r="N75" s="1529"/>
      <c r="O75" s="1529"/>
      <c r="P75" s="1566">
        <f>'Part I-Project Information'!P45</f>
        <v>0</v>
      </c>
    </row>
    <row r="76" spans="1:16">
      <c r="A76" s="1530"/>
      <c r="B76" s="1529"/>
      <c r="C76" s="1529"/>
      <c r="D76" s="1529"/>
      <c r="E76" s="1529"/>
      <c r="F76" s="1529"/>
      <c r="G76" s="1529"/>
      <c r="H76" s="1529"/>
      <c r="I76" s="1529"/>
      <c r="J76" s="1529"/>
      <c r="K76" s="1529"/>
      <c r="L76" s="1529"/>
      <c r="M76" s="1529"/>
      <c r="N76" s="1529"/>
      <c r="O76" s="1529"/>
      <c r="P76" s="1529"/>
    </row>
    <row r="77" spans="1:16">
      <c r="A77" s="1530"/>
      <c r="B77" s="1530" t="s">
        <v>1788</v>
      </c>
      <c r="C77" s="1529" t="s">
        <v>2040</v>
      </c>
      <c r="D77" s="1529"/>
      <c r="E77" s="1529"/>
      <c r="F77" s="1529"/>
      <c r="G77" s="1529"/>
      <c r="H77" s="1530">
        <f>'Part I-Project Information'!H47</f>
        <v>0</v>
      </c>
      <c r="I77" s="1529"/>
      <c r="J77" s="1529"/>
      <c r="K77" s="1529"/>
      <c r="L77" s="1529"/>
      <c r="M77" s="1529"/>
      <c r="N77" s="1529"/>
      <c r="O77" s="1558"/>
      <c r="P77" s="1533"/>
    </row>
    <row r="78" spans="1:16">
      <c r="A78" s="1530"/>
      <c r="B78" s="1529"/>
      <c r="C78" s="1529"/>
      <c r="D78" s="1529"/>
      <c r="E78" s="1529"/>
      <c r="F78" s="1529"/>
      <c r="G78" s="1529"/>
      <c r="H78" s="1529"/>
      <c r="I78" s="1529"/>
      <c r="J78" s="1533"/>
      <c r="K78" s="1567"/>
      <c r="L78" s="1533"/>
      <c r="M78" s="1567"/>
      <c r="N78" s="1567"/>
      <c r="O78" s="1567"/>
      <c r="P78" s="1567"/>
    </row>
    <row r="79" spans="1:16">
      <c r="A79" s="1530"/>
      <c r="B79" s="1539" t="s">
        <v>694</v>
      </c>
      <c r="C79" s="1529" t="s">
        <v>2021</v>
      </c>
      <c r="D79" s="1529"/>
      <c r="E79" s="1529"/>
      <c r="F79" s="1529"/>
      <c r="G79" s="1529"/>
      <c r="H79" s="1529"/>
      <c r="I79" s="1568" t="s">
        <v>3104</v>
      </c>
      <c r="J79" s="1539" t="s">
        <v>1889</v>
      </c>
      <c r="K79" s="1534" t="s">
        <v>2045</v>
      </c>
      <c r="L79" s="1529"/>
      <c r="M79" s="1529"/>
      <c r="N79" s="1529"/>
      <c r="O79" s="1529"/>
      <c r="P79" s="1530"/>
    </row>
    <row r="80" spans="1:16">
      <c r="A80" s="1530"/>
      <c r="B80" s="1543"/>
      <c r="C80" s="1534" t="s">
        <v>2022</v>
      </c>
      <c r="D80" s="1529"/>
      <c r="E80" s="1529"/>
      <c r="F80" s="1529"/>
      <c r="G80" s="1529"/>
      <c r="H80" s="1569">
        <f>'Part I-Project Information'!H50</f>
        <v>0</v>
      </c>
      <c r="I80" s="1569">
        <f>'Part I-Project Information'!I50</f>
        <v>0</v>
      </c>
      <c r="J80" s="1530"/>
      <c r="K80" s="1534" t="s">
        <v>2388</v>
      </c>
      <c r="L80" s="1529"/>
      <c r="M80" s="1529"/>
      <c r="N80" s="1529"/>
      <c r="O80" s="1529"/>
      <c r="P80" s="1569">
        <f>'Part I-Project Information'!P50</f>
        <v>0</v>
      </c>
    </row>
    <row r="81" spans="1:16">
      <c r="A81" s="1530"/>
      <c r="B81" s="1543"/>
      <c r="C81" s="1534"/>
      <c r="D81" s="1555" t="s">
        <v>3651</v>
      </c>
      <c r="E81" s="1529"/>
      <c r="F81" s="1529"/>
      <c r="G81" s="1529"/>
      <c r="H81" s="1569">
        <f>'Part I-Project Information'!H51</f>
        <v>0</v>
      </c>
      <c r="I81" s="1569">
        <f>'Part I-Project Information'!I51</f>
        <v>0</v>
      </c>
      <c r="J81" s="1530"/>
      <c r="K81" s="1534"/>
      <c r="L81" s="1555" t="s">
        <v>3651</v>
      </c>
      <c r="M81" s="1529"/>
      <c r="N81" s="1529"/>
      <c r="O81" s="1529"/>
      <c r="P81" s="1569">
        <f>'Part I-Project Information'!P51</f>
        <v>0</v>
      </c>
    </row>
    <row r="82" spans="1:16">
      <c r="A82" s="1530"/>
      <c r="B82" s="1543"/>
      <c r="C82" s="1534"/>
      <c r="D82" s="1555" t="s">
        <v>3652</v>
      </c>
      <c r="E82" s="1529"/>
      <c r="F82" s="1529"/>
      <c r="G82" s="1529"/>
      <c r="H82" s="1569">
        <f>'Part I-Project Information'!H52</f>
        <v>0</v>
      </c>
      <c r="I82" s="1569">
        <f>'Part I-Project Information'!I52</f>
        <v>0</v>
      </c>
      <c r="J82" s="1530"/>
      <c r="K82" s="1534"/>
      <c r="L82" s="1555" t="s">
        <v>3652</v>
      </c>
      <c r="M82" s="1529"/>
      <c r="N82" s="1529"/>
      <c r="O82" s="1529"/>
      <c r="P82" s="1569">
        <f>'Part I-Project Information'!P52</f>
        <v>0</v>
      </c>
    </row>
    <row r="83" spans="1:16">
      <c r="A83" s="1530"/>
      <c r="B83" s="1543"/>
      <c r="C83" s="1534"/>
      <c r="D83" s="1555" t="s">
        <v>3653</v>
      </c>
      <c r="E83" s="1555"/>
      <c r="F83" s="1529"/>
      <c r="G83" s="1529"/>
      <c r="H83" s="1569">
        <f>'Part I-Project Information'!H53</f>
        <v>0</v>
      </c>
      <c r="I83" s="1569">
        <f>'Part I-Project Information'!I53</f>
        <v>0</v>
      </c>
      <c r="J83" s="1530"/>
      <c r="K83" s="1534"/>
      <c r="L83" s="1555" t="s">
        <v>3653</v>
      </c>
      <c r="M83" s="1529"/>
      <c r="N83" s="1529"/>
      <c r="O83" s="1529"/>
      <c r="P83" s="1569">
        <f>'Part I-Project Information'!P53</f>
        <v>0</v>
      </c>
    </row>
    <row r="84" spans="1:16">
      <c r="A84" s="1530"/>
      <c r="B84" s="1543"/>
      <c r="C84" s="1534"/>
      <c r="D84" s="1555" t="s">
        <v>3654</v>
      </c>
      <c r="E84" s="1529"/>
      <c r="F84" s="1529"/>
      <c r="G84" s="1529"/>
      <c r="H84" s="1569">
        <f>'Part I-Project Information'!H54</f>
        <v>0</v>
      </c>
      <c r="I84" s="1569">
        <f>'Part I-Project Information'!I54</f>
        <v>0</v>
      </c>
      <c r="J84" s="1530"/>
      <c r="K84" s="1534"/>
      <c r="L84" s="1555" t="s">
        <v>3654</v>
      </c>
      <c r="M84" s="1529"/>
      <c r="N84" s="1529"/>
      <c r="O84" s="1529"/>
      <c r="P84" s="1569">
        <f>'Part I-Project Information'!P54</f>
        <v>0</v>
      </c>
    </row>
    <row r="85" spans="1:16">
      <c r="A85" s="1530"/>
      <c r="B85" s="1543"/>
      <c r="C85" s="1534"/>
      <c r="D85" s="1555" t="s">
        <v>3655</v>
      </c>
      <c r="E85" s="1555"/>
      <c r="F85" s="1529"/>
      <c r="G85" s="1529"/>
      <c r="H85" s="1569">
        <f>'Part I-Project Information'!H55</f>
        <v>0</v>
      </c>
      <c r="I85" s="1569">
        <f>'Part I-Project Information'!I55</f>
        <v>0</v>
      </c>
      <c r="J85" s="1530"/>
      <c r="K85" s="1534"/>
      <c r="L85" s="1555" t="s">
        <v>3655</v>
      </c>
      <c r="M85" s="1529"/>
      <c r="N85" s="1529"/>
      <c r="O85" s="1529"/>
      <c r="P85" s="1569">
        <f>'Part I-Project Information'!P55</f>
        <v>0</v>
      </c>
    </row>
    <row r="86" spans="1:16">
      <c r="A86" s="1530"/>
      <c r="B86" s="1534"/>
      <c r="C86" s="1529"/>
      <c r="D86" s="1555" t="s">
        <v>3656</v>
      </c>
      <c r="E86" s="1555"/>
      <c r="F86" s="1529"/>
      <c r="G86" s="1529"/>
      <c r="H86" s="1569">
        <f>'Part I-Project Information'!H56</f>
        <v>0</v>
      </c>
      <c r="I86" s="1569">
        <f>'Part I-Project Information'!I56</f>
        <v>0</v>
      </c>
      <c r="J86" s="1529"/>
      <c r="K86" s="1529"/>
      <c r="L86" s="1555" t="s">
        <v>3656</v>
      </c>
      <c r="M86" s="1529"/>
      <c r="N86" s="1529"/>
      <c r="O86" s="1529"/>
      <c r="P86" s="1569">
        <f>'Part I-Project Information'!P56</f>
        <v>0</v>
      </c>
    </row>
    <row r="87" spans="1:16">
      <c r="A87" s="1530"/>
      <c r="B87" s="1529"/>
      <c r="C87" s="1529"/>
      <c r="D87" s="1555" t="s">
        <v>3657</v>
      </c>
      <c r="E87" s="1555"/>
      <c r="F87" s="1529"/>
      <c r="G87" s="1529"/>
      <c r="H87" s="1569">
        <f>'Part I-Project Information'!H57</f>
        <v>0</v>
      </c>
      <c r="I87" s="1569">
        <f>'Part I-Project Information'!I57</f>
        <v>0</v>
      </c>
      <c r="J87" s="1529"/>
      <c r="K87" s="1529"/>
      <c r="L87" s="1555" t="s">
        <v>3657</v>
      </c>
      <c r="M87" s="1529"/>
      <c r="N87" s="1529"/>
      <c r="O87" s="1529"/>
      <c r="P87" s="1569">
        <f>'Part I-Project Information'!P57</f>
        <v>0</v>
      </c>
    </row>
    <row r="88" spans="1:16">
      <c r="A88" s="1530"/>
      <c r="B88" s="1529"/>
      <c r="C88" s="1534" t="s">
        <v>234</v>
      </c>
      <c r="D88" s="1529"/>
      <c r="E88" s="1529"/>
      <c r="F88" s="1529"/>
      <c r="G88" s="1529"/>
      <c r="H88" s="1569">
        <f>'Part I-Project Information'!H58</f>
        <v>0</v>
      </c>
      <c r="I88" s="1529"/>
      <c r="J88" s="1530"/>
      <c r="K88" s="1534" t="s">
        <v>2389</v>
      </c>
      <c r="L88" s="1529"/>
      <c r="M88" s="1529"/>
      <c r="N88" s="1529"/>
      <c r="O88" s="1529"/>
      <c r="P88" s="1569">
        <f>'Part I-Project Information'!P58</f>
        <v>0</v>
      </c>
    </row>
    <row r="89" spans="1:16">
      <c r="A89" s="1530"/>
      <c r="B89" s="1529"/>
      <c r="C89" s="1534" t="s">
        <v>2136</v>
      </c>
      <c r="D89" s="1529"/>
      <c r="E89" s="1529"/>
      <c r="F89" s="1529"/>
      <c r="G89" s="1529"/>
      <c r="H89" s="1569">
        <f>'Part I-Project Information'!H59</f>
        <v>0</v>
      </c>
      <c r="I89" s="1529"/>
      <c r="J89" s="1530"/>
      <c r="K89" s="1534" t="s">
        <v>2390</v>
      </c>
      <c r="L89" s="1529"/>
      <c r="M89" s="1529"/>
      <c r="N89" s="1529"/>
      <c r="O89" s="1529"/>
      <c r="P89" s="1569">
        <f>'Part I-Project Information'!P59</f>
        <v>0</v>
      </c>
    </row>
    <row r="90" spans="1:16">
      <c r="A90" s="1530"/>
      <c r="B90" s="1529"/>
      <c r="C90" s="1534" t="s">
        <v>2137</v>
      </c>
      <c r="D90" s="1529"/>
      <c r="E90" s="1529"/>
      <c r="F90" s="1529"/>
      <c r="G90" s="1529"/>
      <c r="H90" s="1569">
        <f>'Part I-Project Information'!H60</f>
        <v>0</v>
      </c>
      <c r="I90" s="1529"/>
      <c r="J90" s="1530"/>
      <c r="K90" s="1534" t="s">
        <v>2391</v>
      </c>
      <c r="L90" s="1529"/>
      <c r="M90" s="1529"/>
      <c r="N90" s="1529"/>
      <c r="O90" s="1529"/>
      <c r="P90" s="1569">
        <f>'Part I-Project Information'!P60</f>
        <v>0</v>
      </c>
    </row>
    <row r="91" spans="1:16">
      <c r="A91" s="1530"/>
      <c r="B91" s="1529"/>
      <c r="C91" s="1534" t="s">
        <v>1615</v>
      </c>
      <c r="D91" s="1529"/>
      <c r="E91" s="1529"/>
      <c r="F91" s="1529"/>
      <c r="G91" s="1529"/>
      <c r="H91" s="1569">
        <f>'Part I-Project Information'!H61</f>
        <v>0</v>
      </c>
      <c r="I91" s="1529"/>
      <c r="J91" s="1529"/>
      <c r="K91" s="1534" t="s">
        <v>1306</v>
      </c>
      <c r="L91" s="1529"/>
      <c r="M91" s="1529"/>
      <c r="N91" s="1529"/>
      <c r="O91" s="1529"/>
      <c r="P91" s="1569">
        <f>'Part I-Project Information'!P61</f>
        <v>0</v>
      </c>
    </row>
    <row r="92" spans="1:16">
      <c r="A92" s="1530"/>
      <c r="B92" s="1529"/>
      <c r="C92" s="1529"/>
      <c r="D92" s="1529"/>
      <c r="E92" s="1529"/>
      <c r="F92" s="1529"/>
      <c r="G92" s="1529"/>
      <c r="H92" s="1529"/>
      <c r="I92" s="1530"/>
      <c r="J92" s="1529"/>
      <c r="K92" s="1529"/>
      <c r="L92" s="1530"/>
      <c r="M92" s="1530"/>
      <c r="N92" s="1529"/>
      <c r="O92" s="1529"/>
      <c r="P92" s="1545"/>
    </row>
    <row r="93" spans="1:16">
      <c r="A93" s="1530"/>
      <c r="B93" s="1530" t="s">
        <v>1563</v>
      </c>
      <c r="C93" s="1529" t="s">
        <v>2041</v>
      </c>
      <c r="D93" s="1555" t="s">
        <v>1799</v>
      </c>
      <c r="E93" s="1529"/>
      <c r="F93" s="1529"/>
      <c r="G93" s="1529"/>
      <c r="H93" s="1569">
        <f>'Part I-Project Information'!H63</f>
        <v>0</v>
      </c>
      <c r="I93" s="1529"/>
      <c r="J93" s="1529"/>
      <c r="K93" s="1534" t="s">
        <v>1046</v>
      </c>
      <c r="L93" s="1529"/>
      <c r="M93" s="1529"/>
      <c r="N93" s="1529"/>
      <c r="O93" s="1529"/>
      <c r="P93" s="1569">
        <f>'Part I-Project Information'!P63</f>
        <v>0</v>
      </c>
    </row>
    <row r="94" spans="1:16">
      <c r="A94" s="1530"/>
      <c r="B94" s="1530"/>
      <c r="C94" s="1529"/>
      <c r="D94" s="1543" t="s">
        <v>1800</v>
      </c>
      <c r="E94" s="1529"/>
      <c r="F94" s="1529"/>
      <c r="G94" s="1529"/>
      <c r="H94" s="1569">
        <f>'Part I-Project Information'!H64</f>
        <v>0</v>
      </c>
      <c r="I94" s="1529"/>
      <c r="J94" s="1529"/>
      <c r="K94" s="1534" t="s">
        <v>233</v>
      </c>
      <c r="L94" s="1529"/>
      <c r="M94" s="1529"/>
      <c r="N94" s="1529"/>
      <c r="O94" s="1529"/>
      <c r="P94" s="1569">
        <f>+P91+P93</f>
        <v>0</v>
      </c>
    </row>
    <row r="95" spans="1:16">
      <c r="A95" s="1530"/>
      <c r="B95" s="1530"/>
      <c r="C95" s="1529"/>
      <c r="D95" s="1543" t="s">
        <v>1801</v>
      </c>
      <c r="E95" s="1529"/>
      <c r="F95" s="1529"/>
      <c r="G95" s="1529"/>
      <c r="H95" s="1569">
        <f>+H93+H94</f>
        <v>0</v>
      </c>
      <c r="I95" s="1529"/>
      <c r="J95" s="1529"/>
      <c r="K95" s="1529"/>
      <c r="L95" s="1529"/>
      <c r="M95" s="1529"/>
      <c r="N95" s="1529"/>
      <c r="O95" s="1529"/>
      <c r="P95" s="1529"/>
    </row>
    <row r="96" spans="1:16">
      <c r="A96" s="1530"/>
      <c r="B96" s="1530"/>
      <c r="C96" s="1529"/>
      <c r="D96" s="1529"/>
      <c r="E96" s="1529"/>
      <c r="F96" s="1529"/>
      <c r="G96" s="1530"/>
      <c r="H96" s="1529"/>
      <c r="I96" s="1534"/>
      <c r="J96" s="1529"/>
      <c r="K96" s="1529"/>
      <c r="L96" s="1529"/>
      <c r="M96" s="1529"/>
      <c r="N96" s="1529"/>
      <c r="O96" s="1529"/>
      <c r="P96" s="1545"/>
    </row>
    <row r="97" spans="1:16">
      <c r="A97" s="1530"/>
      <c r="B97" s="1530" t="s">
        <v>1564</v>
      </c>
      <c r="C97" s="1529" t="s">
        <v>2416</v>
      </c>
      <c r="D97" s="1529"/>
      <c r="E97" s="1529"/>
      <c r="F97" s="1529"/>
      <c r="G97" s="1529"/>
      <c r="H97" s="1569">
        <f>'Part I-Project Information'!H67</f>
        <v>0</v>
      </c>
      <c r="I97" s="1529"/>
      <c r="J97" s="1529"/>
      <c r="K97" s="1529"/>
      <c r="L97" s="1529"/>
      <c r="M97" s="1529"/>
      <c r="N97" s="1529"/>
      <c r="O97" s="1529"/>
      <c r="P97" s="1529"/>
    </row>
    <row r="98" spans="1:16">
      <c r="A98" s="1530"/>
      <c r="B98" s="1530"/>
      <c r="C98" s="1534"/>
      <c r="D98" s="1529"/>
      <c r="E98" s="1529"/>
      <c r="F98" s="1529"/>
      <c r="G98" s="1530"/>
      <c r="H98" s="1529"/>
      <c r="I98" s="1534"/>
      <c r="J98" s="1534"/>
      <c r="K98" s="1529"/>
      <c r="L98" s="1529"/>
      <c r="M98" s="1529"/>
      <c r="N98" s="1529"/>
      <c r="O98" s="1529"/>
      <c r="P98" s="1545"/>
    </row>
    <row r="99" spans="1:16">
      <c r="A99" s="1530" t="s">
        <v>494</v>
      </c>
      <c r="B99" s="1555" t="s">
        <v>1101</v>
      </c>
      <c r="C99" s="1529"/>
      <c r="D99" s="1555"/>
      <c r="E99" s="1555"/>
      <c r="F99" s="1529"/>
      <c r="G99" s="1530"/>
      <c r="H99" s="1529"/>
      <c r="I99" s="1529"/>
      <c r="J99" s="1529"/>
      <c r="K99" s="1529"/>
      <c r="L99" s="1529"/>
      <c r="M99" s="1529"/>
      <c r="N99" s="1529"/>
      <c r="O99" s="1529"/>
      <c r="P99" s="1529"/>
    </row>
    <row r="100" spans="1:16">
      <c r="A100" s="1530"/>
      <c r="B100" s="1529"/>
      <c r="C100" s="1543"/>
      <c r="D100" s="1543"/>
      <c r="E100" s="1543"/>
      <c r="F100" s="1529"/>
      <c r="G100" s="1530"/>
      <c r="H100" s="1529"/>
      <c r="I100" s="1529"/>
      <c r="J100" s="1529"/>
      <c r="K100" s="1529"/>
      <c r="L100" s="1529"/>
      <c r="M100" s="1529"/>
      <c r="N100" s="1529"/>
      <c r="O100" s="1529"/>
      <c r="P100" s="1545"/>
    </row>
    <row r="101" spans="1:16">
      <c r="A101" s="1530"/>
      <c r="B101" s="1530" t="s">
        <v>1785</v>
      </c>
      <c r="C101" s="1531" t="s">
        <v>3721</v>
      </c>
      <c r="D101" s="1543"/>
      <c r="E101" s="1543"/>
      <c r="F101" s="1529"/>
      <c r="G101" s="1530"/>
      <c r="H101" s="1529" t="str">
        <f>'Part I-Project Information'!H71</f>
        <v>&lt;&lt;Select&gt;&gt;</v>
      </c>
      <c r="I101" s="1529"/>
      <c r="J101" s="1529"/>
      <c r="K101" s="1529" t="s">
        <v>1596</v>
      </c>
      <c r="L101" s="1529"/>
      <c r="M101" s="1529"/>
      <c r="N101" s="1529">
        <f>'Part I-Project Information'!N71</f>
        <v>0</v>
      </c>
      <c r="O101" s="1529"/>
      <c r="P101" s="1529"/>
    </row>
    <row r="102" spans="1:16">
      <c r="A102" s="1530"/>
      <c r="B102" s="1530"/>
      <c r="C102" s="1529"/>
      <c r="D102" s="1543"/>
      <c r="E102" s="1543"/>
      <c r="F102" s="1543"/>
      <c r="G102" s="1543"/>
      <c r="H102" s="1529"/>
      <c r="I102" s="1530"/>
      <c r="J102" s="1529"/>
      <c r="K102" s="1531"/>
      <c r="L102" s="1531"/>
      <c r="M102" s="1530"/>
      <c r="N102" s="1529"/>
      <c r="O102" s="1529"/>
      <c r="P102" s="1545"/>
    </row>
    <row r="103" spans="1:16" ht="12.75" customHeight="1">
      <c r="A103" s="1530"/>
      <c r="B103" s="1530"/>
      <c r="C103" s="1529"/>
      <c r="D103" s="1529"/>
      <c r="E103" s="1543"/>
      <c r="F103" s="1529"/>
      <c r="G103" s="1529"/>
      <c r="H103" s="1529"/>
      <c r="I103" s="1529"/>
      <c r="J103" s="1529"/>
      <c r="K103" s="1570" t="s">
        <v>3658</v>
      </c>
      <c r="L103" s="1571" t="s">
        <v>2465</v>
      </c>
      <c r="M103" s="1569">
        <f>'Part I-Project Information'!M73</f>
        <v>0</v>
      </c>
      <c r="N103" s="1571" t="s">
        <v>2466</v>
      </c>
      <c r="O103" s="1569">
        <f>'Part I-Project Information'!O73</f>
        <v>0</v>
      </c>
      <c r="P103" s="1531" t="s">
        <v>3659</v>
      </c>
    </row>
    <row r="104" spans="1:16">
      <c r="A104" s="1530"/>
      <c r="B104" s="1530"/>
      <c r="C104" s="1529"/>
      <c r="D104" s="1531"/>
      <c r="E104" s="1543"/>
      <c r="F104" s="1529"/>
      <c r="G104" s="1529"/>
      <c r="H104" s="1529"/>
      <c r="I104" s="1529"/>
      <c r="J104" s="1570"/>
      <c r="K104" s="1570"/>
      <c r="L104" s="1539" t="s">
        <v>2467</v>
      </c>
      <c r="M104" s="1569">
        <f>'Part I-Project Information'!M74</f>
        <v>0</v>
      </c>
      <c r="N104" s="1539" t="s">
        <v>3660</v>
      </c>
      <c r="O104" s="1569">
        <f>'Part I-Project Information'!O74</f>
        <v>0</v>
      </c>
      <c r="P104" s="1569">
        <f>'Part I-Project Information'!P74</f>
        <v>0</v>
      </c>
    </row>
    <row r="105" spans="1:16">
      <c r="A105" s="1530"/>
      <c r="B105" s="1530"/>
      <c r="C105" s="1529"/>
      <c r="D105" s="1543"/>
      <c r="E105" s="1543"/>
      <c r="F105" s="1543"/>
      <c r="G105" s="1543"/>
      <c r="H105" s="1529"/>
      <c r="I105" s="1530"/>
      <c r="J105" s="1529"/>
      <c r="K105" s="1531"/>
      <c r="L105" s="1531"/>
      <c r="M105" s="1530"/>
      <c r="N105" s="1529"/>
      <c r="O105" s="1529"/>
      <c r="P105" s="1545"/>
    </row>
    <row r="106" spans="1:16">
      <c r="A106" s="1530"/>
      <c r="B106" s="1530" t="s">
        <v>1788</v>
      </c>
      <c r="C106" s="1529" t="s">
        <v>1299</v>
      </c>
      <c r="D106" s="1529"/>
      <c r="E106" s="1555"/>
      <c r="F106" s="1543" t="s">
        <v>736</v>
      </c>
      <c r="G106" s="1529"/>
      <c r="H106" s="1569">
        <f>'Part I-Project Information'!H76</f>
        <v>0</v>
      </c>
      <c r="I106" s="1529"/>
      <c r="J106" s="1529"/>
      <c r="K106" s="1529" t="s">
        <v>484</v>
      </c>
      <c r="L106" s="1529"/>
      <c r="M106" s="1529"/>
      <c r="N106" s="1572">
        <f>'Part I-Project Information'!N76</f>
        <v>0</v>
      </c>
      <c r="O106" s="1539" t="s">
        <v>3661</v>
      </c>
      <c r="P106" s="1573">
        <f>'DCA Underwriting Assumptions'!$Q$139</f>
        <v>0.05</v>
      </c>
    </row>
    <row r="107" spans="1:16">
      <c r="A107" s="1530"/>
      <c r="B107" s="1530"/>
      <c r="C107" s="1529"/>
      <c r="D107" s="1543" t="s">
        <v>2414</v>
      </c>
      <c r="E107" s="1543"/>
      <c r="F107" s="1543" t="s">
        <v>736</v>
      </c>
      <c r="G107" s="1529"/>
      <c r="H107" s="1569">
        <f>'Part I-Project Information'!H77</f>
        <v>0</v>
      </c>
      <c r="I107" s="1529"/>
      <c r="J107" s="1529"/>
      <c r="K107" s="1529" t="s">
        <v>2415</v>
      </c>
      <c r="L107" s="1529"/>
      <c r="M107" s="1529"/>
      <c r="N107" s="1572">
        <f>'Part I-Project Information'!N77</f>
        <v>0</v>
      </c>
      <c r="O107" s="1539" t="s">
        <v>3661</v>
      </c>
      <c r="P107" s="1573">
        <f>'DCA Underwriting Assumptions'!$Q$140</f>
        <v>0.4</v>
      </c>
    </row>
    <row r="108" spans="1:16">
      <c r="A108" s="1530"/>
      <c r="B108" s="1530"/>
      <c r="C108" s="1529"/>
      <c r="D108" s="1543"/>
      <c r="E108" s="1543"/>
      <c r="F108" s="1543"/>
      <c r="G108" s="1529"/>
      <c r="H108" s="1529"/>
      <c r="I108" s="1530"/>
      <c r="J108" s="1529"/>
      <c r="K108" s="1531"/>
      <c r="L108" s="1531"/>
      <c r="M108" s="1530"/>
      <c r="N108" s="1530"/>
      <c r="O108" s="1529"/>
      <c r="P108" s="1530"/>
    </row>
    <row r="109" spans="1:16">
      <c r="A109" s="1530"/>
      <c r="B109" s="1530" t="s">
        <v>694</v>
      </c>
      <c r="C109" s="1529" t="s">
        <v>1660</v>
      </c>
      <c r="D109" s="1555"/>
      <c r="E109" s="1555"/>
      <c r="F109" s="1543" t="s">
        <v>736</v>
      </c>
      <c r="G109" s="1529"/>
      <c r="H109" s="1569">
        <f>'Part I-Project Information'!H79</f>
        <v>0</v>
      </c>
      <c r="I109" s="1529"/>
      <c r="J109" s="1529"/>
      <c r="K109" s="1529" t="s">
        <v>484</v>
      </c>
      <c r="L109" s="1529"/>
      <c r="M109" s="1529"/>
      <c r="N109" s="1572">
        <f>'Part I-Project Information'!N79</f>
        <v>0</v>
      </c>
      <c r="O109" s="1539" t="s">
        <v>3661</v>
      </c>
      <c r="P109" s="1573">
        <f>'DCA Underwriting Assumptions'!$Q$141</f>
        <v>0.02</v>
      </c>
    </row>
    <row r="110" spans="1:16">
      <c r="A110" s="1530"/>
      <c r="B110" s="1530"/>
      <c r="C110" s="1529"/>
      <c r="D110" s="1543"/>
      <c r="E110" s="1543"/>
      <c r="F110" s="1543"/>
      <c r="G110" s="1543"/>
      <c r="H110" s="1529"/>
      <c r="I110" s="1530"/>
      <c r="J110" s="1530"/>
      <c r="K110" s="1530"/>
      <c r="L110" s="1530"/>
      <c r="M110" s="1530"/>
      <c r="N110" s="1529"/>
      <c r="O110" s="1529"/>
      <c r="P110" s="1545"/>
    </row>
    <row r="111" spans="1:16" ht="13.5">
      <c r="A111" s="1534" t="s">
        <v>715</v>
      </c>
      <c r="B111" s="1543" t="s">
        <v>3722</v>
      </c>
      <c r="C111" s="1529"/>
      <c r="D111" s="1543"/>
      <c r="E111" s="1543"/>
      <c r="F111" s="1543"/>
      <c r="G111" s="1543"/>
      <c r="H111" s="1543"/>
      <c r="I111" s="1530"/>
      <c r="J111" s="1529"/>
      <c r="K111" s="1529"/>
      <c r="L111" s="1529"/>
      <c r="M111" s="1530"/>
      <c r="N111" s="1529"/>
      <c r="O111" s="1529"/>
      <c r="P111" s="1545"/>
    </row>
    <row r="112" spans="1:16">
      <c r="A112" s="1530"/>
      <c r="B112" s="1530"/>
      <c r="C112" s="1543"/>
      <c r="D112" s="1543"/>
      <c r="E112" s="1543"/>
      <c r="F112" s="1543"/>
      <c r="G112" s="1529"/>
      <c r="H112" s="1529"/>
      <c r="I112" s="1529"/>
      <c r="J112" s="1529"/>
      <c r="K112" s="1529"/>
      <c r="L112" s="1530"/>
      <c r="M112" s="1530"/>
      <c r="N112" s="1529"/>
      <c r="O112" s="1529"/>
      <c r="P112" s="1545"/>
    </row>
    <row r="113" spans="1:16">
      <c r="A113" s="1530"/>
      <c r="B113" s="1530" t="s">
        <v>1785</v>
      </c>
      <c r="C113" s="1531" t="s">
        <v>2111</v>
      </c>
      <c r="D113" s="1543"/>
      <c r="E113" s="1543"/>
      <c r="F113" s="1543"/>
      <c r="G113" s="1529"/>
      <c r="H113" s="1529" t="str">
        <f>'Part I-Project Information'!H83</f>
        <v>&lt;&lt; Select LIHTC Election &gt;&gt;</v>
      </c>
      <c r="I113" s="1529"/>
      <c r="J113" s="1529"/>
      <c r="K113" s="1529"/>
      <c r="L113" s="1529"/>
      <c r="M113" s="1530"/>
      <c r="N113" s="1529"/>
      <c r="O113" s="1529"/>
      <c r="P113" s="1545"/>
    </row>
    <row r="114" spans="1:16">
      <c r="A114" s="1530"/>
      <c r="B114" s="1530"/>
      <c r="C114" s="1529"/>
      <c r="D114" s="1543"/>
      <c r="E114" s="1543"/>
      <c r="F114" s="1543"/>
      <c r="G114" s="1543"/>
      <c r="H114" s="1529"/>
      <c r="I114" s="1530"/>
      <c r="J114" s="1530"/>
      <c r="K114" s="1530"/>
      <c r="L114" s="1530"/>
      <c r="M114" s="1530"/>
      <c r="N114" s="1529"/>
      <c r="O114" s="1529"/>
      <c r="P114" s="1545"/>
    </row>
    <row r="115" spans="1:16">
      <c r="A115" s="1529"/>
      <c r="B115" s="1530" t="s">
        <v>1788</v>
      </c>
      <c r="C115" s="1529" t="s">
        <v>1397</v>
      </c>
      <c r="D115" s="1529"/>
      <c r="E115" s="1529"/>
      <c r="F115" s="1529"/>
      <c r="G115" s="1529"/>
      <c r="H115" s="1529"/>
      <c r="I115" s="1529"/>
      <c r="J115" s="1529"/>
      <c r="K115" s="1531" t="s">
        <v>808</v>
      </c>
      <c r="L115" s="1529"/>
      <c r="M115" s="1529"/>
      <c r="N115" s="1574"/>
      <c r="O115" s="1529"/>
      <c r="P115" s="1530" t="str">
        <f>'Part I-Project Information'!P85</f>
        <v>Select</v>
      </c>
    </row>
    <row r="116" spans="1:16">
      <c r="A116" s="1530"/>
      <c r="B116" s="1530"/>
      <c r="C116" s="1529"/>
      <c r="D116" s="1543"/>
      <c r="E116" s="1543"/>
      <c r="F116" s="1543"/>
      <c r="G116" s="1543"/>
      <c r="H116" s="1529"/>
      <c r="I116" s="1530"/>
      <c r="J116" s="1530"/>
      <c r="K116" s="1530"/>
      <c r="L116" s="1530"/>
      <c r="M116" s="1530"/>
      <c r="N116" s="1529"/>
      <c r="O116" s="1529"/>
      <c r="P116" s="1545"/>
    </row>
    <row r="117" spans="1:16" ht="13.5">
      <c r="A117" s="1534" t="s">
        <v>272</v>
      </c>
      <c r="B117" s="1543" t="s">
        <v>3723</v>
      </c>
      <c r="C117" s="1529"/>
      <c r="D117" s="1543"/>
      <c r="E117" s="1529"/>
      <c r="F117" s="1529"/>
      <c r="G117" s="1529"/>
      <c r="H117" s="1529"/>
      <c r="I117" s="1529"/>
      <c r="J117" s="1529"/>
      <c r="K117" s="1529"/>
      <c r="L117" s="1529"/>
      <c r="M117" s="1529"/>
      <c r="N117" s="1529"/>
      <c r="O117" s="1529"/>
      <c r="P117" s="1529"/>
    </row>
    <row r="118" spans="1:16">
      <c r="A118" s="1530"/>
      <c r="B118" s="1530"/>
      <c r="C118" s="1529"/>
      <c r="D118" s="1543"/>
      <c r="E118" s="1529"/>
      <c r="F118" s="1529"/>
      <c r="G118" s="1529"/>
      <c r="H118" s="1529"/>
      <c r="I118" s="1529"/>
      <c r="J118" s="1529"/>
      <c r="K118" s="1529"/>
      <c r="L118" s="1529"/>
      <c r="M118" s="1529"/>
      <c r="N118" s="1529"/>
      <c r="O118" s="1529"/>
      <c r="P118" s="1545"/>
    </row>
    <row r="119" spans="1:16">
      <c r="A119" s="1534"/>
      <c r="B119" s="1530" t="s">
        <v>1785</v>
      </c>
      <c r="C119" s="1529" t="s">
        <v>2352</v>
      </c>
      <c r="D119" s="1529"/>
      <c r="E119" s="1529"/>
      <c r="F119" s="1555" t="s">
        <v>2309</v>
      </c>
      <c r="G119" s="1529"/>
      <c r="H119" s="1530">
        <f>'Part I-Project Information'!H89</f>
        <v>0</v>
      </c>
      <c r="I119" s="1529"/>
      <c r="J119" s="1529"/>
      <c r="K119" s="1531" t="s">
        <v>3459</v>
      </c>
      <c r="L119" s="1529"/>
      <c r="M119" s="1529"/>
      <c r="N119" s="1529"/>
      <c r="O119" s="1529"/>
      <c r="P119" s="1530">
        <f>'Part I-Project Information'!P89</f>
        <v>0</v>
      </c>
    </row>
    <row r="120" spans="1:16">
      <c r="A120" s="1534"/>
      <c r="B120" s="1530"/>
      <c r="C120" s="1529"/>
      <c r="D120" s="1529"/>
      <c r="E120" s="1529"/>
      <c r="F120" s="1543" t="s">
        <v>2971</v>
      </c>
      <c r="G120" s="1529"/>
      <c r="H120" s="1530">
        <f>'Part I-Project Information'!H90</f>
        <v>0</v>
      </c>
      <c r="I120" s="1529"/>
      <c r="J120" s="1529"/>
      <c r="K120" s="1531" t="s">
        <v>3664</v>
      </c>
      <c r="L120" s="1529"/>
      <c r="M120" s="1529"/>
      <c r="N120" s="1529"/>
      <c r="O120" s="1529"/>
      <c r="P120" s="1530">
        <f>'Part I-Project Information'!P90</f>
        <v>0</v>
      </c>
    </row>
    <row r="121" spans="1:16">
      <c r="A121" s="1530"/>
      <c r="B121" s="1530"/>
      <c r="C121" s="1543"/>
      <c r="D121" s="1529"/>
      <c r="E121" s="1529"/>
      <c r="F121" s="1543"/>
      <c r="G121" s="1529"/>
      <c r="H121" s="1543"/>
      <c r="I121" s="1529"/>
      <c r="J121" s="1530"/>
      <c r="K121" s="1530"/>
      <c r="L121" s="1530"/>
      <c r="M121" s="1530"/>
      <c r="N121" s="1530"/>
      <c r="O121" s="1529"/>
      <c r="P121" s="1545"/>
    </row>
    <row r="122" spans="1:16">
      <c r="A122" s="1534"/>
      <c r="B122" s="1530" t="s">
        <v>1788</v>
      </c>
      <c r="C122" s="1529" t="s">
        <v>2353</v>
      </c>
      <c r="D122" s="1529"/>
      <c r="E122" s="1529"/>
      <c r="F122" s="1531" t="s">
        <v>2334</v>
      </c>
      <c r="G122" s="1529"/>
      <c r="H122" s="1530">
        <f>'Part I-Project Information'!H92</f>
        <v>0</v>
      </c>
      <c r="I122" s="1529"/>
      <c r="J122" s="1530"/>
      <c r="K122" s="1575" t="s">
        <v>2354</v>
      </c>
      <c r="L122" s="1530"/>
      <c r="M122" s="1530"/>
      <c r="N122" s="1530"/>
      <c r="O122" s="1530"/>
      <c r="P122" s="1529"/>
    </row>
    <row r="123" spans="1:16">
      <c r="A123" s="1530"/>
      <c r="B123" s="1530"/>
      <c r="C123" s="1529"/>
      <c r="D123" s="1543"/>
      <c r="E123" s="1543"/>
      <c r="F123" s="1543"/>
      <c r="G123" s="1543"/>
      <c r="H123" s="1529"/>
      <c r="I123" s="1530"/>
      <c r="J123" s="1530"/>
      <c r="K123" s="1530"/>
      <c r="L123" s="1530"/>
      <c r="M123" s="1530"/>
      <c r="N123" s="1529"/>
      <c r="O123" s="1529"/>
      <c r="P123" s="1545"/>
    </row>
    <row r="124" spans="1:16" ht="13.5">
      <c r="A124" s="1534" t="s">
        <v>401</v>
      </c>
      <c r="B124" s="1543" t="s">
        <v>3724</v>
      </c>
      <c r="C124" s="1529"/>
      <c r="D124" s="1543"/>
      <c r="E124" s="1529"/>
      <c r="F124" s="1529"/>
      <c r="G124" s="1529"/>
      <c r="H124" s="1529" t="str">
        <f>'Part I-Project Information'!H94</f>
        <v>&lt;&lt;Select Pool&gt;&gt;</v>
      </c>
      <c r="I124" s="1529"/>
      <c r="J124" s="1530"/>
      <c r="K124" s="1529"/>
      <c r="L124" s="1529"/>
      <c r="M124" s="1529"/>
      <c r="N124" s="1529"/>
      <c r="O124" s="1529"/>
      <c r="P124" s="1529"/>
    </row>
    <row r="125" spans="1:16">
      <c r="A125" s="1530"/>
      <c r="B125" s="1529"/>
      <c r="C125" s="1529"/>
      <c r="D125" s="1541"/>
      <c r="E125" s="1529"/>
      <c r="F125" s="1529"/>
      <c r="G125" s="1529"/>
      <c r="H125" s="1529"/>
      <c r="I125" s="1541"/>
      <c r="J125" s="1534"/>
      <c r="K125" s="1529"/>
      <c r="L125" s="1529"/>
      <c r="M125" s="1529"/>
      <c r="N125" s="1529"/>
      <c r="O125" s="1529"/>
      <c r="P125" s="1545"/>
    </row>
    <row r="126" spans="1:16">
      <c r="A126" s="1534" t="s">
        <v>340</v>
      </c>
      <c r="B126" s="1534" t="s">
        <v>1100</v>
      </c>
      <c r="C126" s="1529"/>
      <c r="D126" s="1529"/>
      <c r="E126" s="1529"/>
      <c r="F126" s="1529"/>
      <c r="G126" s="1529"/>
      <c r="H126" s="1529"/>
      <c r="I126" s="1541"/>
      <c r="J126" s="1534"/>
      <c r="K126" s="1529"/>
      <c r="L126" s="1529"/>
      <c r="M126" s="1529"/>
      <c r="N126" s="1529"/>
      <c r="O126" s="1529"/>
      <c r="P126" s="1545"/>
    </row>
    <row r="127" spans="1:16">
      <c r="A127" s="1534"/>
      <c r="B127" s="1530"/>
      <c r="C127" s="1534"/>
      <c r="D127" s="1529"/>
      <c r="E127" s="1529"/>
      <c r="F127" s="1529"/>
      <c r="G127" s="1529"/>
      <c r="H127" s="1529"/>
      <c r="I127" s="1541"/>
      <c r="J127" s="1534"/>
      <c r="K127" s="1529"/>
      <c r="L127" s="1529"/>
      <c r="M127" s="1529"/>
      <c r="N127" s="1529"/>
      <c r="O127" s="1529"/>
      <c r="P127" s="1529"/>
    </row>
    <row r="128" spans="1:16">
      <c r="A128" s="1530"/>
      <c r="B128" s="1530"/>
      <c r="C128" s="1534" t="s">
        <v>515</v>
      </c>
      <c r="D128" s="1529"/>
      <c r="E128" s="1529">
        <f>'Part I-Project Information'!E98</f>
        <v>0</v>
      </c>
      <c r="F128" s="1529"/>
      <c r="G128" s="1529"/>
      <c r="H128" s="1529"/>
      <c r="I128" s="1529"/>
      <c r="J128" s="1529"/>
      <c r="K128" s="1529"/>
      <c r="L128" s="1529"/>
      <c r="M128" s="1555" t="s">
        <v>516</v>
      </c>
      <c r="N128" s="1555"/>
      <c r="O128" s="1576">
        <f>'Part I-Project Information'!O98</f>
        <v>0</v>
      </c>
      <c r="P128" s="1576"/>
    </row>
    <row r="129" spans="1:16">
      <c r="A129" s="1529"/>
      <c r="B129" s="1529"/>
      <c r="C129" s="1531" t="s">
        <v>945</v>
      </c>
      <c r="D129" s="1539"/>
      <c r="E129" s="1529">
        <f>'Part I-Project Information'!E99</f>
        <v>0</v>
      </c>
      <c r="F129" s="1529"/>
      <c r="G129" s="1529"/>
      <c r="H129" s="1529"/>
      <c r="I129" s="1529"/>
      <c r="J129" s="1529"/>
      <c r="K129" s="1529"/>
      <c r="L129" s="1529"/>
      <c r="M129" s="1555" t="s">
        <v>747</v>
      </c>
      <c r="N129" s="1555"/>
      <c r="O129" s="1546">
        <f>'Part I-Project Information'!O99</f>
        <v>0</v>
      </c>
      <c r="P129" s="1546"/>
    </row>
    <row r="130" spans="1:16">
      <c r="A130" s="1529"/>
      <c r="B130" s="1529"/>
      <c r="C130" s="1531" t="s">
        <v>574</v>
      </c>
      <c r="D130" s="1529"/>
      <c r="E130" s="1529">
        <f>'Part I-Project Information'!E100</f>
        <v>0</v>
      </c>
      <c r="F130" s="1555"/>
      <c r="G130" s="1555"/>
      <c r="H130" s="1530" t="s">
        <v>1619</v>
      </c>
      <c r="I130" s="1531">
        <f>'Part I-Project Information'!I100</f>
        <v>0</v>
      </c>
      <c r="J130" s="1530" t="s">
        <v>1979</v>
      </c>
      <c r="K130" s="1544">
        <f>'Part I-Project Information'!K100</f>
        <v>0</v>
      </c>
      <c r="L130" s="1555"/>
      <c r="M130" s="1534" t="s">
        <v>3665</v>
      </c>
      <c r="N130" s="1534"/>
      <c r="O130" s="1547">
        <f>'Part I-Project Information'!O100</f>
        <v>0</v>
      </c>
      <c r="P130" s="1547"/>
    </row>
    <row r="131" spans="1:16">
      <c r="A131" s="1529"/>
      <c r="B131" s="1529"/>
      <c r="C131" s="1529" t="s">
        <v>1957</v>
      </c>
      <c r="D131" s="1529"/>
      <c r="E131" s="1529">
        <f>'Part I-Project Information'!E101</f>
        <v>0</v>
      </c>
      <c r="F131" s="1555"/>
      <c r="G131" s="1555"/>
      <c r="H131" s="1530" t="s">
        <v>1782</v>
      </c>
      <c r="I131" s="1529">
        <f>'Part I-Project Information'!I101</f>
        <v>0</v>
      </c>
      <c r="J131" s="1555"/>
      <c r="K131" s="1555"/>
      <c r="L131" s="1530" t="s">
        <v>1786</v>
      </c>
      <c r="M131" s="1529">
        <f>'Part I-Project Information'!M101</f>
        <v>0</v>
      </c>
      <c r="N131" s="1555"/>
      <c r="O131" s="1555"/>
      <c r="P131" s="1555"/>
    </row>
    <row r="132" spans="1:16">
      <c r="A132" s="1529"/>
      <c r="B132" s="1529"/>
      <c r="C132" s="1531" t="s">
        <v>1956</v>
      </c>
      <c r="D132" s="1529"/>
      <c r="E132" s="1542">
        <f>'Part I-Project Information'!E102</f>
        <v>0</v>
      </c>
      <c r="F132" s="1542"/>
      <c r="G132" s="1542"/>
      <c r="H132" s="1530" t="s">
        <v>1622</v>
      </c>
      <c r="I132" s="1542">
        <f>'Part I-Project Information'!I102</f>
        <v>0</v>
      </c>
      <c r="J132" s="1555"/>
      <c r="K132" s="1530" t="s">
        <v>2351</v>
      </c>
      <c r="L132" s="1546">
        <f>'Part I-Project Information'!L102</f>
        <v>0</v>
      </c>
      <c r="M132" s="1546"/>
      <c r="N132" s="1546"/>
      <c r="O132" s="1546"/>
      <c r="P132" s="1546"/>
    </row>
    <row r="133" spans="1:16">
      <c r="A133" s="1530"/>
      <c r="B133" s="1530"/>
      <c r="C133" s="1529"/>
      <c r="D133" s="1529"/>
      <c r="E133" s="1529"/>
      <c r="F133" s="1529"/>
      <c r="G133" s="1541"/>
      <c r="H133" s="1530"/>
      <c r="I133" s="1530"/>
      <c r="J133" s="1529"/>
      <c r="K133" s="1529"/>
      <c r="L133" s="1529"/>
      <c r="M133" s="1545"/>
      <c r="N133" s="1529"/>
      <c r="O133" s="1529"/>
      <c r="P133" s="1529"/>
    </row>
    <row r="134" spans="1:16">
      <c r="A134" s="1534" t="s">
        <v>341</v>
      </c>
      <c r="B134" s="1555" t="s">
        <v>2146</v>
      </c>
      <c r="C134" s="1529"/>
      <c r="D134" s="1555"/>
      <c r="E134" s="1555"/>
      <c r="F134" s="1555"/>
      <c r="G134" s="1529"/>
      <c r="H134" s="1530">
        <f>'Part I-Project Information'!H104</f>
        <v>0</v>
      </c>
      <c r="I134" s="1529"/>
      <c r="J134" s="1529"/>
      <c r="K134" s="1529"/>
      <c r="L134" s="1529"/>
      <c r="M134" s="1530"/>
      <c r="N134" s="1529"/>
      <c r="O134" s="1529"/>
      <c r="P134" s="1545"/>
    </row>
    <row r="135" spans="1:16">
      <c r="A135" s="1534"/>
      <c r="B135" s="1530"/>
      <c r="C135" s="1543"/>
      <c r="D135" s="1543"/>
      <c r="E135" s="1543"/>
      <c r="F135" s="1543"/>
      <c r="G135" s="1530"/>
      <c r="H135" s="1529"/>
      <c r="I135" s="1529"/>
      <c r="J135" s="1529"/>
      <c r="K135" s="1529"/>
      <c r="L135" s="1529"/>
      <c r="M135" s="1530"/>
      <c r="N135" s="1529"/>
      <c r="O135" s="1529"/>
      <c r="P135" s="1529"/>
    </row>
    <row r="136" spans="1:16">
      <c r="A136" s="1530"/>
      <c r="B136" s="1530" t="s">
        <v>1785</v>
      </c>
      <c r="C136" s="1531" t="s">
        <v>1543</v>
      </c>
      <c r="D136" s="1529"/>
      <c r="E136" s="1529"/>
      <c r="F136" s="1529"/>
      <c r="G136" s="1529"/>
      <c r="H136" s="1530">
        <f>'Part I-Project Information'!H106</f>
        <v>0</v>
      </c>
      <c r="I136" s="1529"/>
      <c r="J136" s="1529"/>
      <c r="K136" s="1529"/>
      <c r="L136" s="1529"/>
      <c r="M136" s="1530"/>
      <c r="N136" s="1529"/>
      <c r="O136" s="1529"/>
      <c r="P136" s="1545"/>
    </row>
    <row r="137" spans="1:16">
      <c r="A137" s="1530"/>
      <c r="B137" s="1530"/>
      <c r="C137" s="1543" t="s">
        <v>2148</v>
      </c>
      <c r="D137" s="1543"/>
      <c r="E137" s="1543"/>
      <c r="F137" s="1530"/>
      <c r="G137" s="1529"/>
      <c r="H137" s="1577">
        <f>'Part I-Project Information'!H107</f>
        <v>0</v>
      </c>
      <c r="I137" s="1529"/>
      <c r="J137" s="1529"/>
      <c r="K137" s="1534" t="s">
        <v>1992</v>
      </c>
      <c r="L137" s="1529"/>
      <c r="M137" s="1529"/>
      <c r="N137" s="1529"/>
      <c r="O137" s="1529" t="str">
        <f>'Part I-Project Information'!O107</f>
        <v>GA-</v>
      </c>
      <c r="P137" s="1529"/>
    </row>
    <row r="138" spans="1:16">
      <c r="A138" s="1530"/>
      <c r="B138" s="1530"/>
      <c r="C138" s="1578" t="s">
        <v>1542</v>
      </c>
      <c r="D138" s="1531"/>
      <c r="E138" s="1529"/>
      <c r="F138" s="1529"/>
      <c r="G138" s="1529"/>
      <c r="H138" s="1530">
        <f>'Part I-Project Information'!H108</f>
        <v>0</v>
      </c>
      <c r="I138" s="1529"/>
      <c r="J138" s="1529"/>
      <c r="K138" s="1534" t="s">
        <v>1993</v>
      </c>
      <c r="L138" s="1529"/>
      <c r="M138" s="1529"/>
      <c r="N138" s="1529"/>
      <c r="O138" s="1529" t="str">
        <f>'Part I-Project Information'!O108</f>
        <v>GA-</v>
      </c>
      <c r="P138" s="1529"/>
    </row>
    <row r="139" spans="1:16">
      <c r="A139" s="1530"/>
      <c r="B139" s="1530"/>
      <c r="C139" s="1543" t="s">
        <v>2149</v>
      </c>
      <c r="D139" s="1543"/>
      <c r="E139" s="1543"/>
      <c r="F139" s="1530"/>
      <c r="G139" s="1529"/>
      <c r="H139" s="1577">
        <f>'Part I-Project Information'!H109</f>
        <v>0</v>
      </c>
      <c r="I139" s="1529"/>
      <c r="J139" s="1529"/>
      <c r="K139" s="1529"/>
      <c r="L139" s="1529"/>
      <c r="M139" s="1529"/>
      <c r="N139" s="1529"/>
      <c r="O139" s="1529"/>
      <c r="P139" s="1529"/>
    </row>
    <row r="140" spans="1:16">
      <c r="A140" s="1530"/>
      <c r="B140" s="1530"/>
      <c r="C140" s="1543" t="s">
        <v>2147</v>
      </c>
      <c r="D140" s="1529"/>
      <c r="E140" s="1529"/>
      <c r="F140" s="1530"/>
      <c r="G140" s="1529"/>
      <c r="H140" s="1541">
        <f>'Part I-Project Information'!H110</f>
        <v>0</v>
      </c>
      <c r="I140" s="1529"/>
      <c r="J140" s="1529"/>
      <c r="K140" s="1529"/>
      <c r="L140" s="1529"/>
      <c r="M140" s="1529"/>
      <c r="N140" s="1529"/>
      <c r="O140" s="1529"/>
      <c r="P140" s="1529"/>
    </row>
    <row r="141" spans="1:16">
      <c r="A141" s="1530"/>
      <c r="B141" s="1530"/>
      <c r="C141" s="1543" t="s">
        <v>1929</v>
      </c>
      <c r="D141" s="1543"/>
      <c r="E141" s="1543"/>
      <c r="F141" s="1530"/>
      <c r="G141" s="1529"/>
      <c r="H141" s="1576">
        <f>'Part I-Project Information'!H111</f>
        <v>0</v>
      </c>
      <c r="I141" s="1576"/>
      <c r="J141" s="1529"/>
      <c r="K141" s="1529"/>
      <c r="L141" s="1529"/>
      <c r="M141" s="1529"/>
      <c r="N141" s="1529"/>
      <c r="O141" s="1529"/>
      <c r="P141" s="1545"/>
    </row>
    <row r="142" spans="1:16">
      <c r="A142" s="1530"/>
      <c r="B142" s="1530"/>
      <c r="C142" s="1543"/>
      <c r="D142" s="1543"/>
      <c r="E142" s="1543"/>
      <c r="F142" s="1530"/>
      <c r="G142" s="1529"/>
      <c r="H142" s="1529"/>
      <c r="I142" s="1529"/>
      <c r="J142" s="1529"/>
      <c r="K142" s="1529"/>
      <c r="L142" s="1529"/>
      <c r="M142" s="1529"/>
      <c r="N142" s="1529"/>
      <c r="O142" s="1529"/>
      <c r="P142" s="1545"/>
    </row>
    <row r="143" spans="1:16">
      <c r="A143" s="1530"/>
      <c r="B143" s="1530" t="s">
        <v>1788</v>
      </c>
      <c r="C143" s="1579" t="s">
        <v>2350</v>
      </c>
      <c r="D143" s="1543"/>
      <c r="E143" s="1555" t="s">
        <v>3725</v>
      </c>
      <c r="F143" s="1555"/>
      <c r="G143" s="1555"/>
      <c r="H143" s="1541">
        <f>'Part I-Project Information'!H113</f>
        <v>0</v>
      </c>
      <c r="I143" s="1529"/>
      <c r="J143" s="1529"/>
      <c r="K143" s="1555" t="s">
        <v>3646</v>
      </c>
      <c r="L143" s="1555"/>
      <c r="M143" s="1555"/>
      <c r="N143" s="1529"/>
      <c r="O143" s="1541">
        <f>'Part I-Project Information'!O113</f>
        <v>0</v>
      </c>
      <c r="P143" s="1545"/>
    </row>
    <row r="144" spans="1:16">
      <c r="A144" s="1530"/>
      <c r="B144" s="1530"/>
      <c r="C144" s="1543"/>
      <c r="D144" s="1543"/>
      <c r="E144" s="1555" t="s">
        <v>3726</v>
      </c>
      <c r="F144" s="1555"/>
      <c r="G144" s="1555"/>
      <c r="H144" s="1541">
        <f>'Part I-Project Information'!H114</f>
        <v>0</v>
      </c>
      <c r="I144" s="1529"/>
      <c r="J144" s="1529"/>
      <c r="K144" s="1555"/>
      <c r="L144" s="1555"/>
      <c r="M144" s="1555"/>
      <c r="N144" s="1529"/>
      <c r="O144" s="1529"/>
      <c r="P144" s="1545"/>
    </row>
    <row r="145" spans="1:19">
      <c r="A145" s="1530"/>
      <c r="B145" s="1530"/>
      <c r="C145" s="1543"/>
      <c r="D145" s="1543"/>
      <c r="E145" s="1543"/>
      <c r="F145" s="1530"/>
      <c r="G145" s="1530"/>
      <c r="H145" s="1529"/>
      <c r="I145" s="1529"/>
      <c r="J145" s="1529"/>
      <c r="K145" s="1529"/>
      <c r="L145" s="1529"/>
      <c r="M145" s="1530"/>
      <c r="N145" s="1529"/>
      <c r="O145" s="1529"/>
      <c r="P145" s="1545"/>
    </row>
    <row r="146" spans="1:19">
      <c r="A146" s="1530"/>
      <c r="B146" s="1530" t="s">
        <v>694</v>
      </c>
      <c r="C146" s="1543" t="s">
        <v>3648</v>
      </c>
      <c r="D146" s="1543"/>
      <c r="E146" s="1543"/>
      <c r="F146" s="1530"/>
      <c r="G146" s="1529"/>
      <c r="H146" s="1541">
        <f>'Part I-Project Information'!H116</f>
        <v>0</v>
      </c>
      <c r="J146" s="1529"/>
      <c r="K146" s="1529"/>
      <c r="L146" s="1529"/>
      <c r="M146" s="1529"/>
      <c r="N146" s="1529"/>
      <c r="O146" s="1529"/>
      <c r="P146" s="1545"/>
    </row>
    <row r="147" spans="1:19">
      <c r="A147" s="1530"/>
      <c r="B147" s="1530"/>
      <c r="C147" s="1543"/>
      <c r="D147" s="1543"/>
      <c r="E147" s="1543"/>
      <c r="F147" s="1530"/>
      <c r="G147" s="1530"/>
      <c r="H147" s="1530"/>
      <c r="I147" s="1530"/>
      <c r="J147" s="1541"/>
      <c r="K147" s="1530"/>
      <c r="L147" s="1530"/>
      <c r="M147" s="1529"/>
      <c r="N147" s="1529"/>
      <c r="O147" s="1529"/>
      <c r="P147" s="1545"/>
    </row>
    <row r="148" spans="1:19">
      <c r="A148" s="1534" t="s">
        <v>342</v>
      </c>
      <c r="B148" s="1555"/>
      <c r="C148" s="1534" t="s">
        <v>531</v>
      </c>
      <c r="D148" s="1534"/>
      <c r="E148" s="1534"/>
      <c r="F148" s="1534"/>
      <c r="G148" s="1534"/>
      <c r="H148" s="1534"/>
      <c r="I148" s="1534"/>
      <c r="J148" s="1534"/>
      <c r="K148" s="1534" t="s">
        <v>1998</v>
      </c>
      <c r="L148" s="1534" t="s">
        <v>74</v>
      </c>
      <c r="M148" s="1534"/>
      <c r="N148" s="1534"/>
      <c r="O148" s="1534"/>
      <c r="P148" s="1534"/>
    </row>
    <row r="149" spans="1:19" ht="13.5">
      <c r="A149" s="1580">
        <f>'Part I-Project Information'!A119</f>
        <v>0</v>
      </c>
      <c r="B149" s="1580"/>
      <c r="C149" s="1580"/>
      <c r="D149" s="1580"/>
      <c r="E149" s="1580"/>
      <c r="F149" s="1580"/>
      <c r="G149" s="1580"/>
      <c r="H149" s="1580"/>
      <c r="I149" s="1580"/>
      <c r="J149" s="1580"/>
      <c r="K149" s="1580">
        <f>'Part I-Project Information'!K119</f>
        <v>0</v>
      </c>
      <c r="L149" s="1580"/>
      <c r="M149" s="1580"/>
      <c r="N149" s="1580"/>
      <c r="O149" s="1580"/>
      <c r="P149" s="1580"/>
    </row>
    <row r="151" spans="1:19">
      <c r="A151" s="1529" t="str">
        <f>CONCATENATE("PART TWO - DEVELOPMENT TEAM INFORMATION","  -  ",'Part I-Project Information'!$O$4," ",'Part I-Project Information'!$F$24,", ",'Part I-Project Information'!F176,", ",'Part I-Project Information'!J177," County")</f>
        <v>PART TWO - DEVELOPMENT TEAM INFORMATION  -  20##-### SB OHF Test Villas, ,  County</v>
      </c>
      <c r="B151" s="1529"/>
      <c r="C151" s="1529"/>
      <c r="D151" s="1529"/>
      <c r="E151" s="1529"/>
      <c r="F151" s="1529"/>
      <c r="G151" s="1529"/>
      <c r="H151" s="1529"/>
      <c r="I151" s="1529"/>
      <c r="J151" s="1529"/>
      <c r="K151" s="1529"/>
      <c r="L151" s="1529"/>
      <c r="M151" s="1529"/>
      <c r="N151" s="1529"/>
      <c r="O151" s="1529"/>
      <c r="P151" s="1529"/>
      <c r="Q151" s="1529"/>
      <c r="R151" s="1529"/>
      <c r="S151" s="1529"/>
    </row>
    <row r="152" spans="1:19">
      <c r="A152" s="1534"/>
      <c r="B152" s="1534"/>
      <c r="C152" s="1534"/>
      <c r="D152" s="1534"/>
      <c r="E152" s="1534"/>
      <c r="F152" s="1534"/>
      <c r="G152" s="1534"/>
      <c r="H152" s="1534"/>
      <c r="I152" s="1534"/>
      <c r="J152" s="1534"/>
      <c r="K152" s="1534"/>
      <c r="L152" s="1534"/>
      <c r="M152" s="1534"/>
      <c r="N152" s="1534"/>
      <c r="O152" s="1534"/>
      <c r="P152" s="1534"/>
      <c r="Q152" s="1534"/>
      <c r="R152" s="1534"/>
      <c r="S152" s="1534"/>
    </row>
    <row r="153" spans="1:19">
      <c r="A153" s="1529" t="s">
        <v>572</v>
      </c>
      <c r="B153" s="1531" t="s">
        <v>1672</v>
      </c>
      <c r="C153" s="1531"/>
      <c r="D153" s="1529"/>
      <c r="E153" s="1531"/>
      <c r="F153" s="1531"/>
      <c r="G153" s="1531"/>
      <c r="H153" s="1531" t="s">
        <v>2997</v>
      </c>
      <c r="I153" s="1531"/>
      <c r="J153" s="1531"/>
      <c r="K153" s="1531"/>
      <c r="L153" s="1531"/>
      <c r="M153" s="1531"/>
      <c r="N153" s="1529"/>
      <c r="O153" s="1529"/>
      <c r="P153" s="1529"/>
      <c r="Q153" s="1529"/>
      <c r="R153" s="1529"/>
      <c r="S153" s="1529"/>
    </row>
    <row r="154" spans="1:19">
      <c r="A154" s="1529"/>
      <c r="B154" s="1529"/>
      <c r="C154" s="1529"/>
      <c r="D154" s="1531"/>
      <c r="E154" s="1531"/>
      <c r="F154" s="1531"/>
      <c r="G154" s="1531"/>
      <c r="H154" s="1531"/>
      <c r="I154" s="1531"/>
      <c r="J154" s="1531"/>
      <c r="K154" s="1529"/>
      <c r="L154" s="1529"/>
      <c r="M154" s="1529"/>
      <c r="N154" s="1529"/>
      <c r="O154" s="1529"/>
      <c r="P154" s="1529"/>
      <c r="Q154" s="1529"/>
      <c r="R154" s="1529"/>
      <c r="S154" s="1529"/>
    </row>
    <row r="155" spans="1:19">
      <c r="A155" s="1529"/>
      <c r="B155" s="1529" t="s">
        <v>1785</v>
      </c>
      <c r="C155" s="1531" t="s">
        <v>1668</v>
      </c>
      <c r="D155" s="1529"/>
      <c r="E155" s="1529"/>
      <c r="F155" s="1529"/>
      <c r="G155" s="1529"/>
      <c r="H155" s="1529" t="str">
        <f>'Part II-Development Team'!H5</f>
        <v>(Enter name as it will appear on all legal documents)</v>
      </c>
      <c r="I155" s="1555"/>
      <c r="J155" s="1555"/>
      <c r="K155" s="1555"/>
      <c r="L155" s="1555"/>
      <c r="M155" s="1555"/>
      <c r="N155" s="1555"/>
      <c r="O155" s="1531" t="s">
        <v>1792</v>
      </c>
      <c r="P155" s="1531"/>
      <c r="Q155" s="1529">
        <f>'Part II-Development Team'!Q5</f>
        <v>0</v>
      </c>
      <c r="R155" s="1555"/>
      <c r="S155" s="1555"/>
    </row>
    <row r="156" spans="1:19">
      <c r="A156" s="1529"/>
      <c r="B156" s="1529"/>
      <c r="C156" s="1529"/>
      <c r="D156" s="1552"/>
      <c r="E156" s="1531" t="s">
        <v>945</v>
      </c>
      <c r="F156" s="1539"/>
      <c r="G156" s="1529"/>
      <c r="H156" s="1529">
        <f>'Part II-Development Team'!H6</f>
        <v>0</v>
      </c>
      <c r="I156" s="1555"/>
      <c r="J156" s="1555"/>
      <c r="K156" s="1555"/>
      <c r="L156" s="1555"/>
      <c r="M156" s="1555"/>
      <c r="N156" s="1555"/>
      <c r="O156" s="1531" t="s">
        <v>1575</v>
      </c>
      <c r="P156" s="1529"/>
      <c r="Q156" s="1529">
        <f>'Part II-Development Team'!Q6</f>
        <v>0</v>
      </c>
      <c r="R156" s="1555"/>
      <c r="S156" s="1555"/>
    </row>
    <row r="157" spans="1:19">
      <c r="A157" s="1529"/>
      <c r="B157" s="1529"/>
      <c r="C157" s="1529"/>
      <c r="D157" s="1552"/>
      <c r="E157" s="1531" t="s">
        <v>574</v>
      </c>
      <c r="F157" s="1529"/>
      <c r="G157" s="1529"/>
      <c r="H157" s="1529">
        <f>'Part II-Development Team'!H7</f>
        <v>0</v>
      </c>
      <c r="I157" s="1555"/>
      <c r="J157" s="1555"/>
      <c r="K157" s="1530" t="s">
        <v>705</v>
      </c>
      <c r="L157" s="1529">
        <f>'Part II-Development Team'!L7</f>
        <v>0</v>
      </c>
      <c r="M157" s="1555"/>
      <c r="N157" s="1555"/>
      <c r="O157" s="1531" t="s">
        <v>1552</v>
      </c>
      <c r="P157" s="1529"/>
      <c r="Q157" s="1542">
        <f>'Part II-Development Team'!Q7</f>
        <v>0</v>
      </c>
      <c r="R157" s="1542"/>
      <c r="S157" s="1542"/>
    </row>
    <row r="158" spans="1:19">
      <c r="A158" s="1529"/>
      <c r="B158" s="1529"/>
      <c r="C158" s="1529"/>
      <c r="D158" s="1552"/>
      <c r="E158" s="1531" t="s">
        <v>1619</v>
      </c>
      <c r="F158" s="1529"/>
      <c r="G158" s="1529"/>
      <c r="H158" s="1531">
        <f>'Part II-Development Team'!H8</f>
        <v>0</v>
      </c>
      <c r="I158" s="1530" t="s">
        <v>1979</v>
      </c>
      <c r="J158" s="1544">
        <f>'Part II-Development Team'!J8</f>
        <v>0</v>
      </c>
      <c r="K158" s="1555"/>
      <c r="L158" s="1529" t="s">
        <v>3666</v>
      </c>
      <c r="M158" s="1529">
        <f>'Part II-Development Team'!M8</f>
        <v>0</v>
      </c>
      <c r="N158" s="1529"/>
      <c r="O158" s="1531" t="s">
        <v>1781</v>
      </c>
      <c r="P158" s="1529"/>
      <c r="Q158" s="1542">
        <f>'Part II-Development Team'!Q8</f>
        <v>0</v>
      </c>
      <c r="R158" s="1542"/>
      <c r="S158" s="1542"/>
    </row>
    <row r="159" spans="1:19">
      <c r="A159" s="1529"/>
      <c r="B159" s="1529"/>
      <c r="C159" s="1529"/>
      <c r="D159" s="1552"/>
      <c r="E159" s="1531" t="s">
        <v>1787</v>
      </c>
      <c r="F159" s="1529"/>
      <c r="G159" s="1529"/>
      <c r="H159" s="1542">
        <f>'Part II-Development Team'!H9</f>
        <v>0</v>
      </c>
      <c r="I159" s="1542"/>
      <c r="J159" s="1541">
        <f>'Part II-Development Team'!J9</f>
        <v>0</v>
      </c>
      <c r="K159" s="1530" t="s">
        <v>1786</v>
      </c>
      <c r="L159" s="1546">
        <f>'Part II-Development Team'!L9</f>
        <v>0</v>
      </c>
      <c r="M159" s="1546"/>
      <c r="N159" s="1546"/>
      <c r="O159" s="1546"/>
      <c r="P159" s="1546"/>
      <c r="Q159" s="1546"/>
      <c r="R159" s="1546"/>
      <c r="S159" s="1546"/>
    </row>
    <row r="160" spans="1:19" ht="13.5">
      <c r="A160" s="1529"/>
      <c r="B160" s="1529"/>
      <c r="C160" s="1529"/>
      <c r="D160" s="1552"/>
      <c r="E160" s="1532" t="s">
        <v>2362</v>
      </c>
      <c r="F160" s="1529"/>
      <c r="G160" s="1529"/>
      <c r="H160" s="1581"/>
      <c r="I160" s="1529"/>
      <c r="J160" s="1529"/>
      <c r="K160" s="1540"/>
      <c r="L160" s="1529"/>
      <c r="M160" s="1529"/>
      <c r="N160" s="1529" t="s">
        <v>3685</v>
      </c>
      <c r="O160" s="1529"/>
      <c r="P160" s="1529"/>
      <c r="Q160" s="1530"/>
      <c r="R160" s="1529"/>
      <c r="S160" s="1529"/>
    </row>
    <row r="161" spans="1:19">
      <c r="A161" s="1529"/>
      <c r="B161" s="1529"/>
      <c r="C161" s="1529"/>
      <c r="D161" s="1571"/>
      <c r="E161" s="1531"/>
      <c r="F161" s="1531"/>
      <c r="G161" s="1531"/>
      <c r="H161" s="1531"/>
      <c r="I161" s="1531"/>
      <c r="J161" s="1531"/>
      <c r="K161" s="1529"/>
      <c r="L161" s="1529"/>
      <c r="M161" s="1529"/>
      <c r="N161" s="1531"/>
      <c r="O161" s="1531"/>
      <c r="P161" s="1531"/>
      <c r="Q161" s="1531"/>
      <c r="R161" s="1531"/>
      <c r="S161" s="1531"/>
    </row>
    <row r="162" spans="1:19" ht="13.5">
      <c r="A162" s="1529"/>
      <c r="B162" s="1555" t="s">
        <v>1788</v>
      </c>
      <c r="C162" s="1531" t="s">
        <v>1669</v>
      </c>
      <c r="D162" s="1529"/>
      <c r="E162" s="1529"/>
      <c r="F162" s="1531"/>
      <c r="G162" s="1531"/>
      <c r="H162" s="1531"/>
      <c r="I162" s="1531"/>
      <c r="J162" s="1531"/>
      <c r="K162" s="1529"/>
      <c r="L162" s="1529"/>
      <c r="M162" s="1529"/>
      <c r="N162" s="1582" t="s">
        <v>1186</v>
      </c>
      <c r="O162" s="1529"/>
      <c r="P162" s="1529"/>
      <c r="Q162" s="1529"/>
      <c r="R162" s="1529"/>
      <c r="S162" s="1529"/>
    </row>
    <row r="163" spans="1:19" ht="13.5">
      <c r="A163" s="1529"/>
      <c r="B163" s="1529"/>
      <c r="C163" s="1583" t="s">
        <v>1789</v>
      </c>
      <c r="D163" s="1555" t="s">
        <v>1790</v>
      </c>
      <c r="E163" s="1529"/>
      <c r="F163" s="1529"/>
      <c r="G163" s="1529"/>
      <c r="H163" s="1529"/>
      <c r="I163" s="1529"/>
      <c r="J163" s="1529"/>
      <c r="K163" s="1529"/>
      <c r="L163" s="1529"/>
      <c r="M163" s="1529"/>
      <c r="N163" s="1540"/>
      <c r="O163" s="1529"/>
      <c r="P163" s="1529"/>
      <c r="Q163" s="1529"/>
      <c r="R163" s="1529"/>
      <c r="S163" s="1529"/>
    </row>
    <row r="164" spans="1:19">
      <c r="A164" s="1529"/>
      <c r="B164" s="1529"/>
      <c r="C164" s="1529"/>
      <c r="D164" s="1529" t="s">
        <v>1890</v>
      </c>
      <c r="E164" s="1529" t="s">
        <v>1670</v>
      </c>
      <c r="F164" s="1529"/>
      <c r="G164" s="1529"/>
      <c r="H164" s="1529">
        <f>'Part II-Development Team'!H14</f>
        <v>0</v>
      </c>
      <c r="I164" s="1555"/>
      <c r="J164" s="1555"/>
      <c r="K164" s="1555"/>
      <c r="L164" s="1555"/>
      <c r="M164" s="1555"/>
      <c r="N164" s="1555"/>
      <c r="O164" s="1531" t="s">
        <v>1792</v>
      </c>
      <c r="P164" s="1531"/>
      <c r="Q164" s="1529">
        <f>'Part II-Development Team'!Q14</f>
        <v>0</v>
      </c>
      <c r="R164" s="1555"/>
      <c r="S164" s="1555"/>
    </row>
    <row r="165" spans="1:19">
      <c r="A165" s="1529"/>
      <c r="B165" s="1529"/>
      <c r="C165" s="1529"/>
      <c r="D165" s="1552"/>
      <c r="E165" s="1531" t="s">
        <v>945</v>
      </c>
      <c r="F165" s="1539"/>
      <c r="G165" s="1529"/>
      <c r="H165" s="1529">
        <f>'Part II-Development Team'!H15</f>
        <v>0</v>
      </c>
      <c r="I165" s="1555"/>
      <c r="J165" s="1555"/>
      <c r="K165" s="1555"/>
      <c r="L165" s="1555"/>
      <c r="M165" s="1555"/>
      <c r="N165" s="1555"/>
      <c r="O165" s="1531" t="s">
        <v>1575</v>
      </c>
      <c r="P165" s="1529"/>
      <c r="Q165" s="1529">
        <f>'Part II-Development Team'!Q15</f>
        <v>0</v>
      </c>
      <c r="R165" s="1555"/>
      <c r="S165" s="1555"/>
    </row>
    <row r="166" spans="1:19">
      <c r="A166" s="1529"/>
      <c r="B166" s="1529"/>
      <c r="C166" s="1529"/>
      <c r="D166" s="1552"/>
      <c r="E166" s="1531" t="s">
        <v>574</v>
      </c>
      <c r="F166" s="1529"/>
      <c r="G166" s="1529"/>
      <c r="H166" s="1529">
        <f>'Part II-Development Team'!H16</f>
        <v>0</v>
      </c>
      <c r="I166" s="1555"/>
      <c r="J166" s="1555"/>
      <c r="K166" s="1530" t="s">
        <v>2351</v>
      </c>
      <c r="L166" s="1529">
        <f>'Part II-Development Team'!L16</f>
        <v>0</v>
      </c>
      <c r="M166" s="1555"/>
      <c r="N166" s="1555"/>
      <c r="O166" s="1531" t="s">
        <v>1552</v>
      </c>
      <c r="P166" s="1529"/>
      <c r="Q166" s="1542">
        <f>'Part II-Development Team'!Q16</f>
        <v>0</v>
      </c>
      <c r="R166" s="1542"/>
      <c r="S166" s="1542"/>
    </row>
    <row r="167" spans="1:19">
      <c r="A167" s="1529"/>
      <c r="B167" s="1529"/>
      <c r="C167" s="1529"/>
      <c r="D167" s="1529"/>
      <c r="E167" s="1531" t="s">
        <v>1619</v>
      </c>
      <c r="F167" s="1529"/>
      <c r="G167" s="1529"/>
      <c r="H167" s="1531">
        <f>'Part II-Development Team'!H17</f>
        <v>0</v>
      </c>
      <c r="I167" s="1529"/>
      <c r="J167" s="1529"/>
      <c r="K167" s="1530" t="s">
        <v>1979</v>
      </c>
      <c r="L167" s="1544">
        <f>'Part II-Development Team'!L17</f>
        <v>0</v>
      </c>
      <c r="M167" s="1555"/>
      <c r="N167" s="1529"/>
      <c r="O167" s="1531" t="s">
        <v>1781</v>
      </c>
      <c r="P167" s="1529"/>
      <c r="Q167" s="1542">
        <f>'Part II-Development Team'!Q17</f>
        <v>0</v>
      </c>
      <c r="R167" s="1542"/>
      <c r="S167" s="1542"/>
    </row>
    <row r="168" spans="1:19">
      <c r="A168" s="1529"/>
      <c r="B168" s="1529"/>
      <c r="C168" s="1529"/>
      <c r="D168" s="1552"/>
      <c r="E168" s="1531" t="s">
        <v>1787</v>
      </c>
      <c r="F168" s="1529"/>
      <c r="G168" s="1529"/>
      <c r="H168" s="1542">
        <f>'Part II-Development Team'!H18</f>
        <v>0</v>
      </c>
      <c r="I168" s="1542"/>
      <c r="J168" s="1541">
        <f>'Part II-Development Team'!J18</f>
        <v>0</v>
      </c>
      <c r="K168" s="1530" t="s">
        <v>1786</v>
      </c>
      <c r="L168" s="1546">
        <f>'Part II-Development Team'!L18</f>
        <v>0</v>
      </c>
      <c r="M168" s="1546"/>
      <c r="N168" s="1546"/>
      <c r="O168" s="1546"/>
      <c r="P168" s="1546"/>
      <c r="Q168" s="1546"/>
      <c r="R168" s="1546"/>
      <c r="S168" s="1546"/>
    </row>
    <row r="169" spans="1:19">
      <c r="A169" s="1534"/>
      <c r="B169" s="1534"/>
      <c r="C169" s="1534"/>
      <c r="D169" s="1534"/>
      <c r="E169" s="1534"/>
      <c r="F169" s="1534"/>
      <c r="G169" s="1534"/>
      <c r="H169" s="1542"/>
      <c r="I169" s="1542"/>
      <c r="J169" s="1542"/>
      <c r="K169" s="1530"/>
      <c r="L169" s="1542"/>
      <c r="M169" s="1542"/>
      <c r="N169" s="1530"/>
      <c r="O169" s="1542"/>
      <c r="P169" s="1542"/>
      <c r="Q169" s="1530"/>
      <c r="R169" s="1542"/>
      <c r="S169" s="1542"/>
    </row>
    <row r="170" spans="1:19">
      <c r="A170" s="1529"/>
      <c r="B170" s="1529"/>
      <c r="C170" s="1529"/>
      <c r="D170" s="1529" t="s">
        <v>1891</v>
      </c>
      <c r="E170" s="1529" t="s">
        <v>1671</v>
      </c>
      <c r="F170" s="1529"/>
      <c r="G170" s="1529"/>
      <c r="H170" s="1529">
        <f>'Part II-Development Team'!H20</f>
        <v>0</v>
      </c>
      <c r="I170" s="1555"/>
      <c r="J170" s="1555"/>
      <c r="K170" s="1555"/>
      <c r="L170" s="1555"/>
      <c r="M170" s="1555"/>
      <c r="N170" s="1555"/>
      <c r="O170" s="1531" t="s">
        <v>1792</v>
      </c>
      <c r="P170" s="1531"/>
      <c r="Q170" s="1529">
        <f>'Part II-Development Team'!Q20</f>
        <v>0</v>
      </c>
      <c r="R170" s="1555"/>
      <c r="S170" s="1555"/>
    </row>
    <row r="171" spans="1:19">
      <c r="A171" s="1529"/>
      <c r="B171" s="1529"/>
      <c r="C171" s="1529"/>
      <c r="D171" s="1552"/>
      <c r="E171" s="1531" t="s">
        <v>945</v>
      </c>
      <c r="F171" s="1539"/>
      <c r="G171" s="1529"/>
      <c r="H171" s="1529">
        <f>'Part II-Development Team'!H21</f>
        <v>0</v>
      </c>
      <c r="I171" s="1555"/>
      <c r="J171" s="1555"/>
      <c r="K171" s="1555"/>
      <c r="L171" s="1555"/>
      <c r="M171" s="1555"/>
      <c r="N171" s="1555"/>
      <c r="O171" s="1531" t="s">
        <v>1575</v>
      </c>
      <c r="P171" s="1529"/>
      <c r="Q171" s="1529">
        <f>'Part II-Development Team'!Q21</f>
        <v>0</v>
      </c>
      <c r="R171" s="1555"/>
      <c r="S171" s="1555"/>
    </row>
    <row r="172" spans="1:19">
      <c r="A172" s="1529"/>
      <c r="B172" s="1529"/>
      <c r="C172" s="1529"/>
      <c r="D172" s="1552"/>
      <c r="E172" s="1531" t="s">
        <v>574</v>
      </c>
      <c r="F172" s="1529"/>
      <c r="G172" s="1529"/>
      <c r="H172" s="1529">
        <f>'Part II-Development Team'!H22</f>
        <v>0</v>
      </c>
      <c r="I172" s="1555"/>
      <c r="J172" s="1555"/>
      <c r="K172" s="1530" t="s">
        <v>2351</v>
      </c>
      <c r="L172" s="1529">
        <f>'Part II-Development Team'!L22</f>
        <v>0</v>
      </c>
      <c r="M172" s="1555"/>
      <c r="N172" s="1555"/>
      <c r="O172" s="1531" t="s">
        <v>1552</v>
      </c>
      <c r="P172" s="1529"/>
      <c r="Q172" s="1542">
        <f>'Part II-Development Team'!Q22</f>
        <v>0</v>
      </c>
      <c r="R172" s="1542"/>
      <c r="S172" s="1542"/>
    </row>
    <row r="173" spans="1:19">
      <c r="A173" s="1529"/>
      <c r="B173" s="1529"/>
      <c r="C173" s="1529"/>
      <c r="D173" s="1529"/>
      <c r="E173" s="1531" t="s">
        <v>1619</v>
      </c>
      <c r="F173" s="1529"/>
      <c r="G173" s="1529"/>
      <c r="H173" s="1531">
        <f>'Part II-Development Team'!H23</f>
        <v>0</v>
      </c>
      <c r="I173" s="1529"/>
      <c r="J173" s="1529"/>
      <c r="K173" s="1530" t="s">
        <v>1979</v>
      </c>
      <c r="L173" s="1544">
        <f>'Part II-Development Team'!L23</f>
        <v>0</v>
      </c>
      <c r="M173" s="1555"/>
      <c r="N173" s="1529"/>
      <c r="O173" s="1531" t="s">
        <v>1781</v>
      </c>
      <c r="P173" s="1529"/>
      <c r="Q173" s="1542">
        <f>'Part II-Development Team'!Q23</f>
        <v>0</v>
      </c>
      <c r="R173" s="1542"/>
      <c r="S173" s="1542"/>
    </row>
    <row r="174" spans="1:19">
      <c r="A174" s="1529"/>
      <c r="B174" s="1529"/>
      <c r="C174" s="1529"/>
      <c r="D174" s="1552"/>
      <c r="E174" s="1531" t="s">
        <v>1787</v>
      </c>
      <c r="F174" s="1529"/>
      <c r="G174" s="1529"/>
      <c r="H174" s="1542">
        <f>'Part II-Development Team'!H24</f>
        <v>0</v>
      </c>
      <c r="I174" s="1542"/>
      <c r="J174" s="1541">
        <f>'Part II-Development Team'!J24</f>
        <v>0</v>
      </c>
      <c r="K174" s="1530" t="s">
        <v>1786</v>
      </c>
      <c r="L174" s="1546">
        <f>'Part II-Development Team'!L24</f>
        <v>0</v>
      </c>
      <c r="M174" s="1546"/>
      <c r="N174" s="1546"/>
      <c r="O174" s="1546"/>
      <c r="P174" s="1546"/>
      <c r="Q174" s="1546"/>
      <c r="R174" s="1546"/>
      <c r="S174" s="1546"/>
    </row>
    <row r="175" spans="1:19">
      <c r="A175" s="1529"/>
      <c r="B175" s="1529"/>
      <c r="C175" s="1529"/>
      <c r="D175" s="1552"/>
      <c r="E175" s="1529"/>
      <c r="F175" s="1529"/>
      <c r="G175" s="1531"/>
      <c r="H175" s="1542"/>
      <c r="I175" s="1542"/>
      <c r="J175" s="1542"/>
      <c r="K175" s="1530"/>
      <c r="L175" s="1542"/>
      <c r="M175" s="1542"/>
      <c r="N175" s="1530"/>
      <c r="O175" s="1542"/>
      <c r="P175" s="1542"/>
      <c r="Q175" s="1530"/>
      <c r="R175" s="1542"/>
      <c r="S175" s="1542"/>
    </row>
    <row r="176" spans="1:19">
      <c r="A176" s="1529"/>
      <c r="B176" s="1529"/>
      <c r="C176" s="1529"/>
      <c r="D176" s="1529" t="s">
        <v>1562</v>
      </c>
      <c r="E176" s="1529" t="s">
        <v>1671</v>
      </c>
      <c r="F176" s="1529"/>
      <c r="G176" s="1529"/>
      <c r="H176" s="1529">
        <f>'Part II-Development Team'!H26</f>
        <v>0</v>
      </c>
      <c r="I176" s="1555"/>
      <c r="J176" s="1555"/>
      <c r="K176" s="1555"/>
      <c r="L176" s="1555"/>
      <c r="M176" s="1555"/>
      <c r="N176" s="1555"/>
      <c r="O176" s="1531" t="s">
        <v>1792</v>
      </c>
      <c r="P176" s="1531"/>
      <c r="Q176" s="1529">
        <f>'Part II-Development Team'!Q26</f>
        <v>0</v>
      </c>
      <c r="R176" s="1555"/>
      <c r="S176" s="1555"/>
    </row>
    <row r="177" spans="1:19">
      <c r="A177" s="1529"/>
      <c r="B177" s="1529"/>
      <c r="C177" s="1529"/>
      <c r="D177" s="1552"/>
      <c r="E177" s="1531" t="s">
        <v>945</v>
      </c>
      <c r="F177" s="1539"/>
      <c r="G177" s="1529"/>
      <c r="H177" s="1529">
        <f>'Part II-Development Team'!H27</f>
        <v>0</v>
      </c>
      <c r="I177" s="1555"/>
      <c r="J177" s="1555"/>
      <c r="K177" s="1555"/>
      <c r="L177" s="1555"/>
      <c r="M177" s="1555"/>
      <c r="N177" s="1555"/>
      <c r="O177" s="1531" t="s">
        <v>1575</v>
      </c>
      <c r="P177" s="1529"/>
      <c r="Q177" s="1529">
        <f>'Part II-Development Team'!Q27</f>
        <v>0</v>
      </c>
      <c r="R177" s="1555"/>
      <c r="S177" s="1555"/>
    </row>
    <row r="178" spans="1:19">
      <c r="A178" s="1529"/>
      <c r="B178" s="1529"/>
      <c r="C178" s="1529"/>
      <c r="D178" s="1552"/>
      <c r="E178" s="1531" t="s">
        <v>574</v>
      </c>
      <c r="F178" s="1529"/>
      <c r="G178" s="1529"/>
      <c r="H178" s="1529">
        <f>'Part II-Development Team'!H28</f>
        <v>0</v>
      </c>
      <c r="I178" s="1555"/>
      <c r="J178" s="1555"/>
      <c r="K178" s="1530" t="s">
        <v>2351</v>
      </c>
      <c r="L178" s="1529">
        <f>'Part II-Development Team'!L28</f>
        <v>0</v>
      </c>
      <c r="M178" s="1555"/>
      <c r="N178" s="1555"/>
      <c r="O178" s="1531" t="s">
        <v>1552</v>
      </c>
      <c r="P178" s="1529"/>
      <c r="Q178" s="1542">
        <f>'Part II-Development Team'!Q28</f>
        <v>0</v>
      </c>
      <c r="R178" s="1542"/>
      <c r="S178" s="1542"/>
    </row>
    <row r="179" spans="1:19">
      <c r="A179" s="1529"/>
      <c r="B179" s="1529"/>
      <c r="C179" s="1529"/>
      <c r="D179" s="1529"/>
      <c r="E179" s="1531" t="s">
        <v>1619</v>
      </c>
      <c r="F179" s="1529"/>
      <c r="G179" s="1529"/>
      <c r="H179" s="1531">
        <f>'Part II-Development Team'!H29</f>
        <v>0</v>
      </c>
      <c r="I179" s="1529"/>
      <c r="J179" s="1529"/>
      <c r="K179" s="1530" t="s">
        <v>1979</v>
      </c>
      <c r="L179" s="1544">
        <f>'Part II-Development Team'!L29</f>
        <v>0</v>
      </c>
      <c r="M179" s="1555"/>
      <c r="N179" s="1529"/>
      <c r="O179" s="1531" t="s">
        <v>1781</v>
      </c>
      <c r="P179" s="1529"/>
      <c r="Q179" s="1542">
        <f>'Part II-Development Team'!Q29</f>
        <v>0</v>
      </c>
      <c r="R179" s="1542"/>
      <c r="S179" s="1542"/>
    </row>
    <row r="180" spans="1:19">
      <c r="A180" s="1529"/>
      <c r="B180" s="1529"/>
      <c r="C180" s="1529"/>
      <c r="D180" s="1552"/>
      <c r="E180" s="1531" t="s">
        <v>1787</v>
      </c>
      <c r="F180" s="1529"/>
      <c r="G180" s="1529"/>
      <c r="H180" s="1542">
        <f>'Part II-Development Team'!H30</f>
        <v>0</v>
      </c>
      <c r="I180" s="1542"/>
      <c r="J180" s="1541">
        <f>'Part II-Development Team'!J30</f>
        <v>0</v>
      </c>
      <c r="K180" s="1530" t="s">
        <v>1786</v>
      </c>
      <c r="L180" s="1546">
        <f>'Part II-Development Team'!L30</f>
        <v>0</v>
      </c>
      <c r="M180" s="1546"/>
      <c r="N180" s="1546"/>
      <c r="O180" s="1546"/>
      <c r="P180" s="1546"/>
      <c r="Q180" s="1546"/>
      <c r="R180" s="1546"/>
      <c r="S180" s="1546"/>
    </row>
    <row r="181" spans="1:19">
      <c r="A181" s="1534"/>
      <c r="B181" s="1534"/>
      <c r="C181" s="1534"/>
      <c r="D181" s="1534"/>
      <c r="E181" s="1534"/>
      <c r="F181" s="1534"/>
      <c r="G181" s="1534"/>
      <c r="H181" s="1534"/>
      <c r="I181" s="1534"/>
      <c r="J181" s="1534"/>
      <c r="K181" s="1534"/>
      <c r="L181" s="1534"/>
      <c r="M181" s="1534"/>
      <c r="N181" s="1534"/>
      <c r="O181" s="1534"/>
      <c r="P181" s="1534"/>
      <c r="Q181" s="1534"/>
      <c r="R181" s="1534"/>
      <c r="S181" s="1534"/>
    </row>
    <row r="182" spans="1:19">
      <c r="A182" s="1529"/>
      <c r="B182" s="1529"/>
      <c r="C182" s="1583" t="s">
        <v>1791</v>
      </c>
      <c r="D182" s="1555" t="s">
        <v>1673</v>
      </c>
      <c r="E182" s="1529"/>
      <c r="F182" s="1529"/>
      <c r="G182" s="1529"/>
      <c r="H182" s="1529"/>
      <c r="I182" s="1529"/>
      <c r="J182" s="1529"/>
      <c r="K182" s="1529"/>
      <c r="L182" s="1529"/>
      <c r="M182" s="1529"/>
      <c r="N182" s="1529"/>
      <c r="O182" s="1529"/>
      <c r="P182" s="1529"/>
      <c r="Q182" s="1529"/>
      <c r="R182" s="1529"/>
      <c r="S182" s="1529"/>
    </row>
    <row r="183" spans="1:19">
      <c r="A183" s="1529"/>
      <c r="B183" s="1529"/>
      <c r="C183" s="1529"/>
      <c r="D183" s="1529" t="s">
        <v>1890</v>
      </c>
      <c r="E183" s="1529" t="s">
        <v>695</v>
      </c>
      <c r="F183" s="1529"/>
      <c r="G183" s="1529"/>
      <c r="H183" s="1529">
        <f>'Part II-Development Team'!H33</f>
        <v>0</v>
      </c>
      <c r="I183" s="1555"/>
      <c r="J183" s="1555"/>
      <c r="K183" s="1555"/>
      <c r="L183" s="1555"/>
      <c r="M183" s="1555"/>
      <c r="N183" s="1555"/>
      <c r="O183" s="1531" t="s">
        <v>1792</v>
      </c>
      <c r="P183" s="1531"/>
      <c r="Q183" s="1529">
        <f>'Part II-Development Team'!Q33</f>
        <v>0</v>
      </c>
      <c r="R183" s="1555"/>
      <c r="S183" s="1555"/>
    </row>
    <row r="184" spans="1:19">
      <c r="A184" s="1529"/>
      <c r="B184" s="1529"/>
      <c r="C184" s="1529"/>
      <c r="D184" s="1552"/>
      <c r="E184" s="1531" t="s">
        <v>945</v>
      </c>
      <c r="F184" s="1539"/>
      <c r="G184" s="1529"/>
      <c r="H184" s="1529">
        <f>'Part II-Development Team'!H34</f>
        <v>0</v>
      </c>
      <c r="I184" s="1555"/>
      <c r="J184" s="1555"/>
      <c r="K184" s="1555"/>
      <c r="L184" s="1555"/>
      <c r="M184" s="1555"/>
      <c r="N184" s="1555"/>
      <c r="O184" s="1531" t="s">
        <v>1575</v>
      </c>
      <c r="P184" s="1529"/>
      <c r="Q184" s="1529">
        <f>'Part II-Development Team'!Q34</f>
        <v>0</v>
      </c>
      <c r="R184" s="1555"/>
      <c r="S184" s="1555"/>
    </row>
    <row r="185" spans="1:19">
      <c r="A185" s="1529"/>
      <c r="B185" s="1529"/>
      <c r="C185" s="1529"/>
      <c r="D185" s="1552"/>
      <c r="E185" s="1531" t="s">
        <v>574</v>
      </c>
      <c r="F185" s="1529"/>
      <c r="G185" s="1529"/>
      <c r="H185" s="1529">
        <f>'Part II-Development Team'!H35</f>
        <v>0</v>
      </c>
      <c r="I185" s="1555"/>
      <c r="J185" s="1555"/>
      <c r="K185" s="1530" t="s">
        <v>2351</v>
      </c>
      <c r="L185" s="1529">
        <f>'Part II-Development Team'!L35</f>
        <v>0</v>
      </c>
      <c r="M185" s="1555"/>
      <c r="N185" s="1555"/>
      <c r="O185" s="1531" t="s">
        <v>1552</v>
      </c>
      <c r="P185" s="1529"/>
      <c r="Q185" s="1542">
        <f>'Part II-Development Team'!Q35</f>
        <v>0</v>
      </c>
      <c r="R185" s="1542"/>
      <c r="S185" s="1542"/>
    </row>
    <row r="186" spans="1:19">
      <c r="A186" s="1529"/>
      <c r="B186" s="1529"/>
      <c r="C186" s="1529"/>
      <c r="D186" s="1529"/>
      <c r="E186" s="1531" t="s">
        <v>1619</v>
      </c>
      <c r="F186" s="1529"/>
      <c r="G186" s="1529"/>
      <c r="H186" s="1531">
        <f>'Part II-Development Team'!H36</f>
        <v>0</v>
      </c>
      <c r="I186" s="1529"/>
      <c r="J186" s="1529"/>
      <c r="K186" s="1530" t="s">
        <v>1979</v>
      </c>
      <c r="L186" s="1544">
        <f>'Part II-Development Team'!L36</f>
        <v>0</v>
      </c>
      <c r="M186" s="1555"/>
      <c r="N186" s="1529"/>
      <c r="O186" s="1531" t="s">
        <v>1781</v>
      </c>
      <c r="P186" s="1529"/>
      <c r="Q186" s="1542">
        <f>'Part II-Development Team'!Q36</f>
        <v>0</v>
      </c>
      <c r="R186" s="1542"/>
      <c r="S186" s="1542"/>
    </row>
    <row r="187" spans="1:19">
      <c r="A187" s="1529"/>
      <c r="B187" s="1529"/>
      <c r="C187" s="1529"/>
      <c r="D187" s="1552"/>
      <c r="E187" s="1531" t="s">
        <v>1787</v>
      </c>
      <c r="F187" s="1529"/>
      <c r="G187" s="1529"/>
      <c r="H187" s="1542">
        <f>'Part II-Development Team'!H37</f>
        <v>0</v>
      </c>
      <c r="I187" s="1542"/>
      <c r="J187" s="1541">
        <f>'Part II-Development Team'!J37</f>
        <v>0</v>
      </c>
      <c r="K187" s="1530" t="s">
        <v>1786</v>
      </c>
      <c r="L187" s="1546">
        <f>'Part II-Development Team'!L37</f>
        <v>0</v>
      </c>
      <c r="M187" s="1546"/>
      <c r="N187" s="1546"/>
      <c r="O187" s="1546"/>
      <c r="P187" s="1546"/>
      <c r="Q187" s="1546"/>
      <c r="R187" s="1546"/>
      <c r="S187" s="1546"/>
    </row>
    <row r="188" spans="1:19">
      <c r="A188" s="1534"/>
      <c r="B188" s="1534"/>
      <c r="C188" s="1534"/>
      <c r="D188" s="1534"/>
      <c r="E188" s="1534"/>
      <c r="F188" s="1534"/>
      <c r="G188" s="1534"/>
      <c r="H188" s="1542"/>
      <c r="I188" s="1542"/>
      <c r="J188" s="1542"/>
      <c r="K188" s="1530"/>
      <c r="L188" s="1542"/>
      <c r="M188" s="1542"/>
      <c r="N188" s="1530"/>
      <c r="O188" s="1542"/>
      <c r="P188" s="1542"/>
      <c r="Q188" s="1530"/>
      <c r="R188" s="1542"/>
      <c r="S188" s="1542"/>
    </row>
    <row r="189" spans="1:19">
      <c r="A189" s="1529"/>
      <c r="B189" s="1529"/>
      <c r="C189" s="1529"/>
      <c r="D189" s="1529" t="s">
        <v>1891</v>
      </c>
      <c r="E189" s="1529" t="s">
        <v>696</v>
      </c>
      <c r="F189" s="1529"/>
      <c r="G189" s="1529"/>
      <c r="H189" s="1529">
        <f>'Part II-Development Team'!H39</f>
        <v>0</v>
      </c>
      <c r="I189" s="1555"/>
      <c r="J189" s="1555"/>
      <c r="K189" s="1555"/>
      <c r="L189" s="1555"/>
      <c r="M189" s="1555"/>
      <c r="N189" s="1555"/>
      <c r="O189" s="1531" t="s">
        <v>1792</v>
      </c>
      <c r="P189" s="1531"/>
      <c r="Q189" s="1529">
        <f>'Part II-Development Team'!Q39</f>
        <v>0</v>
      </c>
      <c r="R189" s="1555"/>
      <c r="S189" s="1555"/>
    </row>
    <row r="190" spans="1:19">
      <c r="A190" s="1529"/>
      <c r="B190" s="1529"/>
      <c r="C190" s="1529"/>
      <c r="D190" s="1552"/>
      <c r="E190" s="1531" t="s">
        <v>945</v>
      </c>
      <c r="F190" s="1539"/>
      <c r="G190" s="1529"/>
      <c r="H190" s="1529">
        <f>'Part II-Development Team'!H40</f>
        <v>0</v>
      </c>
      <c r="I190" s="1555"/>
      <c r="J190" s="1555"/>
      <c r="K190" s="1555"/>
      <c r="L190" s="1555"/>
      <c r="M190" s="1555"/>
      <c r="N190" s="1555"/>
      <c r="O190" s="1531" t="s">
        <v>1575</v>
      </c>
      <c r="P190" s="1529"/>
      <c r="Q190" s="1529">
        <f>'Part II-Development Team'!Q40</f>
        <v>0</v>
      </c>
      <c r="R190" s="1555"/>
      <c r="S190" s="1555"/>
    </row>
    <row r="191" spans="1:19">
      <c r="A191" s="1529"/>
      <c r="B191" s="1529"/>
      <c r="C191" s="1529"/>
      <c r="D191" s="1552"/>
      <c r="E191" s="1531" t="s">
        <v>574</v>
      </c>
      <c r="F191" s="1529"/>
      <c r="G191" s="1529"/>
      <c r="H191" s="1529">
        <f>'Part II-Development Team'!H41</f>
        <v>0</v>
      </c>
      <c r="I191" s="1555"/>
      <c r="J191" s="1555"/>
      <c r="K191" s="1530" t="s">
        <v>2351</v>
      </c>
      <c r="L191" s="1529">
        <f>'Part II-Development Team'!L41</f>
        <v>0</v>
      </c>
      <c r="M191" s="1555"/>
      <c r="N191" s="1555"/>
      <c r="O191" s="1531" t="s">
        <v>1552</v>
      </c>
      <c r="P191" s="1529"/>
      <c r="Q191" s="1542">
        <f>'Part II-Development Team'!Q41</f>
        <v>0</v>
      </c>
      <c r="R191" s="1542"/>
      <c r="S191" s="1542"/>
    </row>
    <row r="192" spans="1:19">
      <c r="A192" s="1529"/>
      <c r="B192" s="1529"/>
      <c r="C192" s="1529"/>
      <c r="D192" s="1529"/>
      <c r="E192" s="1531" t="s">
        <v>1619</v>
      </c>
      <c r="F192" s="1529"/>
      <c r="G192" s="1529"/>
      <c r="H192" s="1531">
        <f>'Part II-Development Team'!H42</f>
        <v>0</v>
      </c>
      <c r="I192" s="1529"/>
      <c r="J192" s="1529"/>
      <c r="K192" s="1530" t="s">
        <v>1979</v>
      </c>
      <c r="L192" s="1544">
        <f>'Part II-Development Team'!L42</f>
        <v>0</v>
      </c>
      <c r="M192" s="1555"/>
      <c r="N192" s="1529"/>
      <c r="O192" s="1531" t="s">
        <v>1781</v>
      </c>
      <c r="P192" s="1529"/>
      <c r="Q192" s="1542">
        <f>'Part II-Development Team'!Q42</f>
        <v>0</v>
      </c>
      <c r="R192" s="1542"/>
      <c r="S192" s="1542"/>
    </row>
    <row r="193" spans="1:19">
      <c r="A193" s="1529"/>
      <c r="B193" s="1529"/>
      <c r="C193" s="1529"/>
      <c r="D193" s="1552"/>
      <c r="E193" s="1531" t="s">
        <v>1787</v>
      </c>
      <c r="F193" s="1529"/>
      <c r="G193" s="1529"/>
      <c r="H193" s="1542">
        <f>'Part II-Development Team'!H43</f>
        <v>0</v>
      </c>
      <c r="I193" s="1542"/>
      <c r="J193" s="1541">
        <f>'Part II-Development Team'!J43</f>
        <v>0</v>
      </c>
      <c r="K193" s="1530" t="s">
        <v>1786</v>
      </c>
      <c r="L193" s="1546">
        <f>'Part II-Development Team'!L43</f>
        <v>0</v>
      </c>
      <c r="M193" s="1546"/>
      <c r="N193" s="1546"/>
      <c r="O193" s="1546"/>
      <c r="P193" s="1546"/>
      <c r="Q193" s="1546"/>
      <c r="R193" s="1546"/>
      <c r="S193" s="1546"/>
    </row>
    <row r="194" spans="1:19">
      <c r="A194" s="1529"/>
      <c r="B194" s="1529"/>
      <c r="C194" s="1529"/>
      <c r="D194" s="1552"/>
      <c r="E194" s="1531"/>
      <c r="F194" s="1529"/>
      <c r="G194" s="1529"/>
      <c r="H194" s="1581"/>
      <c r="I194" s="1581"/>
      <c r="J194" s="1577"/>
      <c r="K194" s="1530"/>
      <c r="L194" s="1581"/>
      <c r="M194" s="1581"/>
      <c r="N194" s="1530"/>
      <c r="O194" s="1581"/>
      <c r="P194" s="1581"/>
      <c r="Q194" s="1530"/>
      <c r="R194" s="1581"/>
      <c r="S194" s="1581"/>
    </row>
    <row r="195" spans="1:19">
      <c r="A195" s="1529"/>
      <c r="B195" s="1529"/>
      <c r="C195" s="1584" t="s">
        <v>2246</v>
      </c>
      <c r="D195" s="1555" t="s">
        <v>605</v>
      </c>
      <c r="E195" s="1529"/>
      <c r="F195" s="1529"/>
      <c r="G195" s="1529"/>
      <c r="H195" s="1529"/>
      <c r="I195" s="1529"/>
      <c r="J195" s="1529"/>
      <c r="K195" s="1529"/>
      <c r="L195" s="1529"/>
      <c r="M195" s="1529"/>
      <c r="N195" s="1529"/>
      <c r="O195" s="1529"/>
      <c r="P195" s="1529"/>
      <c r="Q195" s="1529"/>
      <c r="R195" s="1529"/>
      <c r="S195" s="1529"/>
    </row>
    <row r="196" spans="1:19">
      <c r="A196" s="1529"/>
      <c r="B196" s="1529"/>
      <c r="C196" s="1529"/>
      <c r="D196" s="1529"/>
      <c r="E196" s="1529" t="s">
        <v>88</v>
      </c>
      <c r="F196" s="1529"/>
      <c r="G196" s="1529"/>
      <c r="H196" s="1529">
        <f>'Part II-Development Team'!H46</f>
        <v>0</v>
      </c>
      <c r="I196" s="1555"/>
      <c r="J196" s="1555"/>
      <c r="K196" s="1555"/>
      <c r="L196" s="1555"/>
      <c r="M196" s="1555"/>
      <c r="N196" s="1555"/>
      <c r="O196" s="1531" t="s">
        <v>1792</v>
      </c>
      <c r="P196" s="1531"/>
      <c r="Q196" s="1529">
        <f>'Part II-Development Team'!Q46</f>
        <v>0</v>
      </c>
      <c r="R196" s="1555"/>
      <c r="S196" s="1555"/>
    </row>
    <row r="197" spans="1:19">
      <c r="A197" s="1529"/>
      <c r="B197" s="1529"/>
      <c r="C197" s="1529"/>
      <c r="D197" s="1552"/>
      <c r="E197" s="1531" t="s">
        <v>945</v>
      </c>
      <c r="F197" s="1539"/>
      <c r="G197" s="1529"/>
      <c r="H197" s="1529">
        <f>'Part II-Development Team'!H47</f>
        <v>0</v>
      </c>
      <c r="I197" s="1555"/>
      <c r="J197" s="1555"/>
      <c r="K197" s="1555"/>
      <c r="L197" s="1555"/>
      <c r="M197" s="1555"/>
      <c r="N197" s="1555"/>
      <c r="O197" s="1531" t="s">
        <v>1575</v>
      </c>
      <c r="P197" s="1529"/>
      <c r="Q197" s="1529">
        <f>'Part II-Development Team'!Q47</f>
        <v>0</v>
      </c>
      <c r="R197" s="1555"/>
      <c r="S197" s="1555"/>
    </row>
    <row r="198" spans="1:19">
      <c r="A198" s="1529"/>
      <c r="B198" s="1529"/>
      <c r="C198" s="1529"/>
      <c r="D198" s="1552"/>
      <c r="E198" s="1531" t="s">
        <v>574</v>
      </c>
      <c r="F198" s="1529"/>
      <c r="G198" s="1529"/>
      <c r="H198" s="1529">
        <f>'Part II-Development Team'!H48</f>
        <v>0</v>
      </c>
      <c r="I198" s="1555"/>
      <c r="J198" s="1555"/>
      <c r="K198" s="1530" t="s">
        <v>2351</v>
      </c>
      <c r="L198" s="1529">
        <f>'Part II-Development Team'!L48</f>
        <v>0</v>
      </c>
      <c r="M198" s="1555"/>
      <c r="N198" s="1555"/>
      <c r="O198" s="1531" t="s">
        <v>1552</v>
      </c>
      <c r="P198" s="1529"/>
      <c r="Q198" s="1542">
        <f>'Part II-Development Team'!Q48</f>
        <v>0</v>
      </c>
      <c r="R198" s="1542"/>
      <c r="S198" s="1542"/>
    </row>
    <row r="199" spans="1:19">
      <c r="A199" s="1529"/>
      <c r="B199" s="1529"/>
      <c r="C199" s="1529"/>
      <c r="D199" s="1529"/>
      <c r="E199" s="1531" t="s">
        <v>1619</v>
      </c>
      <c r="F199" s="1529"/>
      <c r="G199" s="1529"/>
      <c r="H199" s="1531">
        <f>'Part II-Development Team'!H49</f>
        <v>0</v>
      </c>
      <c r="I199" s="1529"/>
      <c r="J199" s="1529"/>
      <c r="K199" s="1530" t="s">
        <v>1979</v>
      </c>
      <c r="L199" s="1544">
        <f>'Part II-Development Team'!L49</f>
        <v>0</v>
      </c>
      <c r="M199" s="1555"/>
      <c r="N199" s="1529"/>
      <c r="O199" s="1531" t="s">
        <v>1781</v>
      </c>
      <c r="P199" s="1529"/>
      <c r="Q199" s="1542">
        <f>'Part II-Development Team'!Q49</f>
        <v>0</v>
      </c>
      <c r="R199" s="1542"/>
      <c r="S199" s="1542"/>
    </row>
    <row r="200" spans="1:19">
      <c r="A200" s="1529"/>
      <c r="B200" s="1529"/>
      <c r="C200" s="1529"/>
      <c r="D200" s="1552"/>
      <c r="E200" s="1531" t="s">
        <v>1787</v>
      </c>
      <c r="F200" s="1529"/>
      <c r="G200" s="1529"/>
      <c r="H200" s="1542">
        <f>'Part II-Development Team'!H50</f>
        <v>0</v>
      </c>
      <c r="I200" s="1542"/>
      <c r="J200" s="1541">
        <f>'Part II-Development Team'!J50</f>
        <v>0</v>
      </c>
      <c r="K200" s="1530" t="s">
        <v>1786</v>
      </c>
      <c r="L200" s="1546">
        <f>'Part II-Development Team'!L50</f>
        <v>0</v>
      </c>
      <c r="M200" s="1546"/>
      <c r="N200" s="1546"/>
      <c r="O200" s="1546"/>
      <c r="P200" s="1546"/>
      <c r="Q200" s="1546"/>
      <c r="R200" s="1546"/>
      <c r="S200" s="1546"/>
    </row>
    <row r="201" spans="1:19">
      <c r="A201" s="1534"/>
      <c r="B201" s="1534"/>
      <c r="C201" s="1534"/>
      <c r="D201" s="1534"/>
      <c r="E201" s="1534"/>
      <c r="F201" s="1534"/>
      <c r="G201" s="1534"/>
      <c r="H201" s="1534"/>
      <c r="I201" s="1534"/>
      <c r="J201" s="1534"/>
      <c r="K201" s="1534"/>
      <c r="L201" s="1534"/>
      <c r="M201" s="1534"/>
      <c r="N201" s="1534"/>
      <c r="O201" s="1534"/>
      <c r="P201" s="1534"/>
      <c r="Q201" s="1534"/>
      <c r="R201" s="1534"/>
      <c r="S201" s="1534"/>
    </row>
    <row r="202" spans="1:19">
      <c r="A202" s="1529" t="s">
        <v>685</v>
      </c>
      <c r="B202" s="1529" t="s">
        <v>606</v>
      </c>
      <c r="C202" s="1529"/>
      <c r="D202" s="1529"/>
      <c r="E202" s="1529"/>
      <c r="F202" s="1529"/>
      <c r="G202" s="1530"/>
      <c r="H202" s="1530"/>
      <c r="I202" s="1530"/>
      <c r="J202" s="1529"/>
      <c r="K202" s="1529"/>
      <c r="L202" s="1529"/>
      <c r="M202" s="1529"/>
      <c r="N202" s="1529"/>
      <c r="O202" s="1529"/>
      <c r="P202" s="1529"/>
      <c r="Q202" s="1529"/>
      <c r="R202" s="1529"/>
      <c r="S202" s="1529"/>
    </row>
    <row r="203" spans="1:19">
      <c r="A203" s="1529"/>
      <c r="B203" s="1529"/>
      <c r="C203" s="1529"/>
      <c r="D203" s="1529"/>
      <c r="E203" s="1529"/>
      <c r="F203" s="1529"/>
      <c r="G203" s="1530"/>
      <c r="H203" s="1542"/>
      <c r="I203" s="1542"/>
      <c r="J203" s="1542"/>
      <c r="K203" s="1530"/>
      <c r="L203" s="1542"/>
      <c r="M203" s="1542"/>
      <c r="N203" s="1530"/>
      <c r="O203" s="1542"/>
      <c r="P203" s="1542"/>
      <c r="Q203" s="1530"/>
      <c r="R203" s="1542"/>
      <c r="S203" s="1542"/>
    </row>
    <row r="204" spans="1:19">
      <c r="A204" s="1529"/>
      <c r="B204" s="1529" t="s">
        <v>1785</v>
      </c>
      <c r="C204" s="1529" t="s">
        <v>262</v>
      </c>
      <c r="D204" s="1529"/>
      <c r="E204" s="1529"/>
      <c r="F204" s="1529"/>
      <c r="G204" s="1529"/>
      <c r="H204" s="1529">
        <f>'Part II-Development Team'!H54</f>
        <v>0</v>
      </c>
      <c r="I204" s="1555"/>
      <c r="J204" s="1555"/>
      <c r="K204" s="1555"/>
      <c r="L204" s="1555"/>
      <c r="M204" s="1555"/>
      <c r="N204" s="1555"/>
      <c r="O204" s="1531" t="s">
        <v>1792</v>
      </c>
      <c r="P204" s="1531"/>
      <c r="Q204" s="1529">
        <f>'Part II-Development Team'!Q54</f>
        <v>0</v>
      </c>
      <c r="R204" s="1555"/>
      <c r="S204" s="1555"/>
    </row>
    <row r="205" spans="1:19">
      <c r="A205" s="1529"/>
      <c r="B205" s="1529"/>
      <c r="C205" s="1529"/>
      <c r="D205" s="1552"/>
      <c r="E205" s="1531" t="s">
        <v>945</v>
      </c>
      <c r="F205" s="1539"/>
      <c r="G205" s="1529"/>
      <c r="H205" s="1529">
        <f>'Part II-Development Team'!H55</f>
        <v>0</v>
      </c>
      <c r="I205" s="1555"/>
      <c r="J205" s="1555"/>
      <c r="K205" s="1555"/>
      <c r="L205" s="1555"/>
      <c r="M205" s="1555"/>
      <c r="N205" s="1555"/>
      <c r="O205" s="1531" t="s">
        <v>1575</v>
      </c>
      <c r="P205" s="1529"/>
      <c r="Q205" s="1529">
        <f>'Part II-Development Team'!Q55</f>
        <v>0</v>
      </c>
      <c r="R205" s="1555"/>
      <c r="S205" s="1555"/>
    </row>
    <row r="206" spans="1:19">
      <c r="A206" s="1529"/>
      <c r="B206" s="1529"/>
      <c r="C206" s="1529"/>
      <c r="D206" s="1552"/>
      <c r="E206" s="1531" t="s">
        <v>574</v>
      </c>
      <c r="F206" s="1529"/>
      <c r="G206" s="1529"/>
      <c r="H206" s="1529">
        <f>'Part II-Development Team'!H56</f>
        <v>0</v>
      </c>
      <c r="I206" s="1555"/>
      <c r="J206" s="1555"/>
      <c r="K206" s="1530" t="s">
        <v>2351</v>
      </c>
      <c r="L206" s="1529">
        <f>'Part II-Development Team'!L56</f>
        <v>0</v>
      </c>
      <c r="M206" s="1555"/>
      <c r="N206" s="1555"/>
      <c r="O206" s="1531" t="s">
        <v>1552</v>
      </c>
      <c r="P206" s="1529"/>
      <c r="Q206" s="1542">
        <f>'Part II-Development Team'!Q56</f>
        <v>0</v>
      </c>
      <c r="R206" s="1542"/>
      <c r="S206" s="1542"/>
    </row>
    <row r="207" spans="1:19">
      <c r="A207" s="1529"/>
      <c r="B207" s="1529"/>
      <c r="C207" s="1529"/>
      <c r="D207" s="1529"/>
      <c r="E207" s="1531" t="s">
        <v>1619</v>
      </c>
      <c r="F207" s="1529"/>
      <c r="G207" s="1529"/>
      <c r="H207" s="1531">
        <f>'Part II-Development Team'!H57</f>
        <v>0</v>
      </c>
      <c r="I207" s="1529"/>
      <c r="J207" s="1529"/>
      <c r="K207" s="1530" t="s">
        <v>1979</v>
      </c>
      <c r="L207" s="1544">
        <f>'Part II-Development Team'!L57</f>
        <v>0</v>
      </c>
      <c r="M207" s="1555"/>
      <c r="N207" s="1529"/>
      <c r="O207" s="1531" t="s">
        <v>1781</v>
      </c>
      <c r="P207" s="1529"/>
      <c r="Q207" s="1542">
        <f>'Part II-Development Team'!Q57</f>
        <v>0</v>
      </c>
      <c r="R207" s="1542"/>
      <c r="S207" s="1542"/>
    </row>
    <row r="208" spans="1:19">
      <c r="A208" s="1529"/>
      <c r="B208" s="1529"/>
      <c r="C208" s="1529"/>
      <c r="D208" s="1552"/>
      <c r="E208" s="1531" t="s">
        <v>1787</v>
      </c>
      <c r="F208" s="1529"/>
      <c r="G208" s="1529"/>
      <c r="H208" s="1542">
        <f>'Part II-Development Team'!H58</f>
        <v>0</v>
      </c>
      <c r="I208" s="1542"/>
      <c r="J208" s="1541">
        <f>'Part II-Development Team'!J58</f>
        <v>0</v>
      </c>
      <c r="K208" s="1530" t="s">
        <v>1786</v>
      </c>
      <c r="L208" s="1546">
        <f>'Part II-Development Team'!L58</f>
        <v>0</v>
      </c>
      <c r="M208" s="1546"/>
      <c r="N208" s="1546"/>
      <c r="O208" s="1546"/>
      <c r="P208" s="1546"/>
      <c r="Q208" s="1546"/>
      <c r="R208" s="1546"/>
      <c r="S208" s="1546"/>
    </row>
    <row r="209" spans="1:19">
      <c r="A209" s="1529"/>
      <c r="B209" s="1529"/>
      <c r="C209" s="1529"/>
      <c r="D209" s="1552"/>
      <c r="E209" s="1529"/>
      <c r="F209" s="1529"/>
      <c r="G209" s="1531"/>
      <c r="H209" s="1542"/>
      <c r="I209" s="1542"/>
      <c r="J209" s="1542"/>
      <c r="K209" s="1530"/>
      <c r="L209" s="1542"/>
      <c r="M209" s="1542"/>
      <c r="N209" s="1530"/>
      <c r="O209" s="1542"/>
      <c r="P209" s="1542"/>
      <c r="Q209" s="1530"/>
      <c r="R209" s="1542"/>
      <c r="S209" s="1542"/>
    </row>
    <row r="210" spans="1:19">
      <c r="A210" s="1529"/>
      <c r="B210" s="1529" t="s">
        <v>1788</v>
      </c>
      <c r="C210" s="1529" t="s">
        <v>263</v>
      </c>
      <c r="D210" s="1529"/>
      <c r="E210" s="1529"/>
      <c r="F210" s="1529"/>
      <c r="G210" s="1529"/>
      <c r="H210" s="1529">
        <f>'Part II-Development Team'!H60</f>
        <v>0</v>
      </c>
      <c r="I210" s="1555"/>
      <c r="J210" s="1555"/>
      <c r="K210" s="1555"/>
      <c r="L210" s="1555"/>
      <c r="M210" s="1555"/>
      <c r="N210" s="1555"/>
      <c r="O210" s="1531" t="s">
        <v>1792</v>
      </c>
      <c r="P210" s="1531"/>
      <c r="Q210" s="1529">
        <f>'Part II-Development Team'!Q60</f>
        <v>0</v>
      </c>
      <c r="R210" s="1555"/>
      <c r="S210" s="1555"/>
    </row>
    <row r="211" spans="1:19">
      <c r="A211" s="1529"/>
      <c r="B211" s="1529"/>
      <c r="C211" s="1529"/>
      <c r="D211" s="1552"/>
      <c r="E211" s="1531" t="s">
        <v>945</v>
      </c>
      <c r="F211" s="1539"/>
      <c r="G211" s="1529"/>
      <c r="H211" s="1529">
        <f>'Part II-Development Team'!H61</f>
        <v>0</v>
      </c>
      <c r="I211" s="1555"/>
      <c r="J211" s="1555"/>
      <c r="K211" s="1555"/>
      <c r="L211" s="1555"/>
      <c r="M211" s="1555"/>
      <c r="N211" s="1555"/>
      <c r="O211" s="1531" t="s">
        <v>1575</v>
      </c>
      <c r="P211" s="1529"/>
      <c r="Q211" s="1529">
        <f>'Part II-Development Team'!Q61</f>
        <v>0</v>
      </c>
      <c r="R211" s="1555"/>
      <c r="S211" s="1555"/>
    </row>
    <row r="212" spans="1:19">
      <c r="A212" s="1529"/>
      <c r="B212" s="1529"/>
      <c r="C212" s="1529"/>
      <c r="D212" s="1552"/>
      <c r="E212" s="1531" t="s">
        <v>574</v>
      </c>
      <c r="F212" s="1529"/>
      <c r="G212" s="1529"/>
      <c r="H212" s="1529">
        <f>'Part II-Development Team'!H62</f>
        <v>0</v>
      </c>
      <c r="I212" s="1555"/>
      <c r="J212" s="1555"/>
      <c r="K212" s="1530" t="s">
        <v>2351</v>
      </c>
      <c r="L212" s="1529">
        <f>'Part II-Development Team'!L62</f>
        <v>0</v>
      </c>
      <c r="M212" s="1555"/>
      <c r="N212" s="1555"/>
      <c r="O212" s="1531" t="s">
        <v>1552</v>
      </c>
      <c r="P212" s="1529"/>
      <c r="Q212" s="1542">
        <f>'Part II-Development Team'!Q62</f>
        <v>0</v>
      </c>
      <c r="R212" s="1542"/>
      <c r="S212" s="1542"/>
    </row>
    <row r="213" spans="1:19">
      <c r="A213" s="1529"/>
      <c r="B213" s="1529"/>
      <c r="C213" s="1529"/>
      <c r="D213" s="1529"/>
      <c r="E213" s="1531" t="s">
        <v>1619</v>
      </c>
      <c r="F213" s="1529"/>
      <c r="G213" s="1529"/>
      <c r="H213" s="1531">
        <f>'Part II-Development Team'!H63</f>
        <v>0</v>
      </c>
      <c r="I213" s="1529"/>
      <c r="J213" s="1529"/>
      <c r="K213" s="1530" t="s">
        <v>1979</v>
      </c>
      <c r="L213" s="1544">
        <f>'Part II-Development Team'!L63</f>
        <v>0</v>
      </c>
      <c r="M213" s="1555"/>
      <c r="N213" s="1529"/>
      <c r="O213" s="1531" t="s">
        <v>1781</v>
      </c>
      <c r="P213" s="1529"/>
      <c r="Q213" s="1542">
        <f>'Part II-Development Team'!Q63</f>
        <v>0</v>
      </c>
      <c r="R213" s="1542"/>
      <c r="S213" s="1542"/>
    </row>
    <row r="214" spans="1:19">
      <c r="A214" s="1529"/>
      <c r="B214" s="1529"/>
      <c r="C214" s="1529"/>
      <c r="D214" s="1552"/>
      <c r="E214" s="1531" t="s">
        <v>1787</v>
      </c>
      <c r="F214" s="1529"/>
      <c r="G214" s="1529"/>
      <c r="H214" s="1542">
        <f>'Part II-Development Team'!H64</f>
        <v>0</v>
      </c>
      <c r="I214" s="1542"/>
      <c r="J214" s="1541">
        <f>'Part II-Development Team'!J64</f>
        <v>0</v>
      </c>
      <c r="K214" s="1530" t="s">
        <v>1786</v>
      </c>
      <c r="L214" s="1546">
        <f>'Part II-Development Team'!L64</f>
        <v>0</v>
      </c>
      <c r="M214" s="1546"/>
      <c r="N214" s="1546"/>
      <c r="O214" s="1546"/>
      <c r="P214" s="1546"/>
      <c r="Q214" s="1546"/>
      <c r="R214" s="1546"/>
      <c r="S214" s="1546"/>
    </row>
    <row r="215" spans="1:19">
      <c r="A215" s="1529"/>
      <c r="B215" s="1529"/>
      <c r="C215" s="1529"/>
      <c r="D215" s="1552"/>
      <c r="E215" s="1529"/>
      <c r="F215" s="1529"/>
      <c r="G215" s="1531"/>
      <c r="H215" s="1542"/>
      <c r="I215" s="1542"/>
      <c r="J215" s="1542"/>
      <c r="K215" s="1530"/>
      <c r="L215" s="1542"/>
      <c r="M215" s="1542"/>
      <c r="N215" s="1530"/>
      <c r="O215" s="1542"/>
      <c r="P215" s="1542"/>
      <c r="Q215" s="1530"/>
      <c r="R215" s="1542"/>
      <c r="S215" s="1542"/>
    </row>
    <row r="216" spans="1:19">
      <c r="A216" s="1529"/>
      <c r="B216" s="1529" t="s">
        <v>694</v>
      </c>
      <c r="C216" s="1529" t="s">
        <v>1391</v>
      </c>
      <c r="D216" s="1529"/>
      <c r="E216" s="1529"/>
      <c r="F216" s="1529"/>
      <c r="G216" s="1529"/>
      <c r="H216" s="1529">
        <f>'Part II-Development Team'!H66</f>
        <v>0</v>
      </c>
      <c r="I216" s="1555"/>
      <c r="J216" s="1555"/>
      <c r="K216" s="1555"/>
      <c r="L216" s="1555"/>
      <c r="M216" s="1555"/>
      <c r="N216" s="1555"/>
      <c r="O216" s="1531" t="s">
        <v>1792</v>
      </c>
      <c r="P216" s="1531"/>
      <c r="Q216" s="1529">
        <f>'Part II-Development Team'!Q66</f>
        <v>0</v>
      </c>
      <c r="R216" s="1555"/>
      <c r="S216" s="1555"/>
    </row>
    <row r="217" spans="1:19">
      <c r="A217" s="1529"/>
      <c r="B217" s="1529"/>
      <c r="C217" s="1529"/>
      <c r="D217" s="1552"/>
      <c r="E217" s="1531" t="s">
        <v>945</v>
      </c>
      <c r="F217" s="1539"/>
      <c r="G217" s="1529"/>
      <c r="H217" s="1529">
        <f>'Part II-Development Team'!H67</f>
        <v>0</v>
      </c>
      <c r="I217" s="1555"/>
      <c r="J217" s="1555"/>
      <c r="K217" s="1555"/>
      <c r="L217" s="1555"/>
      <c r="M217" s="1555"/>
      <c r="N217" s="1555"/>
      <c r="O217" s="1531" t="s">
        <v>1575</v>
      </c>
      <c r="P217" s="1529"/>
      <c r="Q217" s="1529">
        <f>'Part II-Development Team'!Q67</f>
        <v>0</v>
      </c>
      <c r="R217" s="1555"/>
      <c r="S217" s="1555"/>
    </row>
    <row r="218" spans="1:19">
      <c r="A218" s="1529"/>
      <c r="B218" s="1529"/>
      <c r="C218" s="1529"/>
      <c r="D218" s="1552"/>
      <c r="E218" s="1531" t="s">
        <v>574</v>
      </c>
      <c r="F218" s="1529"/>
      <c r="G218" s="1529"/>
      <c r="H218" s="1529">
        <f>'Part II-Development Team'!H68</f>
        <v>0</v>
      </c>
      <c r="I218" s="1555"/>
      <c r="J218" s="1555"/>
      <c r="K218" s="1530" t="s">
        <v>2351</v>
      </c>
      <c r="L218" s="1529">
        <f>'Part II-Development Team'!L68</f>
        <v>0</v>
      </c>
      <c r="M218" s="1555"/>
      <c r="N218" s="1555"/>
      <c r="O218" s="1531" t="s">
        <v>1552</v>
      </c>
      <c r="P218" s="1529"/>
      <c r="Q218" s="1542">
        <f>'Part II-Development Team'!Q68</f>
        <v>0</v>
      </c>
      <c r="R218" s="1542"/>
      <c r="S218" s="1542"/>
    </row>
    <row r="219" spans="1:19">
      <c r="A219" s="1529"/>
      <c r="B219" s="1529"/>
      <c r="C219" s="1529"/>
      <c r="D219" s="1529"/>
      <c r="E219" s="1531" t="s">
        <v>1619</v>
      </c>
      <c r="F219" s="1529"/>
      <c r="G219" s="1529"/>
      <c r="H219" s="1531">
        <f>'Part II-Development Team'!H69</f>
        <v>0</v>
      </c>
      <c r="I219" s="1529"/>
      <c r="J219" s="1529"/>
      <c r="K219" s="1530" t="s">
        <v>1979</v>
      </c>
      <c r="L219" s="1544">
        <f>'Part II-Development Team'!L69</f>
        <v>0</v>
      </c>
      <c r="M219" s="1555"/>
      <c r="N219" s="1529"/>
      <c r="O219" s="1531" t="s">
        <v>1781</v>
      </c>
      <c r="P219" s="1529"/>
      <c r="Q219" s="1542">
        <f>'Part II-Development Team'!Q69</f>
        <v>0</v>
      </c>
      <c r="R219" s="1542"/>
      <c r="S219" s="1542"/>
    </row>
    <row r="220" spans="1:19">
      <c r="A220" s="1529"/>
      <c r="B220" s="1529"/>
      <c r="C220" s="1529"/>
      <c r="D220" s="1552"/>
      <c r="E220" s="1531" t="s">
        <v>1787</v>
      </c>
      <c r="F220" s="1529"/>
      <c r="G220" s="1529"/>
      <c r="H220" s="1542">
        <f>'Part II-Development Team'!H70</f>
        <v>0</v>
      </c>
      <c r="I220" s="1542"/>
      <c r="J220" s="1541">
        <f>'Part II-Development Team'!J70</f>
        <v>0</v>
      </c>
      <c r="K220" s="1530" t="s">
        <v>1786</v>
      </c>
      <c r="L220" s="1546">
        <f>'Part II-Development Team'!L70</f>
        <v>0</v>
      </c>
      <c r="M220" s="1546"/>
      <c r="N220" s="1546"/>
      <c r="O220" s="1546"/>
      <c r="P220" s="1546"/>
      <c r="Q220" s="1546"/>
      <c r="R220" s="1546"/>
      <c r="S220" s="1546"/>
    </row>
    <row r="221" spans="1:19">
      <c r="A221" s="1534"/>
      <c r="B221" s="1534"/>
      <c r="C221" s="1534"/>
      <c r="D221" s="1534"/>
      <c r="E221" s="1534"/>
      <c r="F221" s="1534"/>
      <c r="G221" s="1534"/>
      <c r="H221" s="1542"/>
      <c r="I221" s="1542"/>
      <c r="J221" s="1542"/>
      <c r="K221" s="1530"/>
      <c r="L221" s="1542"/>
      <c r="M221" s="1542"/>
      <c r="N221" s="1530"/>
      <c r="O221" s="1542"/>
      <c r="P221" s="1542"/>
      <c r="Q221" s="1530"/>
      <c r="R221" s="1542"/>
      <c r="S221" s="1542"/>
    </row>
    <row r="222" spans="1:19">
      <c r="A222" s="1529"/>
      <c r="B222" s="1529" t="s">
        <v>1889</v>
      </c>
      <c r="C222" s="1529" t="s">
        <v>264</v>
      </c>
      <c r="D222" s="1529"/>
      <c r="E222" s="1529"/>
      <c r="F222" s="1529"/>
      <c r="G222" s="1529"/>
      <c r="H222" s="1529">
        <f>'Part II-Development Team'!H72</f>
        <v>0</v>
      </c>
      <c r="I222" s="1555"/>
      <c r="J222" s="1555"/>
      <c r="K222" s="1555"/>
      <c r="L222" s="1555"/>
      <c r="M222" s="1555"/>
      <c r="N222" s="1555"/>
      <c r="O222" s="1531" t="s">
        <v>1792</v>
      </c>
      <c r="P222" s="1531"/>
      <c r="Q222" s="1529">
        <f>'Part II-Development Team'!Q72</f>
        <v>0</v>
      </c>
      <c r="R222" s="1555"/>
      <c r="S222" s="1555"/>
    </row>
    <row r="223" spans="1:19">
      <c r="A223" s="1529"/>
      <c r="B223" s="1529"/>
      <c r="C223" s="1529"/>
      <c r="D223" s="1552"/>
      <c r="E223" s="1531" t="s">
        <v>945</v>
      </c>
      <c r="F223" s="1539"/>
      <c r="G223" s="1529"/>
      <c r="H223" s="1529">
        <f>'Part II-Development Team'!H73</f>
        <v>0</v>
      </c>
      <c r="I223" s="1555"/>
      <c r="J223" s="1555"/>
      <c r="K223" s="1555"/>
      <c r="L223" s="1555"/>
      <c r="M223" s="1555"/>
      <c r="N223" s="1555"/>
      <c r="O223" s="1531" t="s">
        <v>1575</v>
      </c>
      <c r="P223" s="1529"/>
      <c r="Q223" s="1529">
        <f>'Part II-Development Team'!Q73</f>
        <v>0</v>
      </c>
      <c r="R223" s="1555"/>
      <c r="S223" s="1555"/>
    </row>
    <row r="224" spans="1:19">
      <c r="A224" s="1529"/>
      <c r="B224" s="1529"/>
      <c r="C224" s="1529"/>
      <c r="D224" s="1552"/>
      <c r="E224" s="1531" t="s">
        <v>574</v>
      </c>
      <c r="F224" s="1529"/>
      <c r="G224" s="1529"/>
      <c r="H224" s="1529">
        <f>'Part II-Development Team'!H74</f>
        <v>0</v>
      </c>
      <c r="I224" s="1555"/>
      <c r="J224" s="1555"/>
      <c r="K224" s="1530" t="s">
        <v>2351</v>
      </c>
      <c r="L224" s="1529">
        <f>'Part II-Development Team'!L74</f>
        <v>0</v>
      </c>
      <c r="M224" s="1555"/>
      <c r="N224" s="1555"/>
      <c r="O224" s="1531" t="s">
        <v>1552</v>
      </c>
      <c r="P224" s="1529"/>
      <c r="Q224" s="1542">
        <f>'Part II-Development Team'!Q74</f>
        <v>0</v>
      </c>
      <c r="R224" s="1542"/>
      <c r="S224" s="1542"/>
    </row>
    <row r="225" spans="1:19">
      <c r="A225" s="1529"/>
      <c r="B225" s="1529"/>
      <c r="C225" s="1529"/>
      <c r="D225" s="1529"/>
      <c r="E225" s="1531" t="s">
        <v>1619</v>
      </c>
      <c r="F225" s="1529"/>
      <c r="G225" s="1529"/>
      <c r="H225" s="1531">
        <f>'Part II-Development Team'!H75</f>
        <v>0</v>
      </c>
      <c r="I225" s="1529"/>
      <c r="J225" s="1529"/>
      <c r="K225" s="1530" t="s">
        <v>1979</v>
      </c>
      <c r="L225" s="1544">
        <f>'Part II-Development Team'!L75</f>
        <v>0</v>
      </c>
      <c r="M225" s="1555"/>
      <c r="N225" s="1529"/>
      <c r="O225" s="1531" t="s">
        <v>1781</v>
      </c>
      <c r="P225" s="1529"/>
      <c r="Q225" s="1542">
        <f>'Part II-Development Team'!Q75</f>
        <v>0</v>
      </c>
      <c r="R225" s="1542"/>
      <c r="S225" s="1542"/>
    </row>
    <row r="226" spans="1:19">
      <c r="A226" s="1529"/>
      <c r="B226" s="1529"/>
      <c r="C226" s="1529"/>
      <c r="D226" s="1552"/>
      <c r="E226" s="1531" t="s">
        <v>1787</v>
      </c>
      <c r="F226" s="1529"/>
      <c r="G226" s="1529"/>
      <c r="H226" s="1542">
        <f>'Part II-Development Team'!H76</f>
        <v>0</v>
      </c>
      <c r="I226" s="1542"/>
      <c r="J226" s="1541">
        <f>'Part II-Development Team'!J76</f>
        <v>0</v>
      </c>
      <c r="K226" s="1530" t="s">
        <v>1786</v>
      </c>
      <c r="L226" s="1546">
        <f>'Part II-Development Team'!L76</f>
        <v>0</v>
      </c>
      <c r="M226" s="1546"/>
      <c r="N226" s="1546"/>
      <c r="O226" s="1546"/>
      <c r="P226" s="1546"/>
      <c r="Q226" s="1546"/>
      <c r="R226" s="1546"/>
      <c r="S226" s="1546"/>
    </row>
    <row r="227" spans="1:19">
      <c r="A227" s="1534"/>
      <c r="B227" s="1534"/>
      <c r="C227" s="1534"/>
      <c r="D227" s="1534"/>
      <c r="E227" s="1534"/>
      <c r="F227" s="1534"/>
      <c r="G227" s="1534"/>
      <c r="H227" s="1534"/>
      <c r="I227" s="1534"/>
      <c r="J227" s="1534"/>
      <c r="K227" s="1534"/>
      <c r="L227" s="1534"/>
      <c r="M227" s="1534"/>
      <c r="N227" s="1534"/>
      <c r="O227" s="1534"/>
      <c r="P227" s="1534"/>
      <c r="Q227" s="1534"/>
      <c r="R227" s="1534"/>
      <c r="S227" s="1534"/>
    </row>
    <row r="228" spans="1:19">
      <c r="A228" s="1531" t="s">
        <v>687</v>
      </c>
      <c r="B228" s="1531" t="s">
        <v>265</v>
      </c>
      <c r="C228" s="1531"/>
      <c r="D228" s="1531"/>
      <c r="E228" s="1531"/>
      <c r="F228" s="1531"/>
      <c r="G228" s="1531"/>
      <c r="H228" s="1531"/>
      <c r="I228" s="1531"/>
      <c r="J228" s="1531"/>
      <c r="K228" s="1531"/>
      <c r="L228" s="1531"/>
      <c r="M228" s="1531"/>
      <c r="N228" s="1531"/>
      <c r="O228" s="1531"/>
      <c r="P228" s="1531"/>
      <c r="Q228" s="1531"/>
      <c r="R228" s="1531"/>
      <c r="S228" s="1531"/>
    </row>
    <row r="229" spans="1:19">
      <c r="A229" s="1531"/>
      <c r="B229" s="1531"/>
      <c r="C229" s="1531"/>
      <c r="D229" s="1531"/>
      <c r="E229" s="1531"/>
      <c r="F229" s="1531"/>
      <c r="G229" s="1531"/>
      <c r="H229" s="1542"/>
      <c r="I229" s="1542"/>
      <c r="J229" s="1542"/>
      <c r="K229" s="1530"/>
      <c r="L229" s="1542"/>
      <c r="M229" s="1542"/>
      <c r="N229" s="1530"/>
      <c r="O229" s="1542"/>
      <c r="P229" s="1542"/>
      <c r="Q229" s="1530"/>
      <c r="R229" s="1542"/>
      <c r="S229" s="1542"/>
    </row>
    <row r="230" spans="1:19">
      <c r="A230" s="1529"/>
      <c r="B230" s="1529" t="s">
        <v>1785</v>
      </c>
      <c r="C230" s="1529" t="s">
        <v>266</v>
      </c>
      <c r="D230" s="1529"/>
      <c r="E230" s="1529"/>
      <c r="F230" s="1529"/>
      <c r="G230" s="1529"/>
      <c r="H230" s="1529">
        <f>'Part II-Development Team'!H80</f>
        <v>0</v>
      </c>
      <c r="I230" s="1555"/>
      <c r="J230" s="1555"/>
      <c r="K230" s="1555"/>
      <c r="L230" s="1555"/>
      <c r="M230" s="1555"/>
      <c r="N230" s="1555"/>
      <c r="O230" s="1531" t="s">
        <v>1792</v>
      </c>
      <c r="P230" s="1531"/>
      <c r="Q230" s="1529">
        <f>'Part II-Development Team'!Q80</f>
        <v>0</v>
      </c>
      <c r="R230" s="1555"/>
      <c r="S230" s="1555"/>
    </row>
    <row r="231" spans="1:19">
      <c r="A231" s="1529"/>
      <c r="B231" s="1529"/>
      <c r="C231" s="1529"/>
      <c r="D231" s="1552"/>
      <c r="E231" s="1531" t="s">
        <v>945</v>
      </c>
      <c r="F231" s="1539"/>
      <c r="G231" s="1529"/>
      <c r="H231" s="1529">
        <f>'Part II-Development Team'!H81</f>
        <v>0</v>
      </c>
      <c r="I231" s="1555"/>
      <c r="J231" s="1555"/>
      <c r="K231" s="1555"/>
      <c r="L231" s="1555"/>
      <c r="M231" s="1555"/>
      <c r="N231" s="1555"/>
      <c r="O231" s="1531" t="s">
        <v>1575</v>
      </c>
      <c r="P231" s="1529"/>
      <c r="Q231" s="1529">
        <f>'Part II-Development Team'!Q81</f>
        <v>0</v>
      </c>
      <c r="R231" s="1555"/>
      <c r="S231" s="1555"/>
    </row>
    <row r="232" spans="1:19">
      <c r="A232" s="1529"/>
      <c r="B232" s="1529"/>
      <c r="C232" s="1529"/>
      <c r="D232" s="1552"/>
      <c r="E232" s="1531" t="s">
        <v>574</v>
      </c>
      <c r="F232" s="1529"/>
      <c r="G232" s="1529"/>
      <c r="H232" s="1529">
        <f>'Part II-Development Team'!H82</f>
        <v>0</v>
      </c>
      <c r="I232" s="1555"/>
      <c r="J232" s="1555"/>
      <c r="K232" s="1530" t="s">
        <v>2351</v>
      </c>
      <c r="L232" s="1529">
        <f>'Part II-Development Team'!L82</f>
        <v>0</v>
      </c>
      <c r="M232" s="1555"/>
      <c r="N232" s="1555"/>
      <c r="O232" s="1531" t="s">
        <v>1552</v>
      </c>
      <c r="P232" s="1529"/>
      <c r="Q232" s="1542">
        <f>'Part II-Development Team'!Q82</f>
        <v>0</v>
      </c>
      <c r="R232" s="1542"/>
      <c r="S232" s="1542"/>
    </row>
    <row r="233" spans="1:19">
      <c r="A233" s="1529"/>
      <c r="B233" s="1529"/>
      <c r="C233" s="1529"/>
      <c r="D233" s="1529"/>
      <c r="E233" s="1531" t="s">
        <v>1619</v>
      </c>
      <c r="F233" s="1529"/>
      <c r="G233" s="1529"/>
      <c r="H233" s="1531">
        <f>'Part II-Development Team'!H83</f>
        <v>0</v>
      </c>
      <c r="I233" s="1529"/>
      <c r="J233" s="1529"/>
      <c r="K233" s="1530" t="s">
        <v>1979</v>
      </c>
      <c r="L233" s="1544">
        <f>'Part II-Development Team'!L83</f>
        <v>0</v>
      </c>
      <c r="M233" s="1555"/>
      <c r="N233" s="1529"/>
      <c r="O233" s="1531" t="s">
        <v>1781</v>
      </c>
      <c r="P233" s="1529"/>
      <c r="Q233" s="1542">
        <f>'Part II-Development Team'!Q83</f>
        <v>0</v>
      </c>
      <c r="R233" s="1542"/>
      <c r="S233" s="1542"/>
    </row>
    <row r="234" spans="1:19">
      <c r="A234" s="1529"/>
      <c r="B234" s="1529"/>
      <c r="C234" s="1529"/>
      <c r="D234" s="1552"/>
      <c r="E234" s="1531" t="s">
        <v>1787</v>
      </c>
      <c r="F234" s="1529"/>
      <c r="G234" s="1529"/>
      <c r="H234" s="1542">
        <f>'Part II-Development Team'!H84</f>
        <v>0</v>
      </c>
      <c r="I234" s="1542"/>
      <c r="J234" s="1541">
        <f>'Part II-Development Team'!J84</f>
        <v>0</v>
      </c>
      <c r="K234" s="1530" t="s">
        <v>1786</v>
      </c>
      <c r="L234" s="1546">
        <f>'Part II-Development Team'!L84</f>
        <v>0</v>
      </c>
      <c r="M234" s="1546"/>
      <c r="N234" s="1546"/>
      <c r="O234" s="1546"/>
      <c r="P234" s="1546"/>
      <c r="Q234" s="1546"/>
      <c r="R234" s="1546"/>
      <c r="S234" s="1546"/>
    </row>
    <row r="235" spans="1:19">
      <c r="A235" s="1534"/>
      <c r="B235" s="1534"/>
      <c r="C235" s="1534"/>
      <c r="D235" s="1534"/>
      <c r="E235" s="1534"/>
      <c r="F235" s="1534"/>
      <c r="G235" s="1534"/>
      <c r="H235" s="1542"/>
      <c r="I235" s="1542"/>
      <c r="J235" s="1542"/>
      <c r="K235" s="1530"/>
      <c r="L235" s="1542"/>
      <c r="M235" s="1542"/>
      <c r="N235" s="1530"/>
      <c r="O235" s="1542"/>
      <c r="P235" s="1542"/>
      <c r="Q235" s="1530"/>
      <c r="R235" s="1542"/>
      <c r="S235" s="1542"/>
    </row>
    <row r="236" spans="1:19">
      <c r="A236" s="1529"/>
      <c r="B236" s="1529" t="s">
        <v>1788</v>
      </c>
      <c r="C236" s="1529" t="s">
        <v>267</v>
      </c>
      <c r="D236" s="1529"/>
      <c r="E236" s="1529"/>
      <c r="F236" s="1529"/>
      <c r="G236" s="1529"/>
      <c r="H236" s="1529">
        <f>'Part II-Development Team'!H86</f>
        <v>0</v>
      </c>
      <c r="I236" s="1555"/>
      <c r="J236" s="1555"/>
      <c r="K236" s="1555"/>
      <c r="L236" s="1555"/>
      <c r="M236" s="1555"/>
      <c r="N236" s="1555"/>
      <c r="O236" s="1531" t="s">
        <v>1792</v>
      </c>
      <c r="P236" s="1531"/>
      <c r="Q236" s="1529">
        <f>'Part II-Development Team'!Q86</f>
        <v>0</v>
      </c>
      <c r="R236" s="1555"/>
      <c r="S236" s="1555"/>
    </row>
    <row r="237" spans="1:19">
      <c r="A237" s="1529"/>
      <c r="B237" s="1529"/>
      <c r="C237" s="1529"/>
      <c r="D237" s="1552"/>
      <c r="E237" s="1531" t="s">
        <v>945</v>
      </c>
      <c r="F237" s="1539"/>
      <c r="G237" s="1529"/>
      <c r="H237" s="1529">
        <f>'Part II-Development Team'!H87</f>
        <v>0</v>
      </c>
      <c r="I237" s="1555"/>
      <c r="J237" s="1555"/>
      <c r="K237" s="1555"/>
      <c r="L237" s="1555"/>
      <c r="M237" s="1555"/>
      <c r="N237" s="1555"/>
      <c r="O237" s="1531" t="s">
        <v>1575</v>
      </c>
      <c r="P237" s="1529"/>
      <c r="Q237" s="1529">
        <f>'Part II-Development Team'!Q87</f>
        <v>0</v>
      </c>
      <c r="R237" s="1555"/>
      <c r="S237" s="1555"/>
    </row>
    <row r="238" spans="1:19">
      <c r="A238" s="1529"/>
      <c r="B238" s="1529"/>
      <c r="C238" s="1529"/>
      <c r="D238" s="1552"/>
      <c r="E238" s="1531" t="s">
        <v>574</v>
      </c>
      <c r="F238" s="1529"/>
      <c r="G238" s="1529"/>
      <c r="H238" s="1529">
        <f>'Part II-Development Team'!H88</f>
        <v>0</v>
      </c>
      <c r="I238" s="1555"/>
      <c r="J238" s="1555"/>
      <c r="K238" s="1530" t="s">
        <v>2351</v>
      </c>
      <c r="L238" s="1529">
        <f>'Part II-Development Team'!L88</f>
        <v>0</v>
      </c>
      <c r="M238" s="1555"/>
      <c r="N238" s="1555"/>
      <c r="O238" s="1531" t="s">
        <v>1552</v>
      </c>
      <c r="P238" s="1529"/>
      <c r="Q238" s="1542">
        <f>'Part II-Development Team'!Q88</f>
        <v>0</v>
      </c>
      <c r="R238" s="1542"/>
      <c r="S238" s="1542"/>
    </row>
    <row r="239" spans="1:19">
      <c r="A239" s="1529"/>
      <c r="B239" s="1529"/>
      <c r="C239" s="1529"/>
      <c r="D239" s="1529"/>
      <c r="E239" s="1531" t="s">
        <v>1619</v>
      </c>
      <c r="F239" s="1529"/>
      <c r="G239" s="1529"/>
      <c r="H239" s="1531">
        <f>'Part II-Development Team'!H89</f>
        <v>0</v>
      </c>
      <c r="I239" s="1529"/>
      <c r="J239" s="1529"/>
      <c r="K239" s="1530" t="s">
        <v>1979</v>
      </c>
      <c r="L239" s="1544">
        <f>'Part II-Development Team'!L89</f>
        <v>0</v>
      </c>
      <c r="M239" s="1555"/>
      <c r="N239" s="1529"/>
      <c r="O239" s="1531" t="s">
        <v>1781</v>
      </c>
      <c r="P239" s="1529"/>
      <c r="Q239" s="1542">
        <f>'Part II-Development Team'!Q89</f>
        <v>0</v>
      </c>
      <c r="R239" s="1542"/>
      <c r="S239" s="1542"/>
    </row>
    <row r="240" spans="1:19">
      <c r="A240" s="1529"/>
      <c r="B240" s="1529"/>
      <c r="C240" s="1529"/>
      <c r="D240" s="1552"/>
      <c r="E240" s="1531" t="s">
        <v>1787</v>
      </c>
      <c r="F240" s="1529"/>
      <c r="G240" s="1529"/>
      <c r="H240" s="1542">
        <f>'Part II-Development Team'!H90</f>
        <v>0</v>
      </c>
      <c r="I240" s="1542"/>
      <c r="J240" s="1541">
        <f>'Part II-Development Team'!J90</f>
        <v>0</v>
      </c>
      <c r="K240" s="1530" t="s">
        <v>1786</v>
      </c>
      <c r="L240" s="1546">
        <f>'Part II-Development Team'!L90</f>
        <v>0</v>
      </c>
      <c r="M240" s="1546"/>
      <c r="N240" s="1546"/>
      <c r="O240" s="1546"/>
      <c r="P240" s="1546"/>
      <c r="Q240" s="1546"/>
      <c r="R240" s="1546"/>
      <c r="S240" s="1546"/>
    </row>
    <row r="241" spans="1:19">
      <c r="A241" s="1534"/>
      <c r="B241" s="1534"/>
      <c r="C241" s="1534"/>
      <c r="D241" s="1534"/>
      <c r="E241" s="1534"/>
      <c r="F241" s="1534"/>
      <c r="G241" s="1534"/>
      <c r="H241" s="1542"/>
      <c r="I241" s="1542"/>
      <c r="J241" s="1542"/>
      <c r="K241" s="1530"/>
      <c r="L241" s="1542"/>
      <c r="M241" s="1542"/>
      <c r="N241" s="1530"/>
      <c r="O241" s="1542"/>
      <c r="P241" s="1542"/>
      <c r="Q241" s="1530"/>
      <c r="R241" s="1542"/>
      <c r="S241" s="1542"/>
    </row>
    <row r="242" spans="1:19">
      <c r="A242" s="1529"/>
      <c r="B242" s="1529" t="s">
        <v>694</v>
      </c>
      <c r="C242" s="1529" t="s">
        <v>268</v>
      </c>
      <c r="D242" s="1529"/>
      <c r="E242" s="1529"/>
      <c r="F242" s="1534"/>
      <c r="G242" s="1529"/>
      <c r="H242" s="1529">
        <f>'Part II-Development Team'!H92</f>
        <v>0</v>
      </c>
      <c r="I242" s="1555"/>
      <c r="J242" s="1555"/>
      <c r="K242" s="1555"/>
      <c r="L242" s="1555"/>
      <c r="M242" s="1555"/>
      <c r="N242" s="1555"/>
      <c r="O242" s="1531" t="s">
        <v>1792</v>
      </c>
      <c r="P242" s="1531"/>
      <c r="Q242" s="1529">
        <f>'Part II-Development Team'!Q92</f>
        <v>0</v>
      </c>
      <c r="R242" s="1555"/>
      <c r="S242" s="1555"/>
    </row>
    <row r="243" spans="1:19">
      <c r="A243" s="1529"/>
      <c r="B243" s="1529"/>
      <c r="C243" s="1529"/>
      <c r="D243" s="1552"/>
      <c r="E243" s="1531" t="s">
        <v>945</v>
      </c>
      <c r="F243" s="1539"/>
      <c r="G243" s="1529"/>
      <c r="H243" s="1529">
        <f>'Part II-Development Team'!H93</f>
        <v>0</v>
      </c>
      <c r="I243" s="1555"/>
      <c r="J243" s="1555"/>
      <c r="K243" s="1555"/>
      <c r="L243" s="1555"/>
      <c r="M243" s="1555"/>
      <c r="N243" s="1555"/>
      <c r="O243" s="1531" t="s">
        <v>1575</v>
      </c>
      <c r="P243" s="1529"/>
      <c r="Q243" s="1529">
        <f>'Part II-Development Team'!Q93</f>
        <v>0</v>
      </c>
      <c r="R243" s="1555"/>
      <c r="S243" s="1555"/>
    </row>
    <row r="244" spans="1:19">
      <c r="A244" s="1529"/>
      <c r="B244" s="1529"/>
      <c r="C244" s="1529"/>
      <c r="D244" s="1552"/>
      <c r="E244" s="1531" t="s">
        <v>574</v>
      </c>
      <c r="F244" s="1529"/>
      <c r="G244" s="1529"/>
      <c r="H244" s="1529">
        <f>'Part II-Development Team'!H94</f>
        <v>0</v>
      </c>
      <c r="I244" s="1555"/>
      <c r="J244" s="1555"/>
      <c r="K244" s="1530" t="s">
        <v>2351</v>
      </c>
      <c r="L244" s="1529">
        <f>'Part II-Development Team'!L94</f>
        <v>0</v>
      </c>
      <c r="M244" s="1555"/>
      <c r="N244" s="1555"/>
      <c r="O244" s="1531" t="s">
        <v>1552</v>
      </c>
      <c r="P244" s="1529"/>
      <c r="Q244" s="1542">
        <f>'Part II-Development Team'!Q94</f>
        <v>0</v>
      </c>
      <c r="R244" s="1542"/>
      <c r="S244" s="1542"/>
    </row>
    <row r="245" spans="1:19">
      <c r="A245" s="1529"/>
      <c r="B245" s="1529"/>
      <c r="C245" s="1529"/>
      <c r="D245" s="1552"/>
      <c r="E245" s="1531" t="s">
        <v>1619</v>
      </c>
      <c r="F245" s="1529"/>
      <c r="G245" s="1529"/>
      <c r="H245" s="1531">
        <f>'Part II-Development Team'!H95</f>
        <v>0</v>
      </c>
      <c r="I245" s="1529"/>
      <c r="J245" s="1529"/>
      <c r="K245" s="1530" t="s">
        <v>1979</v>
      </c>
      <c r="L245" s="1544">
        <f>'Part II-Development Team'!L95</f>
        <v>0</v>
      </c>
      <c r="M245" s="1555"/>
      <c r="N245" s="1529"/>
      <c r="O245" s="1531" t="s">
        <v>1781</v>
      </c>
      <c r="P245" s="1529"/>
      <c r="Q245" s="1542">
        <f>'Part II-Development Team'!Q95</f>
        <v>0</v>
      </c>
      <c r="R245" s="1542"/>
      <c r="S245" s="1542"/>
    </row>
    <row r="246" spans="1:19">
      <c r="A246" s="1529"/>
      <c r="B246" s="1529"/>
      <c r="C246" s="1529"/>
      <c r="D246" s="1552"/>
      <c r="E246" s="1531" t="s">
        <v>1787</v>
      </c>
      <c r="F246" s="1529"/>
      <c r="G246" s="1529"/>
      <c r="H246" s="1542">
        <f>'Part II-Development Team'!H96</f>
        <v>0</v>
      </c>
      <c r="I246" s="1542"/>
      <c r="J246" s="1541">
        <f>'Part II-Development Team'!J96</f>
        <v>0</v>
      </c>
      <c r="K246" s="1530" t="s">
        <v>1786</v>
      </c>
      <c r="L246" s="1546">
        <f>'Part II-Development Team'!L96</f>
        <v>0</v>
      </c>
      <c r="M246" s="1546"/>
      <c r="N246" s="1546"/>
      <c r="O246" s="1546"/>
      <c r="P246" s="1546"/>
      <c r="Q246" s="1546"/>
      <c r="R246" s="1546"/>
      <c r="S246" s="1546"/>
    </row>
    <row r="247" spans="1:19">
      <c r="A247" s="1534"/>
      <c r="B247" s="1534"/>
      <c r="C247" s="1534"/>
      <c r="D247" s="1534"/>
      <c r="E247" s="1534"/>
      <c r="F247" s="1534"/>
      <c r="G247" s="1534"/>
      <c r="H247" s="1542"/>
      <c r="I247" s="1542"/>
      <c r="J247" s="1542"/>
      <c r="K247" s="1530"/>
      <c r="L247" s="1542"/>
      <c r="M247" s="1542"/>
      <c r="N247" s="1530"/>
      <c r="O247" s="1542"/>
      <c r="P247" s="1542"/>
      <c r="Q247" s="1530"/>
      <c r="R247" s="1542"/>
      <c r="S247" s="1542"/>
    </row>
    <row r="248" spans="1:19">
      <c r="A248" s="1529"/>
      <c r="B248" s="1529" t="s">
        <v>1889</v>
      </c>
      <c r="C248" s="1529" t="s">
        <v>269</v>
      </c>
      <c r="D248" s="1529"/>
      <c r="E248" s="1529"/>
      <c r="F248" s="1529"/>
      <c r="G248" s="1529"/>
      <c r="H248" s="1529">
        <f>'Part II-Development Team'!H98</f>
        <v>0</v>
      </c>
      <c r="I248" s="1555"/>
      <c r="J248" s="1555"/>
      <c r="K248" s="1555"/>
      <c r="L248" s="1555"/>
      <c r="M248" s="1555"/>
      <c r="N248" s="1555"/>
      <c r="O248" s="1531" t="s">
        <v>1792</v>
      </c>
      <c r="P248" s="1531"/>
      <c r="Q248" s="1529">
        <f>'Part II-Development Team'!Q98</f>
        <v>0</v>
      </c>
      <c r="R248" s="1555"/>
      <c r="S248" s="1555"/>
    </row>
    <row r="249" spans="1:19">
      <c r="A249" s="1529"/>
      <c r="B249" s="1529"/>
      <c r="C249" s="1529"/>
      <c r="D249" s="1552"/>
      <c r="E249" s="1531" t="s">
        <v>945</v>
      </c>
      <c r="F249" s="1539"/>
      <c r="G249" s="1529"/>
      <c r="H249" s="1529">
        <f>'Part II-Development Team'!H99</f>
        <v>0</v>
      </c>
      <c r="I249" s="1555"/>
      <c r="J249" s="1555"/>
      <c r="K249" s="1555"/>
      <c r="L249" s="1555"/>
      <c r="M249" s="1555"/>
      <c r="N249" s="1555"/>
      <c r="O249" s="1531" t="s">
        <v>1575</v>
      </c>
      <c r="P249" s="1529"/>
      <c r="Q249" s="1529">
        <f>'Part II-Development Team'!Q99</f>
        <v>0</v>
      </c>
      <c r="R249" s="1555"/>
      <c r="S249" s="1555"/>
    </row>
    <row r="250" spans="1:19">
      <c r="A250" s="1529"/>
      <c r="B250" s="1529"/>
      <c r="C250" s="1529"/>
      <c r="D250" s="1552"/>
      <c r="E250" s="1531" t="s">
        <v>574</v>
      </c>
      <c r="F250" s="1529"/>
      <c r="G250" s="1529"/>
      <c r="H250" s="1529">
        <f>'Part II-Development Team'!H100</f>
        <v>0</v>
      </c>
      <c r="I250" s="1555"/>
      <c r="J250" s="1555"/>
      <c r="K250" s="1530" t="s">
        <v>2351</v>
      </c>
      <c r="L250" s="1529">
        <f>'Part II-Development Team'!L100</f>
        <v>0</v>
      </c>
      <c r="M250" s="1555"/>
      <c r="N250" s="1555"/>
      <c r="O250" s="1531" t="s">
        <v>1552</v>
      </c>
      <c r="P250" s="1529"/>
      <c r="Q250" s="1542">
        <f>'Part II-Development Team'!Q100</f>
        <v>0</v>
      </c>
      <c r="R250" s="1542"/>
      <c r="S250" s="1542"/>
    </row>
    <row r="251" spans="1:19">
      <c r="A251" s="1529"/>
      <c r="B251" s="1529"/>
      <c r="C251" s="1529"/>
      <c r="D251" s="1552"/>
      <c r="E251" s="1531" t="s">
        <v>1619</v>
      </c>
      <c r="F251" s="1529"/>
      <c r="G251" s="1529"/>
      <c r="H251" s="1531">
        <f>'Part II-Development Team'!H101</f>
        <v>0</v>
      </c>
      <c r="I251" s="1529"/>
      <c r="J251" s="1529"/>
      <c r="K251" s="1530" t="s">
        <v>1979</v>
      </c>
      <c r="L251" s="1544">
        <f>'Part II-Development Team'!L101</f>
        <v>0</v>
      </c>
      <c r="M251" s="1555"/>
      <c r="N251" s="1529"/>
      <c r="O251" s="1531" t="s">
        <v>1781</v>
      </c>
      <c r="P251" s="1529"/>
      <c r="Q251" s="1542">
        <f>'Part II-Development Team'!Q101</f>
        <v>0</v>
      </c>
      <c r="R251" s="1542"/>
      <c r="S251" s="1542"/>
    </row>
    <row r="252" spans="1:19">
      <c r="A252" s="1534"/>
      <c r="B252" s="1534"/>
      <c r="C252" s="1534"/>
      <c r="D252" s="1534"/>
      <c r="E252" s="1531" t="s">
        <v>1787</v>
      </c>
      <c r="F252" s="1529"/>
      <c r="G252" s="1529"/>
      <c r="H252" s="1542">
        <f>'Part II-Development Team'!H102</f>
        <v>0</v>
      </c>
      <c r="I252" s="1542"/>
      <c r="J252" s="1541">
        <f>'Part II-Development Team'!J102</f>
        <v>0</v>
      </c>
      <c r="K252" s="1530" t="s">
        <v>1786</v>
      </c>
      <c r="L252" s="1546">
        <f>'Part II-Development Team'!L102</f>
        <v>0</v>
      </c>
      <c r="M252" s="1546"/>
      <c r="N252" s="1546"/>
      <c r="O252" s="1546"/>
      <c r="P252" s="1546"/>
      <c r="Q252" s="1546"/>
      <c r="R252" s="1546"/>
      <c r="S252" s="1546"/>
    </row>
    <row r="253" spans="1:19">
      <c r="A253" s="1534"/>
      <c r="B253" s="1534"/>
      <c r="C253" s="1534"/>
      <c r="D253" s="1534"/>
      <c r="E253" s="1531"/>
      <c r="F253" s="1529"/>
      <c r="G253" s="1529"/>
      <c r="H253" s="1529"/>
      <c r="I253" s="1529"/>
      <c r="J253" s="1529"/>
      <c r="K253" s="1529"/>
      <c r="L253" s="1529"/>
      <c r="M253" s="1529"/>
      <c r="N253" s="1529"/>
      <c r="O253" s="1529"/>
      <c r="P253" s="1529"/>
      <c r="Q253" s="1530"/>
      <c r="R253" s="1530"/>
      <c r="S253" s="1534"/>
    </row>
    <row r="254" spans="1:19">
      <c r="A254" s="1529"/>
      <c r="B254" s="1529" t="s">
        <v>1563</v>
      </c>
      <c r="C254" s="1529" t="s">
        <v>270</v>
      </c>
      <c r="D254" s="1529"/>
      <c r="E254" s="1529"/>
      <c r="F254" s="1529"/>
      <c r="G254" s="1529"/>
      <c r="H254" s="1529">
        <f>'Part II-Development Team'!H104</f>
        <v>0</v>
      </c>
      <c r="I254" s="1555"/>
      <c r="J254" s="1555"/>
      <c r="K254" s="1555"/>
      <c r="L254" s="1555"/>
      <c r="M254" s="1555"/>
      <c r="N254" s="1555"/>
      <c r="O254" s="1531" t="s">
        <v>1792</v>
      </c>
      <c r="P254" s="1531"/>
      <c r="Q254" s="1529">
        <f>'Part II-Development Team'!Q104</f>
        <v>0</v>
      </c>
      <c r="R254" s="1555"/>
      <c r="S254" s="1555"/>
    </row>
    <row r="255" spans="1:19">
      <c r="A255" s="1529"/>
      <c r="B255" s="1529"/>
      <c r="C255" s="1529"/>
      <c r="D255" s="1552"/>
      <c r="E255" s="1531" t="s">
        <v>945</v>
      </c>
      <c r="F255" s="1539"/>
      <c r="G255" s="1529"/>
      <c r="H255" s="1529">
        <f>'Part II-Development Team'!H105</f>
        <v>0</v>
      </c>
      <c r="I255" s="1555"/>
      <c r="J255" s="1555"/>
      <c r="K255" s="1555"/>
      <c r="L255" s="1555"/>
      <c r="M255" s="1555"/>
      <c r="N255" s="1555"/>
      <c r="O255" s="1531" t="s">
        <v>1575</v>
      </c>
      <c r="P255" s="1529"/>
      <c r="Q255" s="1529">
        <f>'Part II-Development Team'!Q105</f>
        <v>0</v>
      </c>
      <c r="R255" s="1555"/>
      <c r="S255" s="1555"/>
    </row>
    <row r="256" spans="1:19">
      <c r="A256" s="1529"/>
      <c r="B256" s="1529"/>
      <c r="C256" s="1529"/>
      <c r="D256" s="1552"/>
      <c r="E256" s="1531" t="s">
        <v>574</v>
      </c>
      <c r="F256" s="1529"/>
      <c r="G256" s="1529"/>
      <c r="H256" s="1529">
        <f>'Part II-Development Team'!H106</f>
        <v>0</v>
      </c>
      <c r="I256" s="1555"/>
      <c r="J256" s="1555"/>
      <c r="K256" s="1530" t="s">
        <v>2351</v>
      </c>
      <c r="L256" s="1529">
        <f>'Part II-Development Team'!L106</f>
        <v>0</v>
      </c>
      <c r="M256" s="1555"/>
      <c r="N256" s="1555"/>
      <c r="O256" s="1531" t="s">
        <v>1552</v>
      </c>
      <c r="P256" s="1529"/>
      <c r="Q256" s="1542">
        <f>'Part II-Development Team'!Q106</f>
        <v>0</v>
      </c>
      <c r="R256" s="1542"/>
      <c r="S256" s="1542"/>
    </row>
    <row r="257" spans="1:19">
      <c r="A257" s="1529"/>
      <c r="B257" s="1529"/>
      <c r="C257" s="1529"/>
      <c r="D257" s="1552"/>
      <c r="E257" s="1531" t="s">
        <v>1619</v>
      </c>
      <c r="F257" s="1529"/>
      <c r="G257" s="1529"/>
      <c r="H257" s="1531">
        <f>'Part II-Development Team'!H107</f>
        <v>0</v>
      </c>
      <c r="I257" s="1529"/>
      <c r="J257" s="1529"/>
      <c r="K257" s="1530" t="s">
        <v>1979</v>
      </c>
      <c r="L257" s="1544">
        <f>'Part II-Development Team'!L107</f>
        <v>0</v>
      </c>
      <c r="M257" s="1555"/>
      <c r="N257" s="1529"/>
      <c r="O257" s="1531" t="s">
        <v>1781</v>
      </c>
      <c r="P257" s="1529"/>
      <c r="Q257" s="1542">
        <f>'Part II-Development Team'!Q107</f>
        <v>0</v>
      </c>
      <c r="R257" s="1542"/>
      <c r="S257" s="1542"/>
    </row>
    <row r="258" spans="1:19">
      <c r="A258" s="1534"/>
      <c r="B258" s="1534"/>
      <c r="C258" s="1534"/>
      <c r="D258" s="1534"/>
      <c r="E258" s="1531" t="s">
        <v>1787</v>
      </c>
      <c r="F258" s="1529"/>
      <c r="G258" s="1529"/>
      <c r="H258" s="1542">
        <f>'Part II-Development Team'!H108</f>
        <v>0</v>
      </c>
      <c r="I258" s="1542"/>
      <c r="J258" s="1541">
        <f>'Part II-Development Team'!J108</f>
        <v>0</v>
      </c>
      <c r="K258" s="1530" t="s">
        <v>1786</v>
      </c>
      <c r="L258" s="1546">
        <f>'Part II-Development Team'!L108</f>
        <v>0</v>
      </c>
      <c r="M258" s="1546"/>
      <c r="N258" s="1546"/>
      <c r="O258" s="1546"/>
      <c r="P258" s="1546"/>
      <c r="Q258" s="1546"/>
      <c r="R258" s="1546"/>
      <c r="S258" s="1546"/>
    </row>
    <row r="259" spans="1:19">
      <c r="A259" s="1534"/>
      <c r="B259" s="1534"/>
      <c r="C259" s="1534"/>
      <c r="D259" s="1534"/>
      <c r="E259" s="1531"/>
      <c r="F259" s="1529"/>
      <c r="G259" s="1529"/>
      <c r="H259" s="1542"/>
      <c r="I259" s="1542"/>
      <c r="J259" s="1542"/>
      <c r="K259" s="1530"/>
      <c r="L259" s="1542"/>
      <c r="M259" s="1542"/>
      <c r="N259" s="1530"/>
      <c r="O259" s="1542"/>
      <c r="P259" s="1542"/>
      <c r="Q259" s="1530"/>
      <c r="R259" s="1542"/>
      <c r="S259" s="1542"/>
    </row>
    <row r="260" spans="1:19">
      <c r="A260" s="1529"/>
      <c r="B260" s="1529" t="s">
        <v>1564</v>
      </c>
      <c r="C260" s="1529" t="s">
        <v>271</v>
      </c>
      <c r="D260" s="1529"/>
      <c r="E260" s="1529"/>
      <c r="F260" s="1529"/>
      <c r="G260" s="1529"/>
      <c r="H260" s="1529">
        <f>'Part II-Development Team'!H110</f>
        <v>0</v>
      </c>
      <c r="I260" s="1555"/>
      <c r="J260" s="1555"/>
      <c r="K260" s="1555"/>
      <c r="L260" s="1555"/>
      <c r="M260" s="1555"/>
      <c r="N260" s="1555"/>
      <c r="O260" s="1531" t="s">
        <v>1792</v>
      </c>
      <c r="P260" s="1531"/>
      <c r="Q260" s="1529">
        <f>'Part II-Development Team'!Q110</f>
        <v>0</v>
      </c>
      <c r="R260" s="1555"/>
      <c r="S260" s="1555"/>
    </row>
    <row r="261" spans="1:19">
      <c r="A261" s="1529"/>
      <c r="B261" s="1529"/>
      <c r="C261" s="1529"/>
      <c r="D261" s="1552"/>
      <c r="E261" s="1531" t="s">
        <v>945</v>
      </c>
      <c r="F261" s="1539"/>
      <c r="G261" s="1529"/>
      <c r="H261" s="1529">
        <f>'Part II-Development Team'!H111</f>
        <v>0</v>
      </c>
      <c r="I261" s="1555"/>
      <c r="J261" s="1555"/>
      <c r="K261" s="1555"/>
      <c r="L261" s="1555"/>
      <c r="M261" s="1555"/>
      <c r="N261" s="1555"/>
      <c r="O261" s="1531" t="s">
        <v>1575</v>
      </c>
      <c r="P261" s="1529"/>
      <c r="Q261" s="1529">
        <f>'Part II-Development Team'!Q111</f>
        <v>0</v>
      </c>
      <c r="R261" s="1555"/>
      <c r="S261" s="1555"/>
    </row>
    <row r="262" spans="1:19">
      <c r="A262" s="1529"/>
      <c r="B262" s="1529"/>
      <c r="C262" s="1529"/>
      <c r="D262" s="1552"/>
      <c r="E262" s="1531" t="s">
        <v>574</v>
      </c>
      <c r="F262" s="1529"/>
      <c r="G262" s="1529"/>
      <c r="H262" s="1529">
        <f>'Part II-Development Team'!H112</f>
        <v>0</v>
      </c>
      <c r="I262" s="1555"/>
      <c r="J262" s="1555"/>
      <c r="K262" s="1530" t="s">
        <v>2351</v>
      </c>
      <c r="L262" s="1529">
        <f>'Part II-Development Team'!L112</f>
        <v>0</v>
      </c>
      <c r="M262" s="1555"/>
      <c r="N262" s="1555"/>
      <c r="O262" s="1531" t="s">
        <v>1552</v>
      </c>
      <c r="P262" s="1529"/>
      <c r="Q262" s="1542">
        <f>'Part II-Development Team'!Q112</f>
        <v>0</v>
      </c>
      <c r="R262" s="1542"/>
      <c r="S262" s="1542"/>
    </row>
    <row r="263" spans="1:19">
      <c r="A263" s="1529"/>
      <c r="B263" s="1529"/>
      <c r="C263" s="1529"/>
      <c r="D263" s="1552"/>
      <c r="E263" s="1531" t="s">
        <v>1619</v>
      </c>
      <c r="F263" s="1529"/>
      <c r="G263" s="1529"/>
      <c r="H263" s="1531">
        <f>'Part II-Development Team'!H113</f>
        <v>0</v>
      </c>
      <c r="I263" s="1529"/>
      <c r="J263" s="1529"/>
      <c r="K263" s="1530" t="s">
        <v>1979</v>
      </c>
      <c r="L263" s="1544">
        <f>'Part II-Development Team'!L113</f>
        <v>0</v>
      </c>
      <c r="M263" s="1555"/>
      <c r="N263" s="1529"/>
      <c r="O263" s="1531" t="s">
        <v>1781</v>
      </c>
      <c r="P263" s="1529"/>
      <c r="Q263" s="1542">
        <f>'Part II-Development Team'!Q113</f>
        <v>0</v>
      </c>
      <c r="R263" s="1542"/>
      <c r="S263" s="1542"/>
    </row>
    <row r="264" spans="1:19">
      <c r="A264" s="1529"/>
      <c r="B264" s="1529"/>
      <c r="C264" s="1529"/>
      <c r="D264" s="1552"/>
      <c r="E264" s="1531" t="s">
        <v>1787</v>
      </c>
      <c r="F264" s="1529"/>
      <c r="G264" s="1529"/>
      <c r="H264" s="1542">
        <f>'Part II-Development Team'!H114</f>
        <v>0</v>
      </c>
      <c r="I264" s="1542"/>
      <c r="J264" s="1541">
        <f>'Part II-Development Team'!J114</f>
        <v>0</v>
      </c>
      <c r="K264" s="1530" t="s">
        <v>1786</v>
      </c>
      <c r="L264" s="1546">
        <f>'Part II-Development Team'!L114</f>
        <v>0</v>
      </c>
      <c r="M264" s="1546"/>
      <c r="N264" s="1546"/>
      <c r="O264" s="1546"/>
      <c r="P264" s="1546"/>
      <c r="Q264" s="1546"/>
      <c r="R264" s="1546"/>
      <c r="S264" s="1546"/>
    </row>
    <row r="265" spans="1:19">
      <c r="A265" s="1534"/>
      <c r="B265" s="1534"/>
      <c r="C265" s="1534"/>
      <c r="D265" s="1534"/>
      <c r="E265" s="1534"/>
      <c r="F265" s="1534"/>
      <c r="G265" s="1534"/>
      <c r="H265" s="1534"/>
      <c r="I265" s="1534"/>
      <c r="J265" s="1534"/>
      <c r="K265" s="1534"/>
      <c r="L265" s="1534"/>
      <c r="M265" s="1534"/>
      <c r="N265" s="1534"/>
      <c r="O265" s="1534"/>
      <c r="P265" s="1534"/>
      <c r="Q265" s="1534"/>
      <c r="R265" s="1534"/>
      <c r="S265" s="1534"/>
    </row>
    <row r="266" spans="1:19">
      <c r="A266" s="1529" t="s">
        <v>1614</v>
      </c>
      <c r="B266" s="1529" t="s">
        <v>2312</v>
      </c>
      <c r="C266" s="1529"/>
      <c r="D266" s="1529"/>
      <c r="E266" s="1529"/>
      <c r="F266" s="1529"/>
      <c r="G266" s="1530"/>
      <c r="H266" s="1530"/>
      <c r="I266" s="1530"/>
      <c r="J266" s="1530"/>
      <c r="K266" s="1530"/>
      <c r="L266" s="1530"/>
      <c r="M266" s="1530"/>
      <c r="N266" s="1530"/>
      <c r="O266" s="1530"/>
      <c r="P266" s="1530"/>
      <c r="Q266" s="1530"/>
      <c r="R266" s="1529"/>
      <c r="S266" s="1529"/>
    </row>
    <row r="267" spans="1:19">
      <c r="A267" s="1529"/>
      <c r="B267" s="1529" t="s">
        <v>1785</v>
      </c>
      <c r="C267" s="1529" t="s">
        <v>3706</v>
      </c>
      <c r="D267" s="1529"/>
      <c r="E267" s="1529"/>
      <c r="F267" s="1529"/>
      <c r="G267" s="1529"/>
      <c r="H267" s="1529">
        <f>'Part II-Development Team'!H117</f>
        <v>0</v>
      </c>
      <c r="I267" s="1529"/>
      <c r="J267" s="1529"/>
      <c r="K267" s="1530" t="s">
        <v>2193</v>
      </c>
      <c r="L267" s="1529">
        <f>'Part II-Development Team'!L117</f>
        <v>0</v>
      </c>
      <c r="M267" s="1555"/>
      <c r="N267" s="1555"/>
      <c r="O267" s="1531" t="s">
        <v>3668</v>
      </c>
      <c r="P267" s="1529"/>
      <c r="Q267" s="1542">
        <f>'Part II-Development Team'!Q117</f>
        <v>0</v>
      </c>
      <c r="R267" s="1585"/>
      <c r="S267" s="1585"/>
    </row>
    <row r="268" spans="1:19">
      <c r="A268" s="1529"/>
      <c r="B268" s="1529"/>
      <c r="C268" s="1529"/>
      <c r="D268" s="1552"/>
      <c r="E268" s="1531" t="s">
        <v>945</v>
      </c>
      <c r="F268" s="1539"/>
      <c r="G268" s="1529"/>
      <c r="H268" s="1529">
        <f>'Part II-Development Team'!H118</f>
        <v>0</v>
      </c>
      <c r="I268" s="1555"/>
      <c r="J268" s="1555"/>
      <c r="K268" s="1555"/>
      <c r="L268" s="1555"/>
      <c r="M268" s="1555"/>
      <c r="N268" s="1555"/>
      <c r="O268" s="1531" t="s">
        <v>574</v>
      </c>
      <c r="P268" s="1529"/>
      <c r="Q268" s="1529">
        <f>'Part II-Development Team'!Q118</f>
        <v>0</v>
      </c>
      <c r="R268" s="1555"/>
      <c r="S268" s="1555"/>
    </row>
    <row r="269" spans="1:19">
      <c r="A269" s="1529"/>
      <c r="B269" s="1529"/>
      <c r="C269" s="1529"/>
      <c r="D269" s="1552"/>
      <c r="E269" s="1531" t="s">
        <v>1619</v>
      </c>
      <c r="F269" s="1529"/>
      <c r="G269" s="1529"/>
      <c r="H269" s="1531">
        <f>'Part II-Development Team'!H119</f>
        <v>0</v>
      </c>
      <c r="I269" s="1530" t="s">
        <v>1979</v>
      </c>
      <c r="J269" s="1544">
        <f>'Part II-Development Team'!J119</f>
        <v>0</v>
      </c>
      <c r="K269" s="1555"/>
      <c r="L269" s="1530" t="s">
        <v>1786</v>
      </c>
      <c r="M269" s="1546">
        <f>'Part II-Development Team'!M119</f>
        <v>0</v>
      </c>
      <c r="N269" s="1546"/>
      <c r="O269" s="1546"/>
      <c r="P269" s="1546"/>
      <c r="Q269" s="1546"/>
      <c r="R269" s="1546"/>
      <c r="S269" s="1546"/>
    </row>
    <row r="270" spans="1:19">
      <c r="A270" s="1534"/>
      <c r="B270" s="1529" t="s">
        <v>1788</v>
      </c>
      <c r="C270" s="1529" t="s">
        <v>3686</v>
      </c>
      <c r="D270" s="1534"/>
      <c r="E270" s="1534"/>
      <c r="F270" s="1534"/>
      <c r="G270" s="1534"/>
      <c r="H270" s="1570"/>
      <c r="I270" s="1570"/>
      <c r="J270" s="1570"/>
      <c r="K270" s="1570"/>
      <c r="L270" s="1570"/>
      <c r="M270" s="1570"/>
      <c r="N270" s="1570"/>
      <c r="O270" s="1570"/>
      <c r="P270" s="1570"/>
      <c r="Q270" s="1570"/>
      <c r="R270" s="1570"/>
      <c r="S270" s="1570"/>
    </row>
    <row r="271" spans="1:19" ht="13.5" customHeight="1">
      <c r="A271" s="1586" t="s">
        <v>3670</v>
      </c>
      <c r="B271" s="1586"/>
      <c r="C271" s="1586"/>
      <c r="D271" s="1586"/>
      <c r="E271" s="1586"/>
      <c r="F271" s="1530" t="s">
        <v>2223</v>
      </c>
      <c r="G271" s="1586" t="s">
        <v>3018</v>
      </c>
      <c r="H271" s="1586"/>
      <c r="I271" s="1586"/>
      <c r="J271" s="1586"/>
      <c r="K271" s="1586"/>
      <c r="L271" s="1586"/>
      <c r="M271" s="1586"/>
      <c r="N271" s="1586"/>
      <c r="O271" s="1586"/>
      <c r="P271" s="1586"/>
      <c r="Q271" s="1586"/>
      <c r="R271" s="1586"/>
      <c r="S271" s="1586"/>
    </row>
    <row r="272" spans="1:19" ht="13.5" customHeight="1">
      <c r="A272" s="1529"/>
      <c r="B272" s="1578"/>
      <c r="C272" s="1587" t="s">
        <v>1789</v>
      </c>
      <c r="D272" s="1570" t="s">
        <v>2411</v>
      </c>
      <c r="E272" s="1570"/>
      <c r="F272" s="1588" t="str">
        <f>'Part II-Development Team'!F122</f>
        <v>Select</v>
      </c>
      <c r="G272" s="1589">
        <f>'Part II-Development Team'!G122</f>
        <v>0</v>
      </c>
      <c r="H272" s="1589"/>
      <c r="I272" s="1589"/>
      <c r="J272" s="1589"/>
      <c r="K272" s="1589"/>
      <c r="L272" s="1589"/>
      <c r="M272" s="1589"/>
      <c r="N272" s="1589"/>
      <c r="O272" s="1589"/>
      <c r="P272" s="1589"/>
      <c r="Q272" s="1589"/>
      <c r="R272" s="1589"/>
      <c r="S272" s="1589"/>
    </row>
    <row r="273" spans="1:19" ht="13.5" customHeight="1">
      <c r="A273" s="1529"/>
      <c r="B273" s="1578"/>
      <c r="C273" s="1587" t="s">
        <v>1791</v>
      </c>
      <c r="D273" s="1570" t="s">
        <v>2458</v>
      </c>
      <c r="E273" s="1570"/>
      <c r="F273" s="1588" t="str">
        <f>'Part II-Development Team'!F123</f>
        <v>Select</v>
      </c>
      <c r="G273" s="1589">
        <f>'Part II-Development Team'!G123</f>
        <v>0</v>
      </c>
      <c r="H273" s="1589"/>
      <c r="I273" s="1589"/>
      <c r="J273" s="1589"/>
      <c r="K273" s="1589"/>
      <c r="L273" s="1589"/>
      <c r="M273" s="1589"/>
      <c r="N273" s="1589"/>
      <c r="O273" s="1589"/>
      <c r="P273" s="1589"/>
      <c r="Q273" s="1589"/>
      <c r="R273" s="1589"/>
      <c r="S273" s="1589"/>
    </row>
    <row r="274" spans="1:19" ht="13.5" customHeight="1">
      <c r="A274" s="1529"/>
      <c r="B274" s="1578"/>
      <c r="C274" s="1587" t="s">
        <v>2246</v>
      </c>
      <c r="D274" s="1570" t="s">
        <v>2450</v>
      </c>
      <c r="E274" s="1570"/>
      <c r="F274" s="1588" t="str">
        <f>'Part II-Development Team'!F124</f>
        <v>Select</v>
      </c>
      <c r="G274" s="1589">
        <f>'Part II-Development Team'!G124</f>
        <v>0</v>
      </c>
      <c r="H274" s="1589"/>
      <c r="I274" s="1589"/>
      <c r="J274" s="1589"/>
      <c r="K274" s="1589"/>
      <c r="L274" s="1589"/>
      <c r="M274" s="1589"/>
      <c r="N274" s="1589"/>
      <c r="O274" s="1589"/>
      <c r="P274" s="1589"/>
      <c r="Q274" s="1589"/>
      <c r="R274" s="1589"/>
      <c r="S274" s="1589"/>
    </row>
    <row r="275" spans="1:19" ht="13.5" customHeight="1">
      <c r="A275" s="1529"/>
      <c r="B275" s="1578"/>
      <c r="C275" s="1587" t="s">
        <v>1132</v>
      </c>
      <c r="D275" s="1570" t="s">
        <v>2412</v>
      </c>
      <c r="E275" s="1570"/>
      <c r="F275" s="1588" t="str">
        <f>'Part II-Development Team'!F125</f>
        <v>Select</v>
      </c>
      <c r="G275" s="1589">
        <f>'Part II-Development Team'!G125</f>
        <v>0</v>
      </c>
      <c r="H275" s="1589"/>
      <c r="I275" s="1589"/>
      <c r="J275" s="1589"/>
      <c r="K275" s="1589"/>
      <c r="L275" s="1589"/>
      <c r="M275" s="1589"/>
      <c r="N275" s="1589"/>
      <c r="O275" s="1589"/>
      <c r="P275" s="1589"/>
      <c r="Q275" s="1589"/>
      <c r="R275" s="1589"/>
      <c r="S275" s="1589"/>
    </row>
    <row r="276" spans="1:19" ht="13.5" customHeight="1">
      <c r="A276" s="1529"/>
      <c r="B276" s="1578"/>
      <c r="C276" s="1587" t="s">
        <v>1133</v>
      </c>
      <c r="D276" s="1570" t="s">
        <v>3012</v>
      </c>
      <c r="E276" s="1570"/>
      <c r="F276" s="1588" t="str">
        <f>'Part II-Development Team'!F126</f>
        <v>Select</v>
      </c>
      <c r="G276" s="1589">
        <f>'Part II-Development Team'!G126</f>
        <v>0</v>
      </c>
      <c r="H276" s="1589"/>
      <c r="I276" s="1589"/>
      <c r="J276" s="1589"/>
      <c r="K276" s="1589"/>
      <c r="L276" s="1589"/>
      <c r="M276" s="1589"/>
      <c r="N276" s="1589"/>
      <c r="O276" s="1589"/>
      <c r="P276" s="1589"/>
      <c r="Q276" s="1589"/>
      <c r="R276" s="1589"/>
      <c r="S276" s="1589"/>
    </row>
    <row r="277" spans="1:19" ht="13.5" customHeight="1">
      <c r="A277" s="1529"/>
      <c r="B277" s="1578"/>
      <c r="C277" s="1587" t="s">
        <v>1690</v>
      </c>
      <c r="D277" s="1570" t="s">
        <v>3013</v>
      </c>
      <c r="E277" s="1570"/>
      <c r="F277" s="1588" t="str">
        <f>'Part II-Development Team'!F127</f>
        <v>Select</v>
      </c>
      <c r="G277" s="1589">
        <f>'Part II-Development Team'!G127</f>
        <v>0</v>
      </c>
      <c r="H277" s="1589"/>
      <c r="I277" s="1589"/>
      <c r="J277" s="1589"/>
      <c r="K277" s="1589"/>
      <c r="L277" s="1589"/>
      <c r="M277" s="1589"/>
      <c r="N277" s="1589"/>
      <c r="O277" s="1589"/>
      <c r="P277" s="1589"/>
      <c r="Q277" s="1589"/>
      <c r="R277" s="1589"/>
      <c r="S277" s="1589"/>
    </row>
    <row r="278" spans="1:19" ht="13.5" customHeight="1">
      <c r="A278" s="1529"/>
      <c r="B278" s="1578"/>
      <c r="C278" s="1587" t="s">
        <v>472</v>
      </c>
      <c r="D278" s="1570" t="s">
        <v>2413</v>
      </c>
      <c r="E278" s="1570"/>
      <c r="F278" s="1588" t="str">
        <f>'Part II-Development Team'!F128</f>
        <v>Select</v>
      </c>
      <c r="G278" s="1589">
        <f>'Part II-Development Team'!G128</f>
        <v>0</v>
      </c>
      <c r="H278" s="1589"/>
      <c r="I278" s="1589"/>
      <c r="J278" s="1589"/>
      <c r="K278" s="1589"/>
      <c r="L278" s="1589"/>
      <c r="M278" s="1589"/>
      <c r="N278" s="1589"/>
      <c r="O278" s="1589"/>
      <c r="P278" s="1589"/>
      <c r="Q278" s="1589"/>
      <c r="R278" s="1589"/>
      <c r="S278" s="1589"/>
    </row>
    <row r="279" spans="1:19" ht="13.5" customHeight="1">
      <c r="A279" s="1529"/>
      <c r="B279" s="1578"/>
      <c r="C279" s="1587" t="s">
        <v>473</v>
      </c>
      <c r="D279" s="1570" t="s">
        <v>3671</v>
      </c>
      <c r="E279" s="1570"/>
      <c r="F279" s="1588" t="str">
        <f>'Part II-Development Team'!F129</f>
        <v>Select</v>
      </c>
      <c r="G279" s="1589">
        <f>'Part II-Development Team'!G129</f>
        <v>0</v>
      </c>
      <c r="H279" s="1589"/>
      <c r="I279" s="1589"/>
      <c r="J279" s="1589"/>
      <c r="K279" s="1589"/>
      <c r="L279" s="1589"/>
      <c r="M279" s="1589"/>
      <c r="N279" s="1589"/>
      <c r="O279" s="1589"/>
      <c r="P279" s="1589"/>
      <c r="Q279" s="1589"/>
      <c r="R279" s="1589"/>
      <c r="S279" s="1589"/>
    </row>
    <row r="280" spans="1:19" ht="13.5" customHeight="1">
      <c r="A280" s="1529"/>
      <c r="B280" s="1578"/>
      <c r="C280" s="1587" t="s">
        <v>198</v>
      </c>
      <c r="D280" s="1570" t="str">
        <f>'Part II-Development Team'!D130</f>
        <v>Other (Indicate here the two roles involved)</v>
      </c>
      <c r="E280" s="1570"/>
      <c r="F280" s="1588" t="str">
        <f>'Part II-Development Team'!F130</f>
        <v>Select</v>
      </c>
      <c r="G280" s="1589">
        <f>'Part II-Development Team'!G130</f>
        <v>0</v>
      </c>
      <c r="H280" s="1589"/>
      <c r="I280" s="1589"/>
      <c r="J280" s="1589"/>
      <c r="K280" s="1589"/>
      <c r="L280" s="1589"/>
      <c r="M280" s="1589"/>
      <c r="N280" s="1589"/>
      <c r="O280" s="1589"/>
      <c r="P280" s="1589"/>
      <c r="Q280" s="1589"/>
      <c r="R280" s="1589"/>
      <c r="S280" s="1589"/>
    </row>
    <row r="281" spans="1:19">
      <c r="A281" s="1529" t="s">
        <v>1614</v>
      </c>
      <c r="B281" s="1529" t="s">
        <v>3727</v>
      </c>
      <c r="C281" s="1529"/>
      <c r="D281" s="1529"/>
      <c r="E281" s="1529"/>
      <c r="F281" s="1529"/>
      <c r="G281" s="1530"/>
      <c r="H281" s="1530"/>
      <c r="I281" s="1530"/>
      <c r="J281" s="1530"/>
      <c r="K281" s="1530"/>
      <c r="L281" s="1530"/>
      <c r="M281" s="1530"/>
      <c r="N281" s="1530"/>
      <c r="O281" s="1530"/>
      <c r="P281" s="1530"/>
      <c r="Q281" s="1530"/>
      <c r="R281" s="1529"/>
      <c r="S281" s="1529"/>
    </row>
    <row r="282" spans="1:19">
      <c r="A282" s="1529"/>
      <c r="B282" s="1529"/>
      <c r="C282" s="1529"/>
      <c r="D282" s="1529"/>
      <c r="E282" s="1529"/>
      <c r="F282" s="1529"/>
      <c r="G282" s="1530"/>
      <c r="H282" s="1530"/>
      <c r="I282" s="1530"/>
      <c r="J282" s="1530"/>
      <c r="K282" s="1530"/>
      <c r="L282" s="1530"/>
      <c r="M282" s="1530"/>
      <c r="N282" s="1530"/>
      <c r="O282" s="1530"/>
      <c r="P282" s="1530"/>
      <c r="Q282" s="1530"/>
      <c r="R282" s="1529"/>
      <c r="S282" s="1529"/>
    </row>
    <row r="283" spans="1:19">
      <c r="A283" s="1534"/>
      <c r="B283" s="1529" t="s">
        <v>694</v>
      </c>
      <c r="C283" s="1529" t="s">
        <v>3687</v>
      </c>
      <c r="D283" s="1534"/>
      <c r="E283" s="1534"/>
      <c r="F283" s="1534"/>
      <c r="G283" s="1534"/>
      <c r="H283" s="1534"/>
      <c r="I283" s="1534"/>
      <c r="J283" s="1534"/>
      <c r="K283" s="1534"/>
      <c r="L283" s="1534"/>
      <c r="M283" s="1534"/>
      <c r="N283" s="1534"/>
      <c r="O283" s="1534"/>
      <c r="P283" s="1534"/>
      <c r="Q283" s="1534"/>
      <c r="R283" s="1534"/>
      <c r="S283" s="1534"/>
    </row>
    <row r="284" spans="1:19" ht="12.75" customHeight="1">
      <c r="A284" s="1570" t="s">
        <v>595</v>
      </c>
      <c r="B284" s="1570"/>
      <c r="C284" s="1570"/>
      <c r="D284" s="1570"/>
      <c r="E284" s="1570" t="s">
        <v>3004</v>
      </c>
      <c r="F284" s="1570"/>
      <c r="G284" s="1570"/>
      <c r="H284" s="1570"/>
      <c r="I284" s="1570"/>
      <c r="J284" s="1570" t="s">
        <v>3005</v>
      </c>
      <c r="K284" s="1570" t="s">
        <v>3707</v>
      </c>
      <c r="L284" s="1570" t="s">
        <v>3708</v>
      </c>
      <c r="M284" s="1570" t="s">
        <v>3709</v>
      </c>
      <c r="N284" s="1570"/>
      <c r="O284" s="1570"/>
      <c r="P284" s="1570"/>
      <c r="Q284" s="1570"/>
      <c r="R284" s="1570"/>
      <c r="S284" s="1570"/>
    </row>
    <row r="285" spans="1:19">
      <c r="A285" s="1570"/>
      <c r="B285" s="1570"/>
      <c r="C285" s="1570"/>
      <c r="D285" s="1570"/>
      <c r="E285" s="1570"/>
      <c r="F285" s="1570"/>
      <c r="G285" s="1570"/>
      <c r="H285" s="1570"/>
      <c r="I285" s="1570"/>
      <c r="J285" s="1570"/>
      <c r="K285" s="1570"/>
      <c r="L285" s="1570"/>
      <c r="M285" s="1570"/>
      <c r="N285" s="1570"/>
      <c r="O285" s="1570"/>
      <c r="P285" s="1570"/>
      <c r="Q285" s="1570"/>
      <c r="R285" s="1570"/>
      <c r="S285" s="1570"/>
    </row>
    <row r="286" spans="1:19">
      <c r="A286" s="1570"/>
      <c r="B286" s="1570"/>
      <c r="C286" s="1570"/>
      <c r="D286" s="1570"/>
      <c r="E286" s="1570"/>
      <c r="F286" s="1570"/>
      <c r="G286" s="1570"/>
      <c r="H286" s="1570"/>
      <c r="I286" s="1570"/>
      <c r="J286" s="1570"/>
      <c r="K286" s="1570"/>
      <c r="L286" s="1570"/>
      <c r="M286" s="1570"/>
      <c r="N286" s="1570"/>
      <c r="O286" s="1570"/>
      <c r="P286" s="1570"/>
      <c r="Q286" s="1570"/>
      <c r="R286" s="1570"/>
      <c r="S286" s="1570"/>
    </row>
    <row r="287" spans="1:19" ht="12.75" customHeight="1">
      <c r="A287" s="1570"/>
      <c r="B287" s="1570"/>
      <c r="C287" s="1570"/>
      <c r="D287" s="1570"/>
      <c r="E287" s="1590" t="s">
        <v>3728</v>
      </c>
      <c r="F287" s="1590"/>
      <c r="G287" s="1590"/>
      <c r="H287" s="1590"/>
      <c r="I287" s="1570"/>
      <c r="J287" s="1570"/>
      <c r="K287" s="1570"/>
      <c r="L287" s="1570"/>
      <c r="M287" s="1570"/>
      <c r="N287" s="1570"/>
      <c r="O287" s="1570"/>
      <c r="P287" s="1570"/>
      <c r="Q287" s="1570"/>
      <c r="R287" s="1570"/>
      <c r="S287" s="1570"/>
    </row>
    <row r="288" spans="1:19" ht="12.75" customHeight="1">
      <c r="A288" s="1570"/>
      <c r="B288" s="1570"/>
      <c r="C288" s="1570"/>
      <c r="D288" s="1570"/>
      <c r="E288" s="1590"/>
      <c r="F288" s="1590"/>
      <c r="G288" s="1590"/>
      <c r="H288" s="1590"/>
      <c r="I288" s="1591" t="s">
        <v>2223</v>
      </c>
      <c r="J288" s="1570"/>
      <c r="K288" s="1570"/>
      <c r="L288" s="1570"/>
      <c r="M288" s="1541" t="s">
        <v>2223</v>
      </c>
      <c r="N288" s="1555" t="s">
        <v>2461</v>
      </c>
      <c r="O288" s="1555"/>
      <c r="P288" s="1555"/>
      <c r="Q288" s="1555"/>
      <c r="R288" s="1555"/>
      <c r="S288" s="1555"/>
    </row>
    <row r="289" spans="1:19" ht="13.5" customHeight="1">
      <c r="A289" s="1580" t="s">
        <v>2999</v>
      </c>
      <c r="B289" s="1580"/>
      <c r="C289" s="1580"/>
      <c r="D289" s="1580"/>
      <c r="E289" s="1589">
        <f>'Part II-Development Team'!E139</f>
        <v>0</v>
      </c>
      <c r="F289" s="1589"/>
      <c r="G289" s="1589"/>
      <c r="H289" s="1589"/>
      <c r="I289" s="1588" t="str">
        <f>'Part II-Development Team'!I139</f>
        <v>Select</v>
      </c>
      <c r="J289" s="1588" t="str">
        <f>'Part II-Development Team'!J139</f>
        <v>Select</v>
      </c>
      <c r="K289" s="1592">
        <f>'Part II-Development Team'!K139</f>
        <v>0</v>
      </c>
      <c r="L289" s="1593">
        <f>'Part II-Development Team'!L139</f>
        <v>0</v>
      </c>
      <c r="M289" s="1588" t="str">
        <f>'Part II-Development Team'!M139</f>
        <v>Select</v>
      </c>
      <c r="N289" s="1589">
        <f>'Part II-Development Team'!N139</f>
        <v>0</v>
      </c>
      <c r="O289" s="1589"/>
      <c r="P289" s="1589"/>
      <c r="Q289" s="1589"/>
      <c r="R289" s="1589"/>
      <c r="S289" s="1589"/>
    </row>
    <row r="290" spans="1:19" ht="13.5" customHeight="1">
      <c r="A290" s="1580" t="s">
        <v>3000</v>
      </c>
      <c r="B290" s="1580"/>
      <c r="C290" s="1580"/>
      <c r="D290" s="1580"/>
      <c r="E290" s="1589">
        <f>'Part II-Development Team'!E140</f>
        <v>0</v>
      </c>
      <c r="F290" s="1589"/>
      <c r="G290" s="1589"/>
      <c r="H290" s="1589"/>
      <c r="I290" s="1588" t="str">
        <f>'Part II-Development Team'!I140</f>
        <v>Select</v>
      </c>
      <c r="J290" s="1588" t="str">
        <f>'Part II-Development Team'!J140</f>
        <v>Select</v>
      </c>
      <c r="K290" s="1592">
        <f>'Part II-Development Team'!K140</f>
        <v>0</v>
      </c>
      <c r="L290" s="1593">
        <f>'Part II-Development Team'!L140</f>
        <v>0</v>
      </c>
      <c r="M290" s="1588" t="str">
        <f>'Part II-Development Team'!M140</f>
        <v>Select</v>
      </c>
      <c r="N290" s="1589">
        <f>'Part II-Development Team'!N140</f>
        <v>0</v>
      </c>
      <c r="O290" s="1589"/>
      <c r="P290" s="1589"/>
      <c r="Q290" s="1589"/>
      <c r="R290" s="1589"/>
      <c r="S290" s="1589"/>
    </row>
    <row r="291" spans="1:19" ht="13.5" customHeight="1">
      <c r="A291" s="1580" t="s">
        <v>3001</v>
      </c>
      <c r="B291" s="1580"/>
      <c r="C291" s="1580"/>
      <c r="D291" s="1580"/>
      <c r="E291" s="1589">
        <f>'Part II-Development Team'!E141</f>
        <v>0</v>
      </c>
      <c r="F291" s="1589"/>
      <c r="G291" s="1589"/>
      <c r="H291" s="1589"/>
      <c r="I291" s="1588" t="str">
        <f>'Part II-Development Team'!I141</f>
        <v>Select</v>
      </c>
      <c r="J291" s="1588" t="str">
        <f>'Part II-Development Team'!J141</f>
        <v>Select</v>
      </c>
      <c r="K291" s="1592">
        <f>'Part II-Development Team'!K141</f>
        <v>0</v>
      </c>
      <c r="L291" s="1593">
        <f>'Part II-Development Team'!L141</f>
        <v>0</v>
      </c>
      <c r="M291" s="1588" t="str">
        <f>'Part II-Development Team'!M141</f>
        <v>Select</v>
      </c>
      <c r="N291" s="1589">
        <f>'Part II-Development Team'!N141</f>
        <v>0</v>
      </c>
      <c r="O291" s="1589"/>
      <c r="P291" s="1589"/>
      <c r="Q291" s="1589"/>
      <c r="R291" s="1589"/>
      <c r="S291" s="1589"/>
    </row>
    <row r="292" spans="1:19" ht="13.5" customHeight="1">
      <c r="A292" s="1580" t="s">
        <v>3002</v>
      </c>
      <c r="B292" s="1580"/>
      <c r="C292" s="1580"/>
      <c r="D292" s="1580"/>
      <c r="E292" s="1589">
        <f>'Part II-Development Team'!E142</f>
        <v>0</v>
      </c>
      <c r="F292" s="1589"/>
      <c r="G292" s="1589"/>
      <c r="H292" s="1589"/>
      <c r="I292" s="1588" t="str">
        <f>'Part II-Development Team'!I142</f>
        <v>Select</v>
      </c>
      <c r="J292" s="1588" t="str">
        <f>'Part II-Development Team'!J142</f>
        <v>Select</v>
      </c>
      <c r="K292" s="1592">
        <f>'Part II-Development Team'!K142</f>
        <v>0</v>
      </c>
      <c r="L292" s="1593">
        <f>'Part II-Development Team'!L142</f>
        <v>0</v>
      </c>
      <c r="M292" s="1588" t="str">
        <f>'Part II-Development Team'!M142</f>
        <v>Select</v>
      </c>
      <c r="N292" s="1589">
        <f>'Part II-Development Team'!N142</f>
        <v>0</v>
      </c>
      <c r="O292" s="1589"/>
      <c r="P292" s="1589"/>
      <c r="Q292" s="1589"/>
      <c r="R292" s="1589"/>
      <c r="S292" s="1589"/>
    </row>
    <row r="293" spans="1:19" ht="13.5" customHeight="1">
      <c r="A293" s="1580" t="s">
        <v>3003</v>
      </c>
      <c r="B293" s="1580"/>
      <c r="C293" s="1580"/>
      <c r="D293" s="1580"/>
      <c r="E293" s="1589">
        <f>'Part II-Development Team'!E143</f>
        <v>0</v>
      </c>
      <c r="F293" s="1589"/>
      <c r="G293" s="1589"/>
      <c r="H293" s="1589"/>
      <c r="I293" s="1588" t="str">
        <f>'Part II-Development Team'!I143</f>
        <v>Select</v>
      </c>
      <c r="J293" s="1588" t="str">
        <f>'Part II-Development Team'!J143</f>
        <v>Select</v>
      </c>
      <c r="K293" s="1592">
        <f>'Part II-Development Team'!K143</f>
        <v>0</v>
      </c>
      <c r="L293" s="1593">
        <f>'Part II-Development Team'!L143</f>
        <v>0</v>
      </c>
      <c r="M293" s="1588" t="str">
        <f>'Part II-Development Team'!M143</f>
        <v>Select</v>
      </c>
      <c r="N293" s="1589">
        <f>'Part II-Development Team'!N143</f>
        <v>0</v>
      </c>
      <c r="O293" s="1589"/>
      <c r="P293" s="1589"/>
      <c r="Q293" s="1589"/>
      <c r="R293" s="1589"/>
      <c r="S293" s="1589"/>
    </row>
    <row r="294" spans="1:19" ht="13.5" customHeight="1">
      <c r="A294" s="1580" t="s">
        <v>2451</v>
      </c>
      <c r="B294" s="1580"/>
      <c r="C294" s="1580"/>
      <c r="D294" s="1580"/>
      <c r="E294" s="1589">
        <f>'Part II-Development Team'!E144</f>
        <v>0</v>
      </c>
      <c r="F294" s="1589"/>
      <c r="G294" s="1589"/>
      <c r="H294" s="1589"/>
      <c r="I294" s="1588" t="str">
        <f>'Part II-Development Team'!I144</f>
        <v>Select</v>
      </c>
      <c r="J294" s="1588" t="str">
        <f>'Part II-Development Team'!J144</f>
        <v>Select</v>
      </c>
      <c r="K294" s="1592">
        <f>'Part II-Development Team'!K144</f>
        <v>0</v>
      </c>
      <c r="L294" s="1593">
        <f>'Part II-Development Team'!L144</f>
        <v>0</v>
      </c>
      <c r="M294" s="1588" t="str">
        <f>'Part II-Development Team'!M144</f>
        <v>Select</v>
      </c>
      <c r="N294" s="1589">
        <f>'Part II-Development Team'!N144</f>
        <v>0</v>
      </c>
      <c r="O294" s="1589"/>
      <c r="P294" s="1589"/>
      <c r="Q294" s="1589"/>
      <c r="R294" s="1589"/>
      <c r="S294" s="1589"/>
    </row>
    <row r="295" spans="1:19" ht="13.5">
      <c r="A295" s="1580" t="s">
        <v>607</v>
      </c>
      <c r="B295" s="1580"/>
      <c r="C295" s="1580"/>
      <c r="D295" s="1580"/>
      <c r="E295" s="1589">
        <f>'Part II-Development Team'!E145</f>
        <v>0</v>
      </c>
      <c r="F295" s="1589"/>
      <c r="G295" s="1589"/>
      <c r="H295" s="1589"/>
      <c r="I295" s="1588" t="str">
        <f>'Part II-Development Team'!I145</f>
        <v>Select</v>
      </c>
      <c r="J295" s="1588" t="str">
        <f>'Part II-Development Team'!J145</f>
        <v>Select</v>
      </c>
      <c r="K295" s="1592">
        <f>'Part II-Development Team'!K145</f>
        <v>0</v>
      </c>
      <c r="L295" s="1593">
        <f>'Part II-Development Team'!L145</f>
        <v>0</v>
      </c>
      <c r="M295" s="1588" t="str">
        <f>'Part II-Development Team'!M145</f>
        <v>Select</v>
      </c>
      <c r="N295" s="1589">
        <f>'Part II-Development Team'!N145</f>
        <v>0</v>
      </c>
      <c r="O295" s="1589"/>
      <c r="P295" s="1589"/>
      <c r="Q295" s="1589"/>
      <c r="R295" s="1589"/>
      <c r="S295" s="1589"/>
    </row>
    <row r="296" spans="1:19" ht="13.5" customHeight="1">
      <c r="A296" s="1580" t="s">
        <v>2452</v>
      </c>
      <c r="B296" s="1580"/>
      <c r="C296" s="1580"/>
      <c r="D296" s="1580"/>
      <c r="E296" s="1589">
        <f>'Part II-Development Team'!E146</f>
        <v>0</v>
      </c>
      <c r="F296" s="1589"/>
      <c r="G296" s="1589"/>
      <c r="H296" s="1589"/>
      <c r="I296" s="1588" t="str">
        <f>'Part II-Development Team'!I146</f>
        <v>Select</v>
      </c>
      <c r="J296" s="1588" t="str">
        <f>'Part II-Development Team'!J146</f>
        <v>Select</v>
      </c>
      <c r="K296" s="1592">
        <f>'Part II-Development Team'!K146</f>
        <v>0</v>
      </c>
      <c r="L296" s="1593">
        <f>'Part II-Development Team'!L146</f>
        <v>0</v>
      </c>
      <c r="M296" s="1588" t="str">
        <f>'Part II-Development Team'!M146</f>
        <v>Select</v>
      </c>
      <c r="N296" s="1589">
        <f>'Part II-Development Team'!N146</f>
        <v>0</v>
      </c>
      <c r="O296" s="1589"/>
      <c r="P296" s="1589"/>
      <c r="Q296" s="1589"/>
      <c r="R296" s="1589"/>
      <c r="S296" s="1589"/>
    </row>
    <row r="297" spans="1:19" ht="13.5" customHeight="1">
      <c r="A297" s="1580" t="s">
        <v>2453</v>
      </c>
      <c r="B297" s="1580"/>
      <c r="C297" s="1580"/>
      <c r="D297" s="1580"/>
      <c r="E297" s="1589">
        <f>'Part II-Development Team'!E147</f>
        <v>0</v>
      </c>
      <c r="F297" s="1589"/>
      <c r="G297" s="1589"/>
      <c r="H297" s="1589"/>
      <c r="I297" s="1588" t="str">
        <f>'Part II-Development Team'!I147</f>
        <v>Select</v>
      </c>
      <c r="J297" s="1588" t="str">
        <f>'Part II-Development Team'!J147</f>
        <v>Select</v>
      </c>
      <c r="K297" s="1592">
        <f>'Part II-Development Team'!K147</f>
        <v>0</v>
      </c>
      <c r="L297" s="1593">
        <f>'Part II-Development Team'!L147</f>
        <v>0</v>
      </c>
      <c r="M297" s="1588" t="str">
        <f>'Part II-Development Team'!M147</f>
        <v>Select</v>
      </c>
      <c r="N297" s="1589">
        <f>'Part II-Development Team'!N147</f>
        <v>0</v>
      </c>
      <c r="O297" s="1589"/>
      <c r="P297" s="1589"/>
      <c r="Q297" s="1589"/>
      <c r="R297" s="1589"/>
      <c r="S297" s="1589"/>
    </row>
    <row r="298" spans="1:19" ht="13.5" customHeight="1">
      <c r="A298" s="1580" t="s">
        <v>2455</v>
      </c>
      <c r="B298" s="1580"/>
      <c r="C298" s="1580"/>
      <c r="D298" s="1580"/>
      <c r="E298" s="1589">
        <f>'Part II-Development Team'!E148</f>
        <v>0</v>
      </c>
      <c r="F298" s="1589"/>
      <c r="G298" s="1589"/>
      <c r="H298" s="1589"/>
      <c r="I298" s="1588" t="str">
        <f>'Part II-Development Team'!I148</f>
        <v>Select</v>
      </c>
      <c r="J298" s="1588" t="str">
        <f>'Part II-Development Team'!J148</f>
        <v>Select</v>
      </c>
      <c r="K298" s="1592">
        <f>'Part II-Development Team'!K148</f>
        <v>0</v>
      </c>
      <c r="L298" s="1593">
        <f>'Part II-Development Team'!L148</f>
        <v>0</v>
      </c>
      <c r="M298" s="1588" t="str">
        <f>'Part II-Development Team'!M148</f>
        <v>Select</v>
      </c>
      <c r="N298" s="1589">
        <f>'Part II-Development Team'!N148</f>
        <v>0</v>
      </c>
      <c r="O298" s="1589"/>
      <c r="P298" s="1589"/>
      <c r="Q298" s="1589"/>
      <c r="R298" s="1589"/>
      <c r="S298" s="1589"/>
    </row>
    <row r="299" spans="1:19" ht="13.5" customHeight="1">
      <c r="A299" s="1580" t="s">
        <v>2454</v>
      </c>
      <c r="B299" s="1580"/>
      <c r="C299" s="1580"/>
      <c r="D299" s="1580"/>
      <c r="E299" s="1589">
        <f>'Part II-Development Team'!E149</f>
        <v>0</v>
      </c>
      <c r="F299" s="1589"/>
      <c r="G299" s="1589"/>
      <c r="H299" s="1589"/>
      <c r="I299" s="1588" t="str">
        <f>'Part II-Development Team'!I149</f>
        <v>Select</v>
      </c>
      <c r="J299" s="1588" t="str">
        <f>'Part II-Development Team'!J149</f>
        <v>Select</v>
      </c>
      <c r="K299" s="1592">
        <f>'Part II-Development Team'!K149</f>
        <v>0</v>
      </c>
      <c r="L299" s="1593">
        <f>'Part II-Development Team'!L149</f>
        <v>0</v>
      </c>
      <c r="M299" s="1588" t="str">
        <f>'Part II-Development Team'!M149</f>
        <v>Select</v>
      </c>
      <c r="N299" s="1589">
        <f>'Part II-Development Team'!N149</f>
        <v>0</v>
      </c>
      <c r="O299" s="1589"/>
      <c r="P299" s="1589"/>
      <c r="Q299" s="1589"/>
      <c r="R299" s="1589"/>
      <c r="S299" s="1589"/>
    </row>
    <row r="300" spans="1:19" ht="13.5">
      <c r="A300" s="1580" t="s">
        <v>1392</v>
      </c>
      <c r="B300" s="1580"/>
      <c r="C300" s="1580"/>
      <c r="D300" s="1580"/>
      <c r="E300" s="1589">
        <f>'Part II-Development Team'!E150</f>
        <v>0</v>
      </c>
      <c r="F300" s="1589"/>
      <c r="G300" s="1589"/>
      <c r="H300" s="1589"/>
      <c r="I300" s="1588" t="str">
        <f>'Part II-Development Team'!I150</f>
        <v>Select</v>
      </c>
      <c r="J300" s="1588" t="str">
        <f>'Part II-Development Team'!J150</f>
        <v>Select</v>
      </c>
      <c r="K300" s="1592">
        <f>'Part II-Development Team'!K150</f>
        <v>0</v>
      </c>
      <c r="L300" s="1593">
        <f>'Part II-Development Team'!L150</f>
        <v>0</v>
      </c>
      <c r="M300" s="1588" t="str">
        <f>'Part II-Development Team'!M150</f>
        <v>Select</v>
      </c>
      <c r="N300" s="1589">
        <f>'Part II-Development Team'!N150</f>
        <v>0</v>
      </c>
      <c r="O300" s="1589"/>
      <c r="P300" s="1589"/>
      <c r="Q300" s="1589"/>
      <c r="R300" s="1589"/>
      <c r="S300" s="1589"/>
    </row>
    <row r="301" spans="1:19" ht="13.5" customHeight="1">
      <c r="A301" s="1580" t="s">
        <v>2456</v>
      </c>
      <c r="B301" s="1580"/>
      <c r="C301" s="1580"/>
      <c r="D301" s="1580"/>
      <c r="E301" s="1589">
        <f>'Part II-Development Team'!E151</f>
        <v>0</v>
      </c>
      <c r="F301" s="1589"/>
      <c r="G301" s="1589"/>
      <c r="H301" s="1589"/>
      <c r="I301" s="1588" t="str">
        <f>'Part II-Development Team'!I151</f>
        <v>Select</v>
      </c>
      <c r="J301" s="1588" t="str">
        <f>'Part II-Development Team'!J151</f>
        <v>Select</v>
      </c>
      <c r="K301" s="1592">
        <f>'Part II-Development Team'!K151</f>
        <v>0</v>
      </c>
      <c r="L301" s="1593">
        <f>'Part II-Development Team'!L151</f>
        <v>0</v>
      </c>
      <c r="M301" s="1588" t="str">
        <f>'Part II-Development Team'!M151</f>
        <v>Select</v>
      </c>
      <c r="N301" s="1589">
        <f>'Part II-Development Team'!N151</f>
        <v>0</v>
      </c>
      <c r="O301" s="1589"/>
      <c r="P301" s="1589"/>
      <c r="Q301" s="1589"/>
      <c r="R301" s="1589"/>
      <c r="S301" s="1589"/>
    </row>
    <row r="302" spans="1:19">
      <c r="A302" s="1529"/>
      <c r="B302" s="1529"/>
      <c r="C302" s="1529"/>
      <c r="D302" s="1529"/>
      <c r="E302" s="1529"/>
      <c r="F302" s="1529"/>
      <c r="G302" s="1529"/>
      <c r="H302" s="1529"/>
      <c r="I302" s="1529"/>
      <c r="J302" s="1530"/>
      <c r="K302" s="1571" t="s">
        <v>503</v>
      </c>
      <c r="L302" s="1594">
        <f>SUM(L289:L301)</f>
        <v>0</v>
      </c>
      <c r="M302" s="1530"/>
      <c r="N302" s="1529"/>
      <c r="O302" s="1529"/>
      <c r="P302" s="1534"/>
      <c r="Q302" s="1529"/>
      <c r="R302" s="1529"/>
      <c r="S302" s="1529"/>
    </row>
    <row r="303" spans="1:19">
      <c r="A303" s="1534" t="s">
        <v>1616</v>
      </c>
      <c r="B303" s="1555"/>
      <c r="C303" s="1534" t="s">
        <v>531</v>
      </c>
      <c r="D303" s="1534"/>
      <c r="E303" s="1534"/>
      <c r="F303" s="1534"/>
      <c r="G303" s="1534"/>
      <c r="H303" s="1534"/>
      <c r="I303" s="1534"/>
      <c r="J303" s="1534"/>
      <c r="K303" s="1534"/>
      <c r="L303" s="1534"/>
      <c r="M303" s="1534"/>
      <c r="N303" s="1534" t="s">
        <v>494</v>
      </c>
      <c r="O303" s="1534" t="s">
        <v>74</v>
      </c>
      <c r="P303" s="1534"/>
      <c r="Q303" s="1534"/>
      <c r="R303" s="1534"/>
      <c r="S303" s="1534"/>
    </row>
    <row r="304" spans="1:19" ht="13.5">
      <c r="A304" s="1580">
        <f>'Part II-Development Team'!A154</f>
        <v>0</v>
      </c>
      <c r="B304" s="1580"/>
      <c r="C304" s="1580"/>
      <c r="D304" s="1580"/>
      <c r="E304" s="1580"/>
      <c r="F304" s="1580"/>
      <c r="G304" s="1580"/>
      <c r="H304" s="1580"/>
      <c r="I304" s="1580"/>
      <c r="J304" s="1580"/>
      <c r="K304" s="1580"/>
      <c r="L304" s="1580"/>
      <c r="M304" s="1580"/>
      <c r="N304" s="1580">
        <f>'Part II-Development Team'!N154</f>
        <v>0</v>
      </c>
      <c r="O304" s="1580"/>
      <c r="P304" s="1580"/>
      <c r="Q304" s="1580"/>
      <c r="R304" s="1580"/>
      <c r="S304" s="1580"/>
    </row>
    <row r="306" spans="1:17">
      <c r="A306" s="1529" t="str">
        <f>CONCATENATE("PART THREE - SOURCES OF FUNDS","  -  ",'Part I-Project Information'!$O$4," ",'Part I-Project Information'!$F$24,", ",'Part I-Project Information'!$F$27,", ",'Part I-Project Information'!$J$28," County")</f>
        <v>PART THREE - SOURCES OF FUNDS  -  20##-### SB OHF Test Villas, Peachtree Corners, Gwinnett County</v>
      </c>
      <c r="B306" s="1529"/>
      <c r="C306" s="1529"/>
      <c r="D306" s="1529"/>
      <c r="E306" s="1529"/>
      <c r="F306" s="1529"/>
      <c r="G306" s="1529"/>
      <c r="H306" s="1529"/>
      <c r="I306" s="1529"/>
      <c r="J306" s="1529"/>
      <c r="K306" s="1529"/>
      <c r="L306" s="1529"/>
      <c r="M306" s="1529"/>
      <c r="N306" s="1529"/>
      <c r="O306" s="1529"/>
      <c r="P306" s="1529"/>
      <c r="Q306" s="1529"/>
    </row>
    <row r="307" spans="1:17">
      <c r="A307" s="1534"/>
      <c r="B307" s="1534"/>
      <c r="C307" s="1534"/>
      <c r="D307" s="1534"/>
      <c r="E307" s="1534"/>
      <c r="F307" s="1534"/>
      <c r="G307" s="1534"/>
      <c r="H307" s="1534"/>
      <c r="I307" s="1534"/>
      <c r="J307" s="1534"/>
      <c r="K307" s="1534"/>
      <c r="L307" s="1534"/>
      <c r="M307" s="1534"/>
      <c r="N307" s="1534"/>
      <c r="O307" s="1534"/>
      <c r="P307" s="1534"/>
      <c r="Q307" s="1534"/>
    </row>
    <row r="308" spans="1:17" ht="13.5">
      <c r="A308" s="1529" t="s">
        <v>572</v>
      </c>
      <c r="B308" s="1534" t="s">
        <v>2209</v>
      </c>
      <c r="C308" s="1529"/>
      <c r="D308" s="1529"/>
      <c r="E308" s="1529"/>
      <c r="F308" s="1529"/>
      <c r="G308" s="1529"/>
      <c r="H308" s="1540"/>
      <c r="I308" s="1540"/>
      <c r="J308" s="1529"/>
      <c r="K308" s="1540"/>
      <c r="L308" s="1540"/>
      <c r="M308" s="1529"/>
      <c r="N308" s="1529"/>
      <c r="O308" s="1540"/>
      <c r="P308" s="1540"/>
      <c r="Q308" s="1540"/>
    </row>
    <row r="309" spans="1:17" ht="13.5" customHeight="1">
      <c r="A309" s="1534"/>
      <c r="B309" s="1530">
        <f>'Part III-Sources of Funds'!B4</f>
        <v>0</v>
      </c>
      <c r="C309" s="1531" t="s">
        <v>2139</v>
      </c>
      <c r="D309" s="1529"/>
      <c r="E309" s="1530">
        <f>'Part III-Sources of Funds'!E4</f>
        <v>0</v>
      </c>
      <c r="F309" s="1531" t="s">
        <v>3729</v>
      </c>
      <c r="G309" s="1540"/>
      <c r="H309" s="1595">
        <f>'Part III-Sources of Funds'!H4</f>
        <v>0</v>
      </c>
      <c r="I309" s="1596"/>
      <c r="J309" s="1597"/>
      <c r="K309" s="1540"/>
      <c r="L309" s="1530">
        <f>'Part III-Sources of Funds'!L4</f>
        <v>0</v>
      </c>
      <c r="M309" s="1531" t="s">
        <v>1399</v>
      </c>
      <c r="N309" s="1540"/>
      <c r="O309" s="1530">
        <f>'Part III-Sources of Funds'!O4</f>
        <v>0</v>
      </c>
      <c r="P309" s="1570" t="s">
        <v>3266</v>
      </c>
      <c r="Q309" s="1570"/>
    </row>
    <row r="310" spans="1:17" ht="13.5">
      <c r="A310" s="1530"/>
      <c r="B310" s="1530">
        <f>'Part III-Sources of Funds'!B5</f>
        <v>0</v>
      </c>
      <c r="C310" s="1531" t="s">
        <v>3254</v>
      </c>
      <c r="D310" s="1529"/>
      <c r="E310" s="1530">
        <f>'Part III-Sources of Funds'!E5</f>
        <v>0</v>
      </c>
      <c r="F310" s="1531" t="s">
        <v>3730</v>
      </c>
      <c r="G310" s="1540"/>
      <c r="H310" s="1595">
        <f>'Part III-Sources of Funds'!H5</f>
        <v>0</v>
      </c>
      <c r="I310" s="1596"/>
      <c r="J310" s="1540"/>
      <c r="K310" s="1540"/>
      <c r="L310" s="1530">
        <f>'Part III-Sources of Funds'!L5</f>
        <v>0</v>
      </c>
      <c r="M310" s="1531" t="s">
        <v>513</v>
      </c>
      <c r="N310" s="1540"/>
      <c r="O310" s="1540"/>
      <c r="P310" s="1570"/>
      <c r="Q310" s="1570"/>
    </row>
    <row r="311" spans="1:17" ht="13.5" customHeight="1">
      <c r="A311" s="1530"/>
      <c r="B311" s="1530">
        <f>'Part III-Sources of Funds'!B6</f>
        <v>0</v>
      </c>
      <c r="C311" s="1531" t="s">
        <v>514</v>
      </c>
      <c r="D311" s="1540"/>
      <c r="E311" s="1540"/>
      <c r="F311" s="1529" t="s">
        <v>3731</v>
      </c>
      <c r="G311" s="1540"/>
      <c r="H311" s="1533" t="str">
        <f>'Part III-Sources of Funds'!H6</f>
        <v>Specify Other HOME Source here</v>
      </c>
      <c r="I311" s="1533"/>
      <c r="J311" s="1533"/>
      <c r="K311" s="1540"/>
      <c r="L311" s="1530">
        <f>'Part III-Sources of Funds'!L6</f>
        <v>0</v>
      </c>
      <c r="M311" s="1531" t="s">
        <v>3268</v>
      </c>
      <c r="N311" s="1540"/>
      <c r="O311" s="1530">
        <f>'Part III-Sources of Funds'!O6</f>
        <v>0</v>
      </c>
      <c r="P311" s="1570" t="s">
        <v>3017</v>
      </c>
      <c r="Q311" s="1570"/>
    </row>
    <row r="312" spans="1:17" ht="13.5">
      <c r="A312" s="1529"/>
      <c r="B312" s="1530">
        <f>'Part III-Sources of Funds'!B7</f>
        <v>0</v>
      </c>
      <c r="C312" s="1531" t="s">
        <v>2310</v>
      </c>
      <c r="D312" s="1540"/>
      <c r="E312" s="1530">
        <f>'Part III-Sources of Funds'!E7</f>
        <v>0</v>
      </c>
      <c r="F312" s="1531" t="s">
        <v>2318</v>
      </c>
      <c r="G312" s="1540"/>
      <c r="H312" s="1540"/>
      <c r="I312" s="1540"/>
      <c r="J312" s="1540"/>
      <c r="K312" s="1531"/>
      <c r="L312" s="1530">
        <f>'Part III-Sources of Funds'!L7</f>
        <v>0</v>
      </c>
      <c r="M312" s="1531" t="s">
        <v>3267</v>
      </c>
      <c r="N312" s="1540"/>
      <c r="O312" s="1540"/>
      <c r="P312" s="1570"/>
      <c r="Q312" s="1570"/>
    </row>
    <row r="313" spans="1:17" ht="13.5">
      <c r="A313" s="1530"/>
      <c r="B313" s="1530">
        <f>'Part III-Sources of Funds'!B8</f>
        <v>0</v>
      </c>
      <c r="C313" s="1531" t="s">
        <v>2311</v>
      </c>
      <c r="D313" s="1540"/>
      <c r="E313" s="1530">
        <f>'Part III-Sources of Funds'!E8</f>
        <v>0</v>
      </c>
      <c r="F313" s="1531" t="s">
        <v>3258</v>
      </c>
      <c r="G313" s="1540"/>
      <c r="H313" s="1540" t="str">
        <f>'Part III-Sources of Funds'!H8</f>
        <v>Specify Other PBRA Source here</v>
      </c>
      <c r="I313" s="1540"/>
      <c r="J313" s="1540"/>
      <c r="K313" s="1540"/>
      <c r="L313" s="1530">
        <f>'Part III-Sources of Funds'!L8</f>
        <v>0</v>
      </c>
      <c r="M313" s="1531" t="s">
        <v>3262</v>
      </c>
      <c r="N313" s="1540"/>
      <c r="O313" s="1540"/>
      <c r="P313" s="1570"/>
      <c r="Q313" s="1570"/>
    </row>
    <row r="314" spans="1:17" ht="13.5">
      <c r="A314" s="1530"/>
      <c r="B314" s="1530">
        <f>'Part III-Sources of Funds'!B9</f>
        <v>0</v>
      </c>
      <c r="C314" s="1531" t="s">
        <v>3251</v>
      </c>
      <c r="D314" s="1540"/>
      <c r="E314" s="1530">
        <f>'Part III-Sources of Funds'!E9</f>
        <v>0</v>
      </c>
      <c r="F314" s="1540" t="str">
        <f>'Part III-Sources of Funds'!F9</f>
        <v>Other Type of FEDERAL Funding - describe type/program here</v>
      </c>
      <c r="G314" s="1540"/>
      <c r="H314" s="1540"/>
      <c r="I314" s="1540"/>
      <c r="J314" s="1540"/>
      <c r="K314" s="1540"/>
      <c r="L314" s="1530">
        <f>'Part III-Sources of Funds'!L9</f>
        <v>0</v>
      </c>
      <c r="M314" s="1529" t="s">
        <v>2319</v>
      </c>
      <c r="N314" s="1540"/>
      <c r="O314" s="1540"/>
      <c r="P314" s="1540"/>
      <c r="Q314" s="1529"/>
    </row>
    <row r="315" spans="1:17" ht="13.5">
      <c r="A315" s="1530"/>
      <c r="B315" s="1530">
        <f>'Part III-Sources of Funds'!B10</f>
        <v>0</v>
      </c>
      <c r="C315" s="1529" t="s">
        <v>3252</v>
      </c>
      <c r="D315" s="1540"/>
      <c r="E315" s="1540"/>
      <c r="F315" s="1540" t="str">
        <f>'Part III-Sources of Funds'!F10</f>
        <v>Specify Source/Administrator of Other FEDERAL Funding here</v>
      </c>
      <c r="G315" s="1540"/>
      <c r="H315" s="1540"/>
      <c r="I315" s="1540"/>
      <c r="J315" s="1540"/>
      <c r="K315" s="1540"/>
      <c r="L315" s="1530">
        <f>'Part III-Sources of Funds'!L10</f>
        <v>0</v>
      </c>
      <c r="M315" s="1529" t="s">
        <v>3263</v>
      </c>
      <c r="N315" s="1540"/>
      <c r="O315" s="1529"/>
      <c r="P315" s="1529"/>
      <c r="Q315" s="1529"/>
    </row>
    <row r="316" spans="1:17" ht="13.5">
      <c r="A316" s="1530"/>
      <c r="B316" s="1530">
        <f>'Part III-Sources of Funds'!B11</f>
        <v>0</v>
      </c>
      <c r="C316" s="1529" t="s">
        <v>2317</v>
      </c>
      <c r="D316" s="1540"/>
      <c r="E316" s="1530">
        <f>'Part III-Sources of Funds'!E11</f>
        <v>0</v>
      </c>
      <c r="F316" s="1533" t="str">
        <f>'Part III-Sources of Funds'!F11</f>
        <v>Other Type of STATE/LOCAL Funding - describe type/program here</v>
      </c>
      <c r="G316" s="1533"/>
      <c r="H316" s="1533"/>
      <c r="I316" s="1533"/>
      <c r="J316" s="1533"/>
      <c r="K316" s="1540"/>
      <c r="L316" s="1530">
        <f>'Part III-Sources of Funds'!L11</f>
        <v>0</v>
      </c>
      <c r="M316" s="1531" t="s">
        <v>2400</v>
      </c>
      <c r="N316" s="1529"/>
      <c r="O316" s="1529"/>
      <c r="P316" s="1540"/>
      <c r="Q316" s="1529"/>
    </row>
    <row r="317" spans="1:17" ht="13.5">
      <c r="A317" s="1530"/>
      <c r="B317" s="1530">
        <f>'Part III-Sources of Funds'!B12</f>
        <v>0</v>
      </c>
      <c r="C317" s="1529" t="s">
        <v>3253</v>
      </c>
      <c r="D317" s="1540"/>
      <c r="E317" s="1540"/>
      <c r="F317" s="1533" t="str">
        <f>'Part III-Sources of Funds'!F12</f>
        <v>Specify Source/Administrator of Other STATE/LOCAL Funding here</v>
      </c>
      <c r="G317" s="1533"/>
      <c r="H317" s="1533"/>
      <c r="I317" s="1533"/>
      <c r="J317" s="1533"/>
      <c r="K317" s="1540"/>
      <c r="L317" s="1530">
        <f>'Part III-Sources of Funds'!L12</f>
        <v>0</v>
      </c>
      <c r="M317" s="1531" t="s">
        <v>3264</v>
      </c>
      <c r="N317" s="1529"/>
      <c r="O317" s="1529"/>
      <c r="P317" s="1529"/>
      <c r="Q317" s="1529"/>
    </row>
    <row r="318" spans="1:17" ht="13.5">
      <c r="A318" s="1530"/>
      <c r="B318" s="1530">
        <f>'Part III-Sources of Funds'!B13</f>
        <v>0</v>
      </c>
      <c r="C318" s="1531" t="s">
        <v>1623</v>
      </c>
      <c r="D318" s="1540"/>
      <c r="E318" s="1530">
        <f>'Part III-Sources of Funds'!E13</f>
        <v>0</v>
      </c>
      <c r="F318" s="1531" t="s">
        <v>3644</v>
      </c>
      <c r="G318" s="1540"/>
      <c r="H318" s="1540"/>
      <c r="I318" s="1547">
        <f>'Part III-Sources of Funds'!I13</f>
        <v>0</v>
      </c>
      <c r="J318" s="1547"/>
      <c r="K318" s="1529"/>
      <c r="L318" s="1530">
        <f>'Part III-Sources of Funds'!L13</f>
        <v>0</v>
      </c>
      <c r="M318" s="1532" t="s">
        <v>3732</v>
      </c>
      <c r="N318" s="1529"/>
      <c r="O318" s="1529"/>
      <c r="P318" s="1529"/>
      <c r="Q318" s="1529"/>
    </row>
    <row r="319" spans="1:17" ht="13.5">
      <c r="A319" s="1530"/>
      <c r="B319" s="1540" t="s">
        <v>2374</v>
      </c>
      <c r="C319" s="1529"/>
      <c r="D319" s="1529"/>
      <c r="E319" s="1529"/>
      <c r="F319" s="1529"/>
      <c r="G319" s="1529"/>
      <c r="H319" s="1529"/>
      <c r="I319" s="1529"/>
      <c r="J319" s="1529"/>
      <c r="K319" s="1529"/>
      <c r="L319" s="1529"/>
      <c r="M319" s="1555"/>
      <c r="N319" s="1529"/>
      <c r="O319" s="1529"/>
      <c r="P319" s="1529"/>
      <c r="Q319" s="1529"/>
    </row>
    <row r="320" spans="1:17" ht="13.5">
      <c r="A320" s="1534"/>
      <c r="B320" s="1531"/>
      <c r="C320" s="1534"/>
      <c r="D320" s="1534"/>
      <c r="E320" s="1534"/>
      <c r="F320" s="1534"/>
      <c r="G320" s="1534"/>
      <c r="H320" s="1534"/>
      <c r="I320" s="1534"/>
      <c r="J320" s="1534"/>
      <c r="K320" s="1534"/>
      <c r="L320" s="1534"/>
      <c r="M320" s="1530"/>
      <c r="N320" s="1530"/>
      <c r="O320" s="1598"/>
      <c r="P320" s="1598"/>
      <c r="Q320" s="1598"/>
    </row>
    <row r="321" spans="1:17" ht="13.5" customHeight="1">
      <c r="A321" s="1529" t="s">
        <v>685</v>
      </c>
      <c r="B321" s="1531" t="s">
        <v>739</v>
      </c>
      <c r="C321" s="1529"/>
      <c r="D321" s="1529"/>
      <c r="E321" s="1529"/>
      <c r="F321" s="1530"/>
      <c r="G321" s="1530"/>
      <c r="H321" s="1529"/>
      <c r="I321" s="1529"/>
      <c r="J321" s="1540"/>
      <c r="K321" s="1541" t="s">
        <v>1877</v>
      </c>
      <c r="L321" s="1530" t="s">
        <v>1197</v>
      </c>
      <c r="M321" s="1530" t="s">
        <v>1200</v>
      </c>
      <c r="N321" s="1599" t="s">
        <v>30</v>
      </c>
      <c r="O321" s="1599"/>
      <c r="P321" s="1530"/>
      <c r="Q321" s="1529"/>
    </row>
    <row r="322" spans="1:17">
      <c r="A322" s="1529"/>
      <c r="B322" s="1531" t="s">
        <v>1684</v>
      </c>
      <c r="C322" s="1529"/>
      <c r="D322" s="1529"/>
      <c r="E322" s="1529" t="s">
        <v>1199</v>
      </c>
      <c r="F322" s="1529"/>
      <c r="G322" s="1529"/>
      <c r="H322" s="1529"/>
      <c r="I322" s="1529" t="s">
        <v>459</v>
      </c>
      <c r="J322" s="1529"/>
      <c r="K322" s="1530" t="s">
        <v>1626</v>
      </c>
      <c r="L322" s="1530" t="s">
        <v>1966</v>
      </c>
      <c r="M322" s="1530" t="s">
        <v>1966</v>
      </c>
      <c r="N322" s="1599"/>
      <c r="O322" s="1599"/>
      <c r="P322" s="1529" t="s">
        <v>69</v>
      </c>
      <c r="Q322" s="1529"/>
    </row>
    <row r="323" spans="1:17">
      <c r="A323" s="1529"/>
      <c r="B323" s="1529" t="s">
        <v>2323</v>
      </c>
      <c r="C323" s="1529"/>
      <c r="D323" s="1529"/>
      <c r="E323" s="1529">
        <f>'Part III-Sources of Funds'!E18</f>
        <v>0</v>
      </c>
      <c r="F323" s="1529"/>
      <c r="G323" s="1529"/>
      <c r="H323" s="1529"/>
      <c r="I323" s="1560">
        <f>'Part III-Sources of Funds'!I18</f>
        <v>0</v>
      </c>
      <c r="J323" s="1529"/>
      <c r="K323" s="1600">
        <f>'Part III-Sources of Funds'!K18</f>
        <v>0</v>
      </c>
      <c r="L323" s="1530">
        <f>'Part III-Sources of Funds'!L18</f>
        <v>0</v>
      </c>
      <c r="M323" s="1530">
        <f>'Part III-Sources of Funds'!M18</f>
        <v>0</v>
      </c>
      <c r="N323" s="1601" t="str">
        <f>'Part III-Sources of Funds'!N18</f>
        <v/>
      </c>
      <c r="O323" s="1601"/>
      <c r="P323" s="1529">
        <f>'Part III-Sources of Funds'!P18</f>
        <v>0</v>
      </c>
      <c r="Q323" s="1529"/>
    </row>
    <row r="324" spans="1:17">
      <c r="A324" s="1529"/>
      <c r="B324" s="1529" t="s">
        <v>2324</v>
      </c>
      <c r="C324" s="1529"/>
      <c r="D324" s="1529"/>
      <c r="E324" s="1529">
        <f>'Part III-Sources of Funds'!E19</f>
        <v>0</v>
      </c>
      <c r="F324" s="1529"/>
      <c r="G324" s="1529"/>
      <c r="H324" s="1529"/>
      <c r="I324" s="1560">
        <f>'Part III-Sources of Funds'!I19</f>
        <v>0</v>
      </c>
      <c r="J324" s="1529"/>
      <c r="K324" s="1600">
        <f>'Part III-Sources of Funds'!K19</f>
        <v>0</v>
      </c>
      <c r="L324" s="1530">
        <f>'Part III-Sources of Funds'!L19</f>
        <v>0</v>
      </c>
      <c r="M324" s="1530">
        <f>'Part III-Sources of Funds'!M19</f>
        <v>0</v>
      </c>
      <c r="N324" s="1601" t="str">
        <f>'Part III-Sources of Funds'!N19</f>
        <v/>
      </c>
      <c r="O324" s="1601"/>
      <c r="P324" s="1529">
        <f>'Part III-Sources of Funds'!P19</f>
        <v>0</v>
      </c>
      <c r="Q324" s="1529"/>
    </row>
    <row r="325" spans="1:17">
      <c r="A325" s="1529"/>
      <c r="B325" s="1529" t="s">
        <v>2325</v>
      </c>
      <c r="C325" s="1529"/>
      <c r="D325" s="1529"/>
      <c r="E325" s="1529">
        <f>'Part III-Sources of Funds'!E20</f>
        <v>0</v>
      </c>
      <c r="F325" s="1529"/>
      <c r="G325" s="1529"/>
      <c r="H325" s="1529"/>
      <c r="I325" s="1560">
        <f>'Part III-Sources of Funds'!I20</f>
        <v>0</v>
      </c>
      <c r="J325" s="1529"/>
      <c r="K325" s="1600">
        <f>'Part III-Sources of Funds'!K20</f>
        <v>0</v>
      </c>
      <c r="L325" s="1530">
        <f>'Part III-Sources of Funds'!L20</f>
        <v>0</v>
      </c>
      <c r="M325" s="1530">
        <f>'Part III-Sources of Funds'!M20</f>
        <v>0</v>
      </c>
      <c r="N325" s="1601" t="str">
        <f>'Part III-Sources of Funds'!N20</f>
        <v/>
      </c>
      <c r="O325" s="1601"/>
      <c r="P325" s="1529">
        <f>'Part III-Sources of Funds'!P20</f>
        <v>0</v>
      </c>
      <c r="Q325" s="1529"/>
    </row>
    <row r="326" spans="1:17">
      <c r="A326" s="1529"/>
      <c r="B326" s="1529" t="s">
        <v>686</v>
      </c>
      <c r="C326" s="1529">
        <f>'Part III-Sources of Funds'!C21</f>
        <v>0</v>
      </c>
      <c r="D326" s="1529"/>
      <c r="E326" s="1529">
        <f>'Part III-Sources of Funds'!E21</f>
        <v>0</v>
      </c>
      <c r="F326" s="1529"/>
      <c r="G326" s="1529"/>
      <c r="H326" s="1529"/>
      <c r="I326" s="1560">
        <f>'Part III-Sources of Funds'!I21</f>
        <v>0</v>
      </c>
      <c r="J326" s="1529"/>
      <c r="K326" s="1600">
        <f>'Part III-Sources of Funds'!K21</f>
        <v>0</v>
      </c>
      <c r="L326" s="1530">
        <f>'Part III-Sources of Funds'!L21</f>
        <v>0</v>
      </c>
      <c r="M326" s="1530">
        <f>'Part III-Sources of Funds'!M21</f>
        <v>0</v>
      </c>
      <c r="N326" s="1601" t="str">
        <f>'Part III-Sources of Funds'!N21</f>
        <v/>
      </c>
      <c r="O326" s="1601"/>
      <c r="P326" s="1529">
        <f>'Part III-Sources of Funds'!P21</f>
        <v>0</v>
      </c>
      <c r="Q326" s="1529"/>
    </row>
    <row r="327" spans="1:17">
      <c r="A327" s="1529"/>
      <c r="B327" s="1529" t="s">
        <v>2370</v>
      </c>
      <c r="C327" s="1529"/>
      <c r="D327" s="1529"/>
      <c r="E327" s="1529">
        <f>'Part III-Sources of Funds'!E22</f>
        <v>0</v>
      </c>
      <c r="F327" s="1529"/>
      <c r="G327" s="1529"/>
      <c r="H327" s="1529"/>
      <c r="I327" s="1560">
        <f>'Part III-Sources of Funds'!I22</f>
        <v>0</v>
      </c>
      <c r="J327" s="1529"/>
      <c r="K327" s="1600"/>
      <c r="L327" s="1530"/>
      <c r="M327" s="1530"/>
      <c r="N327" s="1601" t="str">
        <f t="shared" ref="N327" si="0">IF(OR(I327&lt;=0,I327=""),"",IF(P327="Amortizing",-PMT(K327/12,M327*12,I327,0,0)*12,""))</f>
        <v/>
      </c>
      <c r="O327" s="1601"/>
      <c r="P327" s="1529"/>
      <c r="Q327" s="1529"/>
    </row>
    <row r="328" spans="1:17">
      <c r="A328" s="1529"/>
      <c r="B328" s="1529" t="s">
        <v>210</v>
      </c>
      <c r="C328" s="1529"/>
      <c r="D328" s="1602" t="str">
        <f>'Part III-Sources of Funds'!D23</f>
        <v/>
      </c>
      <c r="E328" s="1529">
        <f>'Part III-Sources of Funds'!E23</f>
        <v>0</v>
      </c>
      <c r="F328" s="1529"/>
      <c r="G328" s="1529"/>
      <c r="H328" s="1529"/>
      <c r="I328" s="1560">
        <f>'Part III-Sources of Funds'!I23</f>
        <v>0</v>
      </c>
      <c r="J328" s="1529"/>
      <c r="K328" s="1600">
        <f>'Part III-Sources of Funds'!K23</f>
        <v>0</v>
      </c>
      <c r="L328" s="1530">
        <f>'Part III-Sources of Funds'!L23</f>
        <v>0</v>
      </c>
      <c r="M328" s="1530">
        <f>'Part III-Sources of Funds'!M23</f>
        <v>0</v>
      </c>
      <c r="N328" s="1601" t="str">
        <f>'Part III-Sources of Funds'!N23</f>
        <v/>
      </c>
      <c r="O328" s="1601"/>
      <c r="P328" s="1529">
        <f>'Part III-Sources of Funds'!P23</f>
        <v>0</v>
      </c>
      <c r="Q328" s="1529"/>
    </row>
    <row r="329" spans="1:17" ht="13.5">
      <c r="A329" s="1529"/>
      <c r="B329" s="1529"/>
      <c r="C329" s="1529"/>
      <c r="D329" s="1529"/>
      <c r="E329" s="1529"/>
      <c r="F329" s="1529"/>
      <c r="G329" s="1529"/>
      <c r="H329" s="1529"/>
      <c r="I329" s="1603"/>
      <c r="J329" s="1604"/>
      <c r="K329" s="1600"/>
      <c r="L329" s="1530"/>
      <c r="M329" s="1530"/>
      <c r="N329" s="1605"/>
      <c r="O329" s="1605"/>
      <c r="P329" s="1530"/>
      <c r="Q329" s="1530"/>
    </row>
    <row r="330" spans="1:17" ht="13.5">
      <c r="A330" s="1530" t="s">
        <v>3678</v>
      </c>
      <c r="B330" s="1540" t="s">
        <v>3269</v>
      </c>
      <c r="C330" s="1529"/>
      <c r="D330" s="1540"/>
      <c r="E330" s="1540" t="s">
        <v>3270</v>
      </c>
      <c r="F330" s="1606" t="str">
        <f>'Part III-Sources of Funds'!F25</f>
        <v/>
      </c>
      <c r="G330" s="1540"/>
      <c r="H330" s="1597" t="s">
        <v>3271</v>
      </c>
      <c r="I330" s="1606">
        <f>'Part III-Sources of Funds'!I25</f>
        <v>0</v>
      </c>
      <c r="J330" s="1540"/>
      <c r="K330" s="1597" t="s">
        <v>3272</v>
      </c>
      <c r="L330" s="1607" t="str">
        <f>'Part III-Sources of Funds'!L25</f>
        <v/>
      </c>
      <c r="M330" s="1607"/>
      <c r="N330" s="1601" t="s">
        <v>3273</v>
      </c>
      <c r="O330" s="1601"/>
      <c r="P330" s="1547">
        <f>'Part III-Sources of Funds'!P25</f>
        <v>0</v>
      </c>
      <c r="Q330" s="1547"/>
    </row>
    <row r="331" spans="1:17" ht="13.5">
      <c r="A331" s="1529"/>
      <c r="B331" s="1529"/>
      <c r="C331" s="1529"/>
      <c r="D331" s="1529"/>
      <c r="E331" s="1529"/>
      <c r="F331" s="1529"/>
      <c r="G331" s="1529"/>
      <c r="H331" s="1529"/>
      <c r="I331" s="1603"/>
      <c r="J331" s="1604"/>
      <c r="K331" s="1600"/>
      <c r="L331" s="1530"/>
      <c r="M331" s="1530"/>
      <c r="N331" s="1605"/>
      <c r="O331" s="1605"/>
      <c r="P331" s="1530"/>
      <c r="Q331" s="1530"/>
    </row>
    <row r="332" spans="1:17">
      <c r="A332" s="1529"/>
      <c r="B332" s="1529" t="s">
        <v>1967</v>
      </c>
      <c r="C332" s="1529"/>
      <c r="D332" s="1529"/>
      <c r="E332" s="1529">
        <f>'Part III-Sources of Funds'!E27</f>
        <v>0</v>
      </c>
      <c r="F332" s="1529"/>
      <c r="G332" s="1529"/>
      <c r="H332" s="1529"/>
      <c r="I332" s="1560">
        <f>'Part III-Sources of Funds'!I27</f>
        <v>0</v>
      </c>
      <c r="J332" s="1529"/>
      <c r="K332" s="1529"/>
      <c r="L332" s="1529"/>
      <c r="M332" s="1529"/>
      <c r="N332" s="1529"/>
      <c r="O332" s="1529"/>
      <c r="P332" s="1529"/>
      <c r="Q332" s="1529"/>
    </row>
    <row r="333" spans="1:17" ht="13.5">
      <c r="A333" s="1529"/>
      <c r="B333" s="1529" t="s">
        <v>740</v>
      </c>
      <c r="C333" s="1529"/>
      <c r="D333" s="1529"/>
      <c r="E333" s="1529">
        <f>'Part III-Sources of Funds'!E28</f>
        <v>0</v>
      </c>
      <c r="F333" s="1529"/>
      <c r="G333" s="1529"/>
      <c r="H333" s="1529"/>
      <c r="I333" s="1560">
        <f>'Part III-Sources of Funds'!I28</f>
        <v>0</v>
      </c>
      <c r="J333" s="1529"/>
      <c r="K333" s="1540"/>
      <c r="L333" s="1608" t="s">
        <v>481</v>
      </c>
      <c r="M333" s="1608"/>
      <c r="N333" s="1609" t="s">
        <v>482</v>
      </c>
      <c r="O333" s="1609"/>
      <c r="P333" s="1530" t="s">
        <v>480</v>
      </c>
      <c r="Q333" s="1529"/>
    </row>
    <row r="334" spans="1:17" ht="13.5">
      <c r="A334" s="1529"/>
      <c r="B334" s="1529" t="s">
        <v>741</v>
      </c>
      <c r="C334" s="1529"/>
      <c r="D334" s="1529"/>
      <c r="E334" s="1529">
        <f>'Part III-Sources of Funds'!E29</f>
        <v>0</v>
      </c>
      <c r="F334" s="1529"/>
      <c r="G334" s="1529"/>
      <c r="H334" s="1529"/>
      <c r="I334" s="1560">
        <f>'Part III-Sources of Funds'!I29</f>
        <v>0</v>
      </c>
      <c r="J334" s="1560"/>
      <c r="K334" s="1540"/>
      <c r="L334" s="1610">
        <f>'Part III-Sources of Funds'!L29</f>
        <v>0</v>
      </c>
      <c r="M334" s="1610"/>
      <c r="N334" s="1611">
        <f>'Part III-Sources of Funds'!N29</f>
        <v>0</v>
      </c>
      <c r="O334" s="1611"/>
      <c r="P334" s="1612" t="s">
        <v>2270</v>
      </c>
      <c r="Q334" s="1529"/>
    </row>
    <row r="335" spans="1:17" ht="13.5">
      <c r="A335" s="1529"/>
      <c r="B335" s="1529" t="s">
        <v>742</v>
      </c>
      <c r="C335" s="1529"/>
      <c r="D335" s="1529"/>
      <c r="E335" s="1529">
        <f>'Part III-Sources of Funds'!E30</f>
        <v>0</v>
      </c>
      <c r="F335" s="1529"/>
      <c r="G335" s="1529"/>
      <c r="H335" s="1529"/>
      <c r="I335" s="1560">
        <f>'Part III-Sources of Funds'!I30</f>
        <v>0</v>
      </c>
      <c r="J335" s="1560"/>
      <c r="K335" s="1540"/>
      <c r="L335" s="1610">
        <f>'Part III-Sources of Funds'!L30</f>
        <v>0</v>
      </c>
      <c r="M335" s="1610"/>
      <c r="N335" s="1611">
        <f>'Part III-Sources of Funds'!N30</f>
        <v>0</v>
      </c>
      <c r="O335" s="1611"/>
      <c r="P335" s="1613" t="e">
        <f>'Part III-Sources of Funds'!P30</f>
        <v>#DIV/0!</v>
      </c>
      <c r="Q335" s="1529"/>
    </row>
    <row r="336" spans="1:17" ht="13.5">
      <c r="A336" s="1529"/>
      <c r="B336" s="1529" t="s">
        <v>1298</v>
      </c>
      <c r="C336" s="1529"/>
      <c r="D336" s="1529"/>
      <c r="E336" s="1529">
        <f>'Part III-Sources of Funds'!E31</f>
        <v>0</v>
      </c>
      <c r="F336" s="1529"/>
      <c r="G336" s="1529"/>
      <c r="H336" s="1529"/>
      <c r="I336" s="1560">
        <f>'Part III-Sources of Funds'!I31</f>
        <v>0</v>
      </c>
      <c r="J336" s="1560"/>
      <c r="K336" s="1540"/>
      <c r="L336" s="1540"/>
      <c r="M336" s="1540"/>
      <c r="N336" s="1540"/>
      <c r="O336" s="1540"/>
      <c r="P336" s="1613" t="e">
        <f>'Part III-Sources of Funds'!P31</f>
        <v>#DIV/0!</v>
      </c>
      <c r="Q336" s="1529"/>
    </row>
    <row r="337" spans="1:20" ht="13.5">
      <c r="A337" s="1529"/>
      <c r="B337" s="1529" t="s">
        <v>495</v>
      </c>
      <c r="C337" s="1529"/>
      <c r="D337" s="1529"/>
      <c r="E337" s="1529">
        <f>'Part III-Sources of Funds'!E32</f>
        <v>0</v>
      </c>
      <c r="F337" s="1529"/>
      <c r="G337" s="1529"/>
      <c r="H337" s="1529"/>
      <c r="I337" s="1560">
        <f>'Part III-Sources of Funds'!I32</f>
        <v>0</v>
      </c>
      <c r="J337" s="1560"/>
      <c r="K337" s="1529"/>
      <c r="L337" s="1540"/>
      <c r="M337" s="1540"/>
      <c r="N337" s="1540"/>
      <c r="O337" s="1540"/>
      <c r="P337" s="1613" t="e">
        <f>SUM(P335:P336)</f>
        <v>#DIV/0!</v>
      </c>
      <c r="Q337" s="1529"/>
    </row>
    <row r="338" spans="1:20" ht="13.5">
      <c r="A338" s="1529"/>
      <c r="B338" s="1529" t="s">
        <v>1682</v>
      </c>
      <c r="C338" s="1529"/>
      <c r="D338" s="1529"/>
      <c r="E338" s="1529">
        <f>'Part III-Sources of Funds'!E33</f>
        <v>0</v>
      </c>
      <c r="F338" s="1529"/>
      <c r="G338" s="1529"/>
      <c r="H338" s="1529"/>
      <c r="I338" s="1560">
        <f>'Part III-Sources of Funds'!I33</f>
        <v>0</v>
      </c>
      <c r="J338" s="1560"/>
      <c r="K338" s="1540"/>
      <c r="L338" s="1540"/>
      <c r="M338" s="1540"/>
      <c r="N338" s="1586"/>
      <c r="O338" s="1586"/>
      <c r="P338" s="1586"/>
      <c r="Q338" s="1529"/>
    </row>
    <row r="339" spans="1:20" ht="13.5">
      <c r="A339" s="1529"/>
      <c r="B339" s="1529" t="s">
        <v>1683</v>
      </c>
      <c r="C339" s="1529"/>
      <c r="D339" s="1529"/>
      <c r="E339" s="1529">
        <f>'Part III-Sources of Funds'!E34</f>
        <v>0</v>
      </c>
      <c r="F339" s="1529"/>
      <c r="G339" s="1529"/>
      <c r="H339" s="1529"/>
      <c r="I339" s="1560">
        <f>'Part III-Sources of Funds'!I34</f>
        <v>0</v>
      </c>
      <c r="J339" s="1560"/>
      <c r="K339" s="1540"/>
      <c r="L339" s="1540"/>
      <c r="M339" s="1586"/>
      <c r="N339" s="1586"/>
      <c r="O339" s="1586"/>
      <c r="P339" s="1586"/>
      <c r="Q339" s="1529"/>
    </row>
    <row r="340" spans="1:20" ht="13.5">
      <c r="A340" s="1529"/>
      <c r="B340" s="1529" t="s">
        <v>686</v>
      </c>
      <c r="C340" s="1529">
        <f>'Part III-Sources of Funds'!C35</f>
        <v>0</v>
      </c>
      <c r="D340" s="1529"/>
      <c r="E340" s="1529">
        <f>'Part III-Sources of Funds'!E35</f>
        <v>0</v>
      </c>
      <c r="F340" s="1529"/>
      <c r="G340" s="1529"/>
      <c r="H340" s="1529"/>
      <c r="I340" s="1560">
        <f>'Part III-Sources of Funds'!I35</f>
        <v>0</v>
      </c>
      <c r="J340" s="1560"/>
      <c r="K340" s="1540"/>
      <c r="L340" s="1540"/>
      <c r="M340" s="1586"/>
      <c r="N340" s="1586"/>
      <c r="O340" s="1586"/>
      <c r="P340" s="1586"/>
      <c r="Q340" s="1529"/>
    </row>
    <row r="341" spans="1:20">
      <c r="A341" s="1529"/>
      <c r="B341" s="1529" t="s">
        <v>686</v>
      </c>
      <c r="C341" s="1529">
        <f>'Part III-Sources of Funds'!C36</f>
        <v>0</v>
      </c>
      <c r="D341" s="1529"/>
      <c r="E341" s="1529">
        <f>'Part III-Sources of Funds'!E36</f>
        <v>0</v>
      </c>
      <c r="F341" s="1529"/>
      <c r="G341" s="1529"/>
      <c r="H341" s="1529"/>
      <c r="I341" s="1560">
        <f>'Part III-Sources of Funds'!I36</f>
        <v>0</v>
      </c>
      <c r="J341" s="1560"/>
      <c r="K341" s="1529"/>
      <c r="L341" s="1530"/>
      <c r="M341" s="1586"/>
      <c r="N341" s="1586"/>
      <c r="O341" s="1586"/>
      <c r="P341" s="1586"/>
      <c r="Q341" s="1529"/>
    </row>
    <row r="342" spans="1:20">
      <c r="A342" s="1529"/>
      <c r="B342" s="1529" t="s">
        <v>686</v>
      </c>
      <c r="C342" s="1529">
        <f>'Part III-Sources of Funds'!C37</f>
        <v>0</v>
      </c>
      <c r="D342" s="1529"/>
      <c r="E342" s="1529">
        <f>'Part III-Sources of Funds'!E37</f>
        <v>0</v>
      </c>
      <c r="F342" s="1529"/>
      <c r="G342" s="1529"/>
      <c r="H342" s="1529"/>
      <c r="I342" s="1560">
        <f>'Part III-Sources of Funds'!I37</f>
        <v>0</v>
      </c>
      <c r="J342" s="1560"/>
      <c r="K342" s="1529"/>
      <c r="L342" s="1530"/>
      <c r="M342" s="1586"/>
      <c r="N342" s="1586"/>
      <c r="O342" s="1586"/>
      <c r="P342" s="1586"/>
      <c r="Q342" s="1529"/>
    </row>
    <row r="343" spans="1:20" ht="13.5">
      <c r="A343" s="1529"/>
      <c r="B343" s="1531" t="s">
        <v>1968</v>
      </c>
      <c r="C343" s="1529"/>
      <c r="D343" s="1529"/>
      <c r="E343" s="1529"/>
      <c r="F343" s="1529"/>
      <c r="G343" s="1529"/>
      <c r="H343" s="1540"/>
      <c r="I343" s="1601">
        <f>SUM(I323:J342)</f>
        <v>0</v>
      </c>
      <c r="J343" s="1601"/>
      <c r="K343" s="1529"/>
      <c r="L343" s="1530"/>
      <c r="M343" s="1586"/>
      <c r="N343" s="1586"/>
      <c r="O343" s="1586"/>
      <c r="P343" s="1586"/>
      <c r="Q343" s="1529"/>
    </row>
    <row r="344" spans="1:20" ht="13.5">
      <c r="A344" s="1529"/>
      <c r="B344" s="1531" t="s">
        <v>1969</v>
      </c>
      <c r="C344" s="1529"/>
      <c r="D344" s="1529"/>
      <c r="E344" s="1529"/>
      <c r="F344" s="1529"/>
      <c r="G344" s="1529"/>
      <c r="H344" s="1540"/>
      <c r="I344" s="1601">
        <f>'Part IV-Uses of Funds'!$G$127</f>
        <v>0</v>
      </c>
      <c r="J344" s="1601"/>
      <c r="K344" s="1529"/>
      <c r="L344" s="1530"/>
      <c r="M344" s="1586"/>
      <c r="N344" s="1586"/>
      <c r="O344" s="1586"/>
      <c r="P344" s="1586"/>
      <c r="Q344" s="1529"/>
    </row>
    <row r="345" spans="1:20" ht="13.5">
      <c r="A345" s="1529"/>
      <c r="B345" s="1531" t="s">
        <v>1390</v>
      </c>
      <c r="C345" s="1529"/>
      <c r="D345" s="1529"/>
      <c r="E345" s="1529"/>
      <c r="F345" s="1529"/>
      <c r="G345" s="1529"/>
      <c r="H345" s="1540"/>
      <c r="I345" s="1560">
        <f>I343-I344</f>
        <v>0</v>
      </c>
      <c r="J345" s="1560"/>
      <c r="K345" s="1529"/>
      <c r="L345" s="1530"/>
      <c r="M345" s="1586"/>
      <c r="N345" s="1586"/>
      <c r="O345" s="1586"/>
      <c r="P345" s="1586"/>
      <c r="Q345" s="1529"/>
    </row>
    <row r="346" spans="1:20">
      <c r="A346" s="1533" t="s">
        <v>3014</v>
      </c>
      <c r="B346" s="1531"/>
      <c r="C346" s="1529"/>
      <c r="D346" s="1529"/>
      <c r="E346" s="1529"/>
      <c r="F346" s="1529"/>
      <c r="G346" s="1529"/>
      <c r="H346" s="1604"/>
      <c r="I346" s="1604"/>
      <c r="J346" s="1534"/>
      <c r="K346" s="1529"/>
      <c r="L346" s="1530"/>
      <c r="M346" s="1586"/>
      <c r="N346" s="1586"/>
      <c r="O346" s="1586"/>
      <c r="P346" s="1586"/>
      <c r="Q346" s="1529"/>
    </row>
    <row r="347" spans="1:20">
      <c r="A347" s="1534"/>
      <c r="B347" s="1534"/>
      <c r="C347" s="1534"/>
      <c r="D347" s="1534"/>
      <c r="E347" s="1534"/>
      <c r="F347" s="1534"/>
      <c r="G347" s="1534"/>
      <c r="H347" s="1534"/>
      <c r="I347" s="1534"/>
      <c r="J347" s="1534"/>
      <c r="K347" s="1534"/>
      <c r="L347" s="1534"/>
      <c r="M347" s="1534"/>
      <c r="N347" s="1534"/>
      <c r="O347" s="1534"/>
      <c r="P347" s="1534"/>
      <c r="Q347" s="1534"/>
    </row>
    <row r="348" spans="1:20">
      <c r="A348" s="1529" t="s">
        <v>687</v>
      </c>
      <c r="B348" s="1529" t="s">
        <v>531</v>
      </c>
      <c r="C348" s="1534"/>
      <c r="D348" s="1534"/>
      <c r="E348" s="1534"/>
      <c r="F348" s="1534"/>
      <c r="G348" s="1534"/>
      <c r="H348" s="1534"/>
      <c r="I348" s="1534"/>
      <c r="J348" s="1534"/>
      <c r="K348" s="1529" t="s">
        <v>1614</v>
      </c>
      <c r="L348" s="1529" t="s">
        <v>74</v>
      </c>
      <c r="M348" s="1534"/>
      <c r="N348" s="1534"/>
      <c r="O348" s="1534"/>
      <c r="P348" s="1534"/>
      <c r="Q348" s="1534"/>
    </row>
    <row r="349" spans="1:20" ht="13.5">
      <c r="A349" s="1580">
        <f>'Part III-Sources of Funds'!A44</f>
        <v>0</v>
      </c>
      <c r="B349" s="1614"/>
      <c r="C349" s="1614"/>
      <c r="D349" s="1614"/>
      <c r="E349" s="1614"/>
      <c r="F349" s="1614"/>
      <c r="G349" s="1614"/>
      <c r="H349" s="1614"/>
      <c r="I349" s="1614"/>
      <c r="J349" s="1614"/>
      <c r="K349" s="1580">
        <f>'Part III-Sources of Funds'!K44</f>
        <v>0</v>
      </c>
      <c r="L349" s="1614"/>
      <c r="M349" s="1614"/>
      <c r="N349" s="1614"/>
      <c r="O349" s="1614"/>
      <c r="P349" s="1614"/>
      <c r="Q349" s="1614"/>
    </row>
    <row r="351" spans="1:20">
      <c r="A351" s="1529" t="str">
        <f>CONCATENATE("PART FOUR -  USES OF FUNDS","  -  ",'Part I-Project Information'!$O$4," ",'Part I-Project Information'!$F$24,", ",'Part I-Project Information'!F377,", ",'Part I-Project Information'!J378," County")</f>
        <v>PART FOUR -  USES OF FUNDS  -  20##-### SB OHF Test Villas, ,  County</v>
      </c>
      <c r="B351" s="1529"/>
      <c r="C351" s="1529"/>
      <c r="D351" s="1529"/>
      <c r="E351" s="1529"/>
      <c r="F351" s="1529"/>
      <c r="G351" s="1529"/>
      <c r="H351" s="1529"/>
      <c r="I351" s="1529"/>
      <c r="J351" s="1529"/>
      <c r="K351" s="1529"/>
      <c r="L351" s="1529"/>
      <c r="M351" s="1529"/>
      <c r="N351" s="1529"/>
      <c r="O351" s="1529"/>
      <c r="P351" s="1529"/>
      <c r="Q351" s="1529"/>
      <c r="R351" s="1529"/>
      <c r="S351" s="1529"/>
      <c r="T351" s="1529"/>
    </row>
    <row r="352" spans="1:20">
      <c r="A352" s="1534"/>
      <c r="B352" s="1534"/>
      <c r="C352" s="1534"/>
      <c r="D352" s="1534"/>
      <c r="E352" s="1534"/>
      <c r="F352" s="1534"/>
      <c r="G352" s="1534"/>
      <c r="H352" s="1534"/>
      <c r="I352" s="1534"/>
      <c r="J352" s="1534"/>
      <c r="K352" s="1534"/>
      <c r="L352" s="1534"/>
      <c r="M352" s="1534"/>
      <c r="N352" s="1534"/>
      <c r="O352" s="1534"/>
      <c r="P352" s="1534"/>
      <c r="Q352" s="1534"/>
      <c r="R352" s="1534"/>
      <c r="S352" s="1534"/>
      <c r="T352" s="1534"/>
    </row>
    <row r="353" spans="1:20">
      <c r="A353" s="1529"/>
      <c r="B353" s="1529"/>
      <c r="C353" s="1529"/>
      <c r="D353" s="1529"/>
      <c r="E353" s="1529"/>
      <c r="F353" s="1529"/>
      <c r="G353" s="1529"/>
      <c r="H353" s="1529"/>
      <c r="I353" s="1529"/>
      <c r="J353" s="1529"/>
      <c r="K353" s="1529"/>
      <c r="L353" s="1529"/>
      <c r="M353" s="1529"/>
      <c r="N353" s="1529"/>
      <c r="O353" s="1529"/>
      <c r="P353" s="1529"/>
      <c r="Q353" s="1529"/>
      <c r="R353" s="1529"/>
      <c r="S353" s="1529"/>
      <c r="T353" s="1529"/>
    </row>
    <row r="354" spans="1:20" ht="16.5">
      <c r="A354" s="1530"/>
      <c r="B354" s="1530"/>
      <c r="C354" s="1530"/>
      <c r="D354" s="1615"/>
      <c r="E354" s="1615"/>
      <c r="F354" s="1615"/>
      <c r="G354" s="1615"/>
      <c r="H354" s="1615"/>
      <c r="I354" s="1529"/>
      <c r="J354" s="1530"/>
      <c r="K354" s="1530"/>
      <c r="L354" s="1530"/>
      <c r="M354" s="1530"/>
      <c r="N354" s="1530"/>
      <c r="O354" s="1530"/>
      <c r="P354" s="1530"/>
      <c r="Q354" s="1530"/>
      <c r="R354" s="1530"/>
      <c r="S354" s="1530"/>
      <c r="T354" s="1530"/>
    </row>
    <row r="355" spans="1:20" ht="17.25" customHeight="1">
      <c r="A355" s="1615" t="s">
        <v>572</v>
      </c>
      <c r="B355" s="1615" t="s">
        <v>839</v>
      </c>
      <c r="C355" s="1529"/>
      <c r="D355" s="1529"/>
      <c r="E355" s="1529"/>
      <c r="F355" s="1529"/>
      <c r="G355" s="1615"/>
      <c r="H355" s="1615"/>
      <c r="I355" s="1615"/>
      <c r="J355" s="1586" t="s">
        <v>250</v>
      </c>
      <c r="K355" s="1586"/>
      <c r="L355" s="1553"/>
      <c r="M355" s="1616" t="s">
        <v>460</v>
      </c>
      <c r="N355" s="1616"/>
      <c r="O355" s="1529"/>
      <c r="P355" s="1586" t="s">
        <v>251</v>
      </c>
      <c r="Q355" s="1586"/>
      <c r="R355" s="1529"/>
      <c r="S355" s="1586" t="s">
        <v>252</v>
      </c>
      <c r="T355" s="1586"/>
    </row>
    <row r="356" spans="1:20">
      <c r="A356" s="1529"/>
      <c r="B356" s="1529"/>
      <c r="C356" s="1529"/>
      <c r="D356" s="1529"/>
      <c r="E356" s="1529"/>
      <c r="F356" s="1529"/>
      <c r="G356" s="1529" t="s">
        <v>93</v>
      </c>
      <c r="H356" s="1529"/>
      <c r="I356" s="1529"/>
      <c r="J356" s="1586"/>
      <c r="K356" s="1586"/>
      <c r="L356" s="1553"/>
      <c r="M356" s="1616"/>
      <c r="N356" s="1616"/>
      <c r="O356" s="1529"/>
      <c r="P356" s="1586"/>
      <c r="Q356" s="1586"/>
      <c r="R356" s="1529"/>
      <c r="S356" s="1586"/>
      <c r="T356" s="1586"/>
    </row>
    <row r="357" spans="1:20">
      <c r="A357" s="1529"/>
      <c r="B357" s="1529" t="s">
        <v>94</v>
      </c>
      <c r="C357" s="1529"/>
      <c r="D357" s="1529"/>
      <c r="E357" s="1529"/>
      <c r="F357" s="1529"/>
      <c r="G357" s="1529"/>
      <c r="H357" s="1529"/>
      <c r="I357" s="1529"/>
      <c r="J357" s="1529"/>
      <c r="K357" s="1529"/>
      <c r="L357" s="1529"/>
      <c r="M357" s="1529"/>
      <c r="N357" s="1529"/>
      <c r="O357" s="1530" t="str">
        <f>B357</f>
        <v>PRE-DEVELOPMENT COSTS</v>
      </c>
      <c r="P357" s="1529"/>
      <c r="Q357" s="1529"/>
      <c r="R357" s="1529"/>
      <c r="S357" s="1529"/>
      <c r="T357" s="1529"/>
    </row>
    <row r="358" spans="1:20">
      <c r="A358" s="1529"/>
      <c r="B358" s="1529" t="s">
        <v>1803</v>
      </c>
      <c r="C358" s="1529"/>
      <c r="D358" s="1529"/>
      <c r="E358" s="1529"/>
      <c r="F358" s="1529"/>
      <c r="G358" s="1553">
        <f>'Part IV-Uses of Funds'!G8</f>
        <v>0</v>
      </c>
      <c r="H358" s="1553"/>
      <c r="I358" s="1529"/>
      <c r="J358" s="1553">
        <f>'Part IV-Uses of Funds'!J8</f>
        <v>0</v>
      </c>
      <c r="K358" s="1553"/>
      <c r="L358" s="1554"/>
      <c r="M358" s="1553">
        <f>'Part IV-Uses of Funds'!M8</f>
        <v>0</v>
      </c>
      <c r="N358" s="1553"/>
      <c r="O358" s="1529"/>
      <c r="P358" s="1553">
        <f>'Part IV-Uses of Funds'!P8</f>
        <v>0</v>
      </c>
      <c r="Q358" s="1553"/>
      <c r="R358" s="1529"/>
      <c r="S358" s="1553">
        <f>'Part IV-Uses of Funds'!S8</f>
        <v>0</v>
      </c>
      <c r="T358" s="1553"/>
    </row>
    <row r="359" spans="1:20">
      <c r="A359" s="1529"/>
      <c r="B359" s="1529" t="s">
        <v>432</v>
      </c>
      <c r="C359" s="1529"/>
      <c r="D359" s="1529"/>
      <c r="E359" s="1529"/>
      <c r="F359" s="1529"/>
      <c r="G359" s="1553">
        <f>'Part IV-Uses of Funds'!G9</f>
        <v>0</v>
      </c>
      <c r="H359" s="1553"/>
      <c r="I359" s="1529"/>
      <c r="J359" s="1553">
        <f>'Part IV-Uses of Funds'!J9</f>
        <v>0</v>
      </c>
      <c r="K359" s="1553"/>
      <c r="L359" s="1554"/>
      <c r="M359" s="1553">
        <f>'Part IV-Uses of Funds'!M9</f>
        <v>0</v>
      </c>
      <c r="N359" s="1553"/>
      <c r="O359" s="1529"/>
      <c r="P359" s="1553">
        <f>'Part IV-Uses of Funds'!P9</f>
        <v>0</v>
      </c>
      <c r="Q359" s="1553"/>
      <c r="R359" s="1529"/>
      <c r="S359" s="1553">
        <f>'Part IV-Uses of Funds'!S9</f>
        <v>0</v>
      </c>
      <c r="T359" s="1553"/>
    </row>
    <row r="360" spans="1:20">
      <c r="A360" s="1529"/>
      <c r="B360" s="1529" t="s">
        <v>457</v>
      </c>
      <c r="C360" s="1529"/>
      <c r="D360" s="1529"/>
      <c r="E360" s="1529"/>
      <c r="F360" s="1529"/>
      <c r="G360" s="1553">
        <f>'Part IV-Uses of Funds'!G10</f>
        <v>0</v>
      </c>
      <c r="H360" s="1553"/>
      <c r="I360" s="1529"/>
      <c r="J360" s="1553">
        <f>'Part IV-Uses of Funds'!J10</f>
        <v>0</v>
      </c>
      <c r="K360" s="1553"/>
      <c r="L360" s="1554"/>
      <c r="M360" s="1553">
        <f>'Part IV-Uses of Funds'!M10</f>
        <v>0</v>
      </c>
      <c r="N360" s="1553"/>
      <c r="O360" s="1529"/>
      <c r="P360" s="1553">
        <f>'Part IV-Uses of Funds'!P10</f>
        <v>0</v>
      </c>
      <c r="Q360" s="1553"/>
      <c r="R360" s="1529"/>
      <c r="S360" s="1553">
        <f>'Part IV-Uses of Funds'!S10</f>
        <v>0</v>
      </c>
      <c r="T360" s="1553"/>
    </row>
    <row r="361" spans="1:20">
      <c r="A361" s="1529"/>
      <c r="B361" s="1529" t="s">
        <v>458</v>
      </c>
      <c r="C361" s="1529"/>
      <c r="D361" s="1529"/>
      <c r="E361" s="1529"/>
      <c r="F361" s="1529"/>
      <c r="G361" s="1553">
        <f>'Part IV-Uses of Funds'!G11</f>
        <v>0</v>
      </c>
      <c r="H361" s="1553"/>
      <c r="I361" s="1529"/>
      <c r="J361" s="1553">
        <f>'Part IV-Uses of Funds'!J11</f>
        <v>0</v>
      </c>
      <c r="K361" s="1553"/>
      <c r="L361" s="1554"/>
      <c r="M361" s="1553">
        <f>'Part IV-Uses of Funds'!M11</f>
        <v>0</v>
      </c>
      <c r="N361" s="1553"/>
      <c r="O361" s="1529"/>
      <c r="P361" s="1553">
        <f>'Part IV-Uses of Funds'!P11</f>
        <v>0</v>
      </c>
      <c r="Q361" s="1553"/>
      <c r="R361" s="1529"/>
      <c r="S361" s="1553">
        <f>'Part IV-Uses of Funds'!S11</f>
        <v>0</v>
      </c>
      <c r="T361" s="1553"/>
    </row>
    <row r="362" spans="1:20">
      <c r="A362" s="1529"/>
      <c r="B362" s="1529" t="s">
        <v>2217</v>
      </c>
      <c r="C362" s="1529"/>
      <c r="D362" s="1529"/>
      <c r="E362" s="1529"/>
      <c r="F362" s="1529"/>
      <c r="G362" s="1553">
        <f>'Part IV-Uses of Funds'!G12</f>
        <v>0</v>
      </c>
      <c r="H362" s="1553"/>
      <c r="I362" s="1529"/>
      <c r="J362" s="1553">
        <f>'Part IV-Uses of Funds'!J12</f>
        <v>0</v>
      </c>
      <c r="K362" s="1553"/>
      <c r="L362" s="1554"/>
      <c r="M362" s="1553">
        <f>'Part IV-Uses of Funds'!M12</f>
        <v>0</v>
      </c>
      <c r="N362" s="1553"/>
      <c r="O362" s="1529"/>
      <c r="P362" s="1553">
        <f>'Part IV-Uses of Funds'!P12</f>
        <v>0</v>
      </c>
      <c r="Q362" s="1553"/>
      <c r="R362" s="1529"/>
      <c r="S362" s="1553">
        <f>'Part IV-Uses of Funds'!S12</f>
        <v>0</v>
      </c>
      <c r="T362" s="1553"/>
    </row>
    <row r="363" spans="1:20">
      <c r="A363" s="1529"/>
      <c r="B363" s="1529" t="s">
        <v>170</v>
      </c>
      <c r="C363" s="1529"/>
      <c r="D363" s="1529"/>
      <c r="E363" s="1529"/>
      <c r="F363" s="1529"/>
      <c r="G363" s="1553">
        <f>'Part IV-Uses of Funds'!G13</f>
        <v>0</v>
      </c>
      <c r="H363" s="1553"/>
      <c r="I363" s="1529"/>
      <c r="J363" s="1553">
        <f>'Part IV-Uses of Funds'!J13</f>
        <v>0</v>
      </c>
      <c r="K363" s="1553"/>
      <c r="L363" s="1554"/>
      <c r="M363" s="1553">
        <f>'Part IV-Uses of Funds'!M13</f>
        <v>0</v>
      </c>
      <c r="N363" s="1553"/>
      <c r="O363" s="1529"/>
      <c r="P363" s="1553">
        <f>'Part IV-Uses of Funds'!P13</f>
        <v>0</v>
      </c>
      <c r="Q363" s="1553"/>
      <c r="R363" s="1529"/>
      <c r="S363" s="1553">
        <f>'Part IV-Uses of Funds'!S13</f>
        <v>0</v>
      </c>
      <c r="T363" s="1553"/>
    </row>
    <row r="364" spans="1:20" ht="15.75">
      <c r="A364" s="1617" t="str">
        <f>IF(AND(G364&gt;0,OR(C364="",C364="&lt;Enter detailed description here; use Comments section if needed&gt;")),"X","")</f>
        <v/>
      </c>
      <c r="B364" s="1529" t="s">
        <v>686</v>
      </c>
      <c r="C364" s="1529" t="str">
        <f>'Part IV-Uses of Funds'!C14</f>
        <v>&lt;Enter detailed description here; use Comments section if needed&gt;</v>
      </c>
      <c r="D364" s="1529"/>
      <c r="E364" s="1529"/>
      <c r="F364" s="1529"/>
      <c r="G364" s="1553">
        <f>'Part IV-Uses of Funds'!G14</f>
        <v>0</v>
      </c>
      <c r="H364" s="1553"/>
      <c r="I364" s="1529"/>
      <c r="J364" s="1553">
        <f>'Part IV-Uses of Funds'!J14</f>
        <v>0</v>
      </c>
      <c r="K364" s="1553"/>
      <c r="L364" s="1554"/>
      <c r="M364" s="1553">
        <f>'Part IV-Uses of Funds'!M14</f>
        <v>0</v>
      </c>
      <c r="N364" s="1553"/>
      <c r="O364" s="1529"/>
      <c r="P364" s="1553">
        <f>'Part IV-Uses of Funds'!P14</f>
        <v>0</v>
      </c>
      <c r="Q364" s="1553"/>
      <c r="R364" s="1529"/>
      <c r="S364" s="1553">
        <f>'Part IV-Uses of Funds'!S14</f>
        <v>0</v>
      </c>
      <c r="T364" s="1553"/>
    </row>
    <row r="365" spans="1:20" ht="15.75">
      <c r="A365" s="1617" t="str">
        <f>IF(AND(G365&gt;0,OR(C365="",C365="&lt;Enter detailed description here; use Comments section if needed&gt;")),"X","")</f>
        <v/>
      </c>
      <c r="B365" s="1529" t="s">
        <v>686</v>
      </c>
      <c r="C365" s="1529" t="str">
        <f>'Part IV-Uses of Funds'!C15</f>
        <v>&lt;Enter detailed description here; use Comments section if needed&gt;</v>
      </c>
      <c r="D365" s="1529"/>
      <c r="E365" s="1529"/>
      <c r="F365" s="1529"/>
      <c r="G365" s="1553">
        <f>'Part IV-Uses of Funds'!G15</f>
        <v>0</v>
      </c>
      <c r="H365" s="1553"/>
      <c r="I365" s="1529"/>
      <c r="J365" s="1553">
        <f>'Part IV-Uses of Funds'!J15</f>
        <v>0</v>
      </c>
      <c r="K365" s="1553"/>
      <c r="L365" s="1554"/>
      <c r="M365" s="1553">
        <f>'Part IV-Uses of Funds'!M15</f>
        <v>0</v>
      </c>
      <c r="N365" s="1553"/>
      <c r="O365" s="1529"/>
      <c r="P365" s="1553">
        <f>'Part IV-Uses of Funds'!P15</f>
        <v>0</v>
      </c>
      <c r="Q365" s="1553"/>
      <c r="R365" s="1529"/>
      <c r="S365" s="1553">
        <f>'Part IV-Uses of Funds'!S15</f>
        <v>0</v>
      </c>
      <c r="T365" s="1553"/>
    </row>
    <row r="366" spans="1:20" ht="15.75">
      <c r="A366" s="1617" t="str">
        <f>IF(AND(G366&gt;0,OR(C366="",C366="&lt;Enter detailed description here; use Comments section if needed&gt;")),"X","")</f>
        <v/>
      </c>
      <c r="B366" s="1529" t="s">
        <v>686</v>
      </c>
      <c r="C366" s="1529" t="str">
        <f>'Part IV-Uses of Funds'!C16</f>
        <v>&lt;Enter detailed description here; use Comments section if needed&gt;</v>
      </c>
      <c r="D366" s="1529"/>
      <c r="E366" s="1529"/>
      <c r="F366" s="1529"/>
      <c r="G366" s="1553">
        <f>'Part IV-Uses of Funds'!G16</f>
        <v>0</v>
      </c>
      <c r="H366" s="1553"/>
      <c r="I366" s="1529"/>
      <c r="J366" s="1553">
        <f>'Part IV-Uses of Funds'!J16</f>
        <v>0</v>
      </c>
      <c r="K366" s="1553"/>
      <c r="L366" s="1554"/>
      <c r="M366" s="1553">
        <f>'Part IV-Uses of Funds'!M16</f>
        <v>0</v>
      </c>
      <c r="N366" s="1553"/>
      <c r="O366" s="1529"/>
      <c r="P366" s="1553">
        <f>'Part IV-Uses of Funds'!P16</f>
        <v>0</v>
      </c>
      <c r="Q366" s="1553"/>
      <c r="R366" s="1529"/>
      <c r="S366" s="1553">
        <f>'Part IV-Uses of Funds'!S16</f>
        <v>0</v>
      </c>
      <c r="T366" s="1553"/>
    </row>
    <row r="367" spans="1:20">
      <c r="A367" s="1529"/>
      <c r="B367" s="1529"/>
      <c r="C367" s="1529"/>
      <c r="D367" s="1529"/>
      <c r="E367" s="1529"/>
      <c r="F367" s="1618" t="s">
        <v>171</v>
      </c>
      <c r="G367" s="1553">
        <f>SUM(G358:H366)</f>
        <v>0</v>
      </c>
      <c r="H367" s="1553"/>
      <c r="I367" s="1529"/>
      <c r="J367" s="1553">
        <f>SUM(J358:K366)</f>
        <v>0</v>
      </c>
      <c r="K367" s="1555"/>
      <c r="L367" s="1554"/>
      <c r="M367" s="1553">
        <f>SUM(M358:N366)</f>
        <v>0</v>
      </c>
      <c r="N367" s="1553"/>
      <c r="O367" s="1529"/>
      <c r="P367" s="1553">
        <f>SUM(P358:Q366)</f>
        <v>0</v>
      </c>
      <c r="Q367" s="1553"/>
      <c r="R367" s="1529"/>
      <c r="S367" s="1553">
        <f>SUM(S358:T366)</f>
        <v>0</v>
      </c>
      <c r="T367" s="1553"/>
    </row>
    <row r="368" spans="1:20">
      <c r="A368" s="1529"/>
      <c r="B368" s="1529" t="s">
        <v>1959</v>
      </c>
      <c r="C368" s="1529"/>
      <c r="D368" s="1529"/>
      <c r="E368" s="1529"/>
      <c r="F368" s="1529"/>
      <c r="G368" s="1529"/>
      <c r="H368" s="1529"/>
      <c r="I368" s="1529"/>
      <c r="J368" s="1553"/>
      <c r="K368" s="1553"/>
      <c r="L368" s="1529"/>
      <c r="M368" s="1553"/>
      <c r="N368" s="1553"/>
      <c r="O368" s="1554" t="str">
        <f>B368</f>
        <v>ACQUISITION</v>
      </c>
      <c r="P368" s="1553"/>
      <c r="Q368" s="1553"/>
      <c r="R368" s="1529"/>
      <c r="S368" s="1553"/>
      <c r="T368" s="1553"/>
    </row>
    <row r="369" spans="1:20">
      <c r="A369" s="1529"/>
      <c r="B369" s="1529" t="s">
        <v>1960</v>
      </c>
      <c r="C369" s="1529"/>
      <c r="D369" s="1529"/>
      <c r="E369" s="1529"/>
      <c r="F369" s="1529"/>
      <c r="G369" s="1553">
        <f>'Part IV-Uses of Funds'!G19</f>
        <v>0</v>
      </c>
      <c r="H369" s="1553"/>
      <c r="I369" s="1529"/>
      <c r="J369" s="1554"/>
      <c r="K369" s="1553"/>
      <c r="L369" s="1554"/>
      <c r="M369" s="1554"/>
      <c r="N369" s="1553"/>
      <c r="O369" s="1529"/>
      <c r="P369" s="1554"/>
      <c r="Q369" s="1553"/>
      <c r="R369" s="1529"/>
      <c r="S369" s="1553">
        <f>'Part IV-Uses of Funds'!S19</f>
        <v>0</v>
      </c>
      <c r="T369" s="1553"/>
    </row>
    <row r="370" spans="1:20">
      <c r="A370" s="1529"/>
      <c r="B370" s="1529" t="s">
        <v>1039</v>
      </c>
      <c r="C370" s="1529"/>
      <c r="D370" s="1529"/>
      <c r="E370" s="1529"/>
      <c r="F370" s="1529"/>
      <c r="G370" s="1553">
        <f>'Part IV-Uses of Funds'!G20</f>
        <v>0</v>
      </c>
      <c r="H370" s="1553"/>
      <c r="I370" s="1529"/>
      <c r="J370" s="1554"/>
      <c r="K370" s="1553"/>
      <c r="L370" s="1554"/>
      <c r="M370" s="1554"/>
      <c r="N370" s="1553"/>
      <c r="O370" s="1529"/>
      <c r="P370" s="1554"/>
      <c r="Q370" s="1553"/>
      <c r="R370" s="1529"/>
      <c r="S370" s="1553">
        <f>'Part IV-Uses of Funds'!S20</f>
        <v>0</v>
      </c>
      <c r="T370" s="1553"/>
    </row>
    <row r="371" spans="1:20">
      <c r="A371" s="1529"/>
      <c r="B371" s="1529" t="s">
        <v>433</v>
      </c>
      <c r="C371" s="1529"/>
      <c r="D371" s="1529"/>
      <c r="E371" s="1529"/>
      <c r="F371" s="1529"/>
      <c r="G371" s="1553">
        <f>'Part IV-Uses of Funds'!G21</f>
        <v>0</v>
      </c>
      <c r="H371" s="1553"/>
      <c r="I371" s="1529"/>
      <c r="J371" s="1554"/>
      <c r="K371" s="1553"/>
      <c r="L371" s="1554"/>
      <c r="M371" s="1553">
        <f>'Part IV-Uses of Funds'!M21</f>
        <v>0</v>
      </c>
      <c r="N371" s="1553"/>
      <c r="O371" s="1529"/>
      <c r="P371" s="1554"/>
      <c r="Q371" s="1553"/>
      <c r="R371" s="1529"/>
      <c r="S371" s="1553">
        <f>'Part IV-Uses of Funds'!S21</f>
        <v>0</v>
      </c>
      <c r="T371" s="1553"/>
    </row>
    <row r="372" spans="1:20">
      <c r="A372" s="1529"/>
      <c r="B372" s="1529" t="s">
        <v>404</v>
      </c>
      <c r="C372" s="1529"/>
      <c r="D372" s="1529"/>
      <c r="E372" s="1529"/>
      <c r="F372" s="1529"/>
      <c r="G372" s="1553">
        <f>'Part IV-Uses of Funds'!G22</f>
        <v>0</v>
      </c>
      <c r="H372" s="1553"/>
      <c r="I372" s="1529"/>
      <c r="J372" s="1554"/>
      <c r="K372" s="1553"/>
      <c r="L372" s="1554"/>
      <c r="M372" s="1553">
        <f>'Part IV-Uses of Funds'!M22</f>
        <v>0</v>
      </c>
      <c r="N372" s="1553"/>
      <c r="O372" s="1529"/>
      <c r="P372" s="1554"/>
      <c r="Q372" s="1553"/>
      <c r="R372" s="1529"/>
      <c r="S372" s="1553">
        <f>'Part IV-Uses of Funds'!S22</f>
        <v>0</v>
      </c>
      <c r="T372" s="1553"/>
    </row>
    <row r="373" spans="1:20">
      <c r="A373" s="1529"/>
      <c r="B373" s="1529"/>
      <c r="C373" s="1529"/>
      <c r="D373" s="1529"/>
      <c r="E373" s="1529"/>
      <c r="F373" s="1618" t="s">
        <v>171</v>
      </c>
      <c r="G373" s="1553">
        <f>SUM(G369:H372)</f>
        <v>0</v>
      </c>
      <c r="H373" s="1553"/>
      <c r="I373" s="1529"/>
      <c r="J373" s="1554"/>
      <c r="K373" s="1553"/>
      <c r="L373" s="1554"/>
      <c r="M373" s="1553">
        <f>SUM(M371:N372)</f>
        <v>0</v>
      </c>
      <c r="N373" s="1553"/>
      <c r="O373" s="1529"/>
      <c r="P373" s="1554"/>
      <c r="Q373" s="1553"/>
      <c r="R373" s="1529"/>
      <c r="S373" s="1553">
        <f>SUM(S369:T372)</f>
        <v>0</v>
      </c>
      <c r="T373" s="1553"/>
    </row>
    <row r="374" spans="1:20">
      <c r="A374" s="1529"/>
      <c r="B374" s="1529" t="s">
        <v>1040</v>
      </c>
      <c r="C374" s="1529"/>
      <c r="D374" s="1529"/>
      <c r="E374" s="1529"/>
      <c r="F374" s="1529"/>
      <c r="G374" s="1529"/>
      <c r="H374" s="1529"/>
      <c r="I374" s="1529"/>
      <c r="J374" s="1554"/>
      <c r="K374" s="1553"/>
      <c r="L374" s="1529"/>
      <c r="M374" s="1554"/>
      <c r="N374" s="1553"/>
      <c r="O374" s="1554" t="str">
        <f>B374</f>
        <v>LAND IMPROVEMENTS</v>
      </c>
      <c r="P374" s="1554"/>
      <c r="Q374" s="1553"/>
      <c r="R374" s="1529"/>
      <c r="S374" s="1554"/>
      <c r="T374" s="1553"/>
    </row>
    <row r="375" spans="1:20">
      <c r="A375" s="1529"/>
      <c r="B375" s="1529" t="s">
        <v>1041</v>
      </c>
      <c r="C375" s="1529"/>
      <c r="D375" s="1529"/>
      <c r="E375" s="1529"/>
      <c r="F375" s="1529"/>
      <c r="G375" s="1553">
        <f>'Part IV-Uses of Funds'!G25</f>
        <v>0</v>
      </c>
      <c r="H375" s="1553"/>
      <c r="I375" s="1529"/>
      <c r="J375" s="1553">
        <f>'Part IV-Uses of Funds'!J25</f>
        <v>0</v>
      </c>
      <c r="K375" s="1553"/>
      <c r="L375" s="1554"/>
      <c r="M375" s="1553">
        <f>'Part IV-Uses of Funds'!M25</f>
        <v>0</v>
      </c>
      <c r="N375" s="1553"/>
      <c r="O375" s="1529"/>
      <c r="P375" s="1553">
        <f>'Part IV-Uses of Funds'!P25</f>
        <v>0</v>
      </c>
      <c r="Q375" s="1553"/>
      <c r="R375" s="1529"/>
      <c r="S375" s="1553">
        <f>'Part IV-Uses of Funds'!S25</f>
        <v>0</v>
      </c>
      <c r="T375" s="1553"/>
    </row>
    <row r="376" spans="1:20">
      <c r="A376" s="1529"/>
      <c r="B376" s="1529" t="s">
        <v>1042</v>
      </c>
      <c r="C376" s="1529"/>
      <c r="D376" s="1529"/>
      <c r="E376" s="1529"/>
      <c r="F376" s="1529"/>
      <c r="G376" s="1553">
        <f>'Part IV-Uses of Funds'!G26</f>
        <v>0</v>
      </c>
      <c r="H376" s="1553"/>
      <c r="I376" s="1529"/>
      <c r="J376" s="1553">
        <f>'Part IV-Uses of Funds'!J26</f>
        <v>0</v>
      </c>
      <c r="K376" s="1553"/>
      <c r="L376" s="1619"/>
      <c r="M376" s="1553"/>
      <c r="N376" s="1553"/>
      <c r="O376" s="1529"/>
      <c r="P376" s="1553"/>
      <c r="Q376" s="1553"/>
      <c r="R376" s="1529"/>
      <c r="S376" s="1553">
        <f>'Part IV-Uses of Funds'!S26</f>
        <v>0</v>
      </c>
      <c r="T376" s="1553"/>
    </row>
    <row r="377" spans="1:20">
      <c r="A377" s="1529"/>
      <c r="B377" s="1529"/>
      <c r="C377" s="1529"/>
      <c r="D377" s="1529"/>
      <c r="E377" s="1529"/>
      <c r="F377" s="1618" t="s">
        <v>171</v>
      </c>
      <c r="G377" s="1553">
        <f>SUM(G375:H376)</f>
        <v>0</v>
      </c>
      <c r="H377" s="1553"/>
      <c r="I377" s="1529"/>
      <c r="J377" s="1553">
        <f>SUM(J375:K376)</f>
        <v>0</v>
      </c>
      <c r="K377" s="1553"/>
      <c r="L377" s="1554"/>
      <c r="M377" s="1553">
        <f>M375</f>
        <v>0</v>
      </c>
      <c r="N377" s="1553"/>
      <c r="O377" s="1529"/>
      <c r="P377" s="1553">
        <f>P375</f>
        <v>0</v>
      </c>
      <c r="Q377" s="1553"/>
      <c r="R377" s="1529"/>
      <c r="S377" s="1553">
        <f>SUM(S375:T376)</f>
        <v>0</v>
      </c>
      <c r="T377" s="1553"/>
    </row>
    <row r="378" spans="1:20">
      <c r="A378" s="1529"/>
      <c r="B378" s="1529" t="s">
        <v>1043</v>
      </c>
      <c r="C378" s="1529"/>
      <c r="D378" s="1529"/>
      <c r="E378" s="1529"/>
      <c r="F378" s="1529"/>
      <c r="G378" s="1529"/>
      <c r="H378" s="1529"/>
      <c r="I378" s="1529"/>
      <c r="J378" s="1554"/>
      <c r="K378" s="1553"/>
      <c r="L378" s="1529"/>
      <c r="M378" s="1554"/>
      <c r="N378" s="1553"/>
      <c r="O378" s="1554" t="str">
        <f>B378</f>
        <v>STRUCTURES</v>
      </c>
      <c r="P378" s="1554"/>
      <c r="Q378" s="1553"/>
      <c r="R378" s="1529"/>
      <c r="S378" s="1554"/>
      <c r="T378" s="1553"/>
    </row>
    <row r="379" spans="1:20">
      <c r="A379" s="1529"/>
      <c r="B379" s="1529" t="s">
        <v>1044</v>
      </c>
      <c r="C379" s="1529"/>
      <c r="D379" s="1529"/>
      <c r="E379" s="1529"/>
      <c r="F379" s="1529"/>
      <c r="G379" s="1553">
        <f>'Part IV-Uses of Funds'!G29</f>
        <v>0</v>
      </c>
      <c r="H379" s="1553"/>
      <c r="I379" s="1529"/>
      <c r="J379" s="1553">
        <f>'Part IV-Uses of Funds'!J29</f>
        <v>0</v>
      </c>
      <c r="K379" s="1553"/>
      <c r="L379" s="1554"/>
      <c r="M379" s="1553">
        <f>'Part IV-Uses of Funds'!M29</f>
        <v>0</v>
      </c>
      <c r="N379" s="1553"/>
      <c r="O379" s="1529"/>
      <c r="P379" s="1553">
        <f>'Part IV-Uses of Funds'!P29</f>
        <v>0</v>
      </c>
      <c r="Q379" s="1553"/>
      <c r="R379" s="1529"/>
      <c r="S379" s="1553">
        <f>'Part IV-Uses of Funds'!S29</f>
        <v>0</v>
      </c>
      <c r="T379" s="1553"/>
    </row>
    <row r="380" spans="1:20">
      <c r="A380" s="1529"/>
      <c r="B380" s="1529" t="s">
        <v>1045</v>
      </c>
      <c r="C380" s="1529"/>
      <c r="D380" s="1529"/>
      <c r="E380" s="1529"/>
      <c r="F380" s="1529"/>
      <c r="G380" s="1553">
        <f>'Part IV-Uses of Funds'!G30</f>
        <v>0</v>
      </c>
      <c r="H380" s="1553"/>
      <c r="I380" s="1529"/>
      <c r="J380" s="1553">
        <f>'Part IV-Uses of Funds'!J30</f>
        <v>0</v>
      </c>
      <c r="K380" s="1553"/>
      <c r="L380" s="1554"/>
      <c r="M380" s="1553">
        <f>'Part IV-Uses of Funds'!M30</f>
        <v>0</v>
      </c>
      <c r="N380" s="1553"/>
      <c r="O380" s="1529"/>
      <c r="P380" s="1553">
        <f>'Part IV-Uses of Funds'!P30</f>
        <v>0</v>
      </c>
      <c r="Q380" s="1553"/>
      <c r="R380" s="1529"/>
      <c r="S380" s="1553">
        <f>'Part IV-Uses of Funds'!S30</f>
        <v>0</v>
      </c>
      <c r="T380" s="1553"/>
    </row>
    <row r="381" spans="1:20">
      <c r="A381" s="1529"/>
      <c r="B381" s="1529" t="s">
        <v>2395</v>
      </c>
      <c r="C381" s="1529"/>
      <c r="D381" s="1529"/>
      <c r="E381" s="1529"/>
      <c r="F381" s="1529"/>
      <c r="G381" s="1553">
        <f>'Part IV-Uses of Funds'!G31</f>
        <v>0</v>
      </c>
      <c r="H381" s="1553"/>
      <c r="I381" s="1529"/>
      <c r="J381" s="1553">
        <f>'Part IV-Uses of Funds'!J31</f>
        <v>0</v>
      </c>
      <c r="K381" s="1553"/>
      <c r="L381" s="1554"/>
      <c r="M381" s="1553">
        <f>'Part IV-Uses of Funds'!M31</f>
        <v>0</v>
      </c>
      <c r="N381" s="1553"/>
      <c r="O381" s="1529"/>
      <c r="P381" s="1553">
        <f>'Part IV-Uses of Funds'!P31</f>
        <v>0</v>
      </c>
      <c r="Q381" s="1553"/>
      <c r="R381" s="1529"/>
      <c r="S381" s="1553">
        <f>'Part IV-Uses of Funds'!S31</f>
        <v>0</v>
      </c>
      <c r="T381" s="1553"/>
    </row>
    <row r="382" spans="1:20">
      <c r="A382" s="1534"/>
      <c r="B382" s="1529" t="s">
        <v>2394</v>
      </c>
      <c r="C382" s="1534"/>
      <c r="D382" s="1534"/>
      <c r="E382" s="1534"/>
      <c r="F382" s="1534"/>
      <c r="G382" s="1553">
        <f>'Part IV-Uses of Funds'!G32</f>
        <v>0</v>
      </c>
      <c r="H382" s="1553"/>
      <c r="I382" s="1529"/>
      <c r="J382" s="1553">
        <f>'Part IV-Uses of Funds'!J32</f>
        <v>0</v>
      </c>
      <c r="K382" s="1553"/>
      <c r="L382" s="1554"/>
      <c r="M382" s="1553">
        <f>'Part IV-Uses of Funds'!M32</f>
        <v>0</v>
      </c>
      <c r="N382" s="1553"/>
      <c r="O382" s="1529"/>
      <c r="P382" s="1553">
        <f>'Part IV-Uses of Funds'!P32</f>
        <v>0</v>
      </c>
      <c r="Q382" s="1553"/>
      <c r="R382" s="1529"/>
      <c r="S382" s="1553">
        <f>'Part IV-Uses of Funds'!S32</f>
        <v>0</v>
      </c>
      <c r="T382" s="1553"/>
    </row>
    <row r="383" spans="1:20">
      <c r="A383" s="1529"/>
      <c r="B383" s="1529"/>
      <c r="C383" s="1620"/>
      <c r="D383" s="1620"/>
      <c r="E383" s="1621"/>
      <c r="F383" s="1618" t="s">
        <v>171</v>
      </c>
      <c r="G383" s="1553">
        <f>SUM(G379:H382)</f>
        <v>0</v>
      </c>
      <c r="H383" s="1553"/>
      <c r="I383" s="1529"/>
      <c r="J383" s="1553">
        <f>SUM(J379:K382)</f>
        <v>0</v>
      </c>
      <c r="K383" s="1553"/>
      <c r="L383" s="1554"/>
      <c r="M383" s="1553">
        <f>SUM(M379:N382)</f>
        <v>0</v>
      </c>
      <c r="N383" s="1553"/>
      <c r="O383" s="1529"/>
      <c r="P383" s="1553">
        <f>SUM(P379:Q382)</f>
        <v>0</v>
      </c>
      <c r="Q383" s="1553"/>
      <c r="R383" s="1529"/>
      <c r="S383" s="1553">
        <f>SUM(S379:T382)</f>
        <v>0</v>
      </c>
      <c r="T383" s="1553"/>
    </row>
    <row r="384" spans="1:20">
      <c r="A384" s="1529"/>
      <c r="B384" s="1529" t="s">
        <v>2084</v>
      </c>
      <c r="C384" s="1529"/>
      <c r="D384" s="1529"/>
      <c r="E384" s="1602">
        <f>SUM(E385:E387)</f>
        <v>0.14000000000000001</v>
      </c>
      <c r="F384" s="1529"/>
      <c r="G384" s="1529"/>
      <c r="H384" s="1534"/>
      <c r="I384" s="1534"/>
      <c r="J384" s="1554"/>
      <c r="K384" s="1553"/>
      <c r="L384" s="1529"/>
      <c r="M384" s="1554"/>
      <c r="N384" s="1553"/>
      <c r="O384" s="1554" t="str">
        <f>B384</f>
        <v>CONTRACTOR SERVICES</v>
      </c>
      <c r="P384" s="1554"/>
      <c r="Q384" s="1553"/>
      <c r="R384" s="1529"/>
      <c r="S384" s="1554"/>
      <c r="T384" s="1553"/>
    </row>
    <row r="385" spans="1:20">
      <c r="A385" s="1529"/>
      <c r="B385" s="1529" t="s">
        <v>2085</v>
      </c>
      <c r="C385" s="1529"/>
      <c r="D385" s="1529"/>
      <c r="E385" s="1622">
        <f>'DCA Underwriting Assumptions'!$R$73</f>
        <v>0.06</v>
      </c>
      <c r="F385" s="1623">
        <f>E385*(G377+G383)</f>
        <v>0</v>
      </c>
      <c r="G385" s="1553">
        <f>'Part IV-Uses of Funds'!G35</f>
        <v>0</v>
      </c>
      <c r="H385" s="1553"/>
      <c r="I385" s="1534"/>
      <c r="J385" s="1553">
        <f>'Part IV-Uses of Funds'!J35</f>
        <v>0</v>
      </c>
      <c r="K385" s="1553"/>
      <c r="L385" s="1554"/>
      <c r="M385" s="1553">
        <f>'Part IV-Uses of Funds'!M35</f>
        <v>0</v>
      </c>
      <c r="N385" s="1553"/>
      <c r="O385" s="1529"/>
      <c r="P385" s="1553">
        <f>'Part IV-Uses of Funds'!P35</f>
        <v>0</v>
      </c>
      <c r="Q385" s="1553"/>
      <c r="R385" s="1529"/>
      <c r="S385" s="1553">
        <f>'Part IV-Uses of Funds'!S35</f>
        <v>0</v>
      </c>
      <c r="T385" s="1553"/>
    </row>
    <row r="386" spans="1:20">
      <c r="A386" s="1529"/>
      <c r="B386" s="1529" t="s">
        <v>2363</v>
      </c>
      <c r="C386" s="1529"/>
      <c r="D386" s="1529"/>
      <c r="E386" s="1622">
        <f>'DCA Underwriting Assumptions'!$R$74</f>
        <v>0.02</v>
      </c>
      <c r="F386" s="1623">
        <f>E386*(G377+G383)</f>
        <v>0</v>
      </c>
      <c r="G386" s="1553">
        <f>'Part IV-Uses of Funds'!G36</f>
        <v>0</v>
      </c>
      <c r="H386" s="1553"/>
      <c r="I386" s="1534"/>
      <c r="J386" s="1553">
        <f>'Part IV-Uses of Funds'!J36</f>
        <v>0</v>
      </c>
      <c r="K386" s="1553"/>
      <c r="L386" s="1554"/>
      <c r="M386" s="1553">
        <f>'Part IV-Uses of Funds'!M36</f>
        <v>0</v>
      </c>
      <c r="N386" s="1553"/>
      <c r="O386" s="1529"/>
      <c r="P386" s="1553">
        <f>'Part IV-Uses of Funds'!P36</f>
        <v>0</v>
      </c>
      <c r="Q386" s="1553"/>
      <c r="R386" s="1529"/>
      <c r="S386" s="1553">
        <f>'Part IV-Uses of Funds'!S36</f>
        <v>0</v>
      </c>
      <c r="T386" s="1553"/>
    </row>
    <row r="387" spans="1:20">
      <c r="A387" s="1529"/>
      <c r="B387" s="1529" t="s">
        <v>2364</v>
      </c>
      <c r="C387" s="1529"/>
      <c r="D387" s="1529"/>
      <c r="E387" s="1622">
        <f>'DCA Underwriting Assumptions'!$R$75</f>
        <v>0.06</v>
      </c>
      <c r="F387" s="1623">
        <f>E387*(G377+G383)</f>
        <v>0</v>
      </c>
      <c r="G387" s="1553">
        <f>'Part IV-Uses of Funds'!G37</f>
        <v>0</v>
      </c>
      <c r="H387" s="1553"/>
      <c r="I387" s="1534"/>
      <c r="J387" s="1553">
        <f>'Part IV-Uses of Funds'!J37</f>
        <v>0</v>
      </c>
      <c r="K387" s="1553"/>
      <c r="L387" s="1554"/>
      <c r="M387" s="1553">
        <f>'Part IV-Uses of Funds'!M37</f>
        <v>0</v>
      </c>
      <c r="N387" s="1553"/>
      <c r="O387" s="1529"/>
      <c r="P387" s="1553">
        <f>'Part IV-Uses of Funds'!P37</f>
        <v>0</v>
      </c>
      <c r="Q387" s="1553"/>
      <c r="R387" s="1529"/>
      <c r="S387" s="1553">
        <f>'Part IV-Uses of Funds'!S37</f>
        <v>0</v>
      </c>
      <c r="T387" s="1553"/>
    </row>
    <row r="388" spans="1:20">
      <c r="A388" s="1529"/>
      <c r="B388" s="1529" t="s">
        <v>1825</v>
      </c>
      <c r="C388" s="1529"/>
      <c r="D388" s="1579"/>
      <c r="E388" s="1529"/>
      <c r="F388" s="1618" t="s">
        <v>171</v>
      </c>
      <c r="G388" s="1553">
        <f>SUM(G385:H387)</f>
        <v>0</v>
      </c>
      <c r="H388" s="1553"/>
      <c r="I388" s="1529"/>
      <c r="J388" s="1553">
        <f>SUM(J385:K387)</f>
        <v>0</v>
      </c>
      <c r="K388" s="1553"/>
      <c r="L388" s="1554"/>
      <c r="M388" s="1553">
        <f>SUM(M385:N387)</f>
        <v>0</v>
      </c>
      <c r="N388" s="1553"/>
      <c r="O388" s="1529"/>
      <c r="P388" s="1553">
        <f>SUM(P385:Q387)</f>
        <v>0</v>
      </c>
      <c r="Q388" s="1553"/>
      <c r="R388" s="1529"/>
      <c r="S388" s="1553">
        <f>SUM(S385:T387)</f>
        <v>0</v>
      </c>
      <c r="T388" s="1553"/>
    </row>
    <row r="389" spans="1:20">
      <c r="A389" s="1530"/>
      <c r="B389" s="1530"/>
      <c r="C389" s="1530"/>
      <c r="D389" s="1530"/>
      <c r="E389" s="1530"/>
      <c r="F389" s="1530"/>
      <c r="G389" s="1530"/>
      <c r="H389" s="1530"/>
      <c r="I389" s="1530"/>
      <c r="J389" s="1530"/>
      <c r="K389" s="1530"/>
      <c r="L389" s="1530"/>
      <c r="M389" s="1530"/>
      <c r="N389" s="1530"/>
      <c r="O389" s="1530"/>
      <c r="P389" s="1530"/>
      <c r="Q389" s="1530"/>
      <c r="R389" s="1530"/>
      <c r="S389" s="1530"/>
      <c r="T389" s="1530"/>
    </row>
    <row r="390" spans="1:20">
      <c r="A390" s="1529"/>
      <c r="B390" s="1529" t="s">
        <v>3733</v>
      </c>
      <c r="C390" s="1529"/>
      <c r="D390" s="1529"/>
      <c r="E390" s="1529"/>
      <c r="F390" s="1529"/>
      <c r="G390" s="1529"/>
      <c r="H390" s="1529"/>
      <c r="I390" s="1529"/>
      <c r="J390" s="1554"/>
      <c r="K390" s="1553"/>
      <c r="L390" s="1529"/>
      <c r="M390" s="1554"/>
      <c r="N390" s="1553"/>
      <c r="O390" s="1554" t="str">
        <f>B390</f>
        <v>OTHER CONSTRUCTION HARD COSTS (Non-GC work scope items done by Owner)</v>
      </c>
      <c r="P390" s="1554"/>
      <c r="Q390" s="1553"/>
      <c r="R390" s="1529"/>
      <c r="S390" s="1554"/>
      <c r="T390" s="1553"/>
    </row>
    <row r="391" spans="1:20">
      <c r="A391" s="1534"/>
      <c r="B391" s="1529" t="s">
        <v>686</v>
      </c>
      <c r="C391" s="1529" t="str">
        <f>'Part IV-Uses of Funds'!C41</f>
        <v>&lt;Enter detailed description here; use Comments section if needed&gt;</v>
      </c>
      <c r="D391" s="1596"/>
      <c r="E391" s="1596"/>
      <c r="F391" s="1596"/>
      <c r="G391" s="1553">
        <f>'Part IV-Uses of Funds'!G41</f>
        <v>0</v>
      </c>
      <c r="H391" s="1553"/>
      <c r="I391" s="1529"/>
      <c r="J391" s="1553">
        <f>'Part IV-Uses of Funds'!J41</f>
        <v>0</v>
      </c>
      <c r="K391" s="1553"/>
      <c r="L391" s="1554"/>
      <c r="M391" s="1553">
        <f>'Part IV-Uses of Funds'!M41</f>
        <v>0</v>
      </c>
      <c r="N391" s="1553"/>
      <c r="O391" s="1529"/>
      <c r="P391" s="1553">
        <f>'Part IV-Uses of Funds'!P41</f>
        <v>0</v>
      </c>
      <c r="Q391" s="1553"/>
      <c r="R391" s="1529"/>
      <c r="S391" s="1553">
        <f>'Part IV-Uses of Funds'!S41</f>
        <v>0</v>
      </c>
      <c r="T391" s="1553"/>
    </row>
    <row r="392" spans="1:20">
      <c r="A392" s="1530"/>
      <c r="B392" s="1530"/>
      <c r="C392" s="1530"/>
      <c r="D392" s="1530"/>
      <c r="E392" s="1530"/>
      <c r="F392" s="1530"/>
      <c r="G392" s="1530"/>
      <c r="H392" s="1530"/>
      <c r="I392" s="1530"/>
      <c r="J392" s="1530"/>
      <c r="K392" s="1530"/>
      <c r="L392" s="1530"/>
      <c r="M392" s="1530"/>
      <c r="N392" s="1530"/>
      <c r="O392" s="1530"/>
      <c r="P392" s="1530"/>
      <c r="Q392" s="1530"/>
      <c r="R392" s="1530"/>
      <c r="S392" s="1530"/>
      <c r="T392" s="1530"/>
    </row>
    <row r="393" spans="1:20" ht="12.75" customHeight="1">
      <c r="A393" s="1529"/>
      <c r="B393" s="1624" t="s">
        <v>3734</v>
      </c>
      <c r="C393" s="1625"/>
      <c r="D393" s="1529"/>
      <c r="E393" s="1586" t="s">
        <v>2367</v>
      </c>
      <c r="F393" s="1626" t="e">
        <f>'Part IV-Uses of Funds'!F43</f>
        <v>#DIV/0!</v>
      </c>
      <c r="G393" s="1627" t="s">
        <v>3735</v>
      </c>
      <c r="H393" s="1529"/>
      <c r="I393" s="1529"/>
      <c r="J393" s="1628" t="e">
        <f>'Part IV-Uses of Funds'!J43</f>
        <v>#DIV/0!</v>
      </c>
      <c r="K393" s="1628"/>
      <c r="L393" s="1529"/>
      <c r="M393" s="1629" t="s">
        <v>1294</v>
      </c>
      <c r="N393" s="1629"/>
      <c r="O393" s="1529"/>
      <c r="P393" s="1628" t="e">
        <f>'Part IV-Uses of Funds'!P43</f>
        <v>#DIV/0!</v>
      </c>
      <c r="Q393" s="1628"/>
      <c r="R393" s="1529"/>
      <c r="S393" s="1625" t="s">
        <v>2393</v>
      </c>
      <c r="T393" s="1625"/>
    </row>
    <row r="394" spans="1:20">
      <c r="A394" s="1529"/>
      <c r="B394" s="1630">
        <f>G377+G383+G388+G391</f>
        <v>0</v>
      </c>
      <c r="C394" s="1630"/>
      <c r="D394" s="1529"/>
      <c r="E394" s="1586"/>
      <c r="F394" s="1626" t="e">
        <f>'Part IV-Uses of Funds'!F44</f>
        <v>#DIV/0!</v>
      </c>
      <c r="G394" s="1562" t="s">
        <v>3736</v>
      </c>
      <c r="H394" s="1529"/>
      <c r="I394" s="1529"/>
      <c r="J394" s="1628" t="e">
        <f>'Part IV-Uses of Funds'!J44</f>
        <v>#DIV/0!</v>
      </c>
      <c r="K394" s="1628"/>
      <c r="L394" s="1529"/>
      <c r="M394" s="1625" t="s">
        <v>2392</v>
      </c>
      <c r="N394" s="1625"/>
      <c r="O394" s="1529"/>
      <c r="P394" s="1529"/>
      <c r="Q394" s="1529"/>
      <c r="R394" s="1529"/>
      <c r="S394" s="1529"/>
      <c r="T394" s="1529"/>
    </row>
    <row r="395" spans="1:20">
      <c r="A395" s="1530"/>
      <c r="B395" s="1530"/>
      <c r="C395" s="1530"/>
      <c r="D395" s="1530"/>
      <c r="E395" s="1530"/>
      <c r="F395" s="1530"/>
      <c r="G395" s="1530"/>
      <c r="H395" s="1530"/>
      <c r="I395" s="1530"/>
      <c r="J395" s="1530"/>
      <c r="K395" s="1530"/>
      <c r="L395" s="1530"/>
      <c r="M395" s="1530"/>
      <c r="N395" s="1530"/>
      <c r="O395" s="1530"/>
      <c r="P395" s="1530"/>
      <c r="Q395" s="1530"/>
      <c r="R395" s="1530"/>
      <c r="S395" s="1530"/>
      <c r="T395" s="1530"/>
    </row>
    <row r="396" spans="1:20" ht="17.25" customHeight="1">
      <c r="A396" s="1615" t="s">
        <v>572</v>
      </c>
      <c r="B396" s="1615" t="s">
        <v>3737</v>
      </c>
      <c r="C396" s="1529"/>
      <c r="D396" s="1529"/>
      <c r="E396" s="1529"/>
      <c r="F396" s="1529"/>
      <c r="G396" s="1529"/>
      <c r="H396" s="1529"/>
      <c r="I396" s="1529"/>
      <c r="J396" s="1586" t="s">
        <v>250</v>
      </c>
      <c r="K396" s="1586"/>
      <c r="L396" s="1553"/>
      <c r="M396" s="1616" t="s">
        <v>460</v>
      </c>
      <c r="N396" s="1616"/>
      <c r="O396" s="1529"/>
      <c r="P396" s="1586" t="s">
        <v>251</v>
      </c>
      <c r="Q396" s="1586"/>
      <c r="R396" s="1529"/>
      <c r="S396" s="1586" t="s">
        <v>252</v>
      </c>
      <c r="T396" s="1586"/>
    </row>
    <row r="397" spans="1:20">
      <c r="A397" s="1529"/>
      <c r="B397" s="1529"/>
      <c r="C397" s="1529"/>
      <c r="D397" s="1529"/>
      <c r="E397" s="1529"/>
      <c r="F397" s="1529"/>
      <c r="G397" s="1529" t="s">
        <v>93</v>
      </c>
      <c r="H397" s="1529"/>
      <c r="I397" s="1529"/>
      <c r="J397" s="1586"/>
      <c r="K397" s="1586"/>
      <c r="L397" s="1553"/>
      <c r="M397" s="1616"/>
      <c r="N397" s="1616"/>
      <c r="O397" s="1529"/>
      <c r="P397" s="1586"/>
      <c r="Q397" s="1586"/>
      <c r="R397" s="1529"/>
      <c r="S397" s="1586"/>
      <c r="T397" s="1586"/>
    </row>
    <row r="398" spans="1:20">
      <c r="A398" s="1529"/>
      <c r="B398" s="1529" t="s">
        <v>669</v>
      </c>
      <c r="C398" s="1529"/>
      <c r="D398" s="1529"/>
      <c r="E398" s="1529"/>
      <c r="F398" s="1529"/>
      <c r="G398" s="1529"/>
      <c r="H398" s="1529"/>
      <c r="I398" s="1529"/>
      <c r="J398" s="1554"/>
      <c r="K398" s="1553"/>
      <c r="L398" s="1529"/>
      <c r="M398" s="1554"/>
      <c r="N398" s="1553"/>
      <c r="O398" s="1554" t="str">
        <f>B398</f>
        <v>CONSTRUCTION PERIOD FINANCING</v>
      </c>
      <c r="P398" s="1554"/>
      <c r="Q398" s="1553"/>
      <c r="R398" s="1529"/>
      <c r="S398" s="1554"/>
      <c r="T398" s="1553"/>
    </row>
    <row r="399" spans="1:20">
      <c r="A399" s="1529"/>
      <c r="B399" s="1529" t="s">
        <v>259</v>
      </c>
      <c r="C399" s="1529"/>
      <c r="D399" s="1529"/>
      <c r="E399" s="1529"/>
      <c r="F399" s="1529"/>
      <c r="G399" s="1553">
        <f>'Part IV-Uses of Funds'!G49</f>
        <v>0</v>
      </c>
      <c r="H399" s="1553"/>
      <c r="I399" s="1529"/>
      <c r="J399" s="1553">
        <f>'Part IV-Uses of Funds'!J49</f>
        <v>0</v>
      </c>
      <c r="K399" s="1553"/>
      <c r="L399" s="1554"/>
      <c r="M399" s="1553">
        <f>'Part IV-Uses of Funds'!M49</f>
        <v>0</v>
      </c>
      <c r="N399" s="1553"/>
      <c r="O399" s="1529"/>
      <c r="P399" s="1553">
        <f>'Part IV-Uses of Funds'!P49</f>
        <v>0</v>
      </c>
      <c r="Q399" s="1553"/>
      <c r="R399" s="1529"/>
      <c r="S399" s="1553">
        <f>'Part IV-Uses of Funds'!S49</f>
        <v>0</v>
      </c>
      <c r="T399" s="1553"/>
    </row>
    <row r="400" spans="1:20">
      <c r="A400" s="1529"/>
      <c r="B400" s="1529" t="s">
        <v>2086</v>
      </c>
      <c r="C400" s="1529"/>
      <c r="D400" s="1529"/>
      <c r="E400" s="1529"/>
      <c r="F400" s="1529"/>
      <c r="G400" s="1553">
        <f>'Part IV-Uses of Funds'!G50</f>
        <v>0</v>
      </c>
      <c r="H400" s="1553"/>
      <c r="I400" s="1529"/>
      <c r="J400" s="1553">
        <f>'Part IV-Uses of Funds'!J50</f>
        <v>0</v>
      </c>
      <c r="K400" s="1553"/>
      <c r="L400" s="1554"/>
      <c r="M400" s="1553">
        <f>'Part IV-Uses of Funds'!M50</f>
        <v>0</v>
      </c>
      <c r="N400" s="1553"/>
      <c r="O400" s="1529"/>
      <c r="P400" s="1553">
        <f>'Part IV-Uses of Funds'!P50</f>
        <v>0</v>
      </c>
      <c r="Q400" s="1553"/>
      <c r="R400" s="1529"/>
      <c r="S400" s="1553">
        <f>'Part IV-Uses of Funds'!S50</f>
        <v>0</v>
      </c>
      <c r="T400" s="1553"/>
    </row>
    <row r="401" spans="1:20">
      <c r="A401" s="1529"/>
      <c r="B401" s="1529" t="s">
        <v>2087</v>
      </c>
      <c r="C401" s="1529"/>
      <c r="D401" s="1529"/>
      <c r="E401" s="1529"/>
      <c r="F401" s="1529"/>
      <c r="G401" s="1553">
        <f>'Part IV-Uses of Funds'!G51</f>
        <v>0</v>
      </c>
      <c r="H401" s="1553"/>
      <c r="I401" s="1529"/>
      <c r="J401" s="1553">
        <f>'Part IV-Uses of Funds'!J51</f>
        <v>0</v>
      </c>
      <c r="K401" s="1553"/>
      <c r="L401" s="1554"/>
      <c r="M401" s="1553">
        <f>'Part IV-Uses of Funds'!M51</f>
        <v>0</v>
      </c>
      <c r="N401" s="1553"/>
      <c r="O401" s="1529"/>
      <c r="P401" s="1553">
        <f>'Part IV-Uses of Funds'!P51</f>
        <v>0</v>
      </c>
      <c r="Q401" s="1553"/>
      <c r="R401" s="1529"/>
      <c r="S401" s="1553">
        <f>'Part IV-Uses of Funds'!S51</f>
        <v>0</v>
      </c>
      <c r="T401" s="1553"/>
    </row>
    <row r="402" spans="1:20">
      <c r="A402" s="1529"/>
      <c r="B402" s="1529" t="s">
        <v>2088</v>
      </c>
      <c r="C402" s="1529"/>
      <c r="D402" s="1529"/>
      <c r="E402" s="1529"/>
      <c r="F402" s="1529"/>
      <c r="G402" s="1553">
        <f>'Part IV-Uses of Funds'!G52</f>
        <v>0</v>
      </c>
      <c r="H402" s="1553"/>
      <c r="I402" s="1529"/>
      <c r="J402" s="1553">
        <f>'Part IV-Uses of Funds'!J52</f>
        <v>0</v>
      </c>
      <c r="K402" s="1553"/>
      <c r="L402" s="1554"/>
      <c r="M402" s="1553">
        <f>'Part IV-Uses of Funds'!M52</f>
        <v>0</v>
      </c>
      <c r="N402" s="1553"/>
      <c r="O402" s="1529"/>
      <c r="P402" s="1553">
        <f>'Part IV-Uses of Funds'!P52</f>
        <v>0</v>
      </c>
      <c r="Q402" s="1553"/>
      <c r="R402" s="1529"/>
      <c r="S402" s="1553">
        <f>'Part IV-Uses of Funds'!S52</f>
        <v>0</v>
      </c>
      <c r="T402" s="1553"/>
    </row>
    <row r="403" spans="1:20">
      <c r="A403" s="1529"/>
      <c r="B403" s="1529" t="s">
        <v>2339</v>
      </c>
      <c r="C403" s="1529"/>
      <c r="D403" s="1529"/>
      <c r="E403" s="1529"/>
      <c r="F403" s="1529"/>
      <c r="G403" s="1553">
        <f>'Part IV-Uses of Funds'!G53</f>
        <v>0</v>
      </c>
      <c r="H403" s="1553"/>
      <c r="I403" s="1529"/>
      <c r="J403" s="1553">
        <f>'Part IV-Uses of Funds'!J53</f>
        <v>0</v>
      </c>
      <c r="K403" s="1553"/>
      <c r="L403" s="1554"/>
      <c r="M403" s="1553">
        <f>'Part IV-Uses of Funds'!M53</f>
        <v>0</v>
      </c>
      <c r="N403" s="1553"/>
      <c r="O403" s="1529"/>
      <c r="P403" s="1553">
        <f>'Part IV-Uses of Funds'!P53</f>
        <v>0</v>
      </c>
      <c r="Q403" s="1553"/>
      <c r="R403" s="1529"/>
      <c r="S403" s="1553">
        <f>'Part IV-Uses of Funds'!S53</f>
        <v>0</v>
      </c>
      <c r="T403" s="1553"/>
    </row>
    <row r="404" spans="1:20">
      <c r="A404" s="1529"/>
      <c r="B404" s="1529" t="s">
        <v>670</v>
      </c>
      <c r="C404" s="1529"/>
      <c r="D404" s="1529"/>
      <c r="E404" s="1529"/>
      <c r="F404" s="1529"/>
      <c r="G404" s="1553">
        <f>'Part IV-Uses of Funds'!G54</f>
        <v>0</v>
      </c>
      <c r="H404" s="1553"/>
      <c r="I404" s="1529"/>
      <c r="J404" s="1553">
        <f>'Part IV-Uses of Funds'!J54</f>
        <v>0</v>
      </c>
      <c r="K404" s="1553"/>
      <c r="L404" s="1554"/>
      <c r="M404" s="1553">
        <f>'Part IV-Uses of Funds'!M54</f>
        <v>0</v>
      </c>
      <c r="N404" s="1553"/>
      <c r="O404" s="1529"/>
      <c r="P404" s="1553">
        <f>'Part IV-Uses of Funds'!P54</f>
        <v>0</v>
      </c>
      <c r="Q404" s="1553"/>
      <c r="R404" s="1529"/>
      <c r="S404" s="1553">
        <f>'Part IV-Uses of Funds'!S54</f>
        <v>0</v>
      </c>
      <c r="T404" s="1553"/>
    </row>
    <row r="405" spans="1:20">
      <c r="A405" s="1529"/>
      <c r="B405" s="1529" t="s">
        <v>2089</v>
      </c>
      <c r="C405" s="1529"/>
      <c r="D405" s="1529"/>
      <c r="E405" s="1529"/>
      <c r="F405" s="1529"/>
      <c r="G405" s="1553">
        <f>'Part IV-Uses of Funds'!G55</f>
        <v>0</v>
      </c>
      <c r="H405" s="1553"/>
      <c r="I405" s="1529"/>
      <c r="J405" s="1553">
        <f>'Part IV-Uses of Funds'!J55</f>
        <v>0</v>
      </c>
      <c r="K405" s="1553"/>
      <c r="L405" s="1554"/>
      <c r="M405" s="1553">
        <f>'Part IV-Uses of Funds'!M55</f>
        <v>0</v>
      </c>
      <c r="N405" s="1553"/>
      <c r="O405" s="1529"/>
      <c r="P405" s="1553">
        <f>'Part IV-Uses of Funds'!P55</f>
        <v>0</v>
      </c>
      <c r="Q405" s="1553"/>
      <c r="R405" s="1529"/>
      <c r="S405" s="1553">
        <f>'Part IV-Uses of Funds'!S55</f>
        <v>0</v>
      </c>
      <c r="T405" s="1553"/>
    </row>
    <row r="406" spans="1:20">
      <c r="A406" s="1529"/>
      <c r="B406" s="1529" t="s">
        <v>1178</v>
      </c>
      <c r="C406" s="1529"/>
      <c r="D406" s="1529"/>
      <c r="E406" s="1529"/>
      <c r="F406" s="1529"/>
      <c r="G406" s="1553">
        <f>'Part IV-Uses of Funds'!G56</f>
        <v>0</v>
      </c>
      <c r="H406" s="1553"/>
      <c r="I406" s="1529"/>
      <c r="J406" s="1553">
        <f>'Part IV-Uses of Funds'!J56</f>
        <v>0</v>
      </c>
      <c r="K406" s="1553"/>
      <c r="L406" s="1554"/>
      <c r="M406" s="1553">
        <f>'Part IV-Uses of Funds'!M56</f>
        <v>0</v>
      </c>
      <c r="N406" s="1553"/>
      <c r="O406" s="1529"/>
      <c r="P406" s="1553">
        <f>'Part IV-Uses of Funds'!P56</f>
        <v>0</v>
      </c>
      <c r="Q406" s="1553"/>
      <c r="R406" s="1529"/>
      <c r="S406" s="1553">
        <f>'Part IV-Uses of Funds'!S56</f>
        <v>0</v>
      </c>
      <c r="T406" s="1553"/>
    </row>
    <row r="407" spans="1:20">
      <c r="A407" s="1529"/>
      <c r="B407" s="1579" t="s">
        <v>1069</v>
      </c>
      <c r="C407" s="1529"/>
      <c r="D407" s="1622"/>
      <c r="E407" s="1622"/>
      <c r="F407" s="1623"/>
      <c r="G407" s="1553">
        <f>'Part IV-Uses of Funds'!G57</f>
        <v>0</v>
      </c>
      <c r="H407" s="1553"/>
      <c r="I407" s="1534"/>
      <c r="J407" s="1553">
        <f>'Part IV-Uses of Funds'!J57</f>
        <v>0</v>
      </c>
      <c r="K407" s="1553"/>
      <c r="L407" s="1554"/>
      <c r="M407" s="1553">
        <f>'Part IV-Uses of Funds'!M57</f>
        <v>0</v>
      </c>
      <c r="N407" s="1553"/>
      <c r="O407" s="1529"/>
      <c r="P407" s="1553">
        <f>'Part IV-Uses of Funds'!P57</f>
        <v>0</v>
      </c>
      <c r="Q407" s="1553"/>
      <c r="R407" s="1529"/>
      <c r="S407" s="1553">
        <f>'Part IV-Uses of Funds'!S57</f>
        <v>0</v>
      </c>
      <c r="T407" s="1553"/>
    </row>
    <row r="408" spans="1:20" ht="15.75">
      <c r="A408" s="1617" t="str">
        <f>IF(AND(G408&gt;0,OR(C408="",C408="&lt;Enter detailed description here; use Comments section if needed&gt;")),"X","")</f>
        <v/>
      </c>
      <c r="B408" s="1529" t="s">
        <v>686</v>
      </c>
      <c r="C408" s="1529" t="str">
        <f>'Part IV-Uses of Funds'!C58</f>
        <v>&lt;Enter detailed description here; use Comments section if needed&gt;</v>
      </c>
      <c r="D408" s="1529"/>
      <c r="E408" s="1529"/>
      <c r="F408" s="1529"/>
      <c r="G408" s="1553">
        <f>'Part IV-Uses of Funds'!G58</f>
        <v>0</v>
      </c>
      <c r="H408" s="1553"/>
      <c r="I408" s="1529"/>
      <c r="J408" s="1553">
        <f>'Part IV-Uses of Funds'!J58</f>
        <v>0</v>
      </c>
      <c r="K408" s="1553"/>
      <c r="L408" s="1554"/>
      <c r="M408" s="1553">
        <f>'Part IV-Uses of Funds'!M58</f>
        <v>0</v>
      </c>
      <c r="N408" s="1553"/>
      <c r="O408" s="1529"/>
      <c r="P408" s="1553">
        <f>'Part IV-Uses of Funds'!P58</f>
        <v>0</v>
      </c>
      <c r="Q408" s="1553"/>
      <c r="R408" s="1529"/>
      <c r="S408" s="1553">
        <f>'Part IV-Uses of Funds'!S58</f>
        <v>0</v>
      </c>
      <c r="T408" s="1553"/>
    </row>
    <row r="409" spans="1:20" ht="15.75">
      <c r="A409" s="1617" t="str">
        <f>IF(AND(G409&gt;0,OR(C409="",C409="&lt;Enter detailed description here; use Comments section if needed&gt;")),"X","")</f>
        <v/>
      </c>
      <c r="B409" s="1529" t="s">
        <v>686</v>
      </c>
      <c r="C409" s="1529" t="str">
        <f>'Part IV-Uses of Funds'!C59</f>
        <v>&lt;Enter detailed description here; use Comments section if needed&gt;</v>
      </c>
      <c r="D409" s="1529"/>
      <c r="E409" s="1529"/>
      <c r="F409" s="1529"/>
      <c r="G409" s="1553">
        <f>'Part IV-Uses of Funds'!G59</f>
        <v>0</v>
      </c>
      <c r="H409" s="1553"/>
      <c r="I409" s="1529"/>
      <c r="J409" s="1553">
        <f>'Part IV-Uses of Funds'!J59</f>
        <v>0</v>
      </c>
      <c r="K409" s="1553"/>
      <c r="L409" s="1554"/>
      <c r="M409" s="1553">
        <f>'Part IV-Uses of Funds'!M59</f>
        <v>0</v>
      </c>
      <c r="N409" s="1553"/>
      <c r="O409" s="1529"/>
      <c r="P409" s="1553">
        <f>'Part IV-Uses of Funds'!P59</f>
        <v>0</v>
      </c>
      <c r="Q409" s="1553"/>
      <c r="R409" s="1529"/>
      <c r="S409" s="1553">
        <f>'Part IV-Uses of Funds'!S59</f>
        <v>0</v>
      </c>
      <c r="T409" s="1553"/>
    </row>
    <row r="410" spans="1:20">
      <c r="A410" s="1529"/>
      <c r="B410" s="1529"/>
      <c r="C410" s="1529"/>
      <c r="D410" s="1529"/>
      <c r="E410" s="1529"/>
      <c r="F410" s="1618" t="s">
        <v>171</v>
      </c>
      <c r="G410" s="1553">
        <f>SUM(G399:H409)</f>
        <v>0</v>
      </c>
      <c r="H410" s="1553"/>
      <c r="I410" s="1529"/>
      <c r="J410" s="1553">
        <f>SUM(J399:K409)</f>
        <v>0</v>
      </c>
      <c r="K410" s="1553"/>
      <c r="L410" s="1554"/>
      <c r="M410" s="1553">
        <f>SUM(M399:N409)</f>
        <v>0</v>
      </c>
      <c r="N410" s="1553"/>
      <c r="O410" s="1529"/>
      <c r="P410" s="1553">
        <f>SUM(P399:Q409)</f>
        <v>0</v>
      </c>
      <c r="Q410" s="1553"/>
      <c r="R410" s="1529"/>
      <c r="S410" s="1553">
        <f>SUM(S399:T409)</f>
        <v>0</v>
      </c>
      <c r="T410" s="1553"/>
    </row>
    <row r="411" spans="1:20">
      <c r="A411" s="1529"/>
      <c r="B411" s="1529" t="s">
        <v>447</v>
      </c>
      <c r="C411" s="1529"/>
      <c r="D411" s="1529"/>
      <c r="E411" s="1529"/>
      <c r="F411" s="1529"/>
      <c r="G411" s="1553"/>
      <c r="H411" s="1553"/>
      <c r="I411" s="1529"/>
      <c r="J411" s="1553"/>
      <c r="K411" s="1553"/>
      <c r="L411" s="1529"/>
      <c r="M411" s="1553"/>
      <c r="N411" s="1553"/>
      <c r="O411" s="1554" t="str">
        <f>B411</f>
        <v>PROFESSIONAL SERVICES</v>
      </c>
      <c r="P411" s="1553"/>
      <c r="Q411" s="1553"/>
      <c r="R411" s="1529"/>
      <c r="S411" s="1553"/>
      <c r="T411" s="1553"/>
    </row>
    <row r="412" spans="1:20">
      <c r="A412" s="1529"/>
      <c r="B412" s="1529" t="s">
        <v>448</v>
      </c>
      <c r="C412" s="1529"/>
      <c r="D412" s="1529"/>
      <c r="E412" s="1529"/>
      <c r="F412" s="1529"/>
      <c r="G412" s="1553">
        <f>'Part IV-Uses of Funds'!G62</f>
        <v>0</v>
      </c>
      <c r="H412" s="1553"/>
      <c r="I412" s="1529"/>
      <c r="J412" s="1553">
        <f>'Part IV-Uses of Funds'!J62</f>
        <v>0</v>
      </c>
      <c r="K412" s="1553"/>
      <c r="L412" s="1554"/>
      <c r="M412" s="1553">
        <f>'Part IV-Uses of Funds'!M62</f>
        <v>0</v>
      </c>
      <c r="N412" s="1553"/>
      <c r="O412" s="1529"/>
      <c r="P412" s="1553">
        <f>'Part IV-Uses of Funds'!P62</f>
        <v>0</v>
      </c>
      <c r="Q412" s="1553"/>
      <c r="R412" s="1529"/>
      <c r="S412" s="1553">
        <f>'Part IV-Uses of Funds'!S62</f>
        <v>0</v>
      </c>
      <c r="T412" s="1553"/>
    </row>
    <row r="413" spans="1:20">
      <c r="A413" s="1529"/>
      <c r="B413" s="1529" t="s">
        <v>449</v>
      </c>
      <c r="C413" s="1529"/>
      <c r="D413" s="1529"/>
      <c r="E413" s="1529"/>
      <c r="F413" s="1529"/>
      <c r="G413" s="1553">
        <f>'Part IV-Uses of Funds'!G63</f>
        <v>0</v>
      </c>
      <c r="H413" s="1553"/>
      <c r="I413" s="1529"/>
      <c r="J413" s="1553">
        <f>'Part IV-Uses of Funds'!J63</f>
        <v>0</v>
      </c>
      <c r="K413" s="1553"/>
      <c r="L413" s="1554"/>
      <c r="M413" s="1553">
        <f>'Part IV-Uses of Funds'!M63</f>
        <v>0</v>
      </c>
      <c r="N413" s="1553"/>
      <c r="O413" s="1529"/>
      <c r="P413" s="1553">
        <f>'Part IV-Uses of Funds'!P63</f>
        <v>0</v>
      </c>
      <c r="Q413" s="1553"/>
      <c r="R413" s="1529"/>
      <c r="S413" s="1553">
        <f>'Part IV-Uses of Funds'!S63</f>
        <v>0</v>
      </c>
      <c r="T413" s="1553"/>
    </row>
    <row r="414" spans="1:20">
      <c r="A414" s="1529"/>
      <c r="B414" s="1529" t="s">
        <v>1047</v>
      </c>
      <c r="C414" s="1529"/>
      <c r="D414" s="1529"/>
      <c r="E414" s="1529"/>
      <c r="F414" s="1529"/>
      <c r="G414" s="1553">
        <f>'Part IV-Uses of Funds'!G64</f>
        <v>0</v>
      </c>
      <c r="H414" s="1553"/>
      <c r="I414" s="1529"/>
      <c r="J414" s="1553">
        <f>'Part IV-Uses of Funds'!J64</f>
        <v>0</v>
      </c>
      <c r="K414" s="1553"/>
      <c r="L414" s="1554"/>
      <c r="M414" s="1553">
        <f>'Part IV-Uses of Funds'!M64</f>
        <v>0</v>
      </c>
      <c r="N414" s="1553"/>
      <c r="O414" s="1529"/>
      <c r="P414" s="1553">
        <f>'Part IV-Uses of Funds'!P64</f>
        <v>0</v>
      </c>
      <c r="Q414" s="1553"/>
      <c r="R414" s="1529"/>
      <c r="S414" s="1553">
        <f>'Part IV-Uses of Funds'!S64</f>
        <v>0</v>
      </c>
      <c r="T414" s="1553"/>
    </row>
    <row r="415" spans="1:20">
      <c r="A415" s="1529"/>
      <c r="B415" s="1529" t="s">
        <v>1048</v>
      </c>
      <c r="C415" s="1529"/>
      <c r="D415" s="1529"/>
      <c r="E415" s="1529"/>
      <c r="F415" s="1529"/>
      <c r="G415" s="1553">
        <f>'Part IV-Uses of Funds'!G65</f>
        <v>0</v>
      </c>
      <c r="H415" s="1553"/>
      <c r="I415" s="1529"/>
      <c r="J415" s="1553">
        <f>'Part IV-Uses of Funds'!J65</f>
        <v>0</v>
      </c>
      <c r="K415" s="1553"/>
      <c r="L415" s="1554"/>
      <c r="M415" s="1553">
        <f>'Part IV-Uses of Funds'!M65</f>
        <v>0</v>
      </c>
      <c r="N415" s="1553"/>
      <c r="O415" s="1529"/>
      <c r="P415" s="1553">
        <f>'Part IV-Uses of Funds'!P65</f>
        <v>0</v>
      </c>
      <c r="Q415" s="1553"/>
      <c r="R415" s="1529"/>
      <c r="S415" s="1553">
        <f>'Part IV-Uses of Funds'!S65</f>
        <v>0</v>
      </c>
      <c r="T415" s="1553"/>
    </row>
    <row r="416" spans="1:20">
      <c r="A416" s="1529"/>
      <c r="B416" s="1529" t="s">
        <v>1049</v>
      </c>
      <c r="C416" s="1529"/>
      <c r="D416" s="1529"/>
      <c r="E416" s="1529"/>
      <c r="F416" s="1529"/>
      <c r="G416" s="1553">
        <f>'Part IV-Uses of Funds'!G66</f>
        <v>0</v>
      </c>
      <c r="H416" s="1553"/>
      <c r="I416" s="1529"/>
      <c r="J416" s="1553">
        <f>'Part IV-Uses of Funds'!J66</f>
        <v>0</v>
      </c>
      <c r="K416" s="1553"/>
      <c r="L416" s="1554"/>
      <c r="M416" s="1553">
        <f>'Part IV-Uses of Funds'!M66</f>
        <v>0</v>
      </c>
      <c r="N416" s="1553"/>
      <c r="O416" s="1529"/>
      <c r="P416" s="1553">
        <f>'Part IV-Uses of Funds'!P66</f>
        <v>0</v>
      </c>
      <c r="Q416" s="1553"/>
      <c r="R416" s="1529"/>
      <c r="S416" s="1553">
        <f>'Part IV-Uses of Funds'!S66</f>
        <v>0</v>
      </c>
      <c r="T416" s="1553"/>
    </row>
    <row r="417" spans="1:20">
      <c r="A417" s="1529"/>
      <c r="B417" s="1529" t="s">
        <v>1050</v>
      </c>
      <c r="C417" s="1529"/>
      <c r="D417" s="1529"/>
      <c r="E417" s="1529"/>
      <c r="F417" s="1529"/>
      <c r="G417" s="1553">
        <f>'Part IV-Uses of Funds'!G67</f>
        <v>0</v>
      </c>
      <c r="H417" s="1553"/>
      <c r="I417" s="1529"/>
      <c r="J417" s="1553">
        <f>'Part IV-Uses of Funds'!J67</f>
        <v>0</v>
      </c>
      <c r="K417" s="1553"/>
      <c r="L417" s="1554"/>
      <c r="M417" s="1553">
        <f>'Part IV-Uses of Funds'!M67</f>
        <v>0</v>
      </c>
      <c r="N417" s="1553"/>
      <c r="O417" s="1529"/>
      <c r="P417" s="1553">
        <f>'Part IV-Uses of Funds'!P67</f>
        <v>0</v>
      </c>
      <c r="Q417" s="1553"/>
      <c r="R417" s="1529"/>
      <c r="S417" s="1553">
        <f>'Part IV-Uses of Funds'!S67</f>
        <v>0</v>
      </c>
      <c r="T417" s="1553"/>
    </row>
    <row r="418" spans="1:20">
      <c r="A418" s="1529"/>
      <c r="B418" s="1529" t="s">
        <v>450</v>
      </c>
      <c r="C418" s="1529"/>
      <c r="D418" s="1529"/>
      <c r="E418" s="1529"/>
      <c r="F418" s="1529"/>
      <c r="G418" s="1553">
        <f>'Part IV-Uses of Funds'!G68</f>
        <v>0</v>
      </c>
      <c r="H418" s="1553"/>
      <c r="I418" s="1529"/>
      <c r="J418" s="1553">
        <f>'Part IV-Uses of Funds'!J68</f>
        <v>0</v>
      </c>
      <c r="K418" s="1553"/>
      <c r="L418" s="1554"/>
      <c r="M418" s="1553">
        <f>'Part IV-Uses of Funds'!M68</f>
        <v>0</v>
      </c>
      <c r="N418" s="1553"/>
      <c r="O418" s="1529"/>
      <c r="P418" s="1553">
        <f>'Part IV-Uses of Funds'!P68</f>
        <v>0</v>
      </c>
      <c r="Q418" s="1553"/>
      <c r="R418" s="1529"/>
      <c r="S418" s="1553">
        <f>'Part IV-Uses of Funds'!S68</f>
        <v>0</v>
      </c>
      <c r="T418" s="1553"/>
    </row>
    <row r="419" spans="1:20">
      <c r="A419" s="1529"/>
      <c r="B419" s="1529" t="s">
        <v>451</v>
      </c>
      <c r="C419" s="1529"/>
      <c r="D419" s="1529"/>
      <c r="E419" s="1529"/>
      <c r="F419" s="1529"/>
      <c r="G419" s="1553">
        <f>'Part IV-Uses of Funds'!G69</f>
        <v>0</v>
      </c>
      <c r="H419" s="1553"/>
      <c r="I419" s="1529"/>
      <c r="J419" s="1553">
        <f>'Part IV-Uses of Funds'!J69</f>
        <v>0</v>
      </c>
      <c r="K419" s="1553"/>
      <c r="L419" s="1554"/>
      <c r="M419" s="1553">
        <f>'Part IV-Uses of Funds'!M69</f>
        <v>0</v>
      </c>
      <c r="N419" s="1553"/>
      <c r="O419" s="1529"/>
      <c r="P419" s="1553">
        <f>'Part IV-Uses of Funds'!P69</f>
        <v>0</v>
      </c>
      <c r="Q419" s="1553"/>
      <c r="R419" s="1529"/>
      <c r="S419" s="1553">
        <f>'Part IV-Uses of Funds'!S69</f>
        <v>0</v>
      </c>
      <c r="T419" s="1553"/>
    </row>
    <row r="420" spans="1:20">
      <c r="A420" s="1529"/>
      <c r="B420" s="1529" t="s">
        <v>1834</v>
      </c>
      <c r="C420" s="1529"/>
      <c r="D420" s="1529"/>
      <c r="E420" s="1529"/>
      <c r="F420" s="1529"/>
      <c r="G420" s="1553">
        <f>'Part IV-Uses of Funds'!G70</f>
        <v>0</v>
      </c>
      <c r="H420" s="1553"/>
      <c r="I420" s="1529"/>
      <c r="J420" s="1553">
        <f>'Part IV-Uses of Funds'!J70</f>
        <v>0</v>
      </c>
      <c r="K420" s="1553"/>
      <c r="L420" s="1554"/>
      <c r="M420" s="1553">
        <f>'Part IV-Uses of Funds'!M70</f>
        <v>0</v>
      </c>
      <c r="N420" s="1553"/>
      <c r="O420" s="1529"/>
      <c r="P420" s="1553">
        <f>'Part IV-Uses of Funds'!P70</f>
        <v>0</v>
      </c>
      <c r="Q420" s="1553"/>
      <c r="R420" s="1529"/>
      <c r="S420" s="1553">
        <f>'Part IV-Uses of Funds'!S70</f>
        <v>0</v>
      </c>
      <c r="T420" s="1553"/>
    </row>
    <row r="421" spans="1:20">
      <c r="A421" s="1529"/>
      <c r="B421" s="1529" t="s">
        <v>1179</v>
      </c>
      <c r="C421" s="1529"/>
      <c r="D421" s="1529"/>
      <c r="E421" s="1529"/>
      <c r="F421" s="1529"/>
      <c r="G421" s="1553">
        <f>'Part IV-Uses of Funds'!G71</f>
        <v>0</v>
      </c>
      <c r="H421" s="1553"/>
      <c r="I421" s="1529"/>
      <c r="J421" s="1553">
        <f>'Part IV-Uses of Funds'!J71</f>
        <v>0</v>
      </c>
      <c r="K421" s="1553"/>
      <c r="L421" s="1554"/>
      <c r="M421" s="1553">
        <f>'Part IV-Uses of Funds'!M71</f>
        <v>0</v>
      </c>
      <c r="N421" s="1553"/>
      <c r="O421" s="1529"/>
      <c r="P421" s="1553">
        <f>'Part IV-Uses of Funds'!P71</f>
        <v>0</v>
      </c>
      <c r="Q421" s="1553"/>
      <c r="R421" s="1529"/>
      <c r="S421" s="1553">
        <f>'Part IV-Uses of Funds'!S71</f>
        <v>0</v>
      </c>
      <c r="T421" s="1553"/>
    </row>
    <row r="422" spans="1:20" ht="15.75">
      <c r="A422" s="1617" t="str">
        <f>IF(AND(G422&gt;0,OR(C422="",C422="&lt;Enter detailed description here; use Comments section if needed&gt;")),"X","")</f>
        <v/>
      </c>
      <c r="B422" s="1529" t="s">
        <v>686</v>
      </c>
      <c r="C422" s="1529" t="str">
        <f>'Part IV-Uses of Funds'!C72</f>
        <v>&lt;Enter detailed description here; use Comments section if needed&gt;</v>
      </c>
      <c r="D422" s="1529"/>
      <c r="E422" s="1529"/>
      <c r="F422" s="1529"/>
      <c r="G422" s="1553">
        <f>'Part IV-Uses of Funds'!G72</f>
        <v>0</v>
      </c>
      <c r="H422" s="1553"/>
      <c r="I422" s="1529"/>
      <c r="J422" s="1553">
        <f>'Part IV-Uses of Funds'!J72</f>
        <v>0</v>
      </c>
      <c r="K422" s="1553"/>
      <c r="L422" s="1554"/>
      <c r="M422" s="1553">
        <f>'Part IV-Uses of Funds'!M72</f>
        <v>0</v>
      </c>
      <c r="N422" s="1553"/>
      <c r="O422" s="1529"/>
      <c r="P422" s="1553">
        <f>'Part IV-Uses of Funds'!P72</f>
        <v>0</v>
      </c>
      <c r="Q422" s="1553"/>
      <c r="R422" s="1529"/>
      <c r="S422" s="1553">
        <f>'Part IV-Uses of Funds'!S72</f>
        <v>0</v>
      </c>
      <c r="T422" s="1553"/>
    </row>
    <row r="423" spans="1:20">
      <c r="A423" s="1529"/>
      <c r="B423" s="1529"/>
      <c r="C423" s="1529"/>
      <c r="D423" s="1529"/>
      <c r="E423" s="1529"/>
      <c r="F423" s="1618" t="s">
        <v>171</v>
      </c>
      <c r="G423" s="1553">
        <f>SUM(G412:H422)</f>
        <v>0</v>
      </c>
      <c r="H423" s="1553"/>
      <c r="I423" s="1529"/>
      <c r="J423" s="1553">
        <f>SUM(J412:K422)</f>
        <v>0</v>
      </c>
      <c r="K423" s="1553"/>
      <c r="L423" s="1554"/>
      <c r="M423" s="1553">
        <f>SUM(M412:N422)</f>
        <v>0</v>
      </c>
      <c r="N423" s="1553"/>
      <c r="O423" s="1529"/>
      <c r="P423" s="1553">
        <f>SUM(P412:Q422)</f>
        <v>0</v>
      </c>
      <c r="Q423" s="1553"/>
      <c r="R423" s="1529"/>
      <c r="S423" s="1553">
        <f>SUM(S412:T422)</f>
        <v>0</v>
      </c>
      <c r="T423" s="1553"/>
    </row>
    <row r="424" spans="1:20">
      <c r="A424" s="1529"/>
      <c r="B424" s="1529" t="s">
        <v>1171</v>
      </c>
      <c r="C424" s="1529"/>
      <c r="D424" s="1529"/>
      <c r="E424" s="1529"/>
      <c r="F424" s="1529"/>
      <c r="G424" s="1529"/>
      <c r="H424" s="1529"/>
      <c r="I424" s="1529"/>
      <c r="J424" s="1554"/>
      <c r="K424" s="1554"/>
      <c r="L424" s="1534"/>
      <c r="M424" s="1554"/>
      <c r="N424" s="1554"/>
      <c r="O424" s="1554" t="str">
        <f>B424</f>
        <v>LOCAL GOVERNMENT FEES</v>
      </c>
      <c r="P424" s="1554"/>
      <c r="Q424" s="1554"/>
      <c r="R424" s="1534"/>
      <c r="S424" s="1554"/>
      <c r="T424" s="1554"/>
    </row>
    <row r="425" spans="1:20">
      <c r="A425" s="1529"/>
      <c r="B425" s="1529" t="s">
        <v>1172</v>
      </c>
      <c r="C425" s="1529"/>
      <c r="D425" s="1529"/>
      <c r="E425" s="1529"/>
      <c r="F425" s="1529"/>
      <c r="G425" s="1553">
        <f>'Part IV-Uses of Funds'!G75</f>
        <v>0</v>
      </c>
      <c r="H425" s="1553"/>
      <c r="I425" s="1529"/>
      <c r="J425" s="1553">
        <f>'Part IV-Uses of Funds'!J75</f>
        <v>0</v>
      </c>
      <c r="K425" s="1553"/>
      <c r="L425" s="1554"/>
      <c r="M425" s="1553">
        <f>'Part IV-Uses of Funds'!M75</f>
        <v>0</v>
      </c>
      <c r="N425" s="1553"/>
      <c r="O425" s="1529"/>
      <c r="P425" s="1553">
        <f>'Part IV-Uses of Funds'!P75</f>
        <v>0</v>
      </c>
      <c r="Q425" s="1553"/>
      <c r="R425" s="1529"/>
      <c r="S425" s="1553">
        <f>'Part IV-Uses of Funds'!S75</f>
        <v>0</v>
      </c>
      <c r="T425" s="1553"/>
    </row>
    <row r="426" spans="1:20">
      <c r="A426" s="1529"/>
      <c r="B426" s="1529" t="s">
        <v>1173</v>
      </c>
      <c r="C426" s="1529"/>
      <c r="D426" s="1529"/>
      <c r="E426" s="1529"/>
      <c r="F426" s="1529"/>
      <c r="G426" s="1553">
        <f>'Part IV-Uses of Funds'!G76</f>
        <v>0</v>
      </c>
      <c r="H426" s="1553"/>
      <c r="I426" s="1529"/>
      <c r="J426" s="1553">
        <f>'Part IV-Uses of Funds'!J76</f>
        <v>0</v>
      </c>
      <c r="K426" s="1553"/>
      <c r="L426" s="1554"/>
      <c r="M426" s="1553">
        <f>'Part IV-Uses of Funds'!M76</f>
        <v>0</v>
      </c>
      <c r="N426" s="1553"/>
      <c r="O426" s="1529"/>
      <c r="P426" s="1553">
        <f>'Part IV-Uses of Funds'!P76</f>
        <v>0</v>
      </c>
      <c r="Q426" s="1553"/>
      <c r="R426" s="1529"/>
      <c r="S426" s="1553">
        <f>'Part IV-Uses of Funds'!S76</f>
        <v>0</v>
      </c>
      <c r="T426" s="1553"/>
    </row>
    <row r="427" spans="1:20">
      <c r="A427" s="1529"/>
      <c r="B427" s="1529" t="s">
        <v>1174</v>
      </c>
      <c r="C427" s="1529"/>
      <c r="D427" s="1618" t="s">
        <v>1295</v>
      </c>
      <c r="E427" s="1631">
        <f>'Part IV-Uses of Funds'!E77</f>
        <v>0</v>
      </c>
      <c r="F427" s="1529"/>
      <c r="G427" s="1553">
        <f>'Part IV-Uses of Funds'!G77</f>
        <v>0</v>
      </c>
      <c r="H427" s="1553"/>
      <c r="I427" s="1534"/>
      <c r="J427" s="1553">
        <f>'Part IV-Uses of Funds'!J77</f>
        <v>0</v>
      </c>
      <c r="K427" s="1553"/>
      <c r="L427" s="1554"/>
      <c r="M427" s="1553">
        <f>'Part IV-Uses of Funds'!M77</f>
        <v>0</v>
      </c>
      <c r="N427" s="1553"/>
      <c r="O427" s="1529"/>
      <c r="P427" s="1553">
        <f>'Part IV-Uses of Funds'!P77</f>
        <v>0</v>
      </c>
      <c r="Q427" s="1553"/>
      <c r="R427" s="1529"/>
      <c r="S427" s="1553">
        <f>'Part IV-Uses of Funds'!S77</f>
        <v>0</v>
      </c>
      <c r="T427" s="1553"/>
    </row>
    <row r="428" spans="1:20">
      <c r="A428" s="1529"/>
      <c r="B428" s="1529" t="s">
        <v>1175</v>
      </c>
      <c r="C428" s="1529"/>
      <c r="D428" s="1618" t="s">
        <v>1295</v>
      </c>
      <c r="E428" s="1631">
        <f>'Part IV-Uses of Funds'!E78</f>
        <v>0</v>
      </c>
      <c r="F428" s="1529"/>
      <c r="G428" s="1553">
        <f>'Part IV-Uses of Funds'!G78</f>
        <v>0</v>
      </c>
      <c r="H428" s="1553"/>
      <c r="I428" s="1534"/>
      <c r="J428" s="1553">
        <f>'Part IV-Uses of Funds'!J78</f>
        <v>0</v>
      </c>
      <c r="K428" s="1553"/>
      <c r="L428" s="1554"/>
      <c r="M428" s="1553">
        <f>'Part IV-Uses of Funds'!M78</f>
        <v>0</v>
      </c>
      <c r="N428" s="1553"/>
      <c r="O428" s="1529"/>
      <c r="P428" s="1553">
        <f>'Part IV-Uses of Funds'!P78</f>
        <v>0</v>
      </c>
      <c r="Q428" s="1553"/>
      <c r="R428" s="1529"/>
      <c r="S428" s="1553">
        <f>'Part IV-Uses of Funds'!S78</f>
        <v>0</v>
      </c>
      <c r="T428" s="1553"/>
    </row>
    <row r="429" spans="1:20">
      <c r="A429" s="1529"/>
      <c r="B429" s="1529"/>
      <c r="C429" s="1529"/>
      <c r="D429" s="1529"/>
      <c r="E429" s="1529"/>
      <c r="F429" s="1618" t="s">
        <v>171</v>
      </c>
      <c r="G429" s="1553">
        <f>SUM(G425:H428)</f>
        <v>0</v>
      </c>
      <c r="H429" s="1553"/>
      <c r="I429" s="1529"/>
      <c r="J429" s="1553">
        <f>SUM(J425:K428)</f>
        <v>0</v>
      </c>
      <c r="K429" s="1553"/>
      <c r="L429" s="1554"/>
      <c r="M429" s="1553">
        <f>SUM(M425:N428)</f>
        <v>0</v>
      </c>
      <c r="N429" s="1553"/>
      <c r="O429" s="1529"/>
      <c r="P429" s="1553">
        <f>SUM(P425:Q428)</f>
        <v>0</v>
      </c>
      <c r="Q429" s="1553"/>
      <c r="R429" s="1529"/>
      <c r="S429" s="1553">
        <f>SUM(S425:T428)</f>
        <v>0</v>
      </c>
      <c r="T429" s="1553"/>
    </row>
    <row r="430" spans="1:20">
      <c r="A430" s="1529"/>
      <c r="B430" s="1529" t="s">
        <v>671</v>
      </c>
      <c r="C430" s="1529"/>
      <c r="D430" s="1529"/>
      <c r="E430" s="1529"/>
      <c r="F430" s="1529"/>
      <c r="G430" s="1529"/>
      <c r="H430" s="1529"/>
      <c r="I430" s="1529"/>
      <c r="J430" s="1554"/>
      <c r="K430" s="1554"/>
      <c r="L430" s="1529"/>
      <c r="M430" s="1554"/>
      <c r="N430" s="1554"/>
      <c r="O430" s="1554" t="str">
        <f>B430</f>
        <v>PERMANENT FINANCING FEES</v>
      </c>
      <c r="P430" s="1554"/>
      <c r="Q430" s="1554"/>
      <c r="R430" s="1529"/>
      <c r="S430" s="1554"/>
      <c r="T430" s="1554"/>
    </row>
    <row r="431" spans="1:20">
      <c r="A431" s="1529"/>
      <c r="B431" s="1529" t="s">
        <v>1176</v>
      </c>
      <c r="C431" s="1529"/>
      <c r="D431" s="1529"/>
      <c r="E431" s="1529"/>
      <c r="F431" s="1529"/>
      <c r="G431" s="1553">
        <f>'Part IV-Uses of Funds'!G81</f>
        <v>0</v>
      </c>
      <c r="H431" s="1553"/>
      <c r="I431" s="1529"/>
      <c r="J431" s="1553"/>
      <c r="K431" s="1553"/>
      <c r="L431" s="1554"/>
      <c r="M431" s="1553"/>
      <c r="N431" s="1553"/>
      <c r="O431" s="1529"/>
      <c r="P431" s="1553"/>
      <c r="Q431" s="1553"/>
      <c r="R431" s="1529"/>
      <c r="S431" s="1553">
        <f>'Part IV-Uses of Funds'!S81</f>
        <v>0</v>
      </c>
      <c r="T431" s="1553"/>
    </row>
    <row r="432" spans="1:20">
      <c r="A432" s="1529"/>
      <c r="B432" s="1529" t="s">
        <v>1177</v>
      </c>
      <c r="C432" s="1529"/>
      <c r="D432" s="1529"/>
      <c r="E432" s="1529"/>
      <c r="F432" s="1529"/>
      <c r="G432" s="1553">
        <f>'Part IV-Uses of Funds'!G82</f>
        <v>0</v>
      </c>
      <c r="H432" s="1553"/>
      <c r="I432" s="1529"/>
      <c r="J432" s="1553"/>
      <c r="K432" s="1553"/>
      <c r="L432" s="1554"/>
      <c r="M432" s="1553"/>
      <c r="N432" s="1553"/>
      <c r="O432" s="1529"/>
      <c r="P432" s="1553"/>
      <c r="Q432" s="1553"/>
      <c r="R432" s="1529"/>
      <c r="S432" s="1553">
        <f>'Part IV-Uses of Funds'!S82</f>
        <v>0</v>
      </c>
      <c r="T432" s="1553"/>
    </row>
    <row r="433" spans="1:20">
      <c r="A433" s="1529"/>
      <c r="B433" s="1529" t="s">
        <v>1178</v>
      </c>
      <c r="C433" s="1529"/>
      <c r="D433" s="1529"/>
      <c r="E433" s="1529"/>
      <c r="F433" s="1529"/>
      <c r="G433" s="1553">
        <f>'Part IV-Uses of Funds'!G83</f>
        <v>0</v>
      </c>
      <c r="H433" s="1553"/>
      <c r="I433" s="1529"/>
      <c r="J433" s="1553"/>
      <c r="K433" s="1553"/>
      <c r="L433" s="1554"/>
      <c r="M433" s="1553"/>
      <c r="N433" s="1553"/>
      <c r="O433" s="1529"/>
      <c r="P433" s="1553"/>
      <c r="Q433" s="1553"/>
      <c r="R433" s="1529"/>
      <c r="S433" s="1553">
        <f>'Part IV-Uses of Funds'!S83</f>
        <v>0</v>
      </c>
      <c r="T433" s="1553"/>
    </row>
    <row r="434" spans="1:20">
      <c r="A434" s="1529"/>
      <c r="B434" s="1529" t="s">
        <v>1180</v>
      </c>
      <c r="C434" s="1529"/>
      <c r="D434" s="1529"/>
      <c r="E434" s="1529"/>
      <c r="F434" s="1529"/>
      <c r="G434" s="1553">
        <f>'Part IV-Uses of Funds'!G84</f>
        <v>0</v>
      </c>
      <c r="H434" s="1553"/>
      <c r="I434" s="1529"/>
      <c r="J434" s="1553"/>
      <c r="K434" s="1553"/>
      <c r="L434" s="1554"/>
      <c r="M434" s="1553"/>
      <c r="N434" s="1553"/>
      <c r="O434" s="1529"/>
      <c r="P434" s="1553"/>
      <c r="Q434" s="1553"/>
      <c r="R434" s="1529"/>
      <c r="S434" s="1553">
        <f>'Part IV-Uses of Funds'!S84</f>
        <v>0</v>
      </c>
      <c r="T434" s="1553"/>
    </row>
    <row r="435" spans="1:20">
      <c r="A435" s="1529"/>
      <c r="B435" s="1529" t="s">
        <v>3217</v>
      </c>
      <c r="C435" s="1529"/>
      <c r="D435" s="1529"/>
      <c r="E435" s="1529"/>
      <c r="F435" s="1529"/>
      <c r="G435" s="1553">
        <f>'Part IV-Uses of Funds'!G85</f>
        <v>0</v>
      </c>
      <c r="H435" s="1553"/>
      <c r="I435" s="1529"/>
      <c r="J435" s="1553"/>
      <c r="K435" s="1553"/>
      <c r="L435" s="1554"/>
      <c r="M435" s="1553"/>
      <c r="N435" s="1553"/>
      <c r="O435" s="1529"/>
      <c r="P435" s="1553"/>
      <c r="Q435" s="1553"/>
      <c r="R435" s="1529"/>
      <c r="S435" s="1553">
        <f>'Part IV-Uses of Funds'!S85</f>
        <v>0</v>
      </c>
      <c r="T435" s="1553"/>
    </row>
    <row r="436" spans="1:20" ht="15.75">
      <c r="A436" s="1617" t="str">
        <f>IF(AND(G436&gt;0,OR(C436="",C436="&lt;Enter detailed description here; use Comments section if needed&gt;")),"X","")</f>
        <v/>
      </c>
      <c r="B436" s="1529" t="s">
        <v>686</v>
      </c>
      <c r="C436" s="1529" t="str">
        <f>'Part IV-Uses of Funds'!C86</f>
        <v>&lt;Enter detailed description here; use Comments section if needed&gt;</v>
      </c>
      <c r="D436" s="1529"/>
      <c r="E436" s="1529"/>
      <c r="F436" s="1529"/>
      <c r="G436" s="1553">
        <f>'Part IV-Uses of Funds'!G86</f>
        <v>0</v>
      </c>
      <c r="H436" s="1553"/>
      <c r="I436" s="1529"/>
      <c r="J436" s="1553"/>
      <c r="K436" s="1553"/>
      <c r="L436" s="1554"/>
      <c r="M436" s="1553"/>
      <c r="N436" s="1553"/>
      <c r="O436" s="1529"/>
      <c r="P436" s="1553"/>
      <c r="Q436" s="1553"/>
      <c r="R436" s="1529"/>
      <c r="S436" s="1553">
        <f>'Part IV-Uses of Funds'!S86</f>
        <v>0</v>
      </c>
      <c r="T436" s="1553"/>
    </row>
    <row r="437" spans="1:20">
      <c r="A437" s="1529"/>
      <c r="B437" s="1529"/>
      <c r="C437" s="1529"/>
      <c r="D437" s="1529"/>
      <c r="E437" s="1529"/>
      <c r="F437" s="1618" t="s">
        <v>171</v>
      </c>
      <c r="G437" s="1553">
        <f>SUM(G431:H436)</f>
        <v>0</v>
      </c>
      <c r="H437" s="1553"/>
      <c r="I437" s="1529"/>
      <c r="J437" s="1553">
        <f>SUM(J433:K436)</f>
        <v>0</v>
      </c>
      <c r="K437" s="1553"/>
      <c r="L437" s="1554"/>
      <c r="M437" s="1553">
        <f>SUM(M433:N436)</f>
        <v>0</v>
      </c>
      <c r="N437" s="1553"/>
      <c r="O437" s="1529"/>
      <c r="P437" s="1553">
        <f>SUM(P433:Q436)</f>
        <v>0</v>
      </c>
      <c r="Q437" s="1553"/>
      <c r="R437" s="1529"/>
      <c r="S437" s="1553">
        <f>SUM(S431:T436)</f>
        <v>0</v>
      </c>
      <c r="T437" s="1553"/>
    </row>
    <row r="438" spans="1:20">
      <c r="A438" s="1530"/>
      <c r="B438" s="1530"/>
      <c r="C438" s="1530"/>
      <c r="D438" s="1530"/>
      <c r="E438" s="1530"/>
      <c r="F438" s="1530"/>
      <c r="G438" s="1530"/>
      <c r="H438" s="1530"/>
      <c r="I438" s="1530"/>
      <c r="J438" s="1530"/>
      <c r="K438" s="1530"/>
      <c r="L438" s="1530"/>
      <c r="M438" s="1530"/>
      <c r="N438" s="1530"/>
      <c r="O438" s="1530"/>
      <c r="P438" s="1530"/>
      <c r="Q438" s="1530"/>
      <c r="R438" s="1530"/>
      <c r="S438" s="1530"/>
      <c r="T438" s="1530"/>
    </row>
    <row r="439" spans="1:20" ht="17.25" customHeight="1">
      <c r="A439" s="1615" t="s">
        <v>572</v>
      </c>
      <c r="B439" s="1615" t="s">
        <v>3738</v>
      </c>
      <c r="C439" s="1529"/>
      <c r="D439" s="1529"/>
      <c r="E439" s="1529"/>
      <c r="F439" s="1529"/>
      <c r="G439" s="1529"/>
      <c r="H439" s="1529"/>
      <c r="I439" s="1529"/>
      <c r="J439" s="1586" t="s">
        <v>250</v>
      </c>
      <c r="K439" s="1586"/>
      <c r="L439" s="1553"/>
      <c r="M439" s="1616" t="s">
        <v>460</v>
      </c>
      <c r="N439" s="1616"/>
      <c r="O439" s="1529"/>
      <c r="P439" s="1586" t="s">
        <v>251</v>
      </c>
      <c r="Q439" s="1586"/>
      <c r="R439" s="1529"/>
      <c r="S439" s="1586" t="s">
        <v>252</v>
      </c>
      <c r="T439" s="1586"/>
    </row>
    <row r="440" spans="1:20">
      <c r="A440" s="1529"/>
      <c r="B440" s="1529"/>
      <c r="C440" s="1529"/>
      <c r="D440" s="1529"/>
      <c r="E440" s="1529"/>
      <c r="F440" s="1529"/>
      <c r="G440" s="1529" t="s">
        <v>93</v>
      </c>
      <c r="H440" s="1529"/>
      <c r="I440" s="1529"/>
      <c r="J440" s="1586"/>
      <c r="K440" s="1586"/>
      <c r="L440" s="1553"/>
      <c r="M440" s="1616"/>
      <c r="N440" s="1616"/>
      <c r="O440" s="1529"/>
      <c r="P440" s="1586"/>
      <c r="Q440" s="1586"/>
      <c r="R440" s="1529"/>
      <c r="S440" s="1586"/>
      <c r="T440" s="1586"/>
    </row>
    <row r="441" spans="1:20">
      <c r="A441" s="1529"/>
      <c r="B441" s="1529" t="s">
        <v>672</v>
      </c>
      <c r="C441" s="1529"/>
      <c r="D441" s="1529"/>
      <c r="E441" s="1529"/>
      <c r="F441" s="1529"/>
      <c r="G441" s="1529"/>
      <c r="H441" s="1529"/>
      <c r="I441" s="1529"/>
      <c r="J441" s="1554"/>
      <c r="K441" s="1554"/>
      <c r="L441" s="1529"/>
      <c r="M441" s="1554"/>
      <c r="N441" s="1554"/>
      <c r="O441" s="1554" t="str">
        <f>B441</f>
        <v>DCA-RELATED COSTS</v>
      </c>
      <c r="P441" s="1554"/>
      <c r="Q441" s="1554"/>
      <c r="R441" s="1529"/>
      <c r="S441" s="1554"/>
      <c r="T441" s="1554"/>
    </row>
    <row r="442" spans="1:20">
      <c r="A442" s="1529"/>
      <c r="B442" s="1529" t="s">
        <v>3274</v>
      </c>
      <c r="C442" s="1529"/>
      <c r="D442" s="1529"/>
      <c r="E442" s="1529"/>
      <c r="F442" s="1529"/>
      <c r="G442" s="1553">
        <f>'Part IV-Uses of Funds'!G92</f>
        <v>0</v>
      </c>
      <c r="H442" s="1553"/>
      <c r="I442" s="1529"/>
      <c r="J442" s="1554"/>
      <c r="K442" s="1554"/>
      <c r="L442" s="1554"/>
      <c r="M442" s="1554"/>
      <c r="N442" s="1554"/>
      <c r="O442" s="1529"/>
      <c r="P442" s="1554"/>
      <c r="Q442" s="1554"/>
      <c r="R442" s="1529"/>
      <c r="S442" s="1553">
        <f>'Part IV-Uses of Funds'!S92</f>
        <v>0</v>
      </c>
      <c r="T442" s="1553"/>
    </row>
    <row r="443" spans="1:20">
      <c r="A443" s="1529"/>
      <c r="B443" s="1529" t="s">
        <v>1107</v>
      </c>
      <c r="C443" s="1529"/>
      <c r="D443" s="1529"/>
      <c r="E443" s="1529"/>
      <c r="F443" s="1529"/>
      <c r="G443" s="1553">
        <f>'Part IV-Uses of Funds'!G93</f>
        <v>0</v>
      </c>
      <c r="H443" s="1553"/>
      <c r="I443" s="1529"/>
      <c r="J443" s="1554"/>
      <c r="K443" s="1554"/>
      <c r="L443" s="1632"/>
      <c r="M443" s="1554"/>
      <c r="N443" s="1554"/>
      <c r="O443" s="1529"/>
      <c r="P443" s="1554"/>
      <c r="Q443" s="1554"/>
      <c r="R443" s="1529"/>
      <c r="S443" s="1553">
        <f>'Part IV-Uses of Funds'!S93</f>
        <v>0</v>
      </c>
      <c r="T443" s="1553"/>
    </row>
    <row r="444" spans="1:20">
      <c r="A444" s="1529"/>
      <c r="B444" s="1529" t="s">
        <v>2340</v>
      </c>
      <c r="C444" s="1529"/>
      <c r="D444" s="1529"/>
      <c r="E444" s="1529"/>
      <c r="F444" s="1529"/>
      <c r="G444" s="1553">
        <f>'Part IV-Uses of Funds'!G94</f>
        <v>0</v>
      </c>
      <c r="H444" s="1553"/>
      <c r="I444" s="1529"/>
      <c r="J444" s="1554"/>
      <c r="K444" s="1554"/>
      <c r="L444" s="1632"/>
      <c r="M444" s="1554"/>
      <c r="N444" s="1554"/>
      <c r="O444" s="1529"/>
      <c r="P444" s="1554"/>
      <c r="Q444" s="1554"/>
      <c r="R444" s="1529"/>
      <c r="S444" s="1553">
        <f>'Part IV-Uses of Funds'!S94</f>
        <v>0</v>
      </c>
      <c r="T444" s="1553"/>
    </row>
    <row r="445" spans="1:20">
      <c r="A445" s="1529"/>
      <c r="B445" s="1529" t="s">
        <v>483</v>
      </c>
      <c r="C445" s="1529"/>
      <c r="D445" s="1529"/>
      <c r="E445" s="1633"/>
      <c r="F445" s="1633"/>
      <c r="G445" s="1553">
        <f>'Part IV-Uses of Funds'!G95</f>
        <v>0</v>
      </c>
      <c r="H445" s="1553"/>
      <c r="I445" s="1529"/>
      <c r="J445" s="1554"/>
      <c r="K445" s="1554"/>
      <c r="L445" s="1554"/>
      <c r="M445" s="1554"/>
      <c r="N445" s="1554"/>
      <c r="O445" s="1529"/>
      <c r="P445" s="1554"/>
      <c r="Q445" s="1554"/>
      <c r="R445" s="1529"/>
      <c r="S445" s="1553">
        <f>'Part IV-Uses of Funds'!S95</f>
        <v>0</v>
      </c>
      <c r="T445" s="1553"/>
    </row>
    <row r="446" spans="1:20">
      <c r="A446" s="1529"/>
      <c r="B446" s="1529" t="s">
        <v>697</v>
      </c>
      <c r="C446" s="1529"/>
      <c r="D446" s="1529"/>
      <c r="E446" s="1633"/>
      <c r="F446" s="1633"/>
      <c r="G446" s="1553">
        <f>'Part IV-Uses of Funds'!G96</f>
        <v>0</v>
      </c>
      <c r="H446" s="1553"/>
      <c r="I446" s="1529"/>
      <c r="J446" s="1534"/>
      <c r="K446" s="1534"/>
      <c r="L446" s="1534"/>
      <c r="M446" s="1534"/>
      <c r="N446" s="1534"/>
      <c r="O446" s="1534"/>
      <c r="P446" s="1534"/>
      <c r="Q446" s="1534"/>
      <c r="R446" s="1529"/>
      <c r="S446" s="1553">
        <f>'Part IV-Uses of Funds'!S96</f>
        <v>0</v>
      </c>
      <c r="T446" s="1553"/>
    </row>
    <row r="447" spans="1:20">
      <c r="A447" s="1529"/>
      <c r="B447" s="1529" t="s">
        <v>3275</v>
      </c>
      <c r="C447" s="1529"/>
      <c r="D447" s="1529"/>
      <c r="E447" s="1529"/>
      <c r="F447" s="1529"/>
      <c r="G447" s="1553">
        <f>'Part IV-Uses of Funds'!G97</f>
        <v>0</v>
      </c>
      <c r="H447" s="1553"/>
      <c r="I447" s="1529"/>
      <c r="J447" s="1534"/>
      <c r="K447" s="1534"/>
      <c r="L447" s="1534"/>
      <c r="M447" s="1534"/>
      <c r="N447" s="1534"/>
      <c r="O447" s="1534"/>
      <c r="P447" s="1534"/>
      <c r="Q447" s="1534"/>
      <c r="R447" s="1529"/>
      <c r="S447" s="1553">
        <f>'Part IV-Uses of Funds'!S97</f>
        <v>0</v>
      </c>
      <c r="T447" s="1553"/>
    </row>
    <row r="448" spans="1:20">
      <c r="A448" s="1529"/>
      <c r="B448" s="1529" t="s">
        <v>3276</v>
      </c>
      <c r="C448" s="1529"/>
      <c r="D448" s="1529"/>
      <c r="E448" s="1529"/>
      <c r="F448" s="1529"/>
      <c r="G448" s="1553">
        <f>'Part IV-Uses of Funds'!G98</f>
        <v>0</v>
      </c>
      <c r="H448" s="1553"/>
      <c r="I448" s="1529"/>
      <c r="J448" s="1534"/>
      <c r="K448" s="1534"/>
      <c r="L448" s="1534"/>
      <c r="M448" s="1534"/>
      <c r="N448" s="1534"/>
      <c r="O448" s="1534"/>
      <c r="P448" s="1534"/>
      <c r="Q448" s="1534"/>
      <c r="R448" s="1529"/>
      <c r="S448" s="1553">
        <f>'Part IV-Uses of Funds'!S98</f>
        <v>0</v>
      </c>
      <c r="T448" s="1553"/>
    </row>
    <row r="449" spans="1:20" ht="15.75">
      <c r="A449" s="1617" t="str">
        <f>IF(AND(G449&gt;0,OR(C449="",C449="&lt;Enter detailed description here; use Comments section if needed&gt;")),"X","")</f>
        <v/>
      </c>
      <c r="B449" s="1529" t="s">
        <v>686</v>
      </c>
      <c r="C449" s="1529" t="str">
        <f>'Part IV-Uses of Funds'!C99</f>
        <v>&lt;Enter detailed description here; use Comments section if needed&gt;</v>
      </c>
      <c r="D449" s="1529"/>
      <c r="E449" s="1529"/>
      <c r="F449" s="1529"/>
      <c r="G449" s="1553">
        <f>'Part IV-Uses of Funds'!G99</f>
        <v>0</v>
      </c>
      <c r="H449" s="1553"/>
      <c r="I449" s="1529"/>
      <c r="J449" s="1534"/>
      <c r="K449" s="1534"/>
      <c r="L449" s="1534"/>
      <c r="M449" s="1534"/>
      <c r="N449" s="1534"/>
      <c r="O449" s="1534"/>
      <c r="P449" s="1534"/>
      <c r="Q449" s="1534"/>
      <c r="R449" s="1529"/>
      <c r="S449" s="1553">
        <f>'Part IV-Uses of Funds'!S99</f>
        <v>0</v>
      </c>
      <c r="T449" s="1553"/>
    </row>
    <row r="450" spans="1:20" ht="15.75">
      <c r="A450" s="1617" t="str">
        <f>IF(AND(G450&gt;0,OR(C450="",C450="&lt;Enter detailed description here; use Comments section if needed&gt;")),"X","")</f>
        <v/>
      </c>
      <c r="B450" s="1529" t="s">
        <v>686</v>
      </c>
      <c r="C450" s="1529" t="str">
        <f>'Part IV-Uses of Funds'!C100</f>
        <v>&lt;Enter detailed description here; use Comments section if needed&gt;</v>
      </c>
      <c r="D450" s="1529"/>
      <c r="E450" s="1529"/>
      <c r="F450" s="1529"/>
      <c r="G450" s="1553">
        <f>'Part IV-Uses of Funds'!G100</f>
        <v>0</v>
      </c>
      <c r="H450" s="1553"/>
      <c r="I450" s="1529"/>
      <c r="J450" s="1534"/>
      <c r="K450" s="1534"/>
      <c r="L450" s="1534"/>
      <c r="M450" s="1534"/>
      <c r="N450" s="1534"/>
      <c r="O450" s="1534"/>
      <c r="P450" s="1534"/>
      <c r="Q450" s="1534"/>
      <c r="R450" s="1529"/>
      <c r="S450" s="1553">
        <f>'Part IV-Uses of Funds'!S100</f>
        <v>0</v>
      </c>
      <c r="T450" s="1553"/>
    </row>
    <row r="451" spans="1:20">
      <c r="A451" s="1529"/>
      <c r="B451" s="1529"/>
      <c r="C451" s="1529"/>
      <c r="D451" s="1529"/>
      <c r="E451" s="1529"/>
      <c r="F451" s="1618" t="s">
        <v>171</v>
      </c>
      <c r="G451" s="1553">
        <f>SUM(G442:H450)</f>
        <v>0</v>
      </c>
      <c r="H451" s="1553"/>
      <c r="I451" s="1529"/>
      <c r="J451" s="1554"/>
      <c r="K451" s="1554"/>
      <c r="L451" s="1554"/>
      <c r="M451" s="1554"/>
      <c r="N451" s="1554"/>
      <c r="O451" s="1529"/>
      <c r="P451" s="1554"/>
      <c r="Q451" s="1554"/>
      <c r="R451" s="1529"/>
      <c r="S451" s="1553">
        <f>SUM(S442:T450)</f>
        <v>0</v>
      </c>
      <c r="T451" s="1553"/>
    </row>
    <row r="452" spans="1:20">
      <c r="A452" s="1529"/>
      <c r="B452" s="1529" t="s">
        <v>2042</v>
      </c>
      <c r="C452" s="1529"/>
      <c r="D452" s="1529"/>
      <c r="E452" s="1529"/>
      <c r="F452" s="1529"/>
      <c r="G452" s="1529"/>
      <c r="H452" s="1529"/>
      <c r="I452" s="1529"/>
      <c r="J452" s="1554"/>
      <c r="K452" s="1554"/>
      <c r="L452" s="1529"/>
      <c r="M452" s="1554"/>
      <c r="N452" s="1554"/>
      <c r="O452" s="1554" t="str">
        <f>B452</f>
        <v>EQUITY COSTS</v>
      </c>
      <c r="P452" s="1554"/>
      <c r="Q452" s="1554"/>
      <c r="R452" s="1529"/>
      <c r="S452" s="1554"/>
      <c r="T452" s="1554"/>
    </row>
    <row r="453" spans="1:20">
      <c r="A453" s="1529"/>
      <c r="B453" s="1529" t="s">
        <v>258</v>
      </c>
      <c r="C453" s="1529"/>
      <c r="D453" s="1529"/>
      <c r="E453" s="1529"/>
      <c r="F453" s="1529"/>
      <c r="G453" s="1553">
        <f>'Part IV-Uses of Funds'!G103</f>
        <v>0</v>
      </c>
      <c r="H453" s="1553"/>
      <c r="I453" s="1529"/>
      <c r="J453" s="1553"/>
      <c r="K453" s="1553"/>
      <c r="L453" s="1554"/>
      <c r="M453" s="1553"/>
      <c r="N453" s="1553"/>
      <c r="O453" s="1529"/>
      <c r="P453" s="1553"/>
      <c r="Q453" s="1553"/>
      <c r="R453" s="1529"/>
      <c r="S453" s="1553">
        <f>'Part IV-Uses of Funds'!S103</f>
        <v>0</v>
      </c>
      <c r="T453" s="1553"/>
    </row>
    <row r="454" spans="1:20">
      <c r="A454" s="1529"/>
      <c r="B454" s="1529" t="s">
        <v>260</v>
      </c>
      <c r="C454" s="1529"/>
      <c r="D454" s="1529"/>
      <c r="E454" s="1529"/>
      <c r="F454" s="1529"/>
      <c r="G454" s="1553">
        <f>'Part IV-Uses of Funds'!G104</f>
        <v>0</v>
      </c>
      <c r="H454" s="1553"/>
      <c r="I454" s="1529"/>
      <c r="J454" s="1553"/>
      <c r="K454" s="1553"/>
      <c r="L454" s="1554"/>
      <c r="M454" s="1553"/>
      <c r="N454" s="1553"/>
      <c r="O454" s="1529"/>
      <c r="P454" s="1553"/>
      <c r="Q454" s="1553"/>
      <c r="R454" s="1529"/>
      <c r="S454" s="1553">
        <f>'Part IV-Uses of Funds'!S104</f>
        <v>0</v>
      </c>
      <c r="T454" s="1553"/>
    </row>
    <row r="455" spans="1:20">
      <c r="A455" s="1529"/>
      <c r="B455" s="1529" t="s">
        <v>2117</v>
      </c>
      <c r="C455" s="1529"/>
      <c r="D455" s="1529"/>
      <c r="E455" s="1529"/>
      <c r="F455" s="1529"/>
      <c r="G455" s="1553">
        <f>'Part IV-Uses of Funds'!G105</f>
        <v>0</v>
      </c>
      <c r="H455" s="1553"/>
      <c r="I455" s="1529"/>
      <c r="J455" s="1553"/>
      <c r="K455" s="1553"/>
      <c r="L455" s="1554"/>
      <c r="M455" s="1553"/>
      <c r="N455" s="1553"/>
      <c r="O455" s="1529"/>
      <c r="P455" s="1553"/>
      <c r="Q455" s="1553"/>
      <c r="R455" s="1529"/>
      <c r="S455" s="1553">
        <f>'Part IV-Uses of Funds'!S105</f>
        <v>0</v>
      </c>
      <c r="T455" s="1553"/>
    </row>
    <row r="456" spans="1:20" ht="15.75">
      <c r="A456" s="1617" t="str">
        <f>IF(AND(G456&gt;0,OR(C456="",C456="&lt;Enter detailed description here; use Comments section if needed&gt;")),"X","")</f>
        <v/>
      </c>
      <c r="B456" s="1529" t="s">
        <v>686</v>
      </c>
      <c r="C456" s="1529" t="str">
        <f>'Part IV-Uses of Funds'!C106</f>
        <v>&lt;Enter detailed description here; use Comments section if needed&gt;</v>
      </c>
      <c r="D456" s="1529"/>
      <c r="E456" s="1529"/>
      <c r="F456" s="1529"/>
      <c r="G456" s="1553">
        <f>'Part IV-Uses of Funds'!G106</f>
        <v>0</v>
      </c>
      <c r="H456" s="1553"/>
      <c r="I456" s="1529"/>
      <c r="J456" s="1553">
        <f>'Part IV-Uses of Funds'!J106</f>
        <v>0</v>
      </c>
      <c r="K456" s="1553"/>
      <c r="L456" s="1554"/>
      <c r="M456" s="1553">
        <f>'Part IV-Uses of Funds'!M106</f>
        <v>0</v>
      </c>
      <c r="N456" s="1553"/>
      <c r="O456" s="1529"/>
      <c r="P456" s="1553">
        <f>'Part IV-Uses of Funds'!P106</f>
        <v>0</v>
      </c>
      <c r="Q456" s="1553"/>
      <c r="R456" s="1529"/>
      <c r="S456" s="1553">
        <f>'Part IV-Uses of Funds'!S106</f>
        <v>0</v>
      </c>
      <c r="T456" s="1553"/>
    </row>
    <row r="457" spans="1:20">
      <c r="A457" s="1529"/>
      <c r="B457" s="1529"/>
      <c r="C457" s="1529"/>
      <c r="D457" s="1529"/>
      <c r="E457" s="1529"/>
      <c r="F457" s="1618" t="s">
        <v>171</v>
      </c>
      <c r="G457" s="1553">
        <f>SUM(G453:H456)</f>
        <v>0</v>
      </c>
      <c r="H457" s="1553"/>
      <c r="I457" s="1529"/>
      <c r="J457" s="1553">
        <f>SUM(J456:K456)</f>
        <v>0</v>
      </c>
      <c r="K457" s="1553"/>
      <c r="L457" s="1554"/>
      <c r="M457" s="1553">
        <f>SUM(M456:N456)</f>
        <v>0</v>
      </c>
      <c r="N457" s="1553"/>
      <c r="O457" s="1529"/>
      <c r="P457" s="1553">
        <f>SUM(P456:Q456)</f>
        <v>0</v>
      </c>
      <c r="Q457" s="1553"/>
      <c r="R457" s="1529"/>
      <c r="S457" s="1553">
        <f>SUM(S453:T456)</f>
        <v>0</v>
      </c>
      <c r="T457" s="1553"/>
    </row>
    <row r="458" spans="1:20">
      <c r="A458" s="1529"/>
      <c r="B458" s="1529" t="s">
        <v>261</v>
      </c>
      <c r="C458" s="1529"/>
      <c r="D458" s="1529"/>
      <c r="E458" s="1529"/>
      <c r="F458" s="1529"/>
      <c r="G458" s="1529"/>
      <c r="H458" s="1529"/>
      <c r="I458" s="1529"/>
      <c r="J458" s="1554"/>
      <c r="K458" s="1553"/>
      <c r="L458" s="1529"/>
      <c r="M458" s="1554"/>
      <c r="N458" s="1553"/>
      <c r="O458" s="1554" t="str">
        <f>B458</f>
        <v>DEVELOPER'S FEE</v>
      </c>
      <c r="P458" s="1554"/>
      <c r="Q458" s="1553"/>
      <c r="R458" s="1529"/>
      <c r="S458" s="1554"/>
      <c r="T458" s="1553"/>
    </row>
    <row r="459" spans="1:20">
      <c r="A459" s="1529"/>
      <c r="B459" s="1529" t="s">
        <v>1674</v>
      </c>
      <c r="C459" s="1529"/>
      <c r="D459" s="1529"/>
      <c r="E459" s="1529"/>
      <c r="F459" s="1600" t="e">
        <f>G459/G463</f>
        <v>#DIV/0!</v>
      </c>
      <c r="G459" s="1553">
        <f>'Part IV-Uses of Funds'!G109</f>
        <v>0</v>
      </c>
      <c r="H459" s="1553"/>
      <c r="I459" s="1529"/>
      <c r="J459" s="1553">
        <f>'Part IV-Uses of Funds'!J109</f>
        <v>0</v>
      </c>
      <c r="K459" s="1553"/>
      <c r="L459" s="1554"/>
      <c r="M459" s="1553">
        <f>'Part IV-Uses of Funds'!M109</f>
        <v>0</v>
      </c>
      <c r="N459" s="1553"/>
      <c r="O459" s="1529"/>
      <c r="P459" s="1553">
        <f>'Part IV-Uses of Funds'!P109</f>
        <v>0</v>
      </c>
      <c r="Q459" s="1553"/>
      <c r="R459" s="1529"/>
      <c r="S459" s="1553">
        <f>'Part IV-Uses of Funds'!S109</f>
        <v>0</v>
      </c>
      <c r="T459" s="1553"/>
    </row>
    <row r="460" spans="1:20">
      <c r="A460" s="1529"/>
      <c r="B460" s="1529" t="s">
        <v>1675</v>
      </c>
      <c r="C460" s="1529"/>
      <c r="D460" s="1529"/>
      <c r="E460" s="1529"/>
      <c r="F460" s="1600" t="e">
        <f>G460/G463</f>
        <v>#DIV/0!</v>
      </c>
      <c r="G460" s="1553">
        <f>'Part IV-Uses of Funds'!G110</f>
        <v>0</v>
      </c>
      <c r="H460" s="1553"/>
      <c r="I460" s="1529"/>
      <c r="J460" s="1553">
        <f>'Part IV-Uses of Funds'!J110</f>
        <v>0</v>
      </c>
      <c r="K460" s="1553"/>
      <c r="L460" s="1554"/>
      <c r="M460" s="1553">
        <f>'Part IV-Uses of Funds'!M110</f>
        <v>0</v>
      </c>
      <c r="N460" s="1553"/>
      <c r="O460" s="1529"/>
      <c r="P460" s="1553">
        <f>'Part IV-Uses of Funds'!P110</f>
        <v>0</v>
      </c>
      <c r="Q460" s="1553"/>
      <c r="R460" s="1529"/>
      <c r="S460" s="1553">
        <f>'Part IV-Uses of Funds'!S110</f>
        <v>0</v>
      </c>
      <c r="T460" s="1553"/>
    </row>
    <row r="461" spans="1:20">
      <c r="A461" s="1529"/>
      <c r="B461" s="1529" t="s">
        <v>3277</v>
      </c>
      <c r="C461" s="1529"/>
      <c r="D461" s="1529"/>
      <c r="E461" s="1529"/>
      <c r="F461" s="1600" t="e">
        <f>G461/G463</f>
        <v>#DIV/0!</v>
      </c>
      <c r="G461" s="1553">
        <f>'Part IV-Uses of Funds'!G111</f>
        <v>0</v>
      </c>
      <c r="H461" s="1553"/>
      <c r="I461" s="1529"/>
      <c r="J461" s="1553">
        <f>'Part IV-Uses of Funds'!J111</f>
        <v>0</v>
      </c>
      <c r="K461" s="1553"/>
      <c r="L461" s="1554"/>
      <c r="M461" s="1553">
        <f>'Part IV-Uses of Funds'!M111</f>
        <v>0</v>
      </c>
      <c r="N461" s="1553"/>
      <c r="O461" s="1529"/>
      <c r="P461" s="1553">
        <f>'Part IV-Uses of Funds'!P111</f>
        <v>0</v>
      </c>
      <c r="Q461" s="1553"/>
      <c r="R461" s="1529"/>
      <c r="S461" s="1553">
        <f>'Part IV-Uses of Funds'!S111</f>
        <v>0</v>
      </c>
      <c r="T461" s="1553"/>
    </row>
    <row r="462" spans="1:20">
      <c r="A462" s="1529"/>
      <c r="B462" s="1529" t="s">
        <v>1667</v>
      </c>
      <c r="C462" s="1529"/>
      <c r="D462" s="1529"/>
      <c r="E462" s="1529"/>
      <c r="F462" s="1600" t="e">
        <f>G462/G463</f>
        <v>#DIV/0!</v>
      </c>
      <c r="G462" s="1553">
        <f>'Part IV-Uses of Funds'!G112</f>
        <v>0</v>
      </c>
      <c r="H462" s="1553"/>
      <c r="I462" s="1529"/>
      <c r="J462" s="1553">
        <f>'Part IV-Uses of Funds'!J112</f>
        <v>0</v>
      </c>
      <c r="K462" s="1553"/>
      <c r="L462" s="1554"/>
      <c r="M462" s="1553">
        <f>'Part IV-Uses of Funds'!M112</f>
        <v>0</v>
      </c>
      <c r="N462" s="1553"/>
      <c r="O462" s="1529"/>
      <c r="P462" s="1553">
        <f>'Part IV-Uses of Funds'!P112</f>
        <v>0</v>
      </c>
      <c r="Q462" s="1553"/>
      <c r="R462" s="1529"/>
      <c r="S462" s="1553">
        <f>'Part IV-Uses of Funds'!S112</f>
        <v>0</v>
      </c>
      <c r="T462" s="1553"/>
    </row>
    <row r="463" spans="1:20">
      <c r="A463" s="1529"/>
      <c r="B463" s="1529"/>
      <c r="C463" s="1531"/>
      <c r="D463" s="1529"/>
      <c r="E463" s="1529"/>
      <c r="F463" s="1618" t="s">
        <v>171</v>
      </c>
      <c r="G463" s="1553">
        <f>SUM(G459:H462)</f>
        <v>0</v>
      </c>
      <c r="H463" s="1553"/>
      <c r="I463" s="1529"/>
      <c r="J463" s="1553">
        <f>SUM(J459:K462)</f>
        <v>0</v>
      </c>
      <c r="K463" s="1553"/>
      <c r="L463" s="1554"/>
      <c r="M463" s="1553">
        <f>SUM(M459:N462)</f>
        <v>0</v>
      </c>
      <c r="N463" s="1553"/>
      <c r="O463" s="1529"/>
      <c r="P463" s="1553">
        <f>SUM(P459:Q462)</f>
        <v>0</v>
      </c>
      <c r="Q463" s="1553"/>
      <c r="R463" s="1529"/>
      <c r="S463" s="1553">
        <f>SUM(S459:T462)</f>
        <v>0</v>
      </c>
      <c r="T463" s="1553"/>
    </row>
    <row r="464" spans="1:20">
      <c r="A464" s="1529"/>
      <c r="B464" s="1529" t="s">
        <v>1208</v>
      </c>
      <c r="C464" s="1529"/>
      <c r="D464" s="1529"/>
      <c r="E464" s="1529"/>
      <c r="F464" s="1529"/>
      <c r="G464" s="1529"/>
      <c r="H464" s="1529"/>
      <c r="I464" s="1529"/>
      <c r="J464" s="1553"/>
      <c r="K464" s="1553"/>
      <c r="L464" s="1529"/>
      <c r="M464" s="1553"/>
      <c r="N464" s="1553"/>
      <c r="O464" s="1554" t="str">
        <f>B464</f>
        <v>START-UP AND RESERVES</v>
      </c>
      <c r="P464" s="1553"/>
      <c r="Q464" s="1553"/>
      <c r="R464" s="1529"/>
      <c r="S464" s="1553"/>
      <c r="T464" s="1553"/>
    </row>
    <row r="465" spans="1:20">
      <c r="A465" s="1529"/>
      <c r="B465" s="1529" t="s">
        <v>232</v>
      </c>
      <c r="C465" s="1529"/>
      <c r="D465" s="1529"/>
      <c r="E465" s="1529"/>
      <c r="F465" s="1529"/>
      <c r="G465" s="1553">
        <f>'Part IV-Uses of Funds'!G115</f>
        <v>0</v>
      </c>
      <c r="H465" s="1553"/>
      <c r="I465" s="1529"/>
      <c r="J465" s="1632"/>
      <c r="K465" s="1632"/>
      <c r="L465" s="1632"/>
      <c r="M465" s="1632"/>
      <c r="N465" s="1632"/>
      <c r="O465" s="1529"/>
      <c r="P465" s="1632"/>
      <c r="Q465" s="1632"/>
      <c r="R465" s="1529"/>
      <c r="S465" s="1553">
        <f>'Part IV-Uses of Funds'!S115</f>
        <v>0</v>
      </c>
      <c r="T465" s="1553"/>
    </row>
    <row r="466" spans="1:20">
      <c r="A466" s="1529"/>
      <c r="B466" s="1529" t="s">
        <v>1398</v>
      </c>
      <c r="C466" s="1529"/>
      <c r="D466" s="1529"/>
      <c r="E466" s="1529"/>
      <c r="F466" s="1547"/>
      <c r="G466" s="1553">
        <f>'Part IV-Uses of Funds'!G116</f>
        <v>0</v>
      </c>
      <c r="H466" s="1553"/>
      <c r="I466" s="1529"/>
      <c r="J466" s="1553"/>
      <c r="K466" s="1553"/>
      <c r="L466" s="1554"/>
      <c r="M466" s="1553"/>
      <c r="N466" s="1553"/>
      <c r="O466" s="1529"/>
      <c r="P466" s="1553"/>
      <c r="Q466" s="1553"/>
      <c r="R466" s="1529"/>
      <c r="S466" s="1553">
        <f>'Part IV-Uses of Funds'!S116</f>
        <v>0</v>
      </c>
      <c r="T466" s="1553"/>
    </row>
    <row r="467" spans="1:20">
      <c r="A467" s="1529"/>
      <c r="B467" s="1529" t="s">
        <v>633</v>
      </c>
      <c r="C467" s="1529"/>
      <c r="D467" s="1529"/>
      <c r="E467" s="1529"/>
      <c r="F467" s="1634"/>
      <c r="G467" s="1553">
        <f>'Part IV-Uses of Funds'!G117</f>
        <v>0</v>
      </c>
      <c r="H467" s="1553"/>
      <c r="I467" s="1529"/>
      <c r="J467" s="1632"/>
      <c r="K467" s="1632"/>
      <c r="L467" s="1632"/>
      <c r="M467" s="1632"/>
      <c r="N467" s="1632"/>
      <c r="O467" s="1529"/>
      <c r="P467" s="1632"/>
      <c r="Q467" s="1632"/>
      <c r="R467" s="1529"/>
      <c r="S467" s="1553">
        <f>'Part IV-Uses of Funds'!S117</f>
        <v>0</v>
      </c>
      <c r="T467" s="1553"/>
    </row>
    <row r="468" spans="1:20">
      <c r="A468" s="1529"/>
      <c r="B468" s="1529" t="s">
        <v>1151</v>
      </c>
      <c r="C468" s="1529"/>
      <c r="D468" s="1529"/>
      <c r="E468" s="1529"/>
      <c r="F468" s="1529"/>
      <c r="G468" s="1553">
        <f>'Part IV-Uses of Funds'!G118</f>
        <v>0</v>
      </c>
      <c r="H468" s="1553"/>
      <c r="I468" s="1529"/>
      <c r="J468" s="1632"/>
      <c r="K468" s="1632"/>
      <c r="L468" s="1632"/>
      <c r="M468" s="1632"/>
      <c r="N468" s="1632"/>
      <c r="O468" s="1529"/>
      <c r="P468" s="1632"/>
      <c r="Q468" s="1632"/>
      <c r="R468" s="1529"/>
      <c r="S468" s="1553">
        <f>'Part IV-Uses of Funds'!S118</f>
        <v>0</v>
      </c>
      <c r="T468" s="1553"/>
    </row>
    <row r="469" spans="1:20">
      <c r="A469" s="1529"/>
      <c r="B469" s="1529" t="s">
        <v>1152</v>
      </c>
      <c r="C469" s="1529"/>
      <c r="D469" s="1529"/>
      <c r="E469" s="1635" t="s">
        <v>3106</v>
      </c>
      <c r="F469" s="1545" t="e">
        <f>G469/'Part VI-Revenues &amp; Expenses'!$O$67</f>
        <v>#DIV/0!</v>
      </c>
      <c r="G469" s="1553">
        <f>'Part IV-Uses of Funds'!G119</f>
        <v>0</v>
      </c>
      <c r="H469" s="1553"/>
      <c r="I469" s="1529"/>
      <c r="J469" s="1553">
        <f>'Part IV-Uses of Funds'!J119</f>
        <v>0</v>
      </c>
      <c r="K469" s="1553"/>
      <c r="L469" s="1554"/>
      <c r="M469" s="1553">
        <f>'Part IV-Uses of Funds'!M119</f>
        <v>0</v>
      </c>
      <c r="N469" s="1553"/>
      <c r="O469" s="1529"/>
      <c r="P469" s="1553">
        <f>'Part IV-Uses of Funds'!P119</f>
        <v>0</v>
      </c>
      <c r="Q469" s="1553"/>
      <c r="R469" s="1529"/>
      <c r="S469" s="1553">
        <f>'Part IV-Uses of Funds'!S119</f>
        <v>0</v>
      </c>
      <c r="T469" s="1553"/>
    </row>
    <row r="470" spans="1:20" ht="15.75">
      <c r="A470" s="1617" t="str">
        <f>IF(AND(G470&gt;0,OR(C470="",C470="&lt;Enter detailed description here; use Comments section if needed&gt;")),"X","")</f>
        <v/>
      </c>
      <c r="B470" s="1529" t="s">
        <v>686</v>
      </c>
      <c r="C470" s="1529" t="str">
        <f>'Part IV-Uses of Funds'!C120</f>
        <v>&lt;Enter detailed description here; use Comments section if needed&gt;</v>
      </c>
      <c r="D470" s="1529"/>
      <c r="E470" s="1529"/>
      <c r="F470" s="1529"/>
      <c r="G470" s="1553">
        <f>'Part IV-Uses of Funds'!G120</f>
        <v>0</v>
      </c>
      <c r="H470" s="1553"/>
      <c r="I470" s="1529"/>
      <c r="J470" s="1553">
        <f>'Part IV-Uses of Funds'!J120</f>
        <v>0</v>
      </c>
      <c r="K470" s="1553"/>
      <c r="L470" s="1554"/>
      <c r="M470" s="1553">
        <f>'Part IV-Uses of Funds'!M120</f>
        <v>0</v>
      </c>
      <c r="N470" s="1553"/>
      <c r="O470" s="1529"/>
      <c r="P470" s="1553">
        <f>'Part IV-Uses of Funds'!P120</f>
        <v>0</v>
      </c>
      <c r="Q470" s="1553"/>
      <c r="R470" s="1529"/>
      <c r="S470" s="1553">
        <f>'Part IV-Uses of Funds'!S120</f>
        <v>0</v>
      </c>
      <c r="T470" s="1553"/>
    </row>
    <row r="471" spans="1:20">
      <c r="A471" s="1529"/>
      <c r="B471" s="1631"/>
      <c r="C471" s="1529"/>
      <c r="D471" s="1529"/>
      <c r="E471" s="1529"/>
      <c r="F471" s="1618" t="s">
        <v>171</v>
      </c>
      <c r="G471" s="1553">
        <f>SUM(G465:H470)</f>
        <v>0</v>
      </c>
      <c r="H471" s="1553"/>
      <c r="I471" s="1529"/>
      <c r="J471" s="1553">
        <f>SUM(J469:K470)</f>
        <v>0</v>
      </c>
      <c r="K471" s="1553"/>
      <c r="L471" s="1554"/>
      <c r="M471" s="1553">
        <f>SUM(M469:N470)</f>
        <v>0</v>
      </c>
      <c r="N471" s="1553"/>
      <c r="O471" s="1529"/>
      <c r="P471" s="1553">
        <f>SUM(P469:Q470)</f>
        <v>0</v>
      </c>
      <c r="Q471" s="1553"/>
      <c r="R471" s="1529"/>
      <c r="S471" s="1553">
        <f>SUM(S465:T470)</f>
        <v>0</v>
      </c>
      <c r="T471" s="1553"/>
    </row>
    <row r="472" spans="1:20">
      <c r="A472" s="1529"/>
      <c r="B472" s="1529" t="s">
        <v>567</v>
      </c>
      <c r="C472" s="1531"/>
      <c r="D472" s="1529"/>
      <c r="E472" s="1529"/>
      <c r="F472" s="1529"/>
      <c r="G472" s="1529"/>
      <c r="H472" s="1636"/>
      <c r="I472" s="1636"/>
      <c r="J472" s="1553"/>
      <c r="K472" s="1553"/>
      <c r="L472" s="1529"/>
      <c r="M472" s="1553"/>
      <c r="N472" s="1553"/>
      <c r="O472" s="1554" t="str">
        <f>B472</f>
        <v>OTHER COSTS</v>
      </c>
      <c r="P472" s="1553"/>
      <c r="Q472" s="1553"/>
      <c r="R472" s="1529"/>
      <c r="S472" s="1553"/>
      <c r="T472" s="1553"/>
    </row>
    <row r="473" spans="1:20">
      <c r="A473" s="1529"/>
      <c r="B473" s="1529" t="s">
        <v>568</v>
      </c>
      <c r="C473" s="1531"/>
      <c r="D473" s="1529"/>
      <c r="E473" s="1529"/>
      <c r="F473" s="1529"/>
      <c r="G473" s="1553">
        <f>'Part IV-Uses of Funds'!G123</f>
        <v>0</v>
      </c>
      <c r="H473" s="1553"/>
      <c r="I473" s="1529"/>
      <c r="J473" s="1553">
        <f>'Part IV-Uses of Funds'!J123</f>
        <v>0</v>
      </c>
      <c r="K473" s="1553"/>
      <c r="L473" s="1554"/>
      <c r="M473" s="1553">
        <f>'Part IV-Uses of Funds'!M123</f>
        <v>0</v>
      </c>
      <c r="N473" s="1553"/>
      <c r="O473" s="1529"/>
      <c r="P473" s="1553">
        <f>'Part IV-Uses of Funds'!P123</f>
        <v>0</v>
      </c>
      <c r="Q473" s="1553"/>
      <c r="R473" s="1529"/>
      <c r="S473" s="1553">
        <f>'Part IV-Uses of Funds'!S123</f>
        <v>0</v>
      </c>
      <c r="T473" s="1553"/>
    </row>
    <row r="474" spans="1:20" ht="15.75">
      <c r="A474" s="1617" t="str">
        <f>IF(AND(G474&gt;0,OR(C474="",C474="&lt;Enter detailed description here; use Comments section if needed&gt;")),"X","")</f>
        <v/>
      </c>
      <c r="B474" s="1529" t="s">
        <v>686</v>
      </c>
      <c r="C474" s="1529" t="str">
        <f>'Part IV-Uses of Funds'!C124</f>
        <v>&lt;Enter detailed description here; use Comments section if needed&gt;</v>
      </c>
      <c r="D474" s="1529"/>
      <c r="E474" s="1529"/>
      <c r="F474" s="1529"/>
      <c r="G474" s="1553">
        <f>'Part IV-Uses of Funds'!G124</f>
        <v>0</v>
      </c>
      <c r="H474" s="1553"/>
      <c r="I474" s="1529"/>
      <c r="J474" s="1553">
        <f>'Part IV-Uses of Funds'!J124</f>
        <v>0</v>
      </c>
      <c r="K474" s="1553"/>
      <c r="L474" s="1554"/>
      <c r="M474" s="1553">
        <f>'Part IV-Uses of Funds'!M124</f>
        <v>0</v>
      </c>
      <c r="N474" s="1553"/>
      <c r="O474" s="1529"/>
      <c r="P474" s="1553">
        <f>'Part IV-Uses of Funds'!P124</f>
        <v>0</v>
      </c>
      <c r="Q474" s="1553"/>
      <c r="R474" s="1529"/>
      <c r="S474" s="1553">
        <f>'Part IV-Uses of Funds'!S124</f>
        <v>0</v>
      </c>
      <c r="T474" s="1553"/>
    </row>
    <row r="475" spans="1:20">
      <c r="A475" s="1529"/>
      <c r="B475" s="1529"/>
      <c r="C475" s="1531"/>
      <c r="D475" s="1529"/>
      <c r="E475" s="1529"/>
      <c r="F475" s="1618" t="s">
        <v>171</v>
      </c>
      <c r="G475" s="1553">
        <f>SUM(G473:H474)</f>
        <v>0</v>
      </c>
      <c r="H475" s="1553"/>
      <c r="I475" s="1529"/>
      <c r="J475" s="1553">
        <f>SUM(J473:K474)</f>
        <v>0</v>
      </c>
      <c r="K475" s="1553"/>
      <c r="L475" s="1554"/>
      <c r="M475" s="1553">
        <f>SUM(M473:N474)</f>
        <v>0</v>
      </c>
      <c r="N475" s="1553"/>
      <c r="O475" s="1529"/>
      <c r="P475" s="1553">
        <f>SUM(P473:Q474)</f>
        <v>0</v>
      </c>
      <c r="Q475" s="1553"/>
      <c r="R475" s="1529"/>
      <c r="S475" s="1553">
        <f>SUM(S473:T474)</f>
        <v>0</v>
      </c>
      <c r="T475" s="1553"/>
    </row>
    <row r="476" spans="1:20">
      <c r="A476" s="1529"/>
      <c r="B476" s="1529"/>
      <c r="C476" s="1531"/>
      <c r="D476" s="1529"/>
      <c r="E476" s="1529"/>
      <c r="F476" s="1529"/>
      <c r="G476" s="1529"/>
      <c r="H476" s="1636"/>
      <c r="I476" s="1636"/>
      <c r="J476" s="1529"/>
      <c r="K476" s="1529"/>
      <c r="L476" s="1529"/>
      <c r="M476" s="1529"/>
      <c r="N476" s="1529"/>
      <c r="O476" s="1529"/>
      <c r="P476" s="1529"/>
      <c r="Q476" s="1529"/>
      <c r="R476" s="1529"/>
      <c r="S476" s="1529"/>
      <c r="T476" s="1529"/>
    </row>
    <row r="477" spans="1:20">
      <c r="A477" s="1529"/>
      <c r="B477" s="1531" t="s">
        <v>3739</v>
      </c>
      <c r="C477" s="1529"/>
      <c r="D477" s="1529"/>
      <c r="E477" s="1529"/>
      <c r="F477" s="1529"/>
      <c r="G477" s="1553">
        <f>G367+G373+G377+G383+G388+G391+G410+G423+G429+G437+G451+G457+G463+G471+G475</f>
        <v>0</v>
      </c>
      <c r="H477" s="1553"/>
      <c r="I477" s="1529"/>
      <c r="J477" s="1553">
        <f>J367+J373+J377+J383+J388+J391+J410+J423+J429+J437+J451+J457+J463+J471+J475</f>
        <v>0</v>
      </c>
      <c r="K477" s="1553"/>
      <c r="L477" s="1529"/>
      <c r="M477" s="1553">
        <f>M367+M373+M377+M383+M388+M391+M410+M423+M429+M437+M451+M457+M463+M471+M475</f>
        <v>0</v>
      </c>
      <c r="N477" s="1553"/>
      <c r="O477" s="1529"/>
      <c r="P477" s="1553">
        <f>P367+P373+P377+P383+P388+P391+P410+P423+P429+P437+P451+P457+P463+P471+P475</f>
        <v>0</v>
      </c>
      <c r="Q477" s="1553"/>
      <c r="R477" s="1529"/>
      <c r="S477" s="1553">
        <f>S367+S373+S377+S383+S388+S391+S410+S423+S429+S437+S451+S457+S463+S471+S475</f>
        <v>0</v>
      </c>
      <c r="T477" s="1553"/>
    </row>
    <row r="478" spans="1:20">
      <c r="A478" s="1529"/>
      <c r="B478" s="1529"/>
      <c r="C478" s="1531"/>
      <c r="D478" s="1529"/>
      <c r="E478" s="1529"/>
      <c r="F478" s="1529"/>
      <c r="G478" s="1529"/>
      <c r="H478" s="1636"/>
      <c r="I478" s="1636"/>
      <c r="J478" s="1529"/>
      <c r="K478" s="1529"/>
      <c r="L478" s="1529"/>
      <c r="M478" s="1529"/>
      <c r="N478" s="1529"/>
      <c r="O478" s="1529"/>
      <c r="P478" s="1529"/>
      <c r="Q478" s="1529"/>
      <c r="R478" s="1529"/>
      <c r="S478" s="1529"/>
      <c r="T478" s="1529"/>
    </row>
    <row r="479" spans="1:20">
      <c r="A479" s="1529"/>
      <c r="B479" s="1637" t="s">
        <v>3710</v>
      </c>
      <c r="C479" s="1625"/>
      <c r="D479" s="1638" t="e">
        <f>'Part IV-Uses of Funds'!D129</f>
        <v>#DIV/0!</v>
      </c>
      <c r="E479" s="1639"/>
      <c r="F479" s="1631" t="s">
        <v>2380</v>
      </c>
      <c r="G479" s="1638" t="e">
        <f>'Part IV-Uses of Funds'!G129</f>
        <v>#DIV/0!</v>
      </c>
      <c r="H479" s="1639"/>
      <c r="I479" s="1640"/>
      <c r="J479" s="1529"/>
      <c r="K479" s="1529"/>
      <c r="L479" s="1529"/>
      <c r="M479" s="1529"/>
      <c r="N479" s="1529"/>
      <c r="O479" s="1529"/>
      <c r="P479" s="1529"/>
      <c r="Q479" s="1529"/>
      <c r="R479" s="1529"/>
      <c r="S479" s="1529"/>
      <c r="T479" s="1529"/>
    </row>
    <row r="480" spans="1:20">
      <c r="A480" s="1529"/>
      <c r="B480" s="1529"/>
      <c r="C480" s="1529"/>
      <c r="D480" s="1529"/>
      <c r="E480" s="1529"/>
      <c r="F480" s="1529"/>
      <c r="G480" s="1529"/>
      <c r="H480" s="1529"/>
      <c r="I480" s="1640"/>
      <c r="J480" s="1529"/>
      <c r="K480" s="1529"/>
      <c r="L480" s="1640"/>
      <c r="M480" s="1529"/>
      <c r="N480" s="1529"/>
      <c r="O480" s="1529"/>
      <c r="P480" s="1529"/>
      <c r="Q480" s="1529"/>
      <c r="R480" s="1529"/>
      <c r="S480" s="1529"/>
      <c r="T480" s="1529"/>
    </row>
    <row r="481" spans="1:20">
      <c r="A481" s="1529"/>
      <c r="B481" s="1529"/>
      <c r="C481" s="1529"/>
      <c r="D481" s="1531"/>
      <c r="E481" s="1531"/>
      <c r="F481" s="1529"/>
      <c r="G481" s="1529"/>
      <c r="H481" s="1529"/>
      <c r="I481" s="1636"/>
      <c r="J481" s="1636"/>
      <c r="K481" s="1641"/>
      <c r="L481" s="1531"/>
      <c r="M481" s="1529"/>
      <c r="N481" s="1529"/>
      <c r="O481" s="1529"/>
      <c r="P481" s="1529"/>
      <c r="Q481" s="1529"/>
      <c r="R481" s="1529"/>
      <c r="S481" s="1529"/>
      <c r="T481" s="1529"/>
    </row>
    <row r="482" spans="1:20" ht="16.5" customHeight="1">
      <c r="A482" s="1615" t="s">
        <v>685</v>
      </c>
      <c r="B482" s="1642" t="s">
        <v>1312</v>
      </c>
      <c r="C482" s="1530"/>
      <c r="D482" s="1554"/>
      <c r="E482" s="1554"/>
      <c r="F482" s="1554"/>
      <c r="G482" s="1529"/>
      <c r="H482" s="1529"/>
      <c r="I482" s="1643"/>
      <c r="J482" s="1586" t="s">
        <v>250</v>
      </c>
      <c r="K482" s="1586"/>
      <c r="L482" s="1529"/>
      <c r="M482" s="1586" t="s">
        <v>92</v>
      </c>
      <c r="N482" s="1586"/>
      <c r="O482" s="1529"/>
      <c r="P482" s="1586" t="s">
        <v>251</v>
      </c>
      <c r="Q482" s="1586"/>
      <c r="R482" s="1529"/>
      <c r="S482" s="1529"/>
      <c r="T482" s="1529"/>
    </row>
    <row r="483" spans="1:20">
      <c r="A483" s="1529"/>
      <c r="B483" s="1531" t="s">
        <v>1829</v>
      </c>
      <c r="C483" s="1529"/>
      <c r="D483" s="1554"/>
      <c r="E483" s="1554"/>
      <c r="F483" s="1529"/>
      <c r="G483" s="1529"/>
      <c r="H483" s="1529"/>
      <c r="I483" s="1643"/>
      <c r="J483" s="1586"/>
      <c r="K483" s="1586"/>
      <c r="L483" s="1530"/>
      <c r="M483" s="1586"/>
      <c r="N483" s="1586"/>
      <c r="O483" s="1529"/>
      <c r="P483" s="1586"/>
      <c r="Q483" s="1586"/>
      <c r="R483" s="1529"/>
      <c r="S483" s="1529"/>
      <c r="T483" s="1529"/>
    </row>
    <row r="484" spans="1:20">
      <c r="A484" s="1529"/>
      <c r="B484" s="1529"/>
      <c r="C484" s="1529"/>
      <c r="D484" s="1531"/>
      <c r="E484" s="1531"/>
      <c r="F484" s="1529"/>
      <c r="G484" s="1529"/>
      <c r="H484" s="1529"/>
      <c r="I484" s="1636"/>
      <c r="J484" s="1636"/>
      <c r="K484" s="1641"/>
      <c r="L484" s="1531"/>
      <c r="M484" s="1529"/>
      <c r="N484" s="1529"/>
      <c r="O484" s="1529"/>
      <c r="P484" s="1529"/>
      <c r="Q484" s="1529"/>
      <c r="R484" s="1529"/>
      <c r="S484" s="1529"/>
      <c r="T484" s="1529"/>
    </row>
    <row r="485" spans="1:20">
      <c r="A485" s="1529"/>
      <c r="B485" s="1531" t="s">
        <v>131</v>
      </c>
      <c r="C485" s="1529"/>
      <c r="D485" s="1529"/>
      <c r="E485" s="1529"/>
      <c r="F485" s="1529"/>
      <c r="G485" s="1529"/>
      <c r="H485" s="1529"/>
      <c r="I485" s="1643"/>
      <c r="J485" s="1560">
        <f>'Part IV-Uses of Funds'!J135</f>
        <v>0</v>
      </c>
      <c r="K485" s="1560"/>
      <c r="L485" s="1529"/>
      <c r="M485" s="1529"/>
      <c r="N485" s="1529"/>
      <c r="O485" s="1529"/>
      <c r="P485" s="1560">
        <f>'Part IV-Uses of Funds'!P135</f>
        <v>0</v>
      </c>
      <c r="Q485" s="1560"/>
      <c r="R485" s="1529"/>
      <c r="S485" s="1529"/>
      <c r="T485" s="1529"/>
    </row>
    <row r="486" spans="1:20">
      <c r="A486" s="1529"/>
      <c r="B486" s="1529" t="s">
        <v>1918</v>
      </c>
      <c r="C486" s="1529"/>
      <c r="D486" s="1529"/>
      <c r="E486" s="1529"/>
      <c r="F486" s="1529"/>
      <c r="G486" s="1529"/>
      <c r="H486" s="1529"/>
      <c r="I486" s="1643"/>
      <c r="J486" s="1560">
        <f>'Part IV-Uses of Funds'!J136</f>
        <v>0</v>
      </c>
      <c r="K486" s="1560"/>
      <c r="L486" s="1529"/>
      <c r="M486" s="1529"/>
      <c r="N486" s="1529"/>
      <c r="O486" s="1529"/>
      <c r="P486" s="1560">
        <f>'Part IV-Uses of Funds'!P136</f>
        <v>0</v>
      </c>
      <c r="Q486" s="1560"/>
      <c r="R486" s="1529"/>
      <c r="S486" s="1529"/>
      <c r="T486" s="1529"/>
    </row>
    <row r="487" spans="1:20">
      <c r="A487" s="1529"/>
      <c r="B487" s="1529" t="s">
        <v>1677</v>
      </c>
      <c r="C487" s="1529"/>
      <c r="D487" s="1529"/>
      <c r="E487" s="1529"/>
      <c r="F487" s="1529"/>
      <c r="G487" s="1529"/>
      <c r="H487" s="1529"/>
      <c r="I487" s="1643"/>
      <c r="J487" s="1560">
        <f>'Part IV-Uses of Funds'!J137</f>
        <v>0</v>
      </c>
      <c r="K487" s="1560"/>
      <c r="L487" s="1529"/>
      <c r="M487" s="1529"/>
      <c r="N487" s="1529"/>
      <c r="O487" s="1529"/>
      <c r="P487" s="1560">
        <f>'Part IV-Uses of Funds'!P137</f>
        <v>0</v>
      </c>
      <c r="Q487" s="1560"/>
      <c r="R487" s="1529"/>
      <c r="S487" s="1529"/>
      <c r="T487" s="1529"/>
    </row>
    <row r="488" spans="1:20">
      <c r="A488" s="1529"/>
      <c r="B488" s="1529" t="s">
        <v>1678</v>
      </c>
      <c r="C488" s="1529"/>
      <c r="D488" s="1529"/>
      <c r="E488" s="1529"/>
      <c r="F488" s="1529"/>
      <c r="G488" s="1529"/>
      <c r="H488" s="1529"/>
      <c r="I488" s="1643"/>
      <c r="J488" s="1560">
        <f>'Part IV-Uses of Funds'!J138</f>
        <v>0</v>
      </c>
      <c r="K488" s="1560"/>
      <c r="L488" s="1529"/>
      <c r="M488" s="1529"/>
      <c r="N488" s="1529"/>
      <c r="O488" s="1529"/>
      <c r="P488" s="1560">
        <f>'Part IV-Uses of Funds'!P138</f>
        <v>0</v>
      </c>
      <c r="Q488" s="1560"/>
      <c r="R488" s="1529"/>
      <c r="S488" s="1529"/>
      <c r="T488" s="1529"/>
    </row>
    <row r="489" spans="1:20">
      <c r="A489" s="1529"/>
      <c r="B489" s="1529" t="s">
        <v>235</v>
      </c>
      <c r="C489" s="1529"/>
      <c r="D489" s="1529"/>
      <c r="E489" s="1529"/>
      <c r="F489" s="1529"/>
      <c r="G489" s="1529"/>
      <c r="H489" s="1529"/>
      <c r="I489" s="1643"/>
      <c r="J489" s="1560">
        <f>'Part IV-Uses of Funds'!J139</f>
        <v>0</v>
      </c>
      <c r="K489" s="1560"/>
      <c r="L489" s="1529"/>
      <c r="M489" s="1529"/>
      <c r="N489" s="1529"/>
      <c r="O489" s="1529"/>
      <c r="P489" s="1560">
        <f>'Part IV-Uses of Funds'!P139</f>
        <v>0</v>
      </c>
      <c r="Q489" s="1560"/>
      <c r="R489" s="1529"/>
      <c r="S489" s="1529"/>
      <c r="T489" s="1529"/>
    </row>
    <row r="490" spans="1:20">
      <c r="A490" s="1529"/>
      <c r="B490" s="1529" t="s">
        <v>1454</v>
      </c>
      <c r="C490" s="1529" t="str">
        <f>'Part IV-Uses of Funds'!C140</f>
        <v>&lt;Enter detailed description here; use Comments section if needed&gt;</v>
      </c>
      <c r="D490" s="1529"/>
      <c r="E490" s="1529"/>
      <c r="F490" s="1529"/>
      <c r="G490" s="1529"/>
      <c r="H490" s="1529"/>
      <c r="I490" s="1529"/>
      <c r="J490" s="1560">
        <f>'Part IV-Uses of Funds'!J140</f>
        <v>0</v>
      </c>
      <c r="K490" s="1560"/>
      <c r="L490" s="1529"/>
      <c r="M490" s="1529"/>
      <c r="N490" s="1529"/>
      <c r="O490" s="1529"/>
      <c r="P490" s="1560">
        <f>'Part IV-Uses of Funds'!P140</f>
        <v>0</v>
      </c>
      <c r="Q490" s="1560"/>
      <c r="R490" s="1529"/>
      <c r="S490" s="1529"/>
      <c r="T490" s="1529"/>
    </row>
    <row r="491" spans="1:20">
      <c r="A491" s="1529"/>
      <c r="B491" s="1529" t="s">
        <v>1679</v>
      </c>
      <c r="C491" s="1552"/>
      <c r="D491" s="1529"/>
      <c r="E491" s="1529"/>
      <c r="F491" s="1529"/>
      <c r="G491" s="1529"/>
      <c r="H491" s="1529"/>
      <c r="I491" s="1529"/>
      <c r="J491" s="1560">
        <f>SUM(J485:K490)</f>
        <v>0</v>
      </c>
      <c r="K491" s="1560"/>
      <c r="L491" s="1529"/>
      <c r="M491" s="1529"/>
      <c r="N491" s="1529"/>
      <c r="O491" s="1529"/>
      <c r="P491" s="1560">
        <f>SUM(P485:Q490)</f>
        <v>0</v>
      </c>
      <c r="Q491" s="1560"/>
      <c r="R491" s="1529"/>
      <c r="S491" s="1529"/>
      <c r="T491" s="1529"/>
    </row>
    <row r="492" spans="1:20">
      <c r="A492" s="1529"/>
      <c r="B492" s="1529"/>
      <c r="C492" s="1529"/>
      <c r="D492" s="1529"/>
      <c r="E492" s="1529"/>
      <c r="F492" s="1529"/>
      <c r="G492" s="1529"/>
      <c r="H492" s="1529"/>
      <c r="I492" s="1529"/>
      <c r="J492" s="1529"/>
      <c r="K492" s="1529"/>
      <c r="L492" s="1529"/>
      <c r="M492" s="1529"/>
      <c r="N492" s="1529"/>
      <c r="O492" s="1529"/>
      <c r="P492" s="1529"/>
      <c r="Q492" s="1529"/>
      <c r="R492" s="1529"/>
      <c r="S492" s="1529"/>
      <c r="T492" s="1529"/>
    </row>
    <row r="493" spans="1:20">
      <c r="A493" s="1529"/>
      <c r="B493" s="1529" t="s">
        <v>2081</v>
      </c>
      <c r="C493" s="1529"/>
      <c r="D493" s="1529"/>
      <c r="E493" s="1529"/>
      <c r="F493" s="1529"/>
      <c r="G493" s="1529"/>
      <c r="H493" s="1529"/>
      <c r="I493" s="1529"/>
      <c r="J493" s="1529"/>
      <c r="K493" s="1529"/>
      <c r="L493" s="1529"/>
      <c r="M493" s="1529"/>
      <c r="N493" s="1529"/>
      <c r="O493" s="1529"/>
      <c r="P493" s="1529"/>
      <c r="Q493" s="1529"/>
      <c r="R493" s="1529"/>
      <c r="S493" s="1529"/>
      <c r="T493" s="1529"/>
    </row>
    <row r="494" spans="1:20" ht="12.75" customHeight="1">
      <c r="A494" s="1529"/>
      <c r="B494" s="1529" t="s">
        <v>1613</v>
      </c>
      <c r="C494" s="1529"/>
      <c r="D494" s="1529"/>
      <c r="E494" s="1529"/>
      <c r="F494" s="1529"/>
      <c r="G494" s="1529"/>
      <c r="H494" s="1529"/>
      <c r="I494" s="1529"/>
      <c r="J494" s="1560">
        <f>J477</f>
        <v>0</v>
      </c>
      <c r="K494" s="1560"/>
      <c r="L494" s="1529"/>
      <c r="M494" s="1560">
        <f>M477</f>
        <v>0</v>
      </c>
      <c r="N494" s="1560"/>
      <c r="O494" s="1529"/>
      <c r="P494" s="1560">
        <f>P477</f>
        <v>0</v>
      </c>
      <c r="Q494" s="1560"/>
      <c r="R494" s="1644" t="s">
        <v>3278</v>
      </c>
      <c r="S494" s="1644"/>
      <c r="T494" s="1644"/>
    </row>
    <row r="495" spans="1:20">
      <c r="A495" s="1529"/>
      <c r="B495" s="1529" t="s">
        <v>1970</v>
      </c>
      <c r="C495" s="1529"/>
      <c r="D495" s="1529"/>
      <c r="E495" s="1529"/>
      <c r="F495" s="1529"/>
      <c r="G495" s="1529"/>
      <c r="H495" s="1529"/>
      <c r="I495" s="1529"/>
      <c r="J495" s="1560">
        <f>J491</f>
        <v>0</v>
      </c>
      <c r="K495" s="1560"/>
      <c r="L495" s="1529"/>
      <c r="M495" s="1560"/>
      <c r="N495" s="1560"/>
      <c r="O495" s="1529"/>
      <c r="P495" s="1560">
        <f>P491</f>
        <v>0</v>
      </c>
      <c r="Q495" s="1560"/>
      <c r="R495" s="1644"/>
      <c r="S495" s="1644"/>
      <c r="T495" s="1644"/>
    </row>
    <row r="496" spans="1:20">
      <c r="A496" s="1529"/>
      <c r="B496" s="1529" t="s">
        <v>1971</v>
      </c>
      <c r="C496" s="1529"/>
      <c r="D496" s="1529"/>
      <c r="E496" s="1529"/>
      <c r="F496" s="1529"/>
      <c r="G496" s="1529"/>
      <c r="H496" s="1529"/>
      <c r="I496" s="1529"/>
      <c r="J496" s="1560">
        <f>J494-J495</f>
        <v>0</v>
      </c>
      <c r="K496" s="1560"/>
      <c r="L496" s="1529"/>
      <c r="M496" s="1560">
        <f>M494</f>
        <v>0</v>
      </c>
      <c r="N496" s="1560"/>
      <c r="O496" s="1529"/>
      <c r="P496" s="1560">
        <f>P494-P495</f>
        <v>0</v>
      </c>
      <c r="Q496" s="1560"/>
      <c r="R496" s="1644"/>
      <c r="S496" s="1644"/>
      <c r="T496" s="1644"/>
    </row>
    <row r="497" spans="1:20">
      <c r="A497" s="1529"/>
      <c r="B497" s="1529" t="s">
        <v>1360</v>
      </c>
      <c r="C497" s="1529"/>
      <c r="D497" s="1529"/>
      <c r="E497" s="1529"/>
      <c r="F497" s="1529"/>
      <c r="G497" s="1530" t="s">
        <v>1544</v>
      </c>
      <c r="H497" s="1529" t="str">
        <f>'Part IV-Uses of Funds'!H147</f>
        <v>&lt;&lt;Select&gt;&gt;</v>
      </c>
      <c r="I497" s="1529"/>
      <c r="J497" s="1645">
        <f>'Part IV-Uses of Funds'!J147</f>
        <v>0</v>
      </c>
      <c r="K497" s="1645"/>
      <c r="L497" s="1529"/>
      <c r="M497" s="1645"/>
      <c r="N497" s="1645"/>
      <c r="O497" s="1529"/>
      <c r="P497" s="1645">
        <f>'Part IV-Uses of Funds'!P147</f>
        <v>0</v>
      </c>
      <c r="Q497" s="1645"/>
      <c r="R497" s="1644" t="str">
        <f>'Part IV-Uses of Funds'!R147</f>
        <v>&lt;&lt; Select &gt;&gt;</v>
      </c>
      <c r="S497" s="1644"/>
      <c r="T497" s="1644"/>
    </row>
    <row r="498" spans="1:20">
      <c r="A498" s="1529"/>
      <c r="B498" s="1529" t="s">
        <v>1838</v>
      </c>
      <c r="C498" s="1529"/>
      <c r="D498" s="1529"/>
      <c r="E498" s="1529"/>
      <c r="F498" s="1529"/>
      <c r="G498" s="1529"/>
      <c r="H498" s="1529"/>
      <c r="I498" s="1529"/>
      <c r="J498" s="1560">
        <f>J496*J497</f>
        <v>0</v>
      </c>
      <c r="K498" s="1560"/>
      <c r="L498" s="1529"/>
      <c r="M498" s="1560">
        <f>+M496</f>
        <v>0</v>
      </c>
      <c r="N498" s="1560"/>
      <c r="O498" s="1529"/>
      <c r="P498" s="1560">
        <f>P496*P497</f>
        <v>0</v>
      </c>
      <c r="Q498" s="1560"/>
      <c r="R498" s="1644"/>
      <c r="S498" s="1644"/>
      <c r="T498" s="1644"/>
    </row>
    <row r="499" spans="1:20">
      <c r="A499" s="1529"/>
      <c r="B499" s="1529" t="s">
        <v>2253</v>
      </c>
      <c r="C499" s="1529"/>
      <c r="D499" s="1529"/>
      <c r="E499" s="1529"/>
      <c r="F499" s="1529"/>
      <c r="G499" s="1529"/>
      <c r="H499" s="1529"/>
      <c r="I499" s="1529"/>
      <c r="J499" s="1645" t="e">
        <f>'Part IV-Uses of Funds'!J149</f>
        <v>#DIV/0!</v>
      </c>
      <c r="K499" s="1645"/>
      <c r="L499" s="1529"/>
      <c r="M499" s="1645" t="e">
        <f>'Part IV-Uses of Funds'!M149</f>
        <v>#DIV/0!</v>
      </c>
      <c r="N499" s="1645"/>
      <c r="O499" s="1529"/>
      <c r="P499" s="1645" t="e">
        <f>'Part IV-Uses of Funds'!P149</f>
        <v>#DIV/0!</v>
      </c>
      <c r="Q499" s="1645"/>
      <c r="R499" s="1644"/>
      <c r="S499" s="1644"/>
      <c r="T499" s="1644"/>
    </row>
    <row r="500" spans="1:20">
      <c r="A500" s="1529"/>
      <c r="B500" s="1529" t="s">
        <v>1830</v>
      </c>
      <c r="C500" s="1529"/>
      <c r="D500" s="1529"/>
      <c r="E500" s="1529"/>
      <c r="F500" s="1529"/>
      <c r="G500" s="1529"/>
      <c r="H500" s="1529"/>
      <c r="I500" s="1529"/>
      <c r="J500" s="1560" t="e">
        <f>J498*J499</f>
        <v>#DIV/0!</v>
      </c>
      <c r="K500" s="1560"/>
      <c r="L500" s="1529"/>
      <c r="M500" s="1560" t="e">
        <f>M498*M499</f>
        <v>#DIV/0!</v>
      </c>
      <c r="N500" s="1560"/>
      <c r="O500" s="1529"/>
      <c r="P500" s="1560" t="e">
        <f>P498*P499</f>
        <v>#DIV/0!</v>
      </c>
      <c r="Q500" s="1560"/>
      <c r="R500" s="1529"/>
      <c r="S500" s="1529"/>
      <c r="T500" s="1529"/>
    </row>
    <row r="501" spans="1:20">
      <c r="A501" s="1529"/>
      <c r="B501" s="1529" t="s">
        <v>1831</v>
      </c>
      <c r="C501" s="1529"/>
      <c r="D501" s="1529"/>
      <c r="E501" s="1529"/>
      <c r="F501" s="1529"/>
      <c r="G501" s="1529"/>
      <c r="H501" s="1529"/>
      <c r="I501" s="1529"/>
      <c r="J501" s="1645">
        <f>'Part IV-Uses of Funds'!J151</f>
        <v>0</v>
      </c>
      <c r="K501" s="1645"/>
      <c r="L501" s="1529"/>
      <c r="M501" s="1645">
        <f>'Part IV-Uses of Funds'!M151</f>
        <v>0</v>
      </c>
      <c r="N501" s="1645"/>
      <c r="O501" s="1529"/>
      <c r="P501" s="1645">
        <f>'Part IV-Uses of Funds'!P151</f>
        <v>0</v>
      </c>
      <c r="Q501" s="1645"/>
      <c r="R501" s="1529"/>
      <c r="S501" s="1529"/>
      <c r="T501" s="1529"/>
    </row>
    <row r="502" spans="1:20">
      <c r="A502" s="1529"/>
      <c r="B502" s="1529" t="s">
        <v>2254</v>
      </c>
      <c r="C502" s="1529"/>
      <c r="D502" s="1529"/>
      <c r="E502" s="1529"/>
      <c r="F502" s="1529"/>
      <c r="G502" s="1529"/>
      <c r="H502" s="1529"/>
      <c r="I502" s="1529"/>
      <c r="J502" s="1560" t="e">
        <f>J500*J501</f>
        <v>#DIV/0!</v>
      </c>
      <c r="K502" s="1560"/>
      <c r="L502" s="1529"/>
      <c r="M502" s="1560" t="e">
        <f>M500*M501</f>
        <v>#DIV/0!</v>
      </c>
      <c r="N502" s="1560"/>
      <c r="O502" s="1529"/>
      <c r="P502" s="1560" t="e">
        <f>P500*P501</f>
        <v>#DIV/0!</v>
      </c>
      <c r="Q502" s="1560"/>
      <c r="R502" s="1529"/>
      <c r="S502" s="1529"/>
      <c r="T502" s="1529"/>
    </row>
    <row r="503" spans="1:20">
      <c r="A503" s="1529"/>
      <c r="B503" s="1529" t="s">
        <v>1310</v>
      </c>
      <c r="C503" s="1529"/>
      <c r="D503" s="1529"/>
      <c r="E503" s="1529"/>
      <c r="F503" s="1529"/>
      <c r="G503" s="1529"/>
      <c r="H503" s="1529"/>
      <c r="I503" s="1529"/>
      <c r="J503" s="1560" t="e">
        <f>J502+M502+P502</f>
        <v>#DIV/0!</v>
      </c>
      <c r="K503" s="1560"/>
      <c r="L503" s="1560"/>
      <c r="M503" s="1560"/>
      <c r="N503" s="1560"/>
      <c r="O503" s="1560"/>
      <c r="P503" s="1560"/>
      <c r="Q503" s="1560"/>
      <c r="R503" s="1529"/>
      <c r="S503" s="1529"/>
      <c r="T503" s="1529"/>
    </row>
    <row r="504" spans="1:20">
      <c r="A504" s="1529"/>
      <c r="B504" s="1646"/>
      <c r="C504" s="1529"/>
      <c r="D504" s="1529"/>
      <c r="E504" s="1529"/>
      <c r="F504" s="1529"/>
      <c r="G504" s="1529"/>
      <c r="H504" s="1529"/>
      <c r="I504" s="1529"/>
      <c r="J504" s="1529"/>
      <c r="K504" s="1529"/>
      <c r="L504" s="1604"/>
      <c r="M504" s="1604"/>
      <c r="N504" s="1604"/>
      <c r="O504" s="1604"/>
      <c r="P504" s="1529"/>
      <c r="Q504" s="1529"/>
      <c r="R504" s="1529"/>
      <c r="S504" s="1529"/>
      <c r="T504" s="1529"/>
    </row>
    <row r="505" spans="1:20" ht="16.5">
      <c r="A505" s="1647" t="s">
        <v>687</v>
      </c>
      <c r="B505" s="1647" t="s">
        <v>1313</v>
      </c>
      <c r="C505" s="1529"/>
      <c r="D505" s="1529"/>
      <c r="E505" s="1529"/>
      <c r="F505" s="1529"/>
      <c r="G505" s="1529"/>
      <c r="H505" s="1636"/>
      <c r="I505" s="1636"/>
      <c r="J505" s="1529"/>
      <c r="K505" s="1529"/>
      <c r="L505" s="1529"/>
      <c r="M505" s="1648"/>
      <c r="N505" s="1529"/>
      <c r="O505" s="1529"/>
      <c r="P505" s="1529"/>
      <c r="Q505" s="1529"/>
      <c r="R505" s="1529"/>
      <c r="S505" s="1529"/>
      <c r="T505" s="1529"/>
    </row>
    <row r="506" spans="1:20" ht="13.5">
      <c r="A506" s="1529"/>
      <c r="B506" s="1529" t="s">
        <v>154</v>
      </c>
      <c r="C506" s="1529"/>
      <c r="D506" s="1529"/>
      <c r="E506" s="1529"/>
      <c r="F506" s="1529"/>
      <c r="G506" s="1529"/>
      <c r="H506" s="1540"/>
      <c r="I506" s="1529"/>
      <c r="J506" s="1529"/>
      <c r="K506" s="1529"/>
      <c r="L506" s="1529"/>
      <c r="M506" s="1648"/>
      <c r="N506" s="1529"/>
      <c r="O506" s="1529"/>
      <c r="P506" s="1529"/>
      <c r="Q506" s="1529"/>
      <c r="R506" s="1529"/>
      <c r="S506" s="1529"/>
      <c r="T506" s="1529"/>
    </row>
    <row r="507" spans="1:20">
      <c r="A507" s="1529"/>
      <c r="B507" s="1529" t="s">
        <v>3740</v>
      </c>
      <c r="C507" s="1529"/>
      <c r="D507" s="1529"/>
      <c r="E507" s="1529"/>
      <c r="F507" s="1529"/>
      <c r="G507" s="1529"/>
      <c r="H507" s="1529"/>
      <c r="I507" s="1529"/>
      <c r="J507" s="1560">
        <f>'Part IV-Uses of Funds'!J157</f>
        <v>0</v>
      </c>
      <c r="K507" s="1560"/>
      <c r="L507" s="1560"/>
      <c r="M507" s="1648"/>
      <c r="N507" s="1529"/>
      <c r="O507" s="1529"/>
      <c r="P507" s="1529"/>
      <c r="Q507" s="1529"/>
      <c r="R507" s="1529"/>
      <c r="S507" s="1529"/>
      <c r="T507" s="1529"/>
    </row>
    <row r="508" spans="1:20">
      <c r="A508" s="1529"/>
      <c r="B508" s="1529" t="s">
        <v>242</v>
      </c>
      <c r="C508" s="1529"/>
      <c r="D508" s="1529"/>
      <c r="E508" s="1529"/>
      <c r="F508" s="1529"/>
      <c r="G508" s="1529"/>
      <c r="H508" s="1529"/>
      <c r="I508" s="1529"/>
      <c r="J508" s="1560">
        <f>'Part IV-Uses of Funds'!J158</f>
        <v>0</v>
      </c>
      <c r="K508" s="1560"/>
      <c r="L508" s="1560"/>
      <c r="M508" s="1648"/>
      <c r="N508" s="1529"/>
      <c r="O508" s="1529"/>
      <c r="P508" s="1529"/>
      <c r="Q508" s="1529"/>
      <c r="R508" s="1529"/>
      <c r="S508" s="1529"/>
      <c r="T508" s="1529"/>
    </row>
    <row r="509" spans="1:20">
      <c r="A509" s="1529"/>
      <c r="B509" s="1529" t="s">
        <v>1982</v>
      </c>
      <c r="C509" s="1529"/>
      <c r="D509" s="1529"/>
      <c r="E509" s="1529"/>
      <c r="F509" s="1529"/>
      <c r="G509" s="1529"/>
      <c r="H509" s="1529"/>
      <c r="I509" s="1529"/>
      <c r="J509" s="1560">
        <f>+J507-J508</f>
        <v>0</v>
      </c>
      <c r="K509" s="1560"/>
      <c r="L509" s="1560"/>
      <c r="M509" s="1648"/>
      <c r="N509" s="1529"/>
      <c r="O509" s="1529"/>
      <c r="P509" s="1529"/>
      <c r="Q509" s="1529"/>
      <c r="R509" s="1529"/>
      <c r="S509" s="1529"/>
      <c r="T509" s="1529"/>
    </row>
    <row r="510" spans="1:20" ht="13.5">
      <c r="A510" s="1529"/>
      <c r="B510" s="1529" t="s">
        <v>1188</v>
      </c>
      <c r="C510" s="1529"/>
      <c r="D510" s="1529"/>
      <c r="E510" s="1529"/>
      <c r="F510" s="1529"/>
      <c r="G510" s="1529"/>
      <c r="H510" s="1529"/>
      <c r="I510" s="1529"/>
      <c r="J510" s="1529" t="str">
        <f>"/ 10"</f>
        <v>/ 10</v>
      </c>
      <c r="K510" s="1529"/>
      <c r="L510" s="1529"/>
      <c r="M510" s="1529"/>
      <c r="N510" s="1649"/>
      <c r="O510" s="1649"/>
      <c r="P510" s="1649"/>
      <c r="Q510" s="1649"/>
      <c r="R510" s="1649"/>
      <c r="S510" s="1529"/>
      <c r="T510" s="1529"/>
    </row>
    <row r="511" spans="1:20">
      <c r="A511" s="1529"/>
      <c r="B511" s="1529" t="s">
        <v>1189</v>
      </c>
      <c r="C511" s="1529"/>
      <c r="D511" s="1529"/>
      <c r="E511" s="1529"/>
      <c r="F511" s="1529"/>
      <c r="G511" s="1529"/>
      <c r="H511" s="1529"/>
      <c r="I511" s="1529"/>
      <c r="J511" s="1560">
        <f>J509/10</f>
        <v>0</v>
      </c>
      <c r="K511" s="1560"/>
      <c r="L511" s="1560"/>
      <c r="M511" s="1534"/>
      <c r="N511" s="1529" t="s">
        <v>1190</v>
      </c>
      <c r="O511" s="1529"/>
      <c r="P511" s="1529"/>
      <c r="Q511" s="1529" t="s">
        <v>1619</v>
      </c>
      <c r="R511" s="1529"/>
      <c r="S511" s="1529"/>
      <c r="T511" s="1529"/>
    </row>
    <row r="512" spans="1:20">
      <c r="A512" s="1529"/>
      <c r="B512" s="1529" t="s">
        <v>3711</v>
      </c>
      <c r="C512" s="1529"/>
      <c r="D512" s="1529"/>
      <c r="E512" s="1529"/>
      <c r="F512" s="1529"/>
      <c r="G512" s="1529"/>
      <c r="H512" s="1529"/>
      <c r="I512" s="1529"/>
      <c r="J512" s="1650">
        <f>N512+Q512</f>
        <v>0</v>
      </c>
      <c r="K512" s="1650"/>
      <c r="L512" s="1650"/>
      <c r="M512" s="1530" t="s">
        <v>1191</v>
      </c>
      <c r="N512" s="1651">
        <f>'Part IV-Uses of Funds'!N162</f>
        <v>0</v>
      </c>
      <c r="O512" s="1651"/>
      <c r="P512" s="1530" t="s">
        <v>569</v>
      </c>
      <c r="Q512" s="1651">
        <f>'Part IV-Uses of Funds'!Q162</f>
        <v>0</v>
      </c>
      <c r="R512" s="1651"/>
      <c r="S512" s="1529"/>
      <c r="T512" s="1529"/>
    </row>
    <row r="513" spans="1:20">
      <c r="A513" s="1529"/>
      <c r="B513" s="1529" t="s">
        <v>1311</v>
      </c>
      <c r="C513" s="1529"/>
      <c r="D513" s="1529"/>
      <c r="E513" s="1529"/>
      <c r="F513" s="1529"/>
      <c r="G513" s="1529"/>
      <c r="H513" s="1529"/>
      <c r="I513" s="1529"/>
      <c r="J513" s="1560" t="str">
        <f>IF(J512=0,"",J511/J512)</f>
        <v/>
      </c>
      <c r="K513" s="1560"/>
      <c r="L513" s="1560"/>
      <c r="M513" s="1534"/>
      <c r="N513" s="1529"/>
      <c r="O513" s="1529"/>
      <c r="P513" s="1529"/>
      <c r="Q513" s="1529"/>
      <c r="R513" s="1529"/>
      <c r="S513" s="1529"/>
      <c r="T513" s="1529"/>
    </row>
    <row r="514" spans="1:20">
      <c r="A514" s="1529"/>
      <c r="B514" s="1529"/>
      <c r="C514" s="1529"/>
      <c r="D514" s="1529"/>
      <c r="E514" s="1529"/>
      <c r="F514" s="1529"/>
      <c r="G514" s="1529"/>
      <c r="H514" s="1529"/>
      <c r="I514" s="1529"/>
      <c r="J514" s="1604"/>
      <c r="K514" s="1604"/>
      <c r="L514" s="1604"/>
      <c r="M514" s="1534"/>
      <c r="N514" s="1530"/>
      <c r="O514" s="1530"/>
      <c r="P514" s="1529"/>
      <c r="Q514" s="1529"/>
      <c r="R514" s="1529"/>
      <c r="S514" s="1529"/>
      <c r="T514" s="1529"/>
    </row>
    <row r="515" spans="1:20">
      <c r="A515" s="1529"/>
      <c r="B515" s="1529" t="s">
        <v>3712</v>
      </c>
      <c r="C515" s="1529"/>
      <c r="D515" s="1529"/>
      <c r="E515" s="1529"/>
      <c r="F515" s="1529"/>
      <c r="G515" s="1529"/>
      <c r="H515" s="1529"/>
      <c r="I515" s="1529"/>
      <c r="J515" s="1560" t="e">
        <f>+MIN(J503,J513)</f>
        <v>#DIV/0!</v>
      </c>
      <c r="K515" s="1560"/>
      <c r="L515" s="1560"/>
      <c r="M515" s="1534"/>
      <c r="N515" s="1530"/>
      <c r="O515" s="1530"/>
      <c r="P515" s="1529"/>
      <c r="Q515" s="1529"/>
      <c r="R515" s="1529"/>
      <c r="S515" s="1529"/>
      <c r="T515" s="1529"/>
    </row>
    <row r="516" spans="1:20">
      <c r="A516" s="1529"/>
      <c r="B516" s="1529"/>
      <c r="C516" s="1529"/>
      <c r="D516" s="1529"/>
      <c r="E516" s="1529"/>
      <c r="F516" s="1529"/>
      <c r="G516" s="1529"/>
      <c r="H516" s="1529"/>
      <c r="I516" s="1529"/>
      <c r="J516" s="1604"/>
      <c r="K516" s="1604"/>
      <c r="L516" s="1604"/>
      <c r="M516" s="1534"/>
      <c r="N516" s="1530"/>
      <c r="O516" s="1530"/>
      <c r="P516" s="1529"/>
      <c r="Q516" s="1529"/>
      <c r="R516" s="1529"/>
      <c r="S516" s="1529"/>
      <c r="T516" s="1529"/>
    </row>
    <row r="517" spans="1:20">
      <c r="A517" s="1529"/>
      <c r="B517" s="1529" t="s">
        <v>3713</v>
      </c>
      <c r="C517" s="1529"/>
      <c r="D517" s="1529"/>
      <c r="E517" s="1529"/>
      <c r="F517" s="1529"/>
      <c r="G517" s="1529"/>
      <c r="H517" s="1529"/>
      <c r="I517" s="1529"/>
      <c r="J517" s="1560">
        <f>'Part IV-Uses of Funds'!J167</f>
        <v>0</v>
      </c>
      <c r="K517" s="1560"/>
      <c r="L517" s="1560"/>
      <c r="M517" s="1531" t="e">
        <f>'Part IV-Uses of Funds'!M167</f>
        <v>#DIV/0!</v>
      </c>
      <c r="N517" s="1530"/>
      <c r="O517" s="1530"/>
      <c r="P517" s="1529"/>
      <c r="Q517" s="1529"/>
      <c r="R517" s="1529"/>
      <c r="S517" s="1529"/>
      <c r="T517" s="1529"/>
    </row>
    <row r="518" spans="1:20">
      <c r="A518" s="1529"/>
      <c r="B518" s="1529"/>
      <c r="C518" s="1529"/>
      <c r="D518" s="1529"/>
      <c r="E518" s="1529"/>
      <c r="F518" s="1529"/>
      <c r="G518" s="1529"/>
      <c r="H518" s="1529"/>
      <c r="I518" s="1529"/>
      <c r="J518" s="1604"/>
      <c r="K518" s="1604"/>
      <c r="L518" s="1604"/>
      <c r="M518" s="1534"/>
      <c r="N518" s="1530"/>
      <c r="O518" s="1530"/>
      <c r="P518" s="1529"/>
      <c r="Q518" s="1529"/>
      <c r="R518" s="1529"/>
      <c r="S518" s="1529"/>
      <c r="T518" s="1529"/>
    </row>
    <row r="519" spans="1:20" ht="16.5">
      <c r="A519" s="1647" t="s">
        <v>1614</v>
      </c>
      <c r="B519" s="1647" t="s">
        <v>3741</v>
      </c>
      <c r="C519" s="1529"/>
      <c r="D519" s="1534"/>
      <c r="E519" s="1534"/>
      <c r="F519" s="1531"/>
      <c r="G519" s="1529"/>
      <c r="H519" s="1529"/>
      <c r="I519" s="1529"/>
      <c r="J519" s="1560" t="e">
        <f>IF(J517="",0,+MIN(J515,J517))</f>
        <v>#DIV/0!</v>
      </c>
      <c r="K519" s="1560"/>
      <c r="L519" s="1560"/>
      <c r="M519" s="1529"/>
      <c r="N519" s="1555"/>
      <c r="O519" s="1555"/>
      <c r="P519" s="1555"/>
      <c r="Q519" s="1555"/>
      <c r="R519" s="1555"/>
      <c r="S519" s="1555"/>
      <c r="T519" s="1555"/>
    </row>
    <row r="520" spans="1:20">
      <c r="A520" s="1534"/>
      <c r="B520" s="1534"/>
      <c r="C520" s="1534"/>
      <c r="D520" s="1534"/>
      <c r="E520" s="1534"/>
      <c r="F520" s="1534"/>
      <c r="G520" s="1534"/>
      <c r="H520" s="1534"/>
      <c r="I520" s="1534"/>
      <c r="J520" s="1534"/>
      <c r="K520" s="1534"/>
      <c r="L520" s="1534"/>
      <c r="M520" s="1534"/>
      <c r="N520" s="1534"/>
      <c r="O520" s="1534"/>
      <c r="P520" s="1534"/>
      <c r="Q520" s="1534"/>
      <c r="R520" s="1534"/>
      <c r="S520" s="1534"/>
      <c r="T520" s="1534"/>
    </row>
    <row r="521" spans="1:20">
      <c r="A521" s="1534"/>
      <c r="B521" s="1534"/>
      <c r="C521" s="1534"/>
      <c r="D521" s="1534"/>
      <c r="E521" s="1534"/>
      <c r="F521" s="1534"/>
      <c r="G521" s="1534"/>
      <c r="H521" s="1534"/>
      <c r="I521" s="1534"/>
      <c r="J521" s="1534"/>
      <c r="K521" s="1534"/>
      <c r="L521" s="1534"/>
      <c r="M521" s="1534"/>
      <c r="N521" s="1534"/>
      <c r="O521" s="1534"/>
      <c r="P521" s="1534"/>
      <c r="Q521" s="1534"/>
      <c r="R521" s="1534"/>
      <c r="S521" s="1534"/>
      <c r="T521" s="1534"/>
    </row>
    <row r="522" spans="1:20">
      <c r="A522" s="1529" t="s">
        <v>1616</v>
      </c>
      <c r="B522" s="1534" t="s">
        <v>531</v>
      </c>
      <c r="C522" s="1534"/>
      <c r="D522" s="1534"/>
      <c r="E522" s="1534"/>
      <c r="F522" s="1534"/>
      <c r="G522" s="1534"/>
      <c r="H522" s="1534"/>
      <c r="I522" s="1534"/>
      <c r="J522" s="1534"/>
      <c r="K522" s="1529" t="s">
        <v>494</v>
      </c>
      <c r="L522" s="1529" t="s">
        <v>74</v>
      </c>
      <c r="M522" s="1534"/>
      <c r="N522" s="1534"/>
      <c r="O522" s="1534"/>
      <c r="P522" s="1534"/>
      <c r="Q522" s="1534"/>
      <c r="R522" s="1534"/>
      <c r="S522" s="1534"/>
      <c r="T522" s="1534"/>
    </row>
    <row r="523" spans="1:20" ht="13.5" customHeight="1">
      <c r="A523" s="1580" t="str">
        <f>'Part IV-Uses of Funds'!A173</f>
        <v>* To all applicants: please provide methodology for determining applicable construction hard costs.</v>
      </c>
      <c r="B523" s="1580"/>
      <c r="C523" s="1580"/>
      <c r="D523" s="1580"/>
      <c r="E523" s="1580"/>
      <c r="F523" s="1580"/>
      <c r="G523" s="1580"/>
      <c r="H523" s="1580"/>
      <c r="I523" s="1580"/>
      <c r="J523" s="1580"/>
      <c r="K523" s="1580">
        <f>'Part IV-Uses of Funds'!K173</f>
        <v>0</v>
      </c>
      <c r="L523" s="1580"/>
      <c r="M523" s="1580"/>
      <c r="N523" s="1580"/>
      <c r="O523" s="1580"/>
      <c r="P523" s="1580"/>
      <c r="Q523" s="1580"/>
      <c r="R523" s="1580"/>
      <c r="S523" s="1580"/>
      <c r="T523" s="1580"/>
    </row>
    <row r="525" spans="1:20">
      <c r="A525" s="1167" t="str">
        <f>CONCATENATE("PART FIVE - UTILITY ALLOWANCES","  -  ",'Part I-Project Information'!$O$4," ",'Part I-Project Information'!$F$24,", ",'Part I-Project Information'!F551,", ",'Part I-Project Information'!J552," County")</f>
        <v>PART FIVE - UTILITY ALLOWANCES  -  20##-### SB OHF Test Villas, ,  County</v>
      </c>
      <c r="B525" s="1167"/>
      <c r="C525" s="1167"/>
      <c r="D525" s="1167"/>
      <c r="E525" s="1167"/>
      <c r="F525" s="1167"/>
      <c r="G525" s="1167"/>
      <c r="H525" s="1167"/>
      <c r="I525" s="1167"/>
      <c r="J525" s="1167"/>
      <c r="K525" s="1167"/>
      <c r="L525" s="1167"/>
      <c r="M525" s="1167"/>
    </row>
    <row r="526" spans="1:20">
      <c r="A526" s="1154"/>
      <c r="B526" s="1154"/>
      <c r="C526" s="1154"/>
      <c r="D526" s="1154"/>
      <c r="E526" s="1154"/>
      <c r="F526" s="1154"/>
      <c r="G526" s="1154"/>
      <c r="H526" s="1154"/>
      <c r="I526" s="1154"/>
      <c r="J526" s="1154"/>
      <c r="K526" s="1154"/>
      <c r="L526" s="1154"/>
      <c r="M526" s="1154"/>
    </row>
    <row r="527" spans="1:20">
      <c r="A527" s="1154"/>
      <c r="B527" s="1154"/>
      <c r="C527" s="1154"/>
      <c r="D527" s="1154"/>
      <c r="E527" s="1154"/>
      <c r="F527" s="1167" t="s">
        <v>3280</v>
      </c>
      <c r="G527" s="1154"/>
      <c r="H527" s="1154"/>
      <c r="I527" s="1523" t="str">
        <f>VLOOKUP('Part I-Project Information'!$J$28,'DCA Underwriting Assumptions'!$G$158:$H$317,2)</f>
        <v>North</v>
      </c>
      <c r="J527" s="1154"/>
      <c r="K527" s="1154"/>
      <c r="L527" s="1154"/>
      <c r="M527" s="1154"/>
    </row>
    <row r="528" spans="1:20">
      <c r="A528" s="1154"/>
      <c r="B528" s="1154"/>
      <c r="C528" s="1154"/>
      <c r="D528" s="1154"/>
      <c r="E528" s="1154"/>
      <c r="F528" s="1154"/>
      <c r="G528" s="1154"/>
      <c r="H528" s="1154"/>
      <c r="I528" s="1154"/>
      <c r="J528" s="1154"/>
      <c r="K528" s="1154"/>
      <c r="L528" s="1154"/>
      <c r="M528" s="1154"/>
    </row>
    <row r="529" spans="1:13">
      <c r="A529" s="1652" t="s">
        <v>3281</v>
      </c>
      <c r="B529" s="1154"/>
      <c r="C529" s="1154"/>
      <c r="D529" s="1154"/>
      <c r="E529" s="1154"/>
      <c r="F529" s="1154"/>
      <c r="G529" s="1154"/>
      <c r="H529" s="1154"/>
      <c r="I529" s="1154"/>
      <c r="J529" s="1154"/>
      <c r="K529" s="1154"/>
      <c r="L529" s="1154"/>
      <c r="M529" s="1154"/>
    </row>
    <row r="530" spans="1:13">
      <c r="A530" s="1154"/>
      <c r="B530" s="1154"/>
      <c r="C530" s="1154"/>
      <c r="D530" s="1154"/>
      <c r="E530" s="1154"/>
      <c r="F530" s="1154"/>
      <c r="G530" s="1154"/>
      <c r="H530" s="1154"/>
      <c r="I530" s="1154"/>
      <c r="J530" s="1154"/>
      <c r="K530" s="1154"/>
      <c r="L530" s="1154"/>
      <c r="M530" s="1154"/>
    </row>
    <row r="531" spans="1:13">
      <c r="A531" s="1154" t="s">
        <v>572</v>
      </c>
      <c r="B531" s="1154" t="s">
        <v>1977</v>
      </c>
      <c r="C531" s="1154"/>
      <c r="D531" s="1154"/>
      <c r="E531" s="1154"/>
      <c r="F531" s="1167" t="s">
        <v>2232</v>
      </c>
      <c r="G531" s="1167"/>
      <c r="H531" s="1167"/>
      <c r="I531" s="1527">
        <f>'Part V-Utility Allowances'!I7</f>
        <v>0</v>
      </c>
      <c r="J531" s="1527"/>
      <c r="K531" s="1527"/>
      <c r="L531" s="1527"/>
      <c r="M531" s="1527"/>
    </row>
    <row r="532" spans="1:13">
      <c r="A532" s="1154"/>
      <c r="B532" s="1154"/>
      <c r="C532" s="1154"/>
      <c r="D532" s="1154"/>
      <c r="E532" s="1154"/>
      <c r="F532" s="1167" t="s">
        <v>591</v>
      </c>
      <c r="G532" s="1167"/>
      <c r="H532" s="1167"/>
      <c r="I532" s="1653">
        <f>'Part V-Utility Allowances'!I8</f>
        <v>0</v>
      </c>
      <c r="J532" s="1653"/>
      <c r="K532" s="1524" t="s">
        <v>504</v>
      </c>
      <c r="L532" s="1167">
        <f>'Part V-Utility Allowances'!L8</f>
        <v>0</v>
      </c>
      <c r="M532" s="1167"/>
    </row>
    <row r="533" spans="1:13">
      <c r="A533" s="1154"/>
      <c r="B533" s="1154"/>
      <c r="C533" s="1154"/>
      <c r="D533" s="1154"/>
      <c r="E533" s="1154"/>
      <c r="F533" s="1154"/>
      <c r="G533" s="1154"/>
      <c r="H533" s="1154"/>
      <c r="I533" s="1154"/>
      <c r="J533" s="1154"/>
      <c r="K533" s="1154"/>
      <c r="L533" s="1154"/>
      <c r="M533" s="1154"/>
    </row>
    <row r="534" spans="1:13">
      <c r="A534" s="1154"/>
      <c r="B534" s="1154"/>
      <c r="C534" s="1154"/>
      <c r="D534" s="1154"/>
      <c r="E534" s="1154"/>
      <c r="F534" s="1518" t="s">
        <v>566</v>
      </c>
      <c r="G534" s="1518"/>
      <c r="H534" s="1154"/>
      <c r="I534" s="1518" t="s">
        <v>180</v>
      </c>
      <c r="J534" s="1518"/>
      <c r="K534" s="1518"/>
      <c r="L534" s="1518"/>
      <c r="M534" s="1518"/>
    </row>
    <row r="535" spans="1:13">
      <c r="A535" s="1154"/>
      <c r="B535" s="1154" t="s">
        <v>737</v>
      </c>
      <c r="C535" s="1154"/>
      <c r="D535" s="1154" t="s">
        <v>1452</v>
      </c>
      <c r="E535" s="1154"/>
      <c r="F535" s="1525" t="s">
        <v>596</v>
      </c>
      <c r="G535" s="1525" t="s">
        <v>1664</v>
      </c>
      <c r="H535" s="1154"/>
      <c r="I535" s="1525" t="s">
        <v>527</v>
      </c>
      <c r="J535" s="1525">
        <v>1</v>
      </c>
      <c r="K535" s="1525">
        <v>2</v>
      </c>
      <c r="L535" s="1525">
        <v>3</v>
      </c>
      <c r="M535" s="1525">
        <v>4</v>
      </c>
    </row>
    <row r="536" spans="1:13">
      <c r="A536" s="1154"/>
      <c r="B536" s="1167" t="s">
        <v>1666</v>
      </c>
      <c r="C536" s="1167"/>
      <c r="D536" s="1167" t="str">
        <f>'Part V-Utility Allowances'!D12</f>
        <v>&lt;&lt;Select Fuel &gt;&gt;</v>
      </c>
      <c r="E536" s="1167"/>
      <c r="F536" s="1654">
        <f>'Part V-Utility Allowances'!F12</f>
        <v>0</v>
      </c>
      <c r="G536" s="1654">
        <f>'Part V-Utility Allowances'!G12</f>
        <v>0</v>
      </c>
      <c r="H536" s="1154"/>
      <c r="I536" s="1524">
        <f>'Part V-Utility Allowances'!I12</f>
        <v>0</v>
      </c>
      <c r="J536" s="1524">
        <f>'Part V-Utility Allowances'!J12</f>
        <v>0</v>
      </c>
      <c r="K536" s="1524">
        <f>'Part V-Utility Allowances'!K12</f>
        <v>0</v>
      </c>
      <c r="L536" s="1524">
        <f>'Part V-Utility Allowances'!L12</f>
        <v>0</v>
      </c>
      <c r="M536" s="1524">
        <f>'Part V-Utility Allowances'!M12</f>
        <v>0</v>
      </c>
    </row>
    <row r="537" spans="1:13">
      <c r="A537" s="1154"/>
      <c r="B537" s="1167" t="s">
        <v>1450</v>
      </c>
      <c r="C537" s="1167"/>
      <c r="D537" s="1167" t="str">
        <f>'Part V-Utility Allowances'!D13</f>
        <v>&lt;&lt;Select Fuel &gt;&gt;</v>
      </c>
      <c r="E537" s="1167"/>
      <c r="F537" s="1654">
        <f>'Part V-Utility Allowances'!F13</f>
        <v>0</v>
      </c>
      <c r="G537" s="1654">
        <f>'Part V-Utility Allowances'!G13</f>
        <v>0</v>
      </c>
      <c r="H537" s="1154"/>
      <c r="I537" s="1524">
        <f>'Part V-Utility Allowances'!I13</f>
        <v>0</v>
      </c>
      <c r="J537" s="1524">
        <f>'Part V-Utility Allowances'!J13</f>
        <v>0</v>
      </c>
      <c r="K537" s="1524">
        <f>'Part V-Utility Allowances'!K13</f>
        <v>0</v>
      </c>
      <c r="L537" s="1524">
        <f>'Part V-Utility Allowances'!L13</f>
        <v>0</v>
      </c>
      <c r="M537" s="1524">
        <f>'Part V-Utility Allowances'!M13</f>
        <v>0</v>
      </c>
    </row>
    <row r="538" spans="1:13">
      <c r="A538" s="1154"/>
      <c r="B538" s="1167" t="s">
        <v>1451</v>
      </c>
      <c r="C538" s="1167"/>
      <c r="D538" s="1167" t="str">
        <f>'Part V-Utility Allowances'!D14</f>
        <v>&lt;&lt;Select Fuel &gt;&gt;</v>
      </c>
      <c r="E538" s="1167"/>
      <c r="F538" s="1654">
        <f>'Part V-Utility Allowances'!F14</f>
        <v>0</v>
      </c>
      <c r="G538" s="1654">
        <f>'Part V-Utility Allowances'!G14</f>
        <v>0</v>
      </c>
      <c r="H538" s="1154"/>
      <c r="I538" s="1524">
        <f>'Part V-Utility Allowances'!I14</f>
        <v>0</v>
      </c>
      <c r="J538" s="1524">
        <f>'Part V-Utility Allowances'!J14</f>
        <v>0</v>
      </c>
      <c r="K538" s="1524">
        <f>'Part V-Utility Allowances'!K14</f>
        <v>0</v>
      </c>
      <c r="L538" s="1524">
        <f>'Part V-Utility Allowances'!L14</f>
        <v>0</v>
      </c>
      <c r="M538" s="1524">
        <f>'Part V-Utility Allowances'!M14</f>
        <v>0</v>
      </c>
    </row>
    <row r="539" spans="1:13">
      <c r="A539" s="1154"/>
      <c r="B539" s="1167" t="s">
        <v>439</v>
      </c>
      <c r="C539" s="1167"/>
      <c r="D539" s="1167" t="s">
        <v>1449</v>
      </c>
      <c r="E539" s="1154"/>
      <c r="F539" s="1654">
        <f>'Part V-Utility Allowances'!F15</f>
        <v>0</v>
      </c>
      <c r="G539" s="1654">
        <f>'Part V-Utility Allowances'!G15</f>
        <v>0</v>
      </c>
      <c r="H539" s="1154"/>
      <c r="I539" s="1524">
        <f>'Part V-Utility Allowances'!I15</f>
        <v>0</v>
      </c>
      <c r="J539" s="1524">
        <f>'Part V-Utility Allowances'!J15</f>
        <v>0</v>
      </c>
      <c r="K539" s="1524">
        <f>'Part V-Utility Allowances'!K15</f>
        <v>0</v>
      </c>
      <c r="L539" s="1524">
        <f>'Part V-Utility Allowances'!L15</f>
        <v>0</v>
      </c>
      <c r="M539" s="1524">
        <f>'Part V-Utility Allowances'!M15</f>
        <v>0</v>
      </c>
    </row>
    <row r="540" spans="1:13">
      <c r="A540" s="1154"/>
      <c r="B540" s="1167" t="s">
        <v>3283</v>
      </c>
      <c r="C540" s="1167"/>
      <c r="D540" s="1167" t="s">
        <v>1449</v>
      </c>
      <c r="E540" s="1154"/>
      <c r="F540" s="1654">
        <f>'Part V-Utility Allowances'!F16</f>
        <v>0</v>
      </c>
      <c r="G540" s="1654">
        <f>'Part V-Utility Allowances'!G16</f>
        <v>0</v>
      </c>
      <c r="H540" s="1154"/>
      <c r="I540" s="1524">
        <f>'Part V-Utility Allowances'!I16</f>
        <v>0</v>
      </c>
      <c r="J540" s="1524">
        <f>'Part V-Utility Allowances'!J16</f>
        <v>0</v>
      </c>
      <c r="K540" s="1524">
        <f>'Part V-Utility Allowances'!K16</f>
        <v>0</v>
      </c>
      <c r="L540" s="1524">
        <f>'Part V-Utility Allowances'!L16</f>
        <v>0</v>
      </c>
      <c r="M540" s="1524">
        <f>'Part V-Utility Allowances'!M16</f>
        <v>0</v>
      </c>
    </row>
    <row r="541" spans="1:13">
      <c r="A541" s="1154"/>
      <c r="B541" s="1167" t="s">
        <v>3284</v>
      </c>
      <c r="C541" s="1167"/>
      <c r="D541" s="1167" t="s">
        <v>1449</v>
      </c>
      <c r="E541" s="1154"/>
      <c r="F541" s="1654">
        <f>'Part V-Utility Allowances'!F17</f>
        <v>0</v>
      </c>
      <c r="G541" s="1654">
        <f>'Part V-Utility Allowances'!G17</f>
        <v>0</v>
      </c>
      <c r="H541" s="1154"/>
      <c r="I541" s="1524">
        <f>'Part V-Utility Allowances'!I17</f>
        <v>0</v>
      </c>
      <c r="J541" s="1524">
        <f>'Part V-Utility Allowances'!J17</f>
        <v>0</v>
      </c>
      <c r="K541" s="1524">
        <f>'Part V-Utility Allowances'!K17</f>
        <v>0</v>
      </c>
      <c r="L541" s="1524">
        <f>'Part V-Utility Allowances'!L17</f>
        <v>0</v>
      </c>
      <c r="M541" s="1524">
        <f>'Part V-Utility Allowances'!M17</f>
        <v>0</v>
      </c>
    </row>
    <row r="542" spans="1:13">
      <c r="A542" s="1154"/>
      <c r="B542" s="1167" t="s">
        <v>3285</v>
      </c>
      <c r="C542" s="1167"/>
      <c r="D542" s="1167" t="s">
        <v>1449</v>
      </c>
      <c r="E542" s="1154"/>
      <c r="F542" s="1654">
        <f>'Part V-Utility Allowances'!F18</f>
        <v>0</v>
      </c>
      <c r="G542" s="1654">
        <f>'Part V-Utility Allowances'!G18</f>
        <v>0</v>
      </c>
      <c r="H542" s="1154"/>
      <c r="I542" s="1524">
        <f>'Part V-Utility Allowances'!I18</f>
        <v>0</v>
      </c>
      <c r="J542" s="1524">
        <f>'Part V-Utility Allowances'!J18</f>
        <v>0</v>
      </c>
      <c r="K542" s="1524">
        <f>'Part V-Utility Allowances'!K18</f>
        <v>0</v>
      </c>
      <c r="L542" s="1524">
        <f>'Part V-Utility Allowances'!L18</f>
        <v>0</v>
      </c>
      <c r="M542" s="1524">
        <f>'Part V-Utility Allowances'!M18</f>
        <v>0</v>
      </c>
    </row>
    <row r="543" spans="1:13">
      <c r="A543" s="1154"/>
      <c r="B543" s="1167" t="s">
        <v>1269</v>
      </c>
      <c r="C543" s="1167"/>
      <c r="D543" s="1167" t="s">
        <v>3683</v>
      </c>
      <c r="E543" s="1524" t="str">
        <f>'Part V-Utility Allowances'!E19</f>
        <v>&lt;Select&gt;</v>
      </c>
      <c r="F543" s="1654">
        <f>'Part V-Utility Allowances'!F19</f>
        <v>0</v>
      </c>
      <c r="G543" s="1654">
        <f>'Part V-Utility Allowances'!G19</f>
        <v>0</v>
      </c>
      <c r="H543" s="1154"/>
      <c r="I543" s="1524">
        <f>'Part V-Utility Allowances'!I19</f>
        <v>0</v>
      </c>
      <c r="J543" s="1524">
        <f>'Part V-Utility Allowances'!J19</f>
        <v>0</v>
      </c>
      <c r="K543" s="1524">
        <f>'Part V-Utility Allowances'!K19</f>
        <v>0</v>
      </c>
      <c r="L543" s="1524">
        <f>'Part V-Utility Allowances'!L19</f>
        <v>0</v>
      </c>
      <c r="M543" s="1524">
        <f>'Part V-Utility Allowances'!M19</f>
        <v>0</v>
      </c>
    </row>
    <row r="544" spans="1:13">
      <c r="A544" s="1154"/>
      <c r="B544" s="1167" t="s">
        <v>1665</v>
      </c>
      <c r="C544" s="1167"/>
      <c r="D544" s="1154"/>
      <c r="E544" s="1154"/>
      <c r="F544" s="1654">
        <f>'Part V-Utility Allowances'!F20</f>
        <v>0</v>
      </c>
      <c r="G544" s="1654">
        <f>'Part V-Utility Allowances'!G20</f>
        <v>0</v>
      </c>
      <c r="H544" s="1154"/>
      <c r="I544" s="1524">
        <f>'Part V-Utility Allowances'!I20</f>
        <v>0</v>
      </c>
      <c r="J544" s="1524">
        <f>'Part V-Utility Allowances'!J20</f>
        <v>0</v>
      </c>
      <c r="K544" s="1524">
        <f>'Part V-Utility Allowances'!K20</f>
        <v>0</v>
      </c>
      <c r="L544" s="1524">
        <f>'Part V-Utility Allowances'!L20</f>
        <v>0</v>
      </c>
      <c r="M544" s="1524">
        <f>'Part V-Utility Allowances'!M20</f>
        <v>0</v>
      </c>
    </row>
    <row r="545" spans="1:13">
      <c r="A545" s="1154"/>
      <c r="B545" s="1167" t="s">
        <v>686</v>
      </c>
      <c r="C545" s="1168">
        <f>'Part V-Utility Allowances'!C21</f>
        <v>0</v>
      </c>
      <c r="D545" s="1168"/>
      <c r="E545" s="1168"/>
      <c r="F545" s="1654">
        <f>'Part V-Utility Allowances'!F21</f>
        <v>0</v>
      </c>
      <c r="G545" s="1654">
        <f>'Part V-Utility Allowances'!G21</f>
        <v>0</v>
      </c>
      <c r="H545" s="1154"/>
      <c r="I545" s="1524">
        <f>'Part V-Utility Allowances'!I21</f>
        <v>0</v>
      </c>
      <c r="J545" s="1524">
        <f>'Part V-Utility Allowances'!J21</f>
        <v>0</v>
      </c>
      <c r="K545" s="1524">
        <f>'Part V-Utility Allowances'!K21</f>
        <v>0</v>
      </c>
      <c r="L545" s="1524">
        <f>'Part V-Utility Allowances'!L21</f>
        <v>0</v>
      </c>
      <c r="M545" s="1524">
        <f>'Part V-Utility Allowances'!M21</f>
        <v>0</v>
      </c>
    </row>
    <row r="546" spans="1:13">
      <c r="A546" s="1154"/>
      <c r="B546" s="1154" t="s">
        <v>944</v>
      </c>
      <c r="C546" s="1154"/>
      <c r="D546" s="1154"/>
      <c r="E546" s="1154"/>
      <c r="F546" s="1525"/>
      <c r="G546" s="1525"/>
      <c r="H546" s="1154"/>
      <c r="I546" s="1524">
        <f>IF(SUM(I536:I545)=0,0,IF(OR($D536="&lt;&lt;Select Fuel &gt;&gt;",$D537="&lt;&lt;Select Fuel &gt;&gt;",$D538="&lt;&lt;Select Fuel &gt;&gt;"),"Select Fuel",IF($E543="&lt;Select&gt;","Submeter?",SUM(I536:I545))))</f>
        <v>0</v>
      </c>
      <c r="J546" s="1524">
        <f>IF(SUM(J536:J545)=0,0,IF(OR($D536="&lt;&lt;Select Fuel &gt;&gt;",$D537="&lt;&lt;Select Fuel &gt;&gt;",$D538="&lt;&lt;Select Fuel &gt;&gt;"),"Select Fuel",IF($E543="&lt;Select&gt;","Submeter?",SUM(J536:J545))))</f>
        <v>0</v>
      </c>
      <c r="K546" s="1524">
        <f>IF(SUM(K536:K545)=0,0,IF(OR($D536="&lt;&lt;Select Fuel &gt;&gt;",$D537="&lt;&lt;Select Fuel &gt;&gt;",$D538="&lt;&lt;Select Fuel &gt;&gt;"),"Select Fuel",IF($E543="&lt;Select&gt;","Submeter?",SUM(K536:K545))))</f>
        <v>0</v>
      </c>
      <c r="L546" s="1524">
        <f>IF(SUM(L536:L545)=0,0,IF(OR($D536="&lt;&lt;Select Fuel &gt;&gt;",$D537="&lt;&lt;Select Fuel &gt;&gt;",$D538="&lt;&lt;Select Fuel &gt;&gt;"),"Select Fuel",IF($E543="&lt;Select&gt;","Submeter?",SUM(L536:L545))))</f>
        <v>0</v>
      </c>
      <c r="M546" s="1524">
        <f>IF(SUM(M536:M545)=0,0,IF(OR($D536="&lt;&lt;Select Fuel &gt;&gt;",$D537="&lt;&lt;Select Fuel &gt;&gt;",$D538="&lt;&lt;Select Fuel &gt;&gt;"),"Select Fuel",IF($E543="&lt;Select&gt;","Submeter?",SUM(M536:M545))))</f>
        <v>0</v>
      </c>
    </row>
    <row r="547" spans="1:13">
      <c r="A547" s="1154"/>
      <c r="B547" s="1154"/>
      <c r="C547" s="1154"/>
      <c r="D547" s="1154"/>
      <c r="E547" s="1154"/>
      <c r="F547" s="1154"/>
      <c r="G547" s="1154"/>
      <c r="H547" s="1154"/>
      <c r="I547" s="1154"/>
      <c r="J547" s="1154"/>
      <c r="K547" s="1154"/>
      <c r="L547" s="1154"/>
      <c r="M547" s="1154"/>
    </row>
    <row r="548" spans="1:13">
      <c r="A548" s="1154" t="s">
        <v>685</v>
      </c>
      <c r="B548" s="1154" t="s">
        <v>1978</v>
      </c>
      <c r="C548" s="1154"/>
      <c r="D548" s="1154"/>
      <c r="E548" s="1154"/>
      <c r="F548" s="1167" t="s">
        <v>2232</v>
      </c>
      <c r="G548" s="1167"/>
      <c r="H548" s="1167"/>
      <c r="I548" s="1527">
        <f>'Part V-Utility Allowances'!I24</f>
        <v>0</v>
      </c>
      <c r="J548" s="1527"/>
      <c r="K548" s="1527"/>
      <c r="L548" s="1527"/>
      <c r="M548" s="1527"/>
    </row>
    <row r="549" spans="1:13">
      <c r="A549" s="1154"/>
      <c r="B549" s="1154"/>
      <c r="C549" s="1154"/>
      <c r="D549" s="1154"/>
      <c r="E549" s="1154"/>
      <c r="F549" s="1167" t="s">
        <v>591</v>
      </c>
      <c r="G549" s="1167"/>
      <c r="H549" s="1167"/>
      <c r="I549" s="1653">
        <f>'Part V-Utility Allowances'!I25</f>
        <v>0</v>
      </c>
      <c r="J549" s="1653"/>
      <c r="K549" s="1524" t="s">
        <v>504</v>
      </c>
      <c r="L549" s="1167">
        <f>'Part V-Utility Allowances'!L25</f>
        <v>0</v>
      </c>
      <c r="M549" s="1167"/>
    </row>
    <row r="550" spans="1:13">
      <c r="A550" s="1154"/>
      <c r="B550" s="1154"/>
      <c r="C550" s="1154"/>
      <c r="D550" s="1154"/>
      <c r="E550" s="1154"/>
      <c r="F550" s="1154"/>
      <c r="G550" s="1154"/>
      <c r="H550" s="1154"/>
      <c r="I550" s="1154"/>
      <c r="J550" s="1154"/>
      <c r="K550" s="1154"/>
      <c r="L550" s="1154"/>
      <c r="M550" s="1154"/>
    </row>
    <row r="551" spans="1:13">
      <c r="A551" s="1154"/>
      <c r="B551" s="1154"/>
      <c r="C551" s="1154"/>
      <c r="D551" s="1154"/>
      <c r="E551" s="1154"/>
      <c r="F551" s="1518" t="s">
        <v>566</v>
      </c>
      <c r="G551" s="1518"/>
      <c r="H551" s="1154"/>
      <c r="I551" s="1518" t="s">
        <v>180</v>
      </c>
      <c r="J551" s="1518"/>
      <c r="K551" s="1518"/>
      <c r="L551" s="1518"/>
      <c r="M551" s="1518"/>
    </row>
    <row r="552" spans="1:13">
      <c r="A552" s="1154"/>
      <c r="B552" s="1154" t="s">
        <v>737</v>
      </c>
      <c r="C552" s="1154"/>
      <c r="D552" s="1154" t="s">
        <v>1452</v>
      </c>
      <c r="E552" s="1154"/>
      <c r="F552" s="1525" t="s">
        <v>596</v>
      </c>
      <c r="G552" s="1525" t="s">
        <v>1664</v>
      </c>
      <c r="H552" s="1154"/>
      <c r="I552" s="1525" t="s">
        <v>527</v>
      </c>
      <c r="J552" s="1525">
        <v>1</v>
      </c>
      <c r="K552" s="1525">
        <v>2</v>
      </c>
      <c r="L552" s="1525">
        <v>3</v>
      </c>
      <c r="M552" s="1525">
        <v>4</v>
      </c>
    </row>
    <row r="553" spans="1:13">
      <c r="A553" s="1154"/>
      <c r="B553" s="1167" t="s">
        <v>1666</v>
      </c>
      <c r="C553" s="1167"/>
      <c r="D553" s="1167" t="str">
        <f>'Part V-Utility Allowances'!D29</f>
        <v>&lt;&lt;Select Fuel &gt;&gt;</v>
      </c>
      <c r="E553" s="1167"/>
      <c r="F553" s="1654">
        <f>'Part V-Utility Allowances'!F29</f>
        <v>0</v>
      </c>
      <c r="G553" s="1654">
        <f>'Part V-Utility Allowances'!G29</f>
        <v>0</v>
      </c>
      <c r="H553" s="1154"/>
      <c r="I553" s="1524">
        <f>'Part V-Utility Allowances'!I29</f>
        <v>0</v>
      </c>
      <c r="J553" s="1524">
        <f>'Part V-Utility Allowances'!J29</f>
        <v>0</v>
      </c>
      <c r="K553" s="1524">
        <f>'Part V-Utility Allowances'!K29</f>
        <v>0</v>
      </c>
      <c r="L553" s="1524">
        <f>'Part V-Utility Allowances'!L29</f>
        <v>0</v>
      </c>
      <c r="M553" s="1524">
        <f>'Part V-Utility Allowances'!M29</f>
        <v>0</v>
      </c>
    </row>
    <row r="554" spans="1:13">
      <c r="A554" s="1154"/>
      <c r="B554" s="1167" t="s">
        <v>1450</v>
      </c>
      <c r="C554" s="1167"/>
      <c r="D554" s="1167" t="str">
        <f>'Part V-Utility Allowances'!D30</f>
        <v>&lt;&lt;Select Fuel &gt;&gt;</v>
      </c>
      <c r="E554" s="1167"/>
      <c r="F554" s="1654">
        <f>'Part V-Utility Allowances'!F30</f>
        <v>0</v>
      </c>
      <c r="G554" s="1654">
        <f>'Part V-Utility Allowances'!G30</f>
        <v>0</v>
      </c>
      <c r="H554" s="1154"/>
      <c r="I554" s="1524">
        <f>'Part V-Utility Allowances'!I30</f>
        <v>0</v>
      </c>
      <c r="J554" s="1524">
        <f>'Part V-Utility Allowances'!J30</f>
        <v>0</v>
      </c>
      <c r="K554" s="1524">
        <f>'Part V-Utility Allowances'!K30</f>
        <v>0</v>
      </c>
      <c r="L554" s="1524">
        <f>'Part V-Utility Allowances'!L30</f>
        <v>0</v>
      </c>
      <c r="M554" s="1524">
        <f>'Part V-Utility Allowances'!M30</f>
        <v>0</v>
      </c>
    </row>
    <row r="555" spans="1:13">
      <c r="A555" s="1154"/>
      <c r="B555" s="1167" t="s">
        <v>1451</v>
      </c>
      <c r="C555" s="1167"/>
      <c r="D555" s="1167" t="str">
        <f>'Part V-Utility Allowances'!D31</f>
        <v>&lt;&lt;Select Fuel &gt;&gt;</v>
      </c>
      <c r="E555" s="1167"/>
      <c r="F555" s="1654">
        <f>'Part V-Utility Allowances'!F31</f>
        <v>0</v>
      </c>
      <c r="G555" s="1654">
        <f>'Part V-Utility Allowances'!G31</f>
        <v>0</v>
      </c>
      <c r="H555" s="1154"/>
      <c r="I555" s="1524">
        <f>'Part V-Utility Allowances'!I31</f>
        <v>0</v>
      </c>
      <c r="J555" s="1524">
        <f>'Part V-Utility Allowances'!J31</f>
        <v>0</v>
      </c>
      <c r="K555" s="1524">
        <f>'Part V-Utility Allowances'!K31</f>
        <v>0</v>
      </c>
      <c r="L555" s="1524">
        <f>'Part V-Utility Allowances'!L31</f>
        <v>0</v>
      </c>
      <c r="M555" s="1524">
        <f>'Part V-Utility Allowances'!M31</f>
        <v>0</v>
      </c>
    </row>
    <row r="556" spans="1:13">
      <c r="A556" s="1154"/>
      <c r="B556" s="1167" t="s">
        <v>439</v>
      </c>
      <c r="C556" s="1167"/>
      <c r="D556" s="1167" t="s">
        <v>1449</v>
      </c>
      <c r="E556" s="1154"/>
      <c r="F556" s="1654">
        <f>'Part V-Utility Allowances'!F32</f>
        <v>0</v>
      </c>
      <c r="G556" s="1654">
        <f>'Part V-Utility Allowances'!G32</f>
        <v>0</v>
      </c>
      <c r="H556" s="1154"/>
      <c r="I556" s="1524">
        <f>'Part V-Utility Allowances'!I32</f>
        <v>0</v>
      </c>
      <c r="J556" s="1524">
        <f>'Part V-Utility Allowances'!J32</f>
        <v>0</v>
      </c>
      <c r="K556" s="1524">
        <f>'Part V-Utility Allowances'!K32</f>
        <v>0</v>
      </c>
      <c r="L556" s="1524">
        <f>'Part V-Utility Allowances'!L32</f>
        <v>0</v>
      </c>
      <c r="M556" s="1524">
        <f>'Part V-Utility Allowances'!M32</f>
        <v>0</v>
      </c>
    </row>
    <row r="557" spans="1:13">
      <c r="A557" s="1154"/>
      <c r="B557" s="1167" t="s">
        <v>3283</v>
      </c>
      <c r="C557" s="1167"/>
      <c r="D557" s="1167" t="s">
        <v>1449</v>
      </c>
      <c r="E557" s="1154"/>
      <c r="F557" s="1654">
        <f>'Part V-Utility Allowances'!F33</f>
        <v>0</v>
      </c>
      <c r="G557" s="1654">
        <f>'Part V-Utility Allowances'!G33</f>
        <v>0</v>
      </c>
      <c r="H557" s="1154"/>
      <c r="I557" s="1524">
        <f>'Part V-Utility Allowances'!I33</f>
        <v>0</v>
      </c>
      <c r="J557" s="1524">
        <f>'Part V-Utility Allowances'!J33</f>
        <v>0</v>
      </c>
      <c r="K557" s="1524">
        <f>'Part V-Utility Allowances'!K33</f>
        <v>0</v>
      </c>
      <c r="L557" s="1524">
        <f>'Part V-Utility Allowances'!L33</f>
        <v>0</v>
      </c>
      <c r="M557" s="1524">
        <f>'Part V-Utility Allowances'!M33</f>
        <v>0</v>
      </c>
    </row>
    <row r="558" spans="1:13">
      <c r="A558" s="1154"/>
      <c r="B558" s="1167" t="s">
        <v>3284</v>
      </c>
      <c r="C558" s="1167"/>
      <c r="D558" s="1167" t="s">
        <v>1449</v>
      </c>
      <c r="E558" s="1154"/>
      <c r="F558" s="1654">
        <f>'Part V-Utility Allowances'!F34</f>
        <v>0</v>
      </c>
      <c r="G558" s="1654">
        <f>'Part V-Utility Allowances'!G34</f>
        <v>0</v>
      </c>
      <c r="H558" s="1154"/>
      <c r="I558" s="1524">
        <f>'Part V-Utility Allowances'!I34</f>
        <v>0</v>
      </c>
      <c r="J558" s="1524">
        <f>'Part V-Utility Allowances'!J34</f>
        <v>0</v>
      </c>
      <c r="K558" s="1524">
        <f>'Part V-Utility Allowances'!K34</f>
        <v>0</v>
      </c>
      <c r="L558" s="1524">
        <f>'Part V-Utility Allowances'!L34</f>
        <v>0</v>
      </c>
      <c r="M558" s="1524">
        <f>'Part V-Utility Allowances'!M34</f>
        <v>0</v>
      </c>
    </row>
    <row r="559" spans="1:13">
      <c r="A559" s="1154"/>
      <c r="B559" s="1167" t="s">
        <v>3285</v>
      </c>
      <c r="C559" s="1167"/>
      <c r="D559" s="1167" t="s">
        <v>1449</v>
      </c>
      <c r="E559" s="1154"/>
      <c r="F559" s="1654">
        <f>'Part V-Utility Allowances'!F35</f>
        <v>0</v>
      </c>
      <c r="G559" s="1654">
        <f>'Part V-Utility Allowances'!G35</f>
        <v>0</v>
      </c>
      <c r="H559" s="1154"/>
      <c r="I559" s="1524">
        <f>'Part V-Utility Allowances'!I35</f>
        <v>0</v>
      </c>
      <c r="J559" s="1524">
        <f>'Part V-Utility Allowances'!J35</f>
        <v>0</v>
      </c>
      <c r="K559" s="1524">
        <f>'Part V-Utility Allowances'!K35</f>
        <v>0</v>
      </c>
      <c r="L559" s="1524">
        <f>'Part V-Utility Allowances'!L35</f>
        <v>0</v>
      </c>
      <c r="M559" s="1524">
        <f>'Part V-Utility Allowances'!M35</f>
        <v>0</v>
      </c>
    </row>
    <row r="560" spans="1:13">
      <c r="A560" s="1154"/>
      <c r="B560" s="1167" t="s">
        <v>1269</v>
      </c>
      <c r="C560" s="1167"/>
      <c r="D560" s="1167" t="s">
        <v>3683</v>
      </c>
      <c r="E560" s="1524" t="str">
        <f>'Part V-Utility Allowances'!E36</f>
        <v>&lt;Select&gt;</v>
      </c>
      <c r="F560" s="1654">
        <f>'Part V-Utility Allowances'!F36</f>
        <v>0</v>
      </c>
      <c r="G560" s="1654">
        <f>'Part V-Utility Allowances'!G36</f>
        <v>0</v>
      </c>
      <c r="H560" s="1154"/>
      <c r="I560" s="1524">
        <f>'Part V-Utility Allowances'!I36</f>
        <v>0</v>
      </c>
      <c r="J560" s="1524">
        <f>'Part V-Utility Allowances'!J36</f>
        <v>0</v>
      </c>
      <c r="K560" s="1524">
        <f>'Part V-Utility Allowances'!K36</f>
        <v>0</v>
      </c>
      <c r="L560" s="1524">
        <f>'Part V-Utility Allowances'!L36</f>
        <v>0</v>
      </c>
      <c r="M560" s="1524">
        <f>'Part V-Utility Allowances'!M36</f>
        <v>0</v>
      </c>
    </row>
    <row r="561" spans="1:357">
      <c r="A561" s="1154"/>
      <c r="B561" s="1167" t="s">
        <v>1665</v>
      </c>
      <c r="C561" s="1167"/>
      <c r="D561" s="1154"/>
      <c r="E561" s="1154"/>
      <c r="F561" s="1654">
        <f>'Part V-Utility Allowances'!F37</f>
        <v>0</v>
      </c>
      <c r="G561" s="1654">
        <f>'Part V-Utility Allowances'!G37</f>
        <v>0</v>
      </c>
      <c r="H561" s="1154"/>
      <c r="I561" s="1524">
        <f>'Part V-Utility Allowances'!I37</f>
        <v>0</v>
      </c>
      <c r="J561" s="1524">
        <f>'Part V-Utility Allowances'!J37</f>
        <v>0</v>
      </c>
      <c r="K561" s="1524">
        <f>'Part V-Utility Allowances'!K37</f>
        <v>0</v>
      </c>
      <c r="L561" s="1524">
        <f>'Part V-Utility Allowances'!L37</f>
        <v>0</v>
      </c>
      <c r="M561" s="1524">
        <f>'Part V-Utility Allowances'!M37</f>
        <v>0</v>
      </c>
    </row>
    <row r="562" spans="1:357">
      <c r="A562" s="1154"/>
      <c r="B562" s="1167" t="s">
        <v>686</v>
      </c>
      <c r="C562" s="1168">
        <f>'Part V-Utility Allowances'!C38</f>
        <v>0</v>
      </c>
      <c r="D562" s="1168"/>
      <c r="E562" s="1168"/>
      <c r="F562" s="1654">
        <f>'Part V-Utility Allowances'!F38</f>
        <v>0</v>
      </c>
      <c r="G562" s="1654">
        <f>'Part V-Utility Allowances'!G38</f>
        <v>0</v>
      </c>
      <c r="H562" s="1154"/>
      <c r="I562" s="1524">
        <f>'Part V-Utility Allowances'!I38</f>
        <v>0</v>
      </c>
      <c r="J562" s="1524">
        <f>'Part V-Utility Allowances'!J38</f>
        <v>0</v>
      </c>
      <c r="K562" s="1524">
        <f>'Part V-Utility Allowances'!K38</f>
        <v>0</v>
      </c>
      <c r="L562" s="1524">
        <f>'Part V-Utility Allowances'!L38</f>
        <v>0</v>
      </c>
      <c r="M562" s="1524">
        <f>'Part V-Utility Allowances'!M38</f>
        <v>0</v>
      </c>
    </row>
    <row r="563" spans="1:357">
      <c r="A563" s="1154"/>
      <c r="B563" s="1154" t="s">
        <v>944</v>
      </c>
      <c r="C563" s="1154"/>
      <c r="D563" s="1154"/>
      <c r="E563" s="1154"/>
      <c r="F563" s="1525"/>
      <c r="G563" s="1525"/>
      <c r="H563" s="1154"/>
      <c r="I563" s="1524">
        <f>IF(SUM(I553:I562)=0,0,IF(OR($D553="&lt;&lt;Select Fuel &gt;&gt;",$D555="&lt;&lt;Select Fuel &gt;&gt;",$D556="&lt;&lt;Select Fuel &gt;&gt;"),"Select Fuel",IF($E560="&lt;Select&gt;","Submeter?",SUM(I553:I562))))</f>
        <v>0</v>
      </c>
      <c r="J563" s="1524">
        <f>IF(SUM(J553:J562)=0,0,IF(OR($D553="&lt;&lt;Select Fuel &gt;&gt;",$D555="&lt;&lt;Select Fuel &gt;&gt;",$D556="&lt;&lt;Select Fuel &gt;&gt;"),"Select Fuel",IF($E560="&lt;Select&gt;","Submeter?",SUM(J553:J562))))</f>
        <v>0</v>
      </c>
      <c r="K563" s="1524">
        <f>IF(SUM(K553:K562)=0,0,IF(OR($D553="&lt;&lt;Select Fuel &gt;&gt;",$D555="&lt;&lt;Select Fuel &gt;&gt;",$D556="&lt;&lt;Select Fuel &gt;&gt;"),"Select Fuel",IF($E560="&lt;Select&gt;","Submeter?",SUM(K553:K562))))</f>
        <v>0</v>
      </c>
      <c r="L563" s="1524">
        <f>IF(SUM(L553:L562)=0,0,IF(OR($D553="&lt;&lt;Select Fuel &gt;&gt;",$D555="&lt;&lt;Select Fuel &gt;&gt;",$D556="&lt;&lt;Select Fuel &gt;&gt;"),"Select Fuel",IF($E560="&lt;Select&gt;","Submeter?",SUM(L553:L562))))</f>
        <v>0</v>
      </c>
      <c r="M563" s="1524">
        <f>IF(SUM(M553:M562)=0,0,IF(OR($D553="&lt;&lt;Select Fuel &gt;&gt;",$D555="&lt;&lt;Select Fuel &gt;&gt;",$D556="&lt;&lt;Select Fuel &gt;&gt;"),"Select Fuel",IF($E560="&lt;Select&gt;","Submeter?",SUM(M553:M562))))</f>
        <v>0</v>
      </c>
    </row>
    <row r="564" spans="1:357">
      <c r="A564" s="1154"/>
      <c r="B564" s="1154"/>
      <c r="C564" s="1154"/>
      <c r="D564" s="1154"/>
      <c r="E564" s="1154"/>
      <c r="F564" s="1154"/>
      <c r="G564" s="1154"/>
      <c r="H564" s="1154"/>
      <c r="I564" s="1154"/>
      <c r="J564" s="1154"/>
      <c r="K564" s="1154"/>
      <c r="L564" s="1154"/>
      <c r="M564" s="1154"/>
    </row>
    <row r="565" spans="1:357">
      <c r="A565" s="1154"/>
      <c r="B565" s="1186" t="s">
        <v>3688</v>
      </c>
      <c r="C565" s="1154"/>
      <c r="D565" s="1154"/>
      <c r="E565" s="1154"/>
      <c r="F565" s="1525"/>
      <c r="G565" s="1525"/>
      <c r="H565" s="1154"/>
      <c r="I565" s="1525"/>
      <c r="J565" s="1525"/>
      <c r="K565" s="1525"/>
      <c r="L565" s="1525"/>
      <c r="M565" s="1525"/>
    </row>
    <row r="566" spans="1:357">
      <c r="A566" s="1154"/>
      <c r="B566" s="1154" t="s">
        <v>531</v>
      </c>
      <c r="C566" s="1154"/>
      <c r="D566" s="1154"/>
      <c r="E566" s="1154"/>
      <c r="F566" s="1154"/>
      <c r="G566" s="1154"/>
      <c r="H566" s="1154"/>
      <c r="I566" s="1154"/>
      <c r="J566" s="1154"/>
      <c r="K566" s="1154"/>
      <c r="L566" s="1154"/>
      <c r="M566" s="1154"/>
    </row>
    <row r="567" spans="1:357">
      <c r="A567" s="1154"/>
      <c r="B567" s="1655">
        <f>'Part V-Utility Allowances'!B43</f>
        <v>0</v>
      </c>
      <c r="C567" s="1655"/>
      <c r="D567" s="1655"/>
      <c r="E567" s="1655"/>
      <c r="F567" s="1655"/>
      <c r="G567" s="1655"/>
      <c r="H567" s="1655"/>
      <c r="I567" s="1655"/>
      <c r="J567" s="1655"/>
      <c r="K567" s="1655"/>
      <c r="L567" s="1655"/>
      <c r="M567" s="1655"/>
    </row>
    <row r="568" spans="1:357">
      <c r="A568" s="1154"/>
      <c r="B568" s="1154"/>
      <c r="C568" s="1154"/>
      <c r="D568" s="1154"/>
      <c r="E568" s="1154"/>
      <c r="F568" s="1154"/>
      <c r="G568" s="1154"/>
      <c r="H568" s="1154"/>
      <c r="I568" s="1154"/>
      <c r="J568" s="1154"/>
      <c r="K568" s="1154"/>
      <c r="L568" s="1154"/>
      <c r="M568" s="1154"/>
    </row>
    <row r="569" spans="1:357">
      <c r="A569" s="1154"/>
      <c r="B569" s="1154" t="s">
        <v>1661</v>
      </c>
      <c r="C569" s="1154"/>
      <c r="D569" s="1154"/>
      <c r="E569" s="1154"/>
      <c r="F569" s="1154"/>
      <c r="G569" s="1154"/>
      <c r="H569" s="1154"/>
      <c r="I569" s="1154"/>
      <c r="J569" s="1154"/>
      <c r="K569" s="1154"/>
      <c r="L569" s="1154"/>
      <c r="M569" s="1154"/>
    </row>
    <row r="570" spans="1:357">
      <c r="A570" s="1154"/>
      <c r="B570" s="1655">
        <f>'Part V-Utility Allowances'!B46</f>
        <v>0</v>
      </c>
      <c r="C570" s="1655"/>
      <c r="D570" s="1655"/>
      <c r="E570" s="1655"/>
      <c r="F570" s="1655"/>
      <c r="G570" s="1655"/>
      <c r="H570" s="1655"/>
      <c r="I570" s="1655"/>
      <c r="J570" s="1655"/>
      <c r="K570" s="1655"/>
      <c r="L570" s="1655"/>
      <c r="M570" s="1655"/>
    </row>
    <row r="572" spans="1:357" s="1167" customFormat="1" ht="14.1" customHeight="1">
      <c r="A572" s="1167" t="str">
        <f>CONCATENATE("PART SIX - PROJECTED REVENUES &amp; EXPENSES","  -  ",'Part I-Project Information'!$O$4," ",'Part I-Project Information'!$F$24,", ",'Part I-Project Information'!F598,", ",'Part I-Project Information'!J599," County")</f>
        <v>PART SIX - PROJECTED REVENUES &amp; EXPENSES  -  20##-### SB OHF Test Villas, ,  County</v>
      </c>
      <c r="U572" s="1167" t="str">
        <f>A572</f>
        <v>PART SIX - PROJECTED REVENUES &amp; EXPENSES  -  20##-### SB OHF Test Villas, ,  County</v>
      </c>
      <c r="HW572" s="1524"/>
      <c r="HX572" s="1524"/>
      <c r="HY572" s="1524"/>
      <c r="HZ572" s="1524"/>
      <c r="IA572" s="1524"/>
      <c r="IB572" s="1524"/>
      <c r="IC572" s="1524"/>
      <c r="ID572" s="1524"/>
      <c r="IE572" s="1524"/>
      <c r="IF572" s="1524"/>
      <c r="IG572" s="1524"/>
      <c r="IH572" s="1524"/>
      <c r="II572" s="1524"/>
      <c r="IJ572" s="1524"/>
      <c r="IK572" s="1524"/>
      <c r="IL572" s="1524"/>
      <c r="IM572" s="1524"/>
      <c r="IN572" s="1524"/>
      <c r="IO572" s="1524"/>
      <c r="IP572" s="1524"/>
      <c r="IQ572" s="1524"/>
      <c r="IR572" s="1524"/>
      <c r="IS572" s="1524"/>
      <c r="IT572" s="1524"/>
      <c r="IU572" s="1524"/>
      <c r="IV572" s="1524"/>
      <c r="IW572" s="1524"/>
      <c r="IX572" s="1524"/>
      <c r="IY572" s="1524"/>
      <c r="IZ572" s="1524"/>
      <c r="JA572" s="1524"/>
      <c r="JB572" s="1524"/>
      <c r="JC572" s="1524"/>
      <c r="JD572" s="1524"/>
      <c r="JE572" s="1524"/>
      <c r="JF572" s="1524"/>
      <c r="JG572" s="1524"/>
      <c r="JH572" s="1524"/>
      <c r="JI572" s="1524"/>
      <c r="JJ572" s="1524"/>
      <c r="JK572" s="1524"/>
      <c r="JL572" s="1524"/>
      <c r="JM572" s="1524"/>
      <c r="JN572" s="1524"/>
      <c r="JO572" s="1524"/>
      <c r="JP572" s="1524"/>
      <c r="JQ572" s="1524"/>
      <c r="JR572" s="1524"/>
      <c r="JS572" s="1524"/>
      <c r="JT572" s="1524"/>
      <c r="JU572" s="1524"/>
      <c r="JV572" s="1524"/>
      <c r="JW572" s="1524"/>
      <c r="JX572" s="1524"/>
      <c r="JY572" s="1524"/>
      <c r="JZ572" s="1524"/>
      <c r="KA572" s="1524"/>
      <c r="KB572" s="1524"/>
      <c r="KC572" s="1524"/>
      <c r="KD572" s="1524"/>
      <c r="KE572" s="1524"/>
      <c r="KF572" s="1524"/>
      <c r="KG572" s="1524"/>
      <c r="KH572" s="1524"/>
      <c r="KI572" s="1524"/>
      <c r="KJ572" s="1524"/>
      <c r="KK572" s="1524"/>
      <c r="KL572" s="1524"/>
      <c r="KM572" s="1524"/>
      <c r="KN572" s="1524"/>
      <c r="KQ572" s="1524"/>
      <c r="KR572" s="1524"/>
      <c r="KS572" s="1524"/>
    </row>
    <row r="573" spans="1:357" s="1154" customFormat="1" ht="6" customHeight="1">
      <c r="W573" s="1656"/>
      <c r="X573" s="1656"/>
      <c r="Y573" s="1656"/>
      <c r="Z573" s="1656"/>
      <c r="AA573" s="1656"/>
      <c r="AB573" s="1656"/>
      <c r="AC573" s="1656"/>
      <c r="AD573" s="1656"/>
      <c r="AE573" s="1656"/>
      <c r="AF573" s="1656"/>
      <c r="AG573" s="1656"/>
      <c r="AH573" s="1656"/>
      <c r="AI573" s="1656"/>
      <c r="AJ573" s="1656"/>
      <c r="AK573" s="1656"/>
      <c r="AL573" s="1656"/>
      <c r="AM573" s="1656"/>
      <c r="AN573" s="1656"/>
      <c r="AO573" s="1656"/>
      <c r="AP573" s="1656"/>
      <c r="AQ573" s="1656"/>
      <c r="AR573" s="1656"/>
      <c r="AS573" s="1656"/>
      <c r="AT573" s="1656"/>
      <c r="AU573" s="1656"/>
      <c r="AV573" s="1656"/>
      <c r="AW573" s="1656"/>
      <c r="AX573" s="1656"/>
      <c r="AY573" s="1656"/>
      <c r="AZ573" s="1656"/>
      <c r="BA573" s="1656"/>
      <c r="BB573" s="1656"/>
      <c r="BC573" s="1656"/>
      <c r="BD573" s="1656"/>
      <c r="BE573" s="1656"/>
      <c r="BF573" s="1656"/>
      <c r="BG573" s="1656"/>
      <c r="BH573" s="1656"/>
      <c r="BI573" s="1656"/>
      <c r="BJ573" s="1656"/>
      <c r="BK573" s="1656"/>
      <c r="BL573" s="1656"/>
      <c r="BM573" s="1656"/>
      <c r="BN573" s="1656"/>
      <c r="BO573" s="1656"/>
      <c r="BP573" s="1656"/>
      <c r="BQ573" s="1656"/>
      <c r="BR573" s="1656"/>
      <c r="BS573" s="1656"/>
      <c r="BT573" s="1656"/>
      <c r="BU573" s="1656"/>
      <c r="BV573" s="1656"/>
      <c r="BW573" s="1656"/>
      <c r="BX573" s="1656"/>
      <c r="BY573" s="1656"/>
      <c r="BZ573" s="1656"/>
      <c r="CA573" s="1656"/>
      <c r="CB573" s="1656"/>
      <c r="CC573" s="1656"/>
      <c r="CD573" s="1656"/>
      <c r="CE573" s="1656"/>
      <c r="CF573" s="1656"/>
      <c r="CG573" s="1656"/>
      <c r="CH573" s="1656"/>
      <c r="CI573" s="1656"/>
      <c r="CJ573" s="1656"/>
      <c r="CK573" s="1656"/>
      <c r="CL573" s="1656"/>
      <c r="CM573" s="1656"/>
      <c r="CN573" s="1656"/>
      <c r="CO573" s="1656"/>
      <c r="CP573" s="1656"/>
      <c r="CQ573" s="1656"/>
      <c r="CR573" s="1656"/>
      <c r="CS573" s="1656"/>
      <c r="CT573" s="1656"/>
      <c r="CU573" s="1656"/>
      <c r="CV573" s="1656"/>
      <c r="CW573" s="1656"/>
      <c r="CX573" s="1656"/>
      <c r="CY573" s="1656"/>
      <c r="CZ573" s="1656"/>
      <c r="DA573" s="1656"/>
      <c r="DB573" s="1656"/>
      <c r="DC573" s="1656"/>
      <c r="DD573" s="1656"/>
      <c r="DE573" s="1656"/>
      <c r="DF573" s="1656"/>
      <c r="DG573" s="1656"/>
      <c r="DH573" s="1656"/>
      <c r="DI573" s="1656"/>
      <c r="DJ573" s="1656"/>
      <c r="DK573" s="1656"/>
      <c r="DL573" s="1656"/>
      <c r="DM573" s="1656"/>
      <c r="DN573" s="1656"/>
      <c r="DO573" s="1656"/>
      <c r="DP573" s="1656"/>
      <c r="DQ573" s="1656"/>
      <c r="DR573" s="1656"/>
      <c r="DS573" s="1656"/>
      <c r="DT573" s="1656"/>
      <c r="DU573" s="1656"/>
      <c r="DV573" s="1656"/>
      <c r="DW573" s="1656"/>
      <c r="DX573" s="1656"/>
      <c r="DY573" s="1656"/>
      <c r="DZ573" s="1656"/>
      <c r="EA573" s="1656"/>
      <c r="EB573" s="1656"/>
      <c r="EC573" s="1656"/>
      <c r="ED573" s="1656"/>
      <c r="EE573" s="1656"/>
      <c r="EF573" s="1656"/>
      <c r="EG573" s="1656"/>
      <c r="EH573" s="1656"/>
      <c r="EI573" s="1656"/>
      <c r="EJ573" s="1656"/>
      <c r="EK573" s="1656"/>
      <c r="EL573" s="1656"/>
      <c r="EM573" s="1656"/>
      <c r="EN573" s="1656"/>
      <c r="EO573" s="1656"/>
      <c r="EP573" s="1656"/>
      <c r="EQ573" s="1656"/>
      <c r="ER573" s="1656"/>
      <c r="ES573" s="1656"/>
      <c r="ET573" s="1656"/>
      <c r="EU573" s="1656"/>
      <c r="EV573" s="1656"/>
      <c r="EW573" s="1656"/>
      <c r="EX573" s="1656"/>
      <c r="EY573" s="1656"/>
      <c r="EZ573" s="1656"/>
      <c r="FA573" s="1656"/>
      <c r="FB573" s="1656"/>
      <c r="FC573" s="1656"/>
      <c r="FD573" s="1656"/>
      <c r="FE573" s="1656"/>
      <c r="FF573" s="1656"/>
      <c r="FG573" s="1656"/>
      <c r="FH573" s="1656"/>
      <c r="FI573" s="1656"/>
      <c r="FJ573" s="1656"/>
      <c r="FK573" s="1656"/>
      <c r="FL573" s="1656"/>
      <c r="FM573" s="1656"/>
      <c r="FN573" s="1656"/>
      <c r="FO573" s="1656"/>
      <c r="FP573" s="1656"/>
      <c r="FQ573" s="1656"/>
      <c r="FR573" s="1656"/>
      <c r="FS573" s="1656"/>
      <c r="FT573" s="1656"/>
      <c r="FU573" s="1656"/>
      <c r="FV573" s="1656"/>
      <c r="FW573" s="1656"/>
      <c r="FX573" s="1656"/>
      <c r="FY573" s="1656"/>
      <c r="FZ573" s="1656"/>
      <c r="GA573" s="1656"/>
      <c r="GB573" s="1656"/>
      <c r="GC573" s="1656"/>
      <c r="GD573" s="1656"/>
      <c r="GE573" s="1656"/>
      <c r="GF573" s="1656"/>
      <c r="GG573" s="1656"/>
      <c r="GH573" s="1656"/>
      <c r="GI573" s="1656"/>
      <c r="GJ573" s="1656"/>
      <c r="GK573" s="1656"/>
      <c r="GL573" s="1656"/>
      <c r="GM573" s="1656"/>
      <c r="GN573" s="1656"/>
      <c r="GO573" s="1656"/>
      <c r="GP573" s="1656"/>
      <c r="GQ573" s="1656"/>
      <c r="GR573" s="1656"/>
      <c r="GS573" s="1656"/>
      <c r="GT573" s="1656"/>
      <c r="GU573" s="1656"/>
      <c r="GV573" s="1656"/>
      <c r="GW573" s="1656"/>
      <c r="GX573" s="1656"/>
      <c r="GY573" s="1656"/>
      <c r="GZ573" s="1656"/>
      <c r="HA573" s="1656"/>
      <c r="HB573" s="1656"/>
      <c r="HC573" s="1656"/>
      <c r="HD573" s="1656"/>
      <c r="HE573" s="1656"/>
      <c r="HF573" s="1656"/>
      <c r="HG573" s="1656"/>
      <c r="HH573" s="1656"/>
      <c r="HI573" s="1656"/>
      <c r="HJ573" s="1656"/>
      <c r="HK573" s="1656"/>
      <c r="HL573" s="1656"/>
      <c r="HM573" s="1656"/>
      <c r="HN573" s="1656"/>
      <c r="HO573" s="1656"/>
      <c r="HP573" s="1656"/>
      <c r="HQ573" s="1656"/>
      <c r="HR573" s="1656"/>
      <c r="HS573" s="1656"/>
      <c r="HT573" s="1656"/>
      <c r="HU573" s="1656"/>
      <c r="HV573" s="1656"/>
      <c r="HW573" s="1656"/>
      <c r="HX573" s="1656"/>
      <c r="HY573" s="1657"/>
      <c r="HZ573" s="1657"/>
      <c r="IA573" s="1657"/>
      <c r="IB573" s="1657"/>
      <c r="IC573" s="1657"/>
      <c r="ID573" s="1657"/>
      <c r="IE573" s="1657"/>
      <c r="IF573" s="1657"/>
      <c r="IG573" s="1657"/>
      <c r="IH573" s="1657"/>
      <c r="II573" s="1657"/>
      <c r="IJ573" s="1657"/>
      <c r="IK573" s="1657"/>
      <c r="IL573" s="1657"/>
      <c r="IM573" s="1657"/>
      <c r="IN573" s="1657"/>
      <c r="IO573" s="1657"/>
      <c r="IP573" s="1657"/>
      <c r="IQ573" s="1657"/>
      <c r="IR573" s="1657"/>
      <c r="IS573" s="1657"/>
      <c r="IT573" s="1657"/>
      <c r="IU573" s="1657"/>
      <c r="IV573" s="1657"/>
      <c r="IW573" s="1657"/>
      <c r="IX573" s="1657"/>
      <c r="IY573" s="1657"/>
      <c r="IZ573" s="1657"/>
      <c r="JA573" s="1657"/>
      <c r="JB573" s="1657"/>
      <c r="JC573" s="1657"/>
      <c r="JD573" s="1657"/>
      <c r="JE573" s="1657"/>
      <c r="JF573" s="1657"/>
      <c r="JG573" s="1657"/>
      <c r="JH573" s="1657"/>
      <c r="JI573" s="1657"/>
      <c r="JJ573" s="1657"/>
      <c r="JK573" s="1657"/>
      <c r="JL573" s="1657"/>
      <c r="JM573" s="1657"/>
      <c r="JN573" s="1657"/>
      <c r="JO573" s="1657"/>
      <c r="JP573" s="1657"/>
      <c r="JQ573" s="1657"/>
      <c r="JR573" s="1657"/>
      <c r="JS573" s="1657"/>
      <c r="JT573" s="1657"/>
      <c r="JU573" s="1657"/>
      <c r="JV573" s="1657"/>
      <c r="JW573" s="1657"/>
      <c r="JX573" s="1657"/>
      <c r="JY573" s="1657"/>
      <c r="JZ573" s="1657"/>
      <c r="KA573" s="1657"/>
      <c r="KB573" s="1657"/>
      <c r="KC573" s="1657"/>
      <c r="KD573" s="1657"/>
      <c r="KE573" s="1657"/>
      <c r="KF573" s="1657"/>
      <c r="KG573" s="1657"/>
      <c r="KH573" s="1657"/>
      <c r="KI573" s="1657"/>
      <c r="KJ573" s="1657"/>
      <c r="KK573" s="1657"/>
      <c r="KL573" s="1657"/>
      <c r="KM573" s="1657"/>
      <c r="KN573" s="1657"/>
      <c r="KO573" s="1657"/>
      <c r="KP573" s="1657"/>
      <c r="KQ573" s="1657"/>
      <c r="KR573" s="1657"/>
      <c r="KS573" s="1657"/>
      <c r="KT573" s="1657"/>
      <c r="KU573" s="1657"/>
      <c r="KV573" s="1656"/>
      <c r="KW573" s="1656"/>
      <c r="KX573" s="1656"/>
      <c r="KY573" s="1656"/>
      <c r="KZ573" s="1656"/>
      <c r="LA573" s="1656"/>
      <c r="LB573" s="1656"/>
      <c r="LC573" s="1656"/>
      <c r="LD573" s="1656"/>
      <c r="LE573" s="1656"/>
      <c r="LK573" s="1656"/>
      <c r="LL573" s="1656"/>
      <c r="LM573" s="1656"/>
      <c r="LN573" s="1656"/>
      <c r="LO573" s="1656"/>
      <c r="LP573" s="1656"/>
      <c r="LQ573" s="1656"/>
      <c r="LR573" s="1656"/>
      <c r="LS573" s="1656"/>
      <c r="LT573" s="1656"/>
      <c r="LU573" s="1656"/>
      <c r="LV573" s="1656"/>
      <c r="LW573" s="1656"/>
      <c r="LX573" s="1656"/>
      <c r="LY573" s="1656"/>
      <c r="LZ573" s="1656"/>
      <c r="MA573" s="1656"/>
      <c r="MB573" s="1656"/>
      <c r="MC573" s="1656"/>
      <c r="MD573" s="1656"/>
    </row>
    <row r="574" spans="1:357" s="1167" customFormat="1" ht="12.6" customHeight="1">
      <c r="A574" s="1167" t="s">
        <v>572</v>
      </c>
      <c r="B574" s="1167" t="s">
        <v>2103</v>
      </c>
      <c r="D574" s="1658" t="s">
        <v>3108</v>
      </c>
      <c r="U574" s="1167" t="str">
        <f>B574</f>
        <v>RENT SCHEDULE</v>
      </c>
      <c r="W574" s="1659"/>
      <c r="X574" s="1659"/>
      <c r="Y574" s="1659"/>
      <c r="Z574" s="1659"/>
      <c r="AA574" s="1659"/>
      <c r="AB574" s="1659"/>
      <c r="AC574" s="1659"/>
      <c r="AD574" s="1659"/>
      <c r="AE574" s="1659"/>
      <c r="AF574" s="1659"/>
      <c r="AG574" s="1659"/>
      <c r="AH574" s="1659"/>
      <c r="AI574" s="1659"/>
      <c r="AJ574" s="1659"/>
      <c r="AK574" s="1659"/>
      <c r="AL574" s="1659"/>
      <c r="AM574" s="1659"/>
      <c r="AN574" s="1659"/>
      <c r="AO574" s="1659"/>
      <c r="AP574" s="1659"/>
      <c r="AQ574" s="1659"/>
      <c r="AR574" s="1659"/>
      <c r="AS574" s="1659"/>
      <c r="AT574" s="1659"/>
      <c r="AU574" s="1659"/>
      <c r="AV574" s="1659"/>
      <c r="AW574" s="1659"/>
      <c r="AX574" s="1659"/>
      <c r="AY574" s="1659"/>
      <c r="AZ574" s="1659"/>
      <c r="BA574" s="1659"/>
      <c r="BB574" s="1659"/>
      <c r="BC574" s="1659"/>
      <c r="BD574" s="1659"/>
      <c r="BE574" s="1659"/>
      <c r="BF574" s="1659"/>
      <c r="BG574" s="1659"/>
      <c r="BH574" s="1659"/>
      <c r="BI574" s="1659"/>
      <c r="BJ574" s="1659"/>
      <c r="BK574" s="1659"/>
      <c r="BL574" s="1659"/>
      <c r="BM574" s="1659"/>
      <c r="BN574" s="1659"/>
      <c r="BO574" s="1659"/>
      <c r="BP574" s="1659"/>
      <c r="BQ574" s="1659"/>
      <c r="BR574" s="1659"/>
      <c r="BS574" s="1659"/>
      <c r="BT574" s="1659"/>
      <c r="BU574" s="1659"/>
      <c r="BV574" s="1659"/>
      <c r="BW574" s="1659"/>
      <c r="BX574" s="1659"/>
      <c r="BY574" s="1659"/>
      <c r="BZ574" s="1659"/>
      <c r="CA574" s="1659"/>
      <c r="CB574" s="1659"/>
      <c r="CC574" s="1659"/>
      <c r="CD574" s="1659"/>
      <c r="CE574" s="1659"/>
      <c r="CF574" s="1659"/>
      <c r="CG574" s="1659"/>
      <c r="CH574" s="1659"/>
      <c r="CI574" s="1659"/>
      <c r="CJ574" s="1659"/>
      <c r="CK574" s="1659"/>
      <c r="CL574" s="1659"/>
      <c r="CM574" s="1659"/>
      <c r="CN574" s="1659"/>
      <c r="CO574" s="1659"/>
      <c r="CP574" s="1659"/>
      <c r="CQ574" s="1659"/>
      <c r="CR574" s="1659"/>
      <c r="CS574" s="1659"/>
      <c r="CT574" s="1659"/>
      <c r="CU574" s="1659"/>
      <c r="CV574" s="1659"/>
      <c r="CW574" s="1659"/>
      <c r="CX574" s="1659"/>
      <c r="CY574" s="1659"/>
      <c r="CZ574" s="1659"/>
      <c r="DA574" s="1659"/>
      <c r="DB574" s="1659"/>
      <c r="DC574" s="1659"/>
      <c r="DD574" s="1659"/>
      <c r="DE574" s="1659"/>
      <c r="DF574" s="1659"/>
      <c r="DG574" s="1659"/>
      <c r="DH574" s="1659"/>
      <c r="DI574" s="1659"/>
      <c r="DJ574" s="1659"/>
      <c r="DK574" s="1659"/>
      <c r="DL574" s="1659"/>
      <c r="DM574" s="1659"/>
      <c r="DN574" s="1659"/>
      <c r="DO574" s="1659"/>
      <c r="DP574" s="1659"/>
      <c r="DQ574" s="1659"/>
      <c r="DR574" s="1659"/>
      <c r="DS574" s="1659"/>
      <c r="DT574" s="1659"/>
      <c r="DU574" s="1659"/>
      <c r="DV574" s="1659"/>
      <c r="DW574" s="1659"/>
      <c r="DX574" s="1659"/>
      <c r="DY574" s="1659"/>
      <c r="DZ574" s="1659"/>
      <c r="EA574" s="1659"/>
      <c r="EB574" s="1659"/>
      <c r="EC574" s="1659"/>
      <c r="ED574" s="1659"/>
      <c r="EE574" s="1659"/>
      <c r="EF574" s="1659"/>
      <c r="EG574" s="1659"/>
      <c r="EH574" s="1659"/>
      <c r="EI574" s="1659"/>
      <c r="EJ574" s="1659"/>
      <c r="EK574" s="1659"/>
      <c r="EL574" s="1659"/>
      <c r="EM574" s="1659"/>
      <c r="EN574" s="1659"/>
      <c r="EO574" s="1659"/>
      <c r="EP574" s="1659"/>
      <c r="EQ574" s="1659"/>
      <c r="ER574" s="1659"/>
      <c r="ES574" s="1659"/>
      <c r="ET574" s="1659"/>
      <c r="EU574" s="1659"/>
      <c r="EV574" s="1659"/>
      <c r="EW574" s="1659"/>
      <c r="EX574" s="1659"/>
      <c r="EY574" s="1659"/>
      <c r="EZ574" s="1659"/>
      <c r="FA574" s="1659"/>
      <c r="FB574" s="1659"/>
      <c r="FC574" s="1659"/>
      <c r="FD574" s="1659"/>
      <c r="FE574" s="1659"/>
      <c r="FF574" s="1659"/>
      <c r="FG574" s="1659"/>
      <c r="FH574" s="1659"/>
      <c r="FI574" s="1659"/>
      <c r="FJ574" s="1659"/>
      <c r="FK574" s="1659"/>
      <c r="FL574" s="1659"/>
      <c r="FM574" s="1659"/>
      <c r="FN574" s="1659"/>
      <c r="FO574" s="1659"/>
      <c r="FP574" s="1659"/>
      <c r="FQ574" s="1659"/>
      <c r="FR574" s="1659"/>
      <c r="FS574" s="1659"/>
      <c r="FT574" s="1659"/>
      <c r="FU574" s="1659"/>
      <c r="FV574" s="1659"/>
      <c r="FW574" s="1659"/>
      <c r="FX574" s="1659"/>
      <c r="FY574" s="1659"/>
      <c r="FZ574" s="1659"/>
      <c r="GA574" s="1659"/>
      <c r="GB574" s="1659"/>
      <c r="GC574" s="1659"/>
      <c r="GD574" s="1659"/>
      <c r="GE574" s="1659"/>
      <c r="GF574" s="1659"/>
      <c r="GG574" s="1659"/>
      <c r="GH574" s="1659"/>
      <c r="GI574" s="1659"/>
      <c r="GJ574" s="1659"/>
      <c r="GK574" s="1659"/>
      <c r="GL574" s="1659"/>
      <c r="GM574" s="1659"/>
      <c r="GN574" s="1659"/>
      <c r="GO574" s="1659"/>
      <c r="GP574" s="1659"/>
      <c r="GQ574" s="1659"/>
      <c r="GR574" s="1659"/>
      <c r="GS574" s="1659"/>
      <c r="GT574" s="1659"/>
      <c r="GU574" s="1659"/>
      <c r="GV574" s="1659"/>
      <c r="GW574" s="1659"/>
      <c r="GX574" s="1659"/>
      <c r="GY574" s="1659"/>
      <c r="GZ574" s="1659"/>
      <c r="HA574" s="1659"/>
      <c r="HB574" s="1659"/>
      <c r="HC574" s="1659"/>
      <c r="HD574" s="1659"/>
      <c r="HE574" s="1659"/>
      <c r="HF574" s="1659"/>
      <c r="HG574" s="1659"/>
      <c r="HH574" s="1659"/>
      <c r="HI574" s="1659"/>
      <c r="HJ574" s="1659"/>
      <c r="HK574" s="1659"/>
      <c r="HL574" s="1659"/>
      <c r="HM574" s="1659"/>
      <c r="HN574" s="1659"/>
      <c r="HO574" s="1659"/>
      <c r="HP574" s="1659"/>
      <c r="HQ574" s="1659"/>
      <c r="HR574" s="1659"/>
      <c r="HS574" s="1659"/>
      <c r="HT574" s="1659"/>
      <c r="HU574" s="1659"/>
      <c r="HV574" s="1659"/>
      <c r="HW574" s="1659"/>
      <c r="HX574" s="1659"/>
      <c r="HY574" s="1660"/>
      <c r="HZ574" s="1660"/>
      <c r="IA574" s="1660"/>
      <c r="IB574" s="1660"/>
      <c r="IC574" s="1660"/>
      <c r="ID574" s="1657" t="s">
        <v>456</v>
      </c>
      <c r="IE574" s="1657" t="s">
        <v>2165</v>
      </c>
      <c r="IF574" s="1657" t="s">
        <v>2166</v>
      </c>
      <c r="IG574" s="1657" t="s">
        <v>2167</v>
      </c>
      <c r="IH574" s="1657" t="s">
        <v>2168</v>
      </c>
      <c r="II574" s="1657" t="s">
        <v>456</v>
      </c>
      <c r="IJ574" s="1657" t="s">
        <v>2165</v>
      </c>
      <c r="IK574" s="1657" t="s">
        <v>2166</v>
      </c>
      <c r="IL574" s="1657" t="s">
        <v>2167</v>
      </c>
      <c r="IM574" s="1657" t="s">
        <v>2168</v>
      </c>
      <c r="IN574" s="1660"/>
      <c r="IO574" s="1660"/>
      <c r="IP574" s="1660"/>
      <c r="IQ574" s="1660"/>
      <c r="IR574" s="1660"/>
      <c r="IS574" s="1660"/>
      <c r="IT574" s="1660"/>
      <c r="IU574" s="1660"/>
      <c r="IV574" s="1660"/>
      <c r="IW574" s="1660"/>
      <c r="IX574" s="1657" t="s">
        <v>456</v>
      </c>
      <c r="IY574" s="1657" t="s">
        <v>2165</v>
      </c>
      <c r="IZ574" s="1657" t="s">
        <v>2166</v>
      </c>
      <c r="JA574" s="1657" t="s">
        <v>2167</v>
      </c>
      <c r="JB574" s="1657" t="s">
        <v>2168</v>
      </c>
      <c r="JC574" s="1657" t="s">
        <v>456</v>
      </c>
      <c r="JD574" s="1657" t="s">
        <v>2165</v>
      </c>
      <c r="JE574" s="1657" t="s">
        <v>2166</v>
      </c>
      <c r="JF574" s="1657" t="s">
        <v>2167</v>
      </c>
      <c r="JG574" s="1657" t="s">
        <v>2168</v>
      </c>
      <c r="JH574" s="1657" t="s">
        <v>456</v>
      </c>
      <c r="JI574" s="1657" t="s">
        <v>2165</v>
      </c>
      <c r="JJ574" s="1657" t="s">
        <v>2166</v>
      </c>
      <c r="JK574" s="1657" t="s">
        <v>2167</v>
      </c>
      <c r="JL574" s="1657" t="s">
        <v>2168</v>
      </c>
      <c r="JM574" s="1657" t="s">
        <v>456</v>
      </c>
      <c r="JN574" s="1657" t="s">
        <v>2165</v>
      </c>
      <c r="JO574" s="1657" t="s">
        <v>2166</v>
      </c>
      <c r="JP574" s="1657" t="s">
        <v>2167</v>
      </c>
      <c r="JQ574" s="1657" t="s">
        <v>2168</v>
      </c>
      <c r="JR574" s="1657" t="s">
        <v>456</v>
      </c>
      <c r="JS574" s="1657" t="s">
        <v>2165</v>
      </c>
      <c r="JT574" s="1657" t="s">
        <v>2166</v>
      </c>
      <c r="JU574" s="1657" t="s">
        <v>2167</v>
      </c>
      <c r="JV574" s="1657" t="s">
        <v>2168</v>
      </c>
      <c r="JW574" s="1657" t="s">
        <v>456</v>
      </c>
      <c r="JX574" s="1657" t="s">
        <v>2165</v>
      </c>
      <c r="JY574" s="1657" t="s">
        <v>2166</v>
      </c>
      <c r="JZ574" s="1657" t="s">
        <v>2167</v>
      </c>
      <c r="KA574" s="1657" t="s">
        <v>2168</v>
      </c>
      <c r="KB574" s="1657" t="s">
        <v>456</v>
      </c>
      <c r="KC574" s="1657" t="s">
        <v>2165</v>
      </c>
      <c r="KD574" s="1657" t="s">
        <v>2166</v>
      </c>
      <c r="KE574" s="1657" t="s">
        <v>2167</v>
      </c>
      <c r="KF574" s="1657" t="s">
        <v>2168</v>
      </c>
      <c r="KG574" s="1657" t="s">
        <v>456</v>
      </c>
      <c r="KH574" s="1657" t="s">
        <v>2165</v>
      </c>
      <c r="KI574" s="1657" t="s">
        <v>2166</v>
      </c>
      <c r="KJ574" s="1657" t="s">
        <v>2167</v>
      </c>
      <c r="KK574" s="1657" t="s">
        <v>2168</v>
      </c>
      <c r="KL574" s="1657" t="s">
        <v>456</v>
      </c>
      <c r="KM574" s="1657" t="s">
        <v>2165</v>
      </c>
      <c r="KN574" s="1657" t="s">
        <v>2166</v>
      </c>
      <c r="KO574" s="1657" t="s">
        <v>2167</v>
      </c>
      <c r="KP574" s="1657" t="s">
        <v>2168</v>
      </c>
      <c r="KQ574" s="1657" t="s">
        <v>456</v>
      </c>
      <c r="KR574" s="1657" t="s">
        <v>2165</v>
      </c>
      <c r="KS574" s="1657" t="s">
        <v>2166</v>
      </c>
      <c r="KT574" s="1657" t="s">
        <v>2167</v>
      </c>
      <c r="KU574" s="1657" t="s">
        <v>2168</v>
      </c>
      <c r="KV574" s="1657" t="s">
        <v>456</v>
      </c>
      <c r="KW574" s="1657" t="s">
        <v>2165</v>
      </c>
      <c r="KX574" s="1657" t="s">
        <v>2166</v>
      </c>
      <c r="KY574" s="1657" t="s">
        <v>2167</v>
      </c>
      <c r="KZ574" s="1657" t="s">
        <v>2168</v>
      </c>
      <c r="LA574" s="1657" t="s">
        <v>456</v>
      </c>
      <c r="LB574" s="1657" t="s">
        <v>2165</v>
      </c>
      <c r="LC574" s="1657" t="s">
        <v>2166</v>
      </c>
      <c r="LD574" s="1657" t="s">
        <v>2167</v>
      </c>
      <c r="LE574" s="1657" t="s">
        <v>2168</v>
      </c>
      <c r="LK574" s="1659"/>
      <c r="LL574" s="1659"/>
      <c r="LM574" s="1659"/>
      <c r="LN574" s="1659"/>
      <c r="LO574" s="1659"/>
      <c r="LP574" s="1659"/>
      <c r="LQ574" s="1659"/>
      <c r="LR574" s="1659"/>
      <c r="LS574" s="1659"/>
      <c r="LT574" s="1659"/>
      <c r="LU574" s="1659"/>
      <c r="LV574" s="1659"/>
      <c r="LW574" s="1659"/>
      <c r="LX574" s="1659"/>
      <c r="LY574" s="1659"/>
      <c r="LZ574" s="1659"/>
      <c r="MA574" s="1659"/>
      <c r="MB574" s="1659"/>
      <c r="MC574" s="1659"/>
      <c r="MD574" s="1659"/>
      <c r="ME574" s="1661" t="s">
        <v>2978</v>
      </c>
      <c r="MF574" s="1661" t="s">
        <v>2979</v>
      </c>
      <c r="MG574" s="1661" t="s">
        <v>2980</v>
      </c>
      <c r="MH574" s="1661" t="s">
        <v>2981</v>
      </c>
      <c r="MI574" s="1661" t="s">
        <v>2982</v>
      </c>
    </row>
    <row r="575" spans="1:357" s="1167" customFormat="1" ht="3" customHeight="1">
      <c r="P575" s="1662" t="s">
        <v>3742</v>
      </c>
      <c r="Q575" s="1663"/>
      <c r="R575" s="1527"/>
      <c r="S575" s="1527"/>
      <c r="T575" s="1527"/>
      <c r="U575" s="1527"/>
      <c r="W575" s="1662" t="s">
        <v>3287</v>
      </c>
      <c r="X575" s="1662" t="s">
        <v>3288</v>
      </c>
      <c r="Y575" s="1662" t="s">
        <v>3289</v>
      </c>
      <c r="Z575" s="1662" t="s">
        <v>3290</v>
      </c>
      <c r="AA575" s="1662" t="s">
        <v>3291</v>
      </c>
      <c r="AB575" s="1662" t="s">
        <v>3292</v>
      </c>
      <c r="AC575" s="1662" t="s">
        <v>3293</v>
      </c>
      <c r="AD575" s="1662" t="s">
        <v>3294</v>
      </c>
      <c r="AE575" s="1662" t="s">
        <v>3295</v>
      </c>
      <c r="AF575" s="1662" t="s">
        <v>3296</v>
      </c>
      <c r="AG575" s="1662" t="s">
        <v>858</v>
      </c>
      <c r="AH575" s="1662" t="s">
        <v>700</v>
      </c>
      <c r="AI575" s="1662" t="s">
        <v>701</v>
      </c>
      <c r="AJ575" s="1662" t="s">
        <v>702</v>
      </c>
      <c r="AK575" s="1662" t="s">
        <v>703</v>
      </c>
      <c r="AL575" s="1662" t="s">
        <v>859</v>
      </c>
      <c r="AM575" s="1662" t="s">
        <v>2053</v>
      </c>
      <c r="AN575" s="1662" t="s">
        <v>2054</v>
      </c>
      <c r="AO575" s="1662" t="s">
        <v>2055</v>
      </c>
      <c r="AP575" s="1662" t="s">
        <v>2056</v>
      </c>
      <c r="AQ575" s="1662" t="s">
        <v>3297</v>
      </c>
      <c r="AR575" s="1662" t="s">
        <v>3298</v>
      </c>
      <c r="AS575" s="1662" t="s">
        <v>3299</v>
      </c>
      <c r="AT575" s="1662" t="s">
        <v>3300</v>
      </c>
      <c r="AU575" s="1662" t="s">
        <v>3301</v>
      </c>
      <c r="AV575" s="1662" t="s">
        <v>860</v>
      </c>
      <c r="AW575" s="1662" t="s">
        <v>2057</v>
      </c>
      <c r="AX575" s="1662" t="s">
        <v>2058</v>
      </c>
      <c r="AY575" s="1662" t="s">
        <v>2059</v>
      </c>
      <c r="AZ575" s="1662" t="s">
        <v>2060</v>
      </c>
      <c r="BA575" s="1662" t="s">
        <v>3302</v>
      </c>
      <c r="BB575" s="1662" t="s">
        <v>3303</v>
      </c>
      <c r="BC575" s="1662" t="s">
        <v>3304</v>
      </c>
      <c r="BD575" s="1662" t="s">
        <v>3305</v>
      </c>
      <c r="BE575" s="1662" t="s">
        <v>3306</v>
      </c>
      <c r="BF575" s="1662" t="s">
        <v>116</v>
      </c>
      <c r="BG575" s="1662" t="s">
        <v>2061</v>
      </c>
      <c r="BH575" s="1662" t="s">
        <v>2062</v>
      </c>
      <c r="BI575" s="1662" t="s">
        <v>2063</v>
      </c>
      <c r="BJ575" s="1662" t="s">
        <v>1064</v>
      </c>
      <c r="BK575" s="1662" t="s">
        <v>3307</v>
      </c>
      <c r="BL575" s="1662" t="s">
        <v>3308</v>
      </c>
      <c r="BM575" s="1662" t="s">
        <v>3309</v>
      </c>
      <c r="BN575" s="1662" t="s">
        <v>3310</v>
      </c>
      <c r="BO575" s="1662" t="s">
        <v>3311</v>
      </c>
      <c r="BP575" s="1662" t="s">
        <v>517</v>
      </c>
      <c r="BQ575" s="1662" t="s">
        <v>518</v>
      </c>
      <c r="BR575" s="1662" t="s">
        <v>536</v>
      </c>
      <c r="BS575" s="1662" t="s">
        <v>537</v>
      </c>
      <c r="BT575" s="1662" t="s">
        <v>538</v>
      </c>
      <c r="BU575" s="1662" t="s">
        <v>3312</v>
      </c>
      <c r="BV575" s="1662" t="s">
        <v>3313</v>
      </c>
      <c r="BW575" s="1662" t="s">
        <v>3314</v>
      </c>
      <c r="BX575" s="1662" t="s">
        <v>3315</v>
      </c>
      <c r="BY575" s="1662" t="s">
        <v>3316</v>
      </c>
      <c r="BZ575" s="1662" t="s">
        <v>539</v>
      </c>
      <c r="CA575" s="1662" t="s">
        <v>540</v>
      </c>
      <c r="CB575" s="1662" t="s">
        <v>541</v>
      </c>
      <c r="CC575" s="1662" t="s">
        <v>542</v>
      </c>
      <c r="CD575" s="1662" t="s">
        <v>543</v>
      </c>
      <c r="CE575" s="1662" t="s">
        <v>544</v>
      </c>
      <c r="CF575" s="1662" t="s">
        <v>545</v>
      </c>
      <c r="CG575" s="1662" t="s">
        <v>865</v>
      </c>
      <c r="CH575" s="1662" t="s">
        <v>866</v>
      </c>
      <c r="CI575" s="1662" t="s">
        <v>867</v>
      </c>
      <c r="CJ575" s="1662" t="s">
        <v>3317</v>
      </c>
      <c r="CK575" s="1662" t="s">
        <v>3318</v>
      </c>
      <c r="CL575" s="1662" t="s">
        <v>3319</v>
      </c>
      <c r="CM575" s="1662" t="s">
        <v>3320</v>
      </c>
      <c r="CN575" s="1662" t="s">
        <v>3321</v>
      </c>
      <c r="CO575" s="1662" t="s">
        <v>3322</v>
      </c>
      <c r="CP575" s="1662" t="s">
        <v>3323</v>
      </c>
      <c r="CQ575" s="1662" t="s">
        <v>3324</v>
      </c>
      <c r="CR575" s="1662" t="s">
        <v>3325</v>
      </c>
      <c r="CS575" s="1662" t="s">
        <v>3326</v>
      </c>
      <c r="CT575" s="1662" t="s">
        <v>3327</v>
      </c>
      <c r="CU575" s="1662" t="s">
        <v>3328</v>
      </c>
      <c r="CV575" s="1662" t="s">
        <v>3329</v>
      </c>
      <c r="CW575" s="1662" t="s">
        <v>3330</v>
      </c>
      <c r="CX575" s="1662" t="s">
        <v>3331</v>
      </c>
      <c r="CY575" s="1662" t="s">
        <v>465</v>
      </c>
      <c r="CZ575" s="1662" t="s">
        <v>466</v>
      </c>
      <c r="DA575" s="1662" t="s">
        <v>467</v>
      </c>
      <c r="DB575" s="1662" t="s">
        <v>468</v>
      </c>
      <c r="DC575" s="1662" t="s">
        <v>469</v>
      </c>
      <c r="DD575" s="1662" t="s">
        <v>3332</v>
      </c>
      <c r="DE575" s="1662" t="s">
        <v>3333</v>
      </c>
      <c r="DF575" s="1662" t="s">
        <v>3334</v>
      </c>
      <c r="DG575" s="1662" t="s">
        <v>3335</v>
      </c>
      <c r="DH575" s="1662" t="s">
        <v>3336</v>
      </c>
      <c r="DI575" s="1662" t="s">
        <v>819</v>
      </c>
      <c r="DJ575" s="1662" t="s">
        <v>820</v>
      </c>
      <c r="DK575" s="1662" t="s">
        <v>821</v>
      </c>
      <c r="DL575" s="1662" t="s">
        <v>822</v>
      </c>
      <c r="DM575" s="1662" t="s">
        <v>823</v>
      </c>
      <c r="DN575" s="1662" t="s">
        <v>824</v>
      </c>
      <c r="DO575" s="1662" t="s">
        <v>825</v>
      </c>
      <c r="DP575" s="1662" t="s">
        <v>826</v>
      </c>
      <c r="DQ575" s="1662" t="s">
        <v>827</v>
      </c>
      <c r="DR575" s="1662" t="s">
        <v>828</v>
      </c>
      <c r="DS575" s="1662" t="s">
        <v>3337</v>
      </c>
      <c r="DT575" s="1662" t="s">
        <v>3338</v>
      </c>
      <c r="DU575" s="1662" t="s">
        <v>3339</v>
      </c>
      <c r="DV575" s="1662" t="s">
        <v>3340</v>
      </c>
      <c r="DW575" s="1662" t="s">
        <v>3341</v>
      </c>
      <c r="DX575" s="1662" t="s">
        <v>3342</v>
      </c>
      <c r="DY575" s="1662" t="s">
        <v>3343</v>
      </c>
      <c r="DZ575" s="1662" t="s">
        <v>3344</v>
      </c>
      <c r="EA575" s="1662" t="s">
        <v>3345</v>
      </c>
      <c r="EB575" s="1662" t="s">
        <v>3346</v>
      </c>
      <c r="EC575" s="1662" t="s">
        <v>2158</v>
      </c>
      <c r="ED575" s="1662" t="s">
        <v>2159</v>
      </c>
      <c r="EE575" s="1662" t="s">
        <v>2160</v>
      </c>
      <c r="EF575" s="1662" t="s">
        <v>2161</v>
      </c>
      <c r="EG575" s="1662" t="s">
        <v>2162</v>
      </c>
      <c r="EH575" s="1662" t="s">
        <v>3347</v>
      </c>
      <c r="EI575" s="1662" t="s">
        <v>3348</v>
      </c>
      <c r="EJ575" s="1662" t="s">
        <v>3349</v>
      </c>
      <c r="EK575" s="1662" t="s">
        <v>3350</v>
      </c>
      <c r="EL575" s="1662" t="s">
        <v>3351</v>
      </c>
      <c r="EM575" s="1662" t="s">
        <v>3352</v>
      </c>
      <c r="EN575" s="1662" t="s">
        <v>3353</v>
      </c>
      <c r="EO575" s="1662" t="s">
        <v>3354</v>
      </c>
      <c r="EP575" s="1662" t="s">
        <v>3355</v>
      </c>
      <c r="EQ575" s="1662" t="s">
        <v>3356</v>
      </c>
      <c r="ER575" s="1661" t="s">
        <v>108</v>
      </c>
      <c r="ES575" s="1661" t="s">
        <v>1067</v>
      </c>
      <c r="ET575" s="1661" t="s">
        <v>1068</v>
      </c>
      <c r="EU575" s="1661" t="s">
        <v>1121</v>
      </c>
      <c r="EV575" s="1661" t="s">
        <v>1122</v>
      </c>
      <c r="EW575" s="1661" t="s">
        <v>119</v>
      </c>
      <c r="EX575" s="1661" t="s">
        <v>1123</v>
      </c>
      <c r="EY575" s="1661" t="s">
        <v>1124</v>
      </c>
      <c r="EZ575" s="1661" t="s">
        <v>1125</v>
      </c>
      <c r="FA575" s="1661" t="s">
        <v>1126</v>
      </c>
      <c r="FB575" s="1662" t="s">
        <v>3357</v>
      </c>
      <c r="FC575" s="1662" t="s">
        <v>3358</v>
      </c>
      <c r="FD575" s="1662" t="s">
        <v>3359</v>
      </c>
      <c r="FE575" s="1662" t="s">
        <v>3360</v>
      </c>
      <c r="FF575" s="1662" t="s">
        <v>3361</v>
      </c>
      <c r="FG575" s="1661" t="s">
        <v>118</v>
      </c>
      <c r="FH575" s="1661" t="s">
        <v>850</v>
      </c>
      <c r="FI575" s="1661" t="s">
        <v>851</v>
      </c>
      <c r="FJ575" s="1661" t="s">
        <v>852</v>
      </c>
      <c r="FK575" s="1661" t="s">
        <v>853</v>
      </c>
      <c r="FL575" s="1662" t="s">
        <v>3362</v>
      </c>
      <c r="FM575" s="1662" t="s">
        <v>3363</v>
      </c>
      <c r="FN575" s="1662" t="s">
        <v>3364</v>
      </c>
      <c r="FO575" s="1662" t="s">
        <v>3365</v>
      </c>
      <c r="FP575" s="1662" t="s">
        <v>3366</v>
      </c>
      <c r="FQ575" s="1661" t="s">
        <v>117</v>
      </c>
      <c r="FR575" s="1661" t="s">
        <v>854</v>
      </c>
      <c r="FS575" s="1661" t="s">
        <v>855</v>
      </c>
      <c r="FT575" s="1661" t="s">
        <v>856</v>
      </c>
      <c r="FU575" s="1661" t="s">
        <v>857</v>
      </c>
      <c r="FV575" s="1661" t="s">
        <v>748</v>
      </c>
      <c r="FW575" s="1661" t="s">
        <v>749</v>
      </c>
      <c r="FX575" s="1661" t="s">
        <v>750</v>
      </c>
      <c r="FY575" s="1661" t="s">
        <v>751</v>
      </c>
      <c r="FZ575" s="1661" t="s">
        <v>752</v>
      </c>
      <c r="GA575" s="1661" t="s">
        <v>888</v>
      </c>
      <c r="GB575" s="1661" t="s">
        <v>889</v>
      </c>
      <c r="GC575" s="1661" t="s">
        <v>890</v>
      </c>
      <c r="GD575" s="1661" t="s">
        <v>891</v>
      </c>
      <c r="GE575" s="1661" t="s">
        <v>2157</v>
      </c>
      <c r="GF575" s="1661" t="s">
        <v>1315</v>
      </c>
      <c r="GG575" s="1661" t="s">
        <v>1316</v>
      </c>
      <c r="GH575" s="1661" t="s">
        <v>1317</v>
      </c>
      <c r="GI575" s="1661" t="s">
        <v>1318</v>
      </c>
      <c r="GJ575" s="1661" t="s">
        <v>1319</v>
      </c>
      <c r="GK575" s="1661" t="s">
        <v>410</v>
      </c>
      <c r="GL575" s="1661" t="s">
        <v>411</v>
      </c>
      <c r="GM575" s="1661" t="s">
        <v>412</v>
      </c>
      <c r="GN575" s="1661" t="s">
        <v>413</v>
      </c>
      <c r="GO575" s="1661" t="s">
        <v>414</v>
      </c>
      <c r="GP575" s="1661" t="s">
        <v>14</v>
      </c>
      <c r="GQ575" s="1661" t="s">
        <v>15</v>
      </c>
      <c r="GR575" s="1661" t="s">
        <v>16</v>
      </c>
      <c r="GS575" s="1661" t="s">
        <v>17</v>
      </c>
      <c r="GT575" s="1661" t="s">
        <v>18</v>
      </c>
      <c r="GU575" s="1661" t="s">
        <v>204</v>
      </c>
      <c r="GV575" s="1661" t="s">
        <v>205</v>
      </c>
      <c r="GW575" s="1661" t="s">
        <v>206</v>
      </c>
      <c r="GX575" s="1661" t="s">
        <v>1630</v>
      </c>
      <c r="GY575" s="1661" t="s">
        <v>1631</v>
      </c>
      <c r="GZ575" s="1661" t="s">
        <v>1632</v>
      </c>
      <c r="HA575" s="1661" t="s">
        <v>549</v>
      </c>
      <c r="HB575" s="1661" t="s">
        <v>550</v>
      </c>
      <c r="HC575" s="1661" t="s">
        <v>551</v>
      </c>
      <c r="HD575" s="1661" t="s">
        <v>552</v>
      </c>
      <c r="HE575" s="1661" t="s">
        <v>19</v>
      </c>
      <c r="HF575" s="1661" t="s">
        <v>20</v>
      </c>
      <c r="HG575" s="1661" t="s">
        <v>21</v>
      </c>
      <c r="HH575" s="1661" t="s">
        <v>22</v>
      </c>
      <c r="HI575" s="1661" t="s">
        <v>23</v>
      </c>
      <c r="HJ575" s="1661" t="s">
        <v>464</v>
      </c>
      <c r="HK575" s="1661" t="s">
        <v>406</v>
      </c>
      <c r="HL575" s="1661" t="s">
        <v>407</v>
      </c>
      <c r="HM575" s="1661" t="s">
        <v>408</v>
      </c>
      <c r="HN575" s="1661" t="s">
        <v>409</v>
      </c>
      <c r="HO575" s="1661" t="s">
        <v>1963</v>
      </c>
      <c r="HP575" s="1661" t="s">
        <v>1964</v>
      </c>
      <c r="HQ575" s="1661" t="s">
        <v>1965</v>
      </c>
      <c r="HR575" s="1661" t="s">
        <v>1357</v>
      </c>
      <c r="HS575" s="1661" t="s">
        <v>1358</v>
      </c>
      <c r="HT575" s="1661" t="s">
        <v>24</v>
      </c>
      <c r="HU575" s="1661" t="s">
        <v>25</v>
      </c>
      <c r="HV575" s="1661" t="s">
        <v>26</v>
      </c>
      <c r="HW575" s="1661" t="s">
        <v>27</v>
      </c>
      <c r="HX575" s="1661" t="s">
        <v>28</v>
      </c>
      <c r="HY575" s="1524"/>
      <c r="HZ575" s="1524"/>
      <c r="IA575" s="1524"/>
      <c r="IB575" s="1524"/>
      <c r="IC575" s="1524"/>
      <c r="ID575" s="1524"/>
      <c r="IE575" s="1524"/>
      <c r="IF575" s="1524"/>
      <c r="IG575" s="1524"/>
      <c r="IH575" s="1524"/>
      <c r="II575" s="1524"/>
      <c r="IJ575" s="1524"/>
      <c r="IK575" s="1524"/>
      <c r="IL575" s="1524"/>
      <c r="IM575" s="1524"/>
      <c r="IN575" s="1524"/>
      <c r="IO575" s="1524"/>
      <c r="IP575" s="1524"/>
      <c r="IQ575" s="1524"/>
      <c r="IR575" s="1524"/>
      <c r="IS575" s="1524"/>
      <c r="IT575" s="1524"/>
      <c r="IU575" s="1524"/>
      <c r="IV575" s="1524"/>
      <c r="IW575" s="1524"/>
      <c r="IX575" s="1524"/>
      <c r="IY575" s="1524"/>
      <c r="IZ575" s="1524"/>
      <c r="JA575" s="1524"/>
      <c r="JB575" s="1524"/>
      <c r="JC575" s="1524"/>
      <c r="JD575" s="1524"/>
      <c r="JE575" s="1524"/>
      <c r="JF575" s="1524"/>
      <c r="JG575" s="1524"/>
      <c r="JH575" s="1524"/>
      <c r="JI575" s="1524"/>
      <c r="JJ575" s="1524"/>
      <c r="JK575" s="1524"/>
      <c r="JL575" s="1524"/>
      <c r="JM575" s="1524"/>
      <c r="JN575" s="1524"/>
      <c r="JO575" s="1524"/>
      <c r="JP575" s="1524"/>
      <c r="JQ575" s="1524"/>
      <c r="JR575" s="1524"/>
      <c r="JS575" s="1524"/>
      <c r="JT575" s="1524"/>
      <c r="JU575" s="1524"/>
      <c r="JV575" s="1524"/>
      <c r="JW575" s="1524"/>
      <c r="JX575" s="1524"/>
      <c r="JY575" s="1524"/>
      <c r="JZ575" s="1524"/>
      <c r="KA575" s="1524"/>
      <c r="KB575" s="1524"/>
      <c r="KC575" s="1524"/>
      <c r="KD575" s="1524"/>
      <c r="KE575" s="1524"/>
      <c r="KF575" s="1524"/>
      <c r="KG575" s="1524"/>
      <c r="KH575" s="1524"/>
      <c r="KI575" s="1524"/>
      <c r="KJ575" s="1524"/>
      <c r="KK575" s="1524"/>
      <c r="KL575" s="1524"/>
      <c r="KM575" s="1524"/>
      <c r="KN575" s="1524"/>
      <c r="KO575" s="1524"/>
      <c r="KP575" s="1524"/>
      <c r="KQ575" s="1524"/>
      <c r="KR575" s="1524"/>
      <c r="KS575" s="1524"/>
      <c r="KT575" s="1524"/>
      <c r="KU575" s="1524"/>
      <c r="LF575" s="1661" t="s">
        <v>1476</v>
      </c>
      <c r="LG575" s="1661" t="s">
        <v>2235</v>
      </c>
      <c r="LH575" s="1661" t="s">
        <v>2236</v>
      </c>
      <c r="LI575" s="1661" t="s">
        <v>363</v>
      </c>
      <c r="LJ575" s="1661" t="s">
        <v>364</v>
      </c>
      <c r="LK575" s="1661" t="s">
        <v>365</v>
      </c>
      <c r="LL575" s="1661" t="s">
        <v>366</v>
      </c>
      <c r="LM575" s="1661" t="s">
        <v>367</v>
      </c>
      <c r="LN575" s="1661" t="s">
        <v>368</v>
      </c>
      <c r="LO575" s="1661" t="s">
        <v>369</v>
      </c>
      <c r="LP575" s="1661" t="s">
        <v>182</v>
      </c>
      <c r="LQ575" s="1661" t="s">
        <v>183</v>
      </c>
      <c r="LR575" s="1661" t="s">
        <v>184</v>
      </c>
      <c r="LS575" s="1661" t="s">
        <v>185</v>
      </c>
      <c r="LT575" s="1661" t="s">
        <v>186</v>
      </c>
      <c r="LU575" s="1661" t="s">
        <v>187</v>
      </c>
      <c r="LV575" s="1661" t="s">
        <v>188</v>
      </c>
      <c r="LW575" s="1661" t="s">
        <v>189</v>
      </c>
      <c r="LX575" s="1661" t="s">
        <v>190</v>
      </c>
      <c r="LY575" s="1661" t="s">
        <v>191</v>
      </c>
      <c r="LZ575" s="1661" t="s">
        <v>192</v>
      </c>
      <c r="MA575" s="1661" t="s">
        <v>193</v>
      </c>
      <c r="MB575" s="1661" t="s">
        <v>194</v>
      </c>
      <c r="MC575" s="1661" t="s">
        <v>195</v>
      </c>
      <c r="MD575" s="1661" t="s">
        <v>196</v>
      </c>
      <c r="ME575" s="1661"/>
      <c r="MF575" s="1661"/>
      <c r="MG575" s="1661"/>
      <c r="MH575" s="1661"/>
      <c r="MI575" s="1661"/>
    </row>
    <row r="576" spans="1:357" s="1167" customFormat="1" ht="13.35" customHeight="1">
      <c r="A576" s="1664" t="str">
        <f>IF(A619&gt;0,"Finish Row!","")</f>
        <v/>
      </c>
      <c r="B576" s="1167" t="s">
        <v>1662</v>
      </c>
      <c r="G576" s="1524" t="str">
        <f>'Part VI-Revenues &amp; Expenses'!G5</f>
        <v>&lt;Select&gt;</v>
      </c>
      <c r="J576" s="1660" t="s">
        <v>3104</v>
      </c>
      <c r="M576" s="1523" t="s">
        <v>535</v>
      </c>
      <c r="O576" s="1524" t="s">
        <v>3681</v>
      </c>
      <c r="P576" s="1662"/>
      <c r="Q576" s="1663"/>
      <c r="W576" s="1662"/>
      <c r="X576" s="1662"/>
      <c r="Y576" s="1662"/>
      <c r="Z576" s="1662"/>
      <c r="AA576" s="1662"/>
      <c r="AB576" s="1662"/>
      <c r="AC576" s="1662"/>
      <c r="AD576" s="1662"/>
      <c r="AE576" s="1662"/>
      <c r="AF576" s="1662"/>
      <c r="AG576" s="1662"/>
      <c r="AH576" s="1662"/>
      <c r="AI576" s="1662"/>
      <c r="AJ576" s="1662"/>
      <c r="AK576" s="1662"/>
      <c r="AL576" s="1662"/>
      <c r="AM576" s="1662"/>
      <c r="AN576" s="1662"/>
      <c r="AO576" s="1662"/>
      <c r="AP576" s="1662"/>
      <c r="AQ576" s="1662"/>
      <c r="AR576" s="1662"/>
      <c r="AS576" s="1662"/>
      <c r="AT576" s="1662"/>
      <c r="AU576" s="1662"/>
      <c r="AV576" s="1662"/>
      <c r="AW576" s="1662"/>
      <c r="AX576" s="1662"/>
      <c r="AY576" s="1662"/>
      <c r="AZ576" s="1662"/>
      <c r="BA576" s="1662"/>
      <c r="BB576" s="1662"/>
      <c r="BC576" s="1662"/>
      <c r="BD576" s="1662"/>
      <c r="BE576" s="1662"/>
      <c r="BF576" s="1662"/>
      <c r="BG576" s="1662"/>
      <c r="BH576" s="1662"/>
      <c r="BI576" s="1662"/>
      <c r="BJ576" s="1662"/>
      <c r="BK576" s="1662"/>
      <c r="BL576" s="1662"/>
      <c r="BM576" s="1662"/>
      <c r="BN576" s="1662"/>
      <c r="BO576" s="1662"/>
      <c r="BP576" s="1662"/>
      <c r="BQ576" s="1662"/>
      <c r="BR576" s="1662"/>
      <c r="BS576" s="1662"/>
      <c r="BT576" s="1662"/>
      <c r="BU576" s="1662"/>
      <c r="BV576" s="1662"/>
      <c r="BW576" s="1662"/>
      <c r="BX576" s="1662"/>
      <c r="BY576" s="1662"/>
      <c r="BZ576" s="1662"/>
      <c r="CA576" s="1662"/>
      <c r="CB576" s="1662"/>
      <c r="CC576" s="1662"/>
      <c r="CD576" s="1662"/>
      <c r="CE576" s="1662"/>
      <c r="CF576" s="1662"/>
      <c r="CG576" s="1662"/>
      <c r="CH576" s="1662"/>
      <c r="CI576" s="1662"/>
      <c r="CJ576" s="1662"/>
      <c r="CK576" s="1662"/>
      <c r="CL576" s="1662"/>
      <c r="CM576" s="1662"/>
      <c r="CN576" s="1662"/>
      <c r="CO576" s="1662"/>
      <c r="CP576" s="1662"/>
      <c r="CQ576" s="1662"/>
      <c r="CR576" s="1662"/>
      <c r="CS576" s="1662"/>
      <c r="CT576" s="1662"/>
      <c r="CU576" s="1662"/>
      <c r="CV576" s="1662"/>
      <c r="CW576" s="1662"/>
      <c r="CX576" s="1662"/>
      <c r="CY576" s="1662"/>
      <c r="CZ576" s="1662"/>
      <c r="DA576" s="1662"/>
      <c r="DB576" s="1662"/>
      <c r="DC576" s="1662"/>
      <c r="DD576" s="1662"/>
      <c r="DE576" s="1662"/>
      <c r="DF576" s="1662"/>
      <c r="DG576" s="1662"/>
      <c r="DH576" s="1662"/>
      <c r="DI576" s="1662"/>
      <c r="DJ576" s="1662"/>
      <c r="DK576" s="1662"/>
      <c r="DL576" s="1662"/>
      <c r="DM576" s="1662"/>
      <c r="DN576" s="1662"/>
      <c r="DO576" s="1662"/>
      <c r="DP576" s="1662"/>
      <c r="DQ576" s="1662"/>
      <c r="DR576" s="1662"/>
      <c r="DS576" s="1662"/>
      <c r="DT576" s="1662"/>
      <c r="DU576" s="1662"/>
      <c r="DV576" s="1662"/>
      <c r="DW576" s="1662"/>
      <c r="DX576" s="1662"/>
      <c r="DY576" s="1662"/>
      <c r="DZ576" s="1662"/>
      <c r="EA576" s="1662"/>
      <c r="EB576" s="1662"/>
      <c r="EC576" s="1662"/>
      <c r="ED576" s="1662"/>
      <c r="EE576" s="1662"/>
      <c r="EF576" s="1662"/>
      <c r="EG576" s="1662"/>
      <c r="EH576" s="1662"/>
      <c r="EI576" s="1662"/>
      <c r="EJ576" s="1662"/>
      <c r="EK576" s="1662"/>
      <c r="EL576" s="1662"/>
      <c r="EM576" s="1662"/>
      <c r="EN576" s="1662"/>
      <c r="EO576" s="1662"/>
      <c r="EP576" s="1662"/>
      <c r="EQ576" s="1662"/>
      <c r="ER576" s="1661"/>
      <c r="ES576" s="1661"/>
      <c r="ET576" s="1661"/>
      <c r="EU576" s="1661"/>
      <c r="EV576" s="1661"/>
      <c r="EW576" s="1661"/>
      <c r="EX576" s="1661"/>
      <c r="EY576" s="1661"/>
      <c r="EZ576" s="1661"/>
      <c r="FA576" s="1661"/>
      <c r="FB576" s="1662"/>
      <c r="FC576" s="1662"/>
      <c r="FD576" s="1662"/>
      <c r="FE576" s="1662"/>
      <c r="FF576" s="1662"/>
      <c r="FG576" s="1661"/>
      <c r="FH576" s="1661"/>
      <c r="FI576" s="1661"/>
      <c r="FJ576" s="1661"/>
      <c r="FK576" s="1661"/>
      <c r="FL576" s="1662"/>
      <c r="FM576" s="1662"/>
      <c r="FN576" s="1662"/>
      <c r="FO576" s="1662"/>
      <c r="FP576" s="1662"/>
      <c r="FQ576" s="1661"/>
      <c r="FR576" s="1661"/>
      <c r="FS576" s="1661"/>
      <c r="FT576" s="1661"/>
      <c r="FU576" s="1661"/>
      <c r="FV576" s="1661"/>
      <c r="FW576" s="1661"/>
      <c r="FX576" s="1661"/>
      <c r="FY576" s="1661"/>
      <c r="FZ576" s="1661"/>
      <c r="GA576" s="1661"/>
      <c r="GB576" s="1661"/>
      <c r="GC576" s="1661"/>
      <c r="GD576" s="1661"/>
      <c r="GE576" s="1661"/>
      <c r="GF576" s="1661"/>
      <c r="GG576" s="1661"/>
      <c r="GH576" s="1661"/>
      <c r="GI576" s="1661"/>
      <c r="GJ576" s="1661"/>
      <c r="GK576" s="1661"/>
      <c r="GL576" s="1661"/>
      <c r="GM576" s="1661"/>
      <c r="GN576" s="1661"/>
      <c r="GO576" s="1661"/>
      <c r="GP576" s="1661"/>
      <c r="GQ576" s="1661"/>
      <c r="GR576" s="1661"/>
      <c r="GS576" s="1661"/>
      <c r="GT576" s="1661"/>
      <c r="GU576" s="1661"/>
      <c r="GV576" s="1661"/>
      <c r="GW576" s="1661"/>
      <c r="GX576" s="1661"/>
      <c r="GY576" s="1661"/>
      <c r="GZ576" s="1661"/>
      <c r="HA576" s="1661"/>
      <c r="HB576" s="1661"/>
      <c r="HC576" s="1661"/>
      <c r="HD576" s="1661"/>
      <c r="HE576" s="1661"/>
      <c r="HF576" s="1661"/>
      <c r="HG576" s="1661"/>
      <c r="HH576" s="1661"/>
      <c r="HI576" s="1661"/>
      <c r="HJ576" s="1661"/>
      <c r="HK576" s="1661"/>
      <c r="HL576" s="1661"/>
      <c r="HM576" s="1661"/>
      <c r="HN576" s="1661"/>
      <c r="HO576" s="1661"/>
      <c r="HP576" s="1661"/>
      <c r="HQ576" s="1661"/>
      <c r="HR576" s="1661"/>
      <c r="HS576" s="1661"/>
      <c r="HT576" s="1661"/>
      <c r="HU576" s="1661"/>
      <c r="HV576" s="1661"/>
      <c r="HW576" s="1661"/>
      <c r="HX576" s="1661"/>
      <c r="HY576" s="1524"/>
      <c r="HZ576" s="1524"/>
      <c r="IA576" s="1524"/>
      <c r="IB576" s="1524"/>
      <c r="IC576" s="1524"/>
      <c r="ID576" s="1524"/>
      <c r="IE576" s="1524"/>
      <c r="IF576" s="1524"/>
      <c r="IG576" s="1524"/>
      <c r="IH576" s="1524"/>
      <c r="II576" s="1524"/>
      <c r="IJ576" s="1524"/>
      <c r="IK576" s="1524"/>
      <c r="IL576" s="1524"/>
      <c r="IM576" s="1524"/>
      <c r="IN576" s="1524"/>
      <c r="IO576" s="1524"/>
      <c r="IP576" s="1524"/>
      <c r="IQ576" s="1524"/>
      <c r="IR576" s="1524"/>
      <c r="IS576" s="1524"/>
      <c r="IT576" s="1524"/>
      <c r="IU576" s="1524"/>
      <c r="IV576" s="1524"/>
      <c r="IW576" s="1524"/>
      <c r="IX576" s="1524"/>
      <c r="IY576" s="1524"/>
      <c r="IZ576" s="1524"/>
      <c r="JA576" s="1524"/>
      <c r="JB576" s="1524"/>
      <c r="JC576" s="1524"/>
      <c r="JD576" s="1524"/>
      <c r="JE576" s="1524"/>
      <c r="JF576" s="1524"/>
      <c r="JG576" s="1524"/>
      <c r="JH576" s="1524"/>
      <c r="JI576" s="1524"/>
      <c r="JJ576" s="1524"/>
      <c r="JK576" s="1524"/>
      <c r="JL576" s="1524"/>
      <c r="JM576" s="1524"/>
      <c r="JN576" s="1524"/>
      <c r="JO576" s="1524"/>
      <c r="JP576" s="1524"/>
      <c r="JQ576" s="1524"/>
      <c r="JR576" s="1524"/>
      <c r="JS576" s="1524"/>
      <c r="JT576" s="1524"/>
      <c r="JU576" s="1524"/>
      <c r="JV576" s="1524"/>
      <c r="JW576" s="1524"/>
      <c r="JX576" s="1524"/>
      <c r="JY576" s="1524"/>
      <c r="JZ576" s="1524"/>
      <c r="KA576" s="1524"/>
      <c r="KB576" s="1524"/>
      <c r="KC576" s="1524"/>
      <c r="KD576" s="1524"/>
      <c r="KE576" s="1524"/>
      <c r="KF576" s="1524"/>
      <c r="KG576" s="1524"/>
      <c r="KH576" s="1524"/>
      <c r="KI576" s="1524"/>
      <c r="KJ576" s="1524"/>
      <c r="KK576" s="1524"/>
      <c r="KL576" s="1524"/>
      <c r="KM576" s="1524"/>
      <c r="KN576" s="1524"/>
      <c r="KO576" s="1524"/>
      <c r="KP576" s="1524"/>
      <c r="KQ576" s="1524"/>
      <c r="KR576" s="1524"/>
      <c r="KS576" s="1524"/>
      <c r="KT576" s="1524"/>
      <c r="KU576" s="1524"/>
      <c r="LF576" s="1661"/>
      <c r="LG576" s="1661"/>
      <c r="LH576" s="1661"/>
      <c r="LI576" s="1661"/>
      <c r="LJ576" s="1661"/>
      <c r="LK576" s="1661"/>
      <c r="LL576" s="1661"/>
      <c r="LM576" s="1661"/>
      <c r="LN576" s="1661"/>
      <c r="LO576" s="1661"/>
      <c r="LP576" s="1661"/>
      <c r="LQ576" s="1661"/>
      <c r="LR576" s="1661"/>
      <c r="LS576" s="1661"/>
      <c r="LT576" s="1661"/>
      <c r="LU576" s="1661"/>
      <c r="LV576" s="1661"/>
      <c r="LW576" s="1661"/>
      <c r="LX576" s="1661"/>
      <c r="LY576" s="1661"/>
      <c r="LZ576" s="1661"/>
      <c r="MA576" s="1661"/>
      <c r="MB576" s="1661"/>
      <c r="MC576" s="1661"/>
      <c r="MD576" s="1661"/>
      <c r="ME576" s="1661"/>
      <c r="MF576" s="1661"/>
      <c r="MG576" s="1661"/>
      <c r="MH576" s="1661"/>
      <c r="MI576" s="1661"/>
      <c r="MJ576" s="1527" t="s">
        <v>2973</v>
      </c>
      <c r="MK576" s="1527" t="s">
        <v>2974</v>
      </c>
      <c r="ML576" s="1527" t="s">
        <v>2975</v>
      </c>
      <c r="MM576" s="1527" t="s">
        <v>2976</v>
      </c>
      <c r="MN576" s="1527" t="s">
        <v>2977</v>
      </c>
      <c r="MO576" s="1661" t="s">
        <v>2987</v>
      </c>
      <c r="MP576" s="1661" t="s">
        <v>2989</v>
      </c>
      <c r="MQ576" s="1661" t="s">
        <v>2990</v>
      </c>
      <c r="MR576" s="1661" t="s">
        <v>2991</v>
      </c>
      <c r="MS576" s="1661" t="s">
        <v>2992</v>
      </c>
    </row>
    <row r="577" spans="1:357" s="1167" customFormat="1" ht="13.35" customHeight="1">
      <c r="A577" s="1664"/>
      <c r="B577" s="1665" t="s">
        <v>1625</v>
      </c>
      <c r="F577" s="1524" t="str">
        <f>'Part VI-Revenues &amp; Expenses'!F6</f>
        <v>&lt;Select&gt;</v>
      </c>
      <c r="G577" s="1660" t="s">
        <v>3367</v>
      </c>
      <c r="H577" s="1662" t="s">
        <v>2118</v>
      </c>
      <c r="I577" s="1660" t="s">
        <v>737</v>
      </c>
      <c r="J577" s="1660" t="s">
        <v>3368</v>
      </c>
      <c r="M577" s="1666">
        <f>'Part I-Project Information'!$O$40</f>
        <v>0</v>
      </c>
      <c r="N577" s="1666"/>
      <c r="O577" s="1667"/>
      <c r="P577" s="1662"/>
      <c r="Q577" s="1663"/>
      <c r="S577" s="1167" t="s">
        <v>2347</v>
      </c>
      <c r="W577" s="1662"/>
      <c r="X577" s="1662"/>
      <c r="Y577" s="1662"/>
      <c r="Z577" s="1662"/>
      <c r="AA577" s="1662"/>
      <c r="AB577" s="1662"/>
      <c r="AC577" s="1662"/>
      <c r="AD577" s="1662"/>
      <c r="AE577" s="1662"/>
      <c r="AF577" s="1662"/>
      <c r="AG577" s="1662"/>
      <c r="AH577" s="1662"/>
      <c r="AI577" s="1662"/>
      <c r="AJ577" s="1662"/>
      <c r="AK577" s="1662"/>
      <c r="AL577" s="1662"/>
      <c r="AM577" s="1662"/>
      <c r="AN577" s="1662"/>
      <c r="AO577" s="1662"/>
      <c r="AP577" s="1662"/>
      <c r="AQ577" s="1662"/>
      <c r="AR577" s="1662"/>
      <c r="AS577" s="1662"/>
      <c r="AT577" s="1662"/>
      <c r="AU577" s="1662"/>
      <c r="AV577" s="1662"/>
      <c r="AW577" s="1662"/>
      <c r="AX577" s="1662"/>
      <c r="AY577" s="1662"/>
      <c r="AZ577" s="1662"/>
      <c r="BA577" s="1662"/>
      <c r="BB577" s="1662"/>
      <c r="BC577" s="1662"/>
      <c r="BD577" s="1662"/>
      <c r="BE577" s="1662"/>
      <c r="BF577" s="1662"/>
      <c r="BG577" s="1662"/>
      <c r="BH577" s="1662"/>
      <c r="BI577" s="1662"/>
      <c r="BJ577" s="1662"/>
      <c r="BK577" s="1662"/>
      <c r="BL577" s="1662"/>
      <c r="BM577" s="1662"/>
      <c r="BN577" s="1662"/>
      <c r="BO577" s="1662"/>
      <c r="BP577" s="1662"/>
      <c r="BQ577" s="1662"/>
      <c r="BR577" s="1662"/>
      <c r="BS577" s="1662"/>
      <c r="BT577" s="1662"/>
      <c r="BU577" s="1662"/>
      <c r="BV577" s="1662"/>
      <c r="BW577" s="1662"/>
      <c r="BX577" s="1662"/>
      <c r="BY577" s="1662"/>
      <c r="BZ577" s="1662"/>
      <c r="CA577" s="1662"/>
      <c r="CB577" s="1662"/>
      <c r="CC577" s="1662"/>
      <c r="CD577" s="1662"/>
      <c r="CE577" s="1662"/>
      <c r="CF577" s="1662"/>
      <c r="CG577" s="1662"/>
      <c r="CH577" s="1662"/>
      <c r="CI577" s="1662"/>
      <c r="CJ577" s="1662"/>
      <c r="CK577" s="1662"/>
      <c r="CL577" s="1662"/>
      <c r="CM577" s="1662"/>
      <c r="CN577" s="1662"/>
      <c r="CO577" s="1662"/>
      <c r="CP577" s="1662"/>
      <c r="CQ577" s="1662"/>
      <c r="CR577" s="1662"/>
      <c r="CS577" s="1662"/>
      <c r="CT577" s="1662"/>
      <c r="CU577" s="1662"/>
      <c r="CV577" s="1662"/>
      <c r="CW577" s="1662"/>
      <c r="CX577" s="1662"/>
      <c r="CY577" s="1662"/>
      <c r="CZ577" s="1662"/>
      <c r="DA577" s="1662"/>
      <c r="DB577" s="1662"/>
      <c r="DC577" s="1662"/>
      <c r="DD577" s="1662"/>
      <c r="DE577" s="1662"/>
      <c r="DF577" s="1662"/>
      <c r="DG577" s="1662"/>
      <c r="DH577" s="1662"/>
      <c r="DI577" s="1662"/>
      <c r="DJ577" s="1662"/>
      <c r="DK577" s="1662"/>
      <c r="DL577" s="1662"/>
      <c r="DM577" s="1662"/>
      <c r="DN577" s="1662"/>
      <c r="DO577" s="1662"/>
      <c r="DP577" s="1662"/>
      <c r="DQ577" s="1662"/>
      <c r="DR577" s="1662"/>
      <c r="DS577" s="1662"/>
      <c r="DT577" s="1662"/>
      <c r="DU577" s="1662"/>
      <c r="DV577" s="1662"/>
      <c r="DW577" s="1662"/>
      <c r="DX577" s="1662"/>
      <c r="DY577" s="1662"/>
      <c r="DZ577" s="1662"/>
      <c r="EA577" s="1662"/>
      <c r="EB577" s="1662"/>
      <c r="EC577" s="1662"/>
      <c r="ED577" s="1662"/>
      <c r="EE577" s="1662"/>
      <c r="EF577" s="1662"/>
      <c r="EG577" s="1662"/>
      <c r="EH577" s="1662"/>
      <c r="EI577" s="1662"/>
      <c r="EJ577" s="1662"/>
      <c r="EK577" s="1662"/>
      <c r="EL577" s="1662"/>
      <c r="EM577" s="1662"/>
      <c r="EN577" s="1662"/>
      <c r="EO577" s="1662"/>
      <c r="EP577" s="1662"/>
      <c r="EQ577" s="1662"/>
      <c r="ER577" s="1661"/>
      <c r="ES577" s="1661"/>
      <c r="ET577" s="1661"/>
      <c r="EU577" s="1661"/>
      <c r="EV577" s="1661"/>
      <c r="EW577" s="1661"/>
      <c r="EX577" s="1661"/>
      <c r="EY577" s="1661"/>
      <c r="EZ577" s="1661"/>
      <c r="FA577" s="1661"/>
      <c r="FB577" s="1662"/>
      <c r="FC577" s="1662"/>
      <c r="FD577" s="1662"/>
      <c r="FE577" s="1662"/>
      <c r="FF577" s="1662"/>
      <c r="FG577" s="1661"/>
      <c r="FH577" s="1661"/>
      <c r="FI577" s="1661"/>
      <c r="FJ577" s="1661"/>
      <c r="FK577" s="1661"/>
      <c r="FL577" s="1662"/>
      <c r="FM577" s="1662"/>
      <c r="FN577" s="1662"/>
      <c r="FO577" s="1662"/>
      <c r="FP577" s="1662"/>
      <c r="FQ577" s="1661"/>
      <c r="FR577" s="1661"/>
      <c r="FS577" s="1661"/>
      <c r="FT577" s="1661"/>
      <c r="FU577" s="1661"/>
      <c r="FV577" s="1661"/>
      <c r="FW577" s="1661"/>
      <c r="FX577" s="1661"/>
      <c r="FY577" s="1661"/>
      <c r="FZ577" s="1661"/>
      <c r="GA577" s="1661"/>
      <c r="GB577" s="1661"/>
      <c r="GC577" s="1661"/>
      <c r="GD577" s="1661"/>
      <c r="GE577" s="1661"/>
      <c r="GF577" s="1661"/>
      <c r="GG577" s="1661"/>
      <c r="GH577" s="1661"/>
      <c r="GI577" s="1661"/>
      <c r="GJ577" s="1661"/>
      <c r="GK577" s="1661"/>
      <c r="GL577" s="1661"/>
      <c r="GM577" s="1661"/>
      <c r="GN577" s="1661"/>
      <c r="GO577" s="1661"/>
      <c r="GP577" s="1661"/>
      <c r="GQ577" s="1661"/>
      <c r="GR577" s="1661"/>
      <c r="GS577" s="1661"/>
      <c r="GT577" s="1661"/>
      <c r="GU577" s="1661"/>
      <c r="GV577" s="1661"/>
      <c r="GW577" s="1661"/>
      <c r="GX577" s="1661"/>
      <c r="GY577" s="1661"/>
      <c r="GZ577" s="1661"/>
      <c r="HA577" s="1661"/>
      <c r="HB577" s="1661"/>
      <c r="HC577" s="1661"/>
      <c r="HD577" s="1661"/>
      <c r="HE577" s="1661"/>
      <c r="HF577" s="1661"/>
      <c r="HG577" s="1661"/>
      <c r="HH577" s="1661"/>
      <c r="HI577" s="1661"/>
      <c r="HJ577" s="1661"/>
      <c r="HK577" s="1661"/>
      <c r="HL577" s="1661"/>
      <c r="HM577" s="1661"/>
      <c r="HN577" s="1661"/>
      <c r="HO577" s="1661"/>
      <c r="HP577" s="1661"/>
      <c r="HQ577" s="1661"/>
      <c r="HR577" s="1661"/>
      <c r="HS577" s="1661"/>
      <c r="HT577" s="1661"/>
      <c r="HU577" s="1661"/>
      <c r="HV577" s="1661"/>
      <c r="HW577" s="1661"/>
      <c r="HX577" s="1661"/>
      <c r="HY577" s="1524"/>
      <c r="HZ577" s="1524"/>
      <c r="IA577" s="1524"/>
      <c r="IB577" s="1524"/>
      <c r="IC577" s="1524"/>
      <c r="ID577" s="1524"/>
      <c r="IE577" s="1524"/>
      <c r="IF577" s="1524"/>
      <c r="IG577" s="1524"/>
      <c r="IH577" s="1524"/>
      <c r="II577" s="1524"/>
      <c r="IJ577" s="1524"/>
      <c r="IK577" s="1524"/>
      <c r="IL577" s="1524"/>
      <c r="IM577" s="1524"/>
      <c r="IN577" s="1524"/>
      <c r="IO577" s="1524"/>
      <c r="IP577" s="1524"/>
      <c r="IQ577" s="1524"/>
      <c r="IR577" s="1524"/>
      <c r="IS577" s="1524"/>
      <c r="IT577" s="1524"/>
      <c r="IU577" s="1524"/>
      <c r="IV577" s="1524"/>
      <c r="IW577" s="1524"/>
      <c r="IX577" s="1524"/>
      <c r="IY577" s="1524"/>
      <c r="IZ577" s="1524"/>
      <c r="JA577" s="1524"/>
      <c r="JB577" s="1524"/>
      <c r="JC577" s="1524"/>
      <c r="JD577" s="1524"/>
      <c r="JE577" s="1524"/>
      <c r="JF577" s="1524"/>
      <c r="JG577" s="1524"/>
      <c r="JH577" s="1524"/>
      <c r="JI577" s="1524"/>
      <c r="JJ577" s="1524"/>
      <c r="JK577" s="1524"/>
      <c r="JL577" s="1524"/>
      <c r="JM577" s="1524"/>
      <c r="JN577" s="1524"/>
      <c r="JO577" s="1524"/>
      <c r="JP577" s="1524"/>
      <c r="JQ577" s="1524"/>
      <c r="JR577" s="1524"/>
      <c r="JS577" s="1524"/>
      <c r="JT577" s="1524"/>
      <c r="JU577" s="1524"/>
      <c r="JV577" s="1524"/>
      <c r="JW577" s="1524"/>
      <c r="JX577" s="1524"/>
      <c r="JY577" s="1524"/>
      <c r="JZ577" s="1524"/>
      <c r="KA577" s="1524"/>
      <c r="KB577" s="1524"/>
      <c r="KC577" s="1524"/>
      <c r="KD577" s="1524"/>
      <c r="KE577" s="1524"/>
      <c r="KF577" s="1524"/>
      <c r="KG577" s="1524"/>
      <c r="KH577" s="1524"/>
      <c r="KI577" s="1524"/>
      <c r="KJ577" s="1524"/>
      <c r="KK577" s="1524"/>
      <c r="KL577" s="1524"/>
      <c r="KM577" s="1524"/>
      <c r="KN577" s="1524"/>
      <c r="KO577" s="1524"/>
      <c r="KP577" s="1524"/>
      <c r="KQ577" s="1524"/>
      <c r="KR577" s="1524"/>
      <c r="KS577" s="1524"/>
      <c r="KT577" s="1524"/>
      <c r="KU577" s="1524"/>
      <c r="LF577" s="1661"/>
      <c r="LG577" s="1661"/>
      <c r="LH577" s="1661"/>
      <c r="LI577" s="1661"/>
      <c r="LJ577" s="1661"/>
      <c r="LK577" s="1661"/>
      <c r="LL577" s="1661"/>
      <c r="LM577" s="1661"/>
      <c r="LN577" s="1661"/>
      <c r="LO577" s="1661"/>
      <c r="LP577" s="1661"/>
      <c r="LQ577" s="1661"/>
      <c r="LR577" s="1661"/>
      <c r="LS577" s="1661"/>
      <c r="LT577" s="1661"/>
      <c r="LU577" s="1661"/>
      <c r="LV577" s="1661"/>
      <c r="LW577" s="1661"/>
      <c r="LX577" s="1661"/>
      <c r="LY577" s="1661"/>
      <c r="LZ577" s="1661"/>
      <c r="MA577" s="1661"/>
      <c r="MB577" s="1661"/>
      <c r="MC577" s="1661"/>
      <c r="MD577" s="1661"/>
      <c r="ME577" s="1661"/>
      <c r="MF577" s="1661"/>
      <c r="MG577" s="1661"/>
      <c r="MH577" s="1661"/>
      <c r="MI577" s="1661"/>
      <c r="MJ577" s="1527"/>
      <c r="MK577" s="1527"/>
      <c r="ML577" s="1527"/>
      <c r="MM577" s="1527"/>
      <c r="MN577" s="1527"/>
      <c r="MO577" s="1661"/>
      <c r="MP577" s="1661"/>
      <c r="MQ577" s="1661"/>
      <c r="MR577" s="1661"/>
      <c r="MS577" s="1661"/>
    </row>
    <row r="578" spans="1:357" s="1167" customFormat="1" ht="11.25" customHeight="1">
      <c r="A578" s="1664"/>
      <c r="B578" s="1668" t="s">
        <v>3369</v>
      </c>
      <c r="G578" s="1660" t="s">
        <v>3370</v>
      </c>
      <c r="H578" s="1662"/>
      <c r="I578" s="1660" t="s">
        <v>738</v>
      </c>
      <c r="J578" s="1660" t="s">
        <v>3371</v>
      </c>
      <c r="K578" s="1527"/>
      <c r="L578" s="1527"/>
      <c r="M578" s="1666"/>
      <c r="N578" s="1666"/>
      <c r="P578" s="1662"/>
      <c r="Q578" s="1663"/>
      <c r="R578" s="1527"/>
      <c r="S578" s="1527"/>
      <c r="T578" s="1520" t="s">
        <v>2344</v>
      </c>
      <c r="U578" s="1527"/>
      <c r="W578" s="1662"/>
      <c r="X578" s="1662"/>
      <c r="Y578" s="1662"/>
      <c r="Z578" s="1662"/>
      <c r="AA578" s="1662"/>
      <c r="AB578" s="1662"/>
      <c r="AC578" s="1662"/>
      <c r="AD578" s="1662"/>
      <c r="AE578" s="1662"/>
      <c r="AF578" s="1662"/>
      <c r="AG578" s="1662"/>
      <c r="AH578" s="1662"/>
      <c r="AI578" s="1662"/>
      <c r="AJ578" s="1662"/>
      <c r="AK578" s="1662"/>
      <c r="AL578" s="1662"/>
      <c r="AM578" s="1662"/>
      <c r="AN578" s="1662"/>
      <c r="AO578" s="1662"/>
      <c r="AP578" s="1662"/>
      <c r="AQ578" s="1662"/>
      <c r="AR578" s="1662"/>
      <c r="AS578" s="1662"/>
      <c r="AT578" s="1662"/>
      <c r="AU578" s="1662"/>
      <c r="AV578" s="1662"/>
      <c r="AW578" s="1662"/>
      <c r="AX578" s="1662"/>
      <c r="AY578" s="1662"/>
      <c r="AZ578" s="1662"/>
      <c r="BA578" s="1662"/>
      <c r="BB578" s="1662"/>
      <c r="BC578" s="1662"/>
      <c r="BD578" s="1662"/>
      <c r="BE578" s="1662"/>
      <c r="BF578" s="1662"/>
      <c r="BG578" s="1662"/>
      <c r="BH578" s="1662"/>
      <c r="BI578" s="1662"/>
      <c r="BJ578" s="1662"/>
      <c r="BK578" s="1662"/>
      <c r="BL578" s="1662"/>
      <c r="BM578" s="1662"/>
      <c r="BN578" s="1662"/>
      <c r="BO578" s="1662"/>
      <c r="BP578" s="1662"/>
      <c r="BQ578" s="1662"/>
      <c r="BR578" s="1662"/>
      <c r="BS578" s="1662"/>
      <c r="BT578" s="1662"/>
      <c r="BU578" s="1662"/>
      <c r="BV578" s="1662"/>
      <c r="BW578" s="1662"/>
      <c r="BX578" s="1662"/>
      <c r="BY578" s="1662"/>
      <c r="BZ578" s="1662"/>
      <c r="CA578" s="1662"/>
      <c r="CB578" s="1662"/>
      <c r="CC578" s="1662"/>
      <c r="CD578" s="1662"/>
      <c r="CE578" s="1662"/>
      <c r="CF578" s="1662"/>
      <c r="CG578" s="1662"/>
      <c r="CH578" s="1662"/>
      <c r="CI578" s="1662"/>
      <c r="CJ578" s="1662"/>
      <c r="CK578" s="1662"/>
      <c r="CL578" s="1662"/>
      <c r="CM578" s="1662"/>
      <c r="CN578" s="1662"/>
      <c r="CO578" s="1662"/>
      <c r="CP578" s="1662"/>
      <c r="CQ578" s="1662"/>
      <c r="CR578" s="1662"/>
      <c r="CS578" s="1662"/>
      <c r="CT578" s="1662"/>
      <c r="CU578" s="1662"/>
      <c r="CV578" s="1662"/>
      <c r="CW578" s="1662"/>
      <c r="CX578" s="1662"/>
      <c r="CY578" s="1662"/>
      <c r="CZ578" s="1662"/>
      <c r="DA578" s="1662"/>
      <c r="DB578" s="1662"/>
      <c r="DC578" s="1662"/>
      <c r="DD578" s="1662"/>
      <c r="DE578" s="1662"/>
      <c r="DF578" s="1662"/>
      <c r="DG578" s="1662"/>
      <c r="DH578" s="1662"/>
      <c r="DI578" s="1662"/>
      <c r="DJ578" s="1662"/>
      <c r="DK578" s="1662"/>
      <c r="DL578" s="1662"/>
      <c r="DM578" s="1662"/>
      <c r="DN578" s="1662"/>
      <c r="DO578" s="1662"/>
      <c r="DP578" s="1662"/>
      <c r="DQ578" s="1662"/>
      <c r="DR578" s="1662"/>
      <c r="DS578" s="1662"/>
      <c r="DT578" s="1662"/>
      <c r="DU578" s="1662"/>
      <c r="DV578" s="1662"/>
      <c r="DW578" s="1662"/>
      <c r="DX578" s="1662"/>
      <c r="DY578" s="1662"/>
      <c r="DZ578" s="1662"/>
      <c r="EA578" s="1662"/>
      <c r="EB578" s="1662"/>
      <c r="EC578" s="1662"/>
      <c r="ED578" s="1662"/>
      <c r="EE578" s="1662"/>
      <c r="EF578" s="1662"/>
      <c r="EG578" s="1662"/>
      <c r="EH578" s="1662"/>
      <c r="EI578" s="1662"/>
      <c r="EJ578" s="1662"/>
      <c r="EK578" s="1662"/>
      <c r="EL578" s="1662"/>
      <c r="EM578" s="1662"/>
      <c r="EN578" s="1662"/>
      <c r="EO578" s="1662"/>
      <c r="EP578" s="1662"/>
      <c r="EQ578" s="1662"/>
      <c r="ER578" s="1661"/>
      <c r="ES578" s="1661"/>
      <c r="ET578" s="1661"/>
      <c r="EU578" s="1661"/>
      <c r="EV578" s="1661"/>
      <c r="EW578" s="1661"/>
      <c r="EX578" s="1661"/>
      <c r="EY578" s="1661"/>
      <c r="EZ578" s="1661"/>
      <c r="FA578" s="1661"/>
      <c r="FB578" s="1662"/>
      <c r="FC578" s="1662"/>
      <c r="FD578" s="1662"/>
      <c r="FE578" s="1662"/>
      <c r="FF578" s="1662"/>
      <c r="FG578" s="1661"/>
      <c r="FH578" s="1661"/>
      <c r="FI578" s="1661"/>
      <c r="FJ578" s="1661"/>
      <c r="FK578" s="1661"/>
      <c r="FL578" s="1662"/>
      <c r="FM578" s="1662"/>
      <c r="FN578" s="1662"/>
      <c r="FO578" s="1662"/>
      <c r="FP578" s="1662"/>
      <c r="FQ578" s="1661"/>
      <c r="FR578" s="1661"/>
      <c r="FS578" s="1661"/>
      <c r="FT578" s="1661"/>
      <c r="FU578" s="1661"/>
      <c r="FV578" s="1661"/>
      <c r="FW578" s="1661"/>
      <c r="FX578" s="1661"/>
      <c r="FY578" s="1661"/>
      <c r="FZ578" s="1661"/>
      <c r="GA578" s="1661"/>
      <c r="GB578" s="1661"/>
      <c r="GC578" s="1661"/>
      <c r="GD578" s="1661"/>
      <c r="GE578" s="1661"/>
      <c r="GF578" s="1661"/>
      <c r="GG578" s="1661"/>
      <c r="GH578" s="1661"/>
      <c r="GI578" s="1661"/>
      <c r="GJ578" s="1661"/>
      <c r="GK578" s="1661"/>
      <c r="GL578" s="1661"/>
      <c r="GM578" s="1661"/>
      <c r="GN578" s="1661"/>
      <c r="GO578" s="1661"/>
      <c r="GP578" s="1661"/>
      <c r="GQ578" s="1661"/>
      <c r="GR578" s="1661"/>
      <c r="GS578" s="1661"/>
      <c r="GT578" s="1661"/>
      <c r="GU578" s="1661"/>
      <c r="GV578" s="1661"/>
      <c r="GW578" s="1661"/>
      <c r="GX578" s="1661"/>
      <c r="GY578" s="1661"/>
      <c r="GZ578" s="1661"/>
      <c r="HA578" s="1661"/>
      <c r="HB578" s="1661"/>
      <c r="HC578" s="1661"/>
      <c r="HD578" s="1661"/>
      <c r="HE578" s="1661"/>
      <c r="HF578" s="1661"/>
      <c r="HG578" s="1661"/>
      <c r="HH578" s="1661"/>
      <c r="HI578" s="1661"/>
      <c r="HJ578" s="1661"/>
      <c r="HK578" s="1661"/>
      <c r="HL578" s="1661"/>
      <c r="HM578" s="1661"/>
      <c r="HN578" s="1661"/>
      <c r="HO578" s="1661"/>
      <c r="HP578" s="1661"/>
      <c r="HQ578" s="1661"/>
      <c r="HR578" s="1661"/>
      <c r="HS578" s="1661"/>
      <c r="HT578" s="1661"/>
      <c r="HU578" s="1661"/>
      <c r="HV578" s="1661"/>
      <c r="HW578" s="1661"/>
      <c r="HX578" s="1661"/>
      <c r="HY578" s="1524"/>
      <c r="HZ578" s="1524"/>
      <c r="IA578" s="1524"/>
      <c r="IB578" s="1524"/>
      <c r="IC578" s="1524"/>
      <c r="ID578" s="1524"/>
      <c r="IE578" s="1524"/>
      <c r="IF578" s="1524"/>
      <c r="IG578" s="1524"/>
      <c r="IH578" s="1524"/>
      <c r="II578" s="1524"/>
      <c r="IJ578" s="1524"/>
      <c r="IK578" s="1524"/>
      <c r="IL578" s="1524"/>
      <c r="IM578" s="1524"/>
      <c r="IN578" s="1524"/>
      <c r="IO578" s="1524"/>
      <c r="IP578" s="1524"/>
      <c r="IQ578" s="1524"/>
      <c r="IR578" s="1524"/>
      <c r="IS578" s="1524"/>
      <c r="IT578" s="1524"/>
      <c r="IU578" s="1524"/>
      <c r="IV578" s="1524"/>
      <c r="IW578" s="1524"/>
      <c r="IX578" s="1525"/>
      <c r="IY578" s="1525"/>
      <c r="IZ578" s="1525"/>
      <c r="JA578" s="1525"/>
      <c r="JB578" s="1525"/>
      <c r="JC578" s="1525"/>
      <c r="JD578" s="1525"/>
      <c r="JE578" s="1525"/>
      <c r="JF578" s="1525"/>
      <c r="JG578" s="1525"/>
      <c r="JH578" s="1525"/>
      <c r="JI578" s="1525"/>
      <c r="JJ578" s="1525"/>
      <c r="JK578" s="1525"/>
      <c r="JL578" s="1525"/>
      <c r="JM578" s="1525"/>
      <c r="JN578" s="1525"/>
      <c r="JO578" s="1525"/>
      <c r="JP578" s="1525"/>
      <c r="JQ578" s="1525"/>
      <c r="JR578" s="1525"/>
      <c r="JS578" s="1525"/>
      <c r="JT578" s="1525"/>
      <c r="JU578" s="1525"/>
      <c r="JV578" s="1525"/>
      <c r="JW578" s="1525"/>
      <c r="JX578" s="1525"/>
      <c r="JY578" s="1525"/>
      <c r="JZ578" s="1525"/>
      <c r="KA578" s="1525"/>
      <c r="KB578" s="1525"/>
      <c r="KC578" s="1525"/>
      <c r="KD578" s="1525"/>
      <c r="KE578" s="1525"/>
      <c r="KF578" s="1525"/>
      <c r="KG578" s="1525"/>
      <c r="KH578" s="1525"/>
      <c r="KI578" s="1525"/>
      <c r="KJ578" s="1525"/>
      <c r="KK578" s="1525"/>
      <c r="KL578" s="1525"/>
      <c r="KM578" s="1525"/>
      <c r="KN578" s="1525"/>
      <c r="KO578" s="1525"/>
      <c r="KP578" s="1525"/>
      <c r="KQ578" s="1525"/>
      <c r="KR578" s="1525"/>
      <c r="KS578" s="1525"/>
      <c r="KT578" s="1525"/>
      <c r="KU578" s="1525"/>
      <c r="KV578" s="1525"/>
      <c r="KW578" s="1525"/>
      <c r="KX578" s="1525"/>
      <c r="KY578" s="1525"/>
      <c r="KZ578" s="1525"/>
      <c r="LA578" s="1525"/>
      <c r="LB578" s="1525"/>
      <c r="LC578" s="1525"/>
      <c r="LD578" s="1525"/>
      <c r="LE578" s="1525"/>
      <c r="LF578" s="1661"/>
      <c r="LG578" s="1661"/>
      <c r="LH578" s="1661"/>
      <c r="LI578" s="1661"/>
      <c r="LJ578" s="1661"/>
      <c r="LK578" s="1661"/>
      <c r="LL578" s="1661"/>
      <c r="LM578" s="1661"/>
      <c r="LN578" s="1661"/>
      <c r="LO578" s="1661"/>
      <c r="LP578" s="1661"/>
      <c r="LQ578" s="1661"/>
      <c r="LR578" s="1661"/>
      <c r="LS578" s="1661"/>
      <c r="LT578" s="1661"/>
      <c r="LU578" s="1661"/>
      <c r="LV578" s="1661"/>
      <c r="LW578" s="1661"/>
      <c r="LX578" s="1661"/>
      <c r="LY578" s="1661"/>
      <c r="LZ578" s="1661"/>
      <c r="MA578" s="1661"/>
      <c r="MB578" s="1661"/>
      <c r="MC578" s="1661"/>
      <c r="MD578" s="1661"/>
      <c r="ME578" s="1661"/>
      <c r="MF578" s="1661"/>
      <c r="MG578" s="1661"/>
      <c r="MH578" s="1661"/>
      <c r="MI578" s="1661"/>
      <c r="MJ578" s="1527"/>
      <c r="MK578" s="1527"/>
      <c r="ML578" s="1527"/>
      <c r="MM578" s="1527"/>
      <c r="MN578" s="1527"/>
      <c r="MO578" s="1661"/>
      <c r="MP578" s="1661"/>
      <c r="MQ578" s="1661"/>
      <c r="MR578" s="1661"/>
      <c r="MS578" s="1661"/>
    </row>
    <row r="579" spans="1:357" s="1656" customFormat="1" ht="11.25" customHeight="1">
      <c r="A579" s="1664"/>
      <c r="B579" s="1660" t="s">
        <v>3372</v>
      </c>
      <c r="C579" s="1660" t="s">
        <v>152</v>
      </c>
      <c r="D579" s="1660" t="s">
        <v>509</v>
      </c>
      <c r="E579" s="1660" t="s">
        <v>1354</v>
      </c>
      <c r="F579" s="1660" t="s">
        <v>1354</v>
      </c>
      <c r="G579" s="1660" t="s">
        <v>1356</v>
      </c>
      <c r="H579" s="1660" t="s">
        <v>3370</v>
      </c>
      <c r="I579" s="1669" t="s">
        <v>3373</v>
      </c>
      <c r="J579" s="1660" t="s">
        <v>3743</v>
      </c>
      <c r="K579" s="1659" t="s">
        <v>132</v>
      </c>
      <c r="L579" s="1659"/>
      <c r="M579" s="1660" t="s">
        <v>2104</v>
      </c>
      <c r="N579" s="1660" t="s">
        <v>496</v>
      </c>
      <c r="O579" s="1660" t="s">
        <v>361</v>
      </c>
      <c r="P579" s="1662"/>
      <c r="Q579" s="1659" t="s">
        <v>3374</v>
      </c>
      <c r="R579" s="1659"/>
      <c r="S579" s="1660" t="s">
        <v>2343</v>
      </c>
      <c r="T579" s="1660" t="s">
        <v>2345</v>
      </c>
      <c r="U579" s="1660"/>
      <c r="W579" s="1662"/>
      <c r="X579" s="1662"/>
      <c r="Y579" s="1662"/>
      <c r="Z579" s="1662"/>
      <c r="AA579" s="1662"/>
      <c r="AB579" s="1662"/>
      <c r="AC579" s="1662"/>
      <c r="AD579" s="1662"/>
      <c r="AE579" s="1662"/>
      <c r="AF579" s="1662"/>
      <c r="AG579" s="1662"/>
      <c r="AH579" s="1662"/>
      <c r="AI579" s="1662"/>
      <c r="AJ579" s="1662"/>
      <c r="AK579" s="1662"/>
      <c r="AL579" s="1662"/>
      <c r="AM579" s="1662"/>
      <c r="AN579" s="1662"/>
      <c r="AO579" s="1662"/>
      <c r="AP579" s="1662"/>
      <c r="AQ579" s="1662"/>
      <c r="AR579" s="1662"/>
      <c r="AS579" s="1662"/>
      <c r="AT579" s="1662"/>
      <c r="AU579" s="1662"/>
      <c r="AV579" s="1662"/>
      <c r="AW579" s="1662"/>
      <c r="AX579" s="1662"/>
      <c r="AY579" s="1662"/>
      <c r="AZ579" s="1662"/>
      <c r="BA579" s="1662"/>
      <c r="BB579" s="1662"/>
      <c r="BC579" s="1662"/>
      <c r="BD579" s="1662"/>
      <c r="BE579" s="1662"/>
      <c r="BF579" s="1662"/>
      <c r="BG579" s="1662"/>
      <c r="BH579" s="1662"/>
      <c r="BI579" s="1662"/>
      <c r="BJ579" s="1662"/>
      <c r="BK579" s="1662"/>
      <c r="BL579" s="1662"/>
      <c r="BM579" s="1662"/>
      <c r="BN579" s="1662"/>
      <c r="BO579" s="1662"/>
      <c r="BP579" s="1662"/>
      <c r="BQ579" s="1662"/>
      <c r="BR579" s="1662"/>
      <c r="BS579" s="1662"/>
      <c r="BT579" s="1662"/>
      <c r="BU579" s="1662"/>
      <c r="BV579" s="1662"/>
      <c r="BW579" s="1662"/>
      <c r="BX579" s="1662"/>
      <c r="BY579" s="1662"/>
      <c r="BZ579" s="1662"/>
      <c r="CA579" s="1662"/>
      <c r="CB579" s="1662"/>
      <c r="CC579" s="1662"/>
      <c r="CD579" s="1662"/>
      <c r="CE579" s="1662"/>
      <c r="CF579" s="1662"/>
      <c r="CG579" s="1662"/>
      <c r="CH579" s="1662"/>
      <c r="CI579" s="1662"/>
      <c r="CJ579" s="1662"/>
      <c r="CK579" s="1662"/>
      <c r="CL579" s="1662"/>
      <c r="CM579" s="1662"/>
      <c r="CN579" s="1662"/>
      <c r="CO579" s="1662"/>
      <c r="CP579" s="1662"/>
      <c r="CQ579" s="1662"/>
      <c r="CR579" s="1662"/>
      <c r="CS579" s="1662"/>
      <c r="CT579" s="1662"/>
      <c r="CU579" s="1662"/>
      <c r="CV579" s="1662"/>
      <c r="CW579" s="1662"/>
      <c r="CX579" s="1662"/>
      <c r="CY579" s="1662"/>
      <c r="CZ579" s="1662"/>
      <c r="DA579" s="1662"/>
      <c r="DB579" s="1662"/>
      <c r="DC579" s="1662"/>
      <c r="DD579" s="1662"/>
      <c r="DE579" s="1662"/>
      <c r="DF579" s="1662"/>
      <c r="DG579" s="1662"/>
      <c r="DH579" s="1662"/>
      <c r="DI579" s="1662"/>
      <c r="DJ579" s="1662"/>
      <c r="DK579" s="1662"/>
      <c r="DL579" s="1662"/>
      <c r="DM579" s="1662"/>
      <c r="DN579" s="1662"/>
      <c r="DO579" s="1662"/>
      <c r="DP579" s="1662"/>
      <c r="DQ579" s="1662"/>
      <c r="DR579" s="1662"/>
      <c r="DS579" s="1662"/>
      <c r="DT579" s="1662"/>
      <c r="DU579" s="1662"/>
      <c r="DV579" s="1662"/>
      <c r="DW579" s="1662"/>
      <c r="DX579" s="1662"/>
      <c r="DY579" s="1662"/>
      <c r="DZ579" s="1662"/>
      <c r="EA579" s="1662"/>
      <c r="EB579" s="1662"/>
      <c r="EC579" s="1662"/>
      <c r="ED579" s="1662"/>
      <c r="EE579" s="1662"/>
      <c r="EF579" s="1662"/>
      <c r="EG579" s="1662"/>
      <c r="EH579" s="1662"/>
      <c r="EI579" s="1662"/>
      <c r="EJ579" s="1662"/>
      <c r="EK579" s="1662"/>
      <c r="EL579" s="1662"/>
      <c r="EM579" s="1662"/>
      <c r="EN579" s="1662"/>
      <c r="EO579" s="1662"/>
      <c r="EP579" s="1662"/>
      <c r="EQ579" s="1662"/>
      <c r="ER579" s="1661"/>
      <c r="ES579" s="1661"/>
      <c r="ET579" s="1661"/>
      <c r="EU579" s="1661"/>
      <c r="EV579" s="1661"/>
      <c r="EW579" s="1661"/>
      <c r="EX579" s="1661"/>
      <c r="EY579" s="1661"/>
      <c r="EZ579" s="1661"/>
      <c r="FA579" s="1661"/>
      <c r="FB579" s="1662"/>
      <c r="FC579" s="1662"/>
      <c r="FD579" s="1662"/>
      <c r="FE579" s="1662"/>
      <c r="FF579" s="1662"/>
      <c r="FG579" s="1661"/>
      <c r="FH579" s="1661"/>
      <c r="FI579" s="1661"/>
      <c r="FJ579" s="1661"/>
      <c r="FK579" s="1661"/>
      <c r="FL579" s="1662"/>
      <c r="FM579" s="1662"/>
      <c r="FN579" s="1662"/>
      <c r="FO579" s="1662"/>
      <c r="FP579" s="1662"/>
      <c r="FQ579" s="1661"/>
      <c r="FR579" s="1661"/>
      <c r="FS579" s="1661"/>
      <c r="FT579" s="1661"/>
      <c r="FU579" s="1661"/>
      <c r="FV579" s="1661"/>
      <c r="FW579" s="1661"/>
      <c r="FX579" s="1661"/>
      <c r="FY579" s="1661"/>
      <c r="FZ579" s="1661"/>
      <c r="GA579" s="1661"/>
      <c r="GB579" s="1661"/>
      <c r="GC579" s="1661"/>
      <c r="GD579" s="1661"/>
      <c r="GE579" s="1661"/>
      <c r="GF579" s="1661"/>
      <c r="GG579" s="1661"/>
      <c r="GH579" s="1661"/>
      <c r="GI579" s="1661"/>
      <c r="GJ579" s="1661"/>
      <c r="GK579" s="1661"/>
      <c r="GL579" s="1661"/>
      <c r="GM579" s="1661"/>
      <c r="GN579" s="1661"/>
      <c r="GO579" s="1661"/>
      <c r="GP579" s="1661"/>
      <c r="GQ579" s="1661"/>
      <c r="GR579" s="1661"/>
      <c r="GS579" s="1661"/>
      <c r="GT579" s="1661"/>
      <c r="GU579" s="1661"/>
      <c r="GV579" s="1661"/>
      <c r="GW579" s="1661"/>
      <c r="GX579" s="1661"/>
      <c r="GY579" s="1661"/>
      <c r="GZ579" s="1661"/>
      <c r="HA579" s="1661"/>
      <c r="HB579" s="1661"/>
      <c r="HC579" s="1661"/>
      <c r="HD579" s="1661"/>
      <c r="HE579" s="1661"/>
      <c r="HF579" s="1661"/>
      <c r="HG579" s="1661"/>
      <c r="HH579" s="1661"/>
      <c r="HI579" s="1661"/>
      <c r="HJ579" s="1661"/>
      <c r="HK579" s="1661"/>
      <c r="HL579" s="1661"/>
      <c r="HM579" s="1661"/>
      <c r="HN579" s="1661"/>
      <c r="HO579" s="1661"/>
      <c r="HP579" s="1661"/>
      <c r="HQ579" s="1661"/>
      <c r="HR579" s="1661"/>
      <c r="HS579" s="1661"/>
      <c r="HT579" s="1661"/>
      <c r="HU579" s="1661"/>
      <c r="HV579" s="1661"/>
      <c r="HW579" s="1661"/>
      <c r="HX579" s="1661"/>
      <c r="HY579" s="1661" t="s">
        <v>1343</v>
      </c>
      <c r="HZ579" s="1525" t="s">
        <v>2165</v>
      </c>
      <c r="IA579" s="1525" t="s">
        <v>2166</v>
      </c>
      <c r="IB579" s="1525" t="s">
        <v>2167</v>
      </c>
      <c r="IC579" s="1525" t="s">
        <v>2168</v>
      </c>
      <c r="ID579" s="1661" t="s">
        <v>2214</v>
      </c>
      <c r="IE579" s="1661" t="s">
        <v>2214</v>
      </c>
      <c r="IF579" s="1661" t="s">
        <v>2214</v>
      </c>
      <c r="IG579" s="1661" t="s">
        <v>2214</v>
      </c>
      <c r="IH579" s="1661" t="s">
        <v>2214</v>
      </c>
      <c r="II579" s="1661" t="s">
        <v>2949</v>
      </c>
      <c r="IJ579" s="1661" t="s">
        <v>2949</v>
      </c>
      <c r="IK579" s="1661" t="s">
        <v>2949</v>
      </c>
      <c r="IL579" s="1661" t="s">
        <v>2949</v>
      </c>
      <c r="IM579" s="1661" t="s">
        <v>2949</v>
      </c>
      <c r="IN579" s="1525" t="s">
        <v>527</v>
      </c>
      <c r="IO579" s="1525" t="s">
        <v>2165</v>
      </c>
      <c r="IP579" s="1525" t="s">
        <v>2166</v>
      </c>
      <c r="IQ579" s="1525" t="s">
        <v>2167</v>
      </c>
      <c r="IR579" s="1525" t="s">
        <v>2168</v>
      </c>
      <c r="IS579" s="1525" t="s">
        <v>527</v>
      </c>
      <c r="IT579" s="1525" t="s">
        <v>2165</v>
      </c>
      <c r="IU579" s="1525" t="s">
        <v>2166</v>
      </c>
      <c r="IV579" s="1525" t="s">
        <v>2167</v>
      </c>
      <c r="IW579" s="1525" t="s">
        <v>2168</v>
      </c>
      <c r="IX579" s="1661" t="s">
        <v>2216</v>
      </c>
      <c r="IY579" s="1661" t="s">
        <v>2216</v>
      </c>
      <c r="IZ579" s="1661" t="s">
        <v>2216</v>
      </c>
      <c r="JA579" s="1661" t="s">
        <v>2216</v>
      </c>
      <c r="JB579" s="1661" t="s">
        <v>2216</v>
      </c>
      <c r="JC579" s="1661" t="s">
        <v>2945</v>
      </c>
      <c r="JD579" s="1661" t="s">
        <v>2945</v>
      </c>
      <c r="JE579" s="1661" t="s">
        <v>2945</v>
      </c>
      <c r="JF579" s="1661" t="s">
        <v>2945</v>
      </c>
      <c r="JG579" s="1661" t="s">
        <v>2945</v>
      </c>
      <c r="JH579" s="1661" t="s">
        <v>336</v>
      </c>
      <c r="JI579" s="1661" t="s">
        <v>336</v>
      </c>
      <c r="JJ579" s="1661" t="s">
        <v>336</v>
      </c>
      <c r="JK579" s="1661" t="s">
        <v>336</v>
      </c>
      <c r="JL579" s="1661" t="s">
        <v>336</v>
      </c>
      <c r="JM579" s="1661" t="s">
        <v>2944</v>
      </c>
      <c r="JN579" s="1661" t="s">
        <v>2944</v>
      </c>
      <c r="JO579" s="1661" t="s">
        <v>2944</v>
      </c>
      <c r="JP579" s="1661" t="s">
        <v>2944</v>
      </c>
      <c r="JQ579" s="1661" t="s">
        <v>2944</v>
      </c>
      <c r="JR579" s="1661" t="s">
        <v>337</v>
      </c>
      <c r="JS579" s="1661" t="s">
        <v>337</v>
      </c>
      <c r="JT579" s="1661" t="s">
        <v>337</v>
      </c>
      <c r="JU579" s="1661" t="s">
        <v>337</v>
      </c>
      <c r="JV579" s="1661" t="s">
        <v>337</v>
      </c>
      <c r="JW579" s="1661" t="s">
        <v>2943</v>
      </c>
      <c r="JX579" s="1661" t="s">
        <v>2943</v>
      </c>
      <c r="JY579" s="1661" t="s">
        <v>2943</v>
      </c>
      <c r="JZ579" s="1661" t="s">
        <v>2943</v>
      </c>
      <c r="KA579" s="1661" t="s">
        <v>2943</v>
      </c>
      <c r="KB579" s="1661" t="s">
        <v>338</v>
      </c>
      <c r="KC579" s="1661" t="s">
        <v>338</v>
      </c>
      <c r="KD579" s="1661" t="s">
        <v>338</v>
      </c>
      <c r="KE579" s="1661" t="s">
        <v>338</v>
      </c>
      <c r="KF579" s="1661" t="s">
        <v>338</v>
      </c>
      <c r="KG579" s="1661" t="s">
        <v>2946</v>
      </c>
      <c r="KH579" s="1661" t="s">
        <v>2946</v>
      </c>
      <c r="KI579" s="1661" t="s">
        <v>2946</v>
      </c>
      <c r="KJ579" s="1661" t="s">
        <v>2946</v>
      </c>
      <c r="KK579" s="1661" t="s">
        <v>2946</v>
      </c>
      <c r="KL579" s="1661" t="s">
        <v>339</v>
      </c>
      <c r="KM579" s="1661" t="s">
        <v>339</v>
      </c>
      <c r="KN579" s="1661" t="s">
        <v>339</v>
      </c>
      <c r="KO579" s="1661" t="s">
        <v>339</v>
      </c>
      <c r="KP579" s="1661" t="s">
        <v>339</v>
      </c>
      <c r="KQ579" s="1661" t="s">
        <v>2947</v>
      </c>
      <c r="KR579" s="1661" t="s">
        <v>2947</v>
      </c>
      <c r="KS579" s="1661" t="s">
        <v>2947</v>
      </c>
      <c r="KT579" s="1661" t="s">
        <v>2947</v>
      </c>
      <c r="KU579" s="1661" t="s">
        <v>2947</v>
      </c>
      <c r="KV579" s="1661" t="s">
        <v>1342</v>
      </c>
      <c r="KW579" s="1661" t="s">
        <v>1342</v>
      </c>
      <c r="KX579" s="1661" t="s">
        <v>1342</v>
      </c>
      <c r="KY579" s="1661" t="s">
        <v>1342</v>
      </c>
      <c r="KZ579" s="1661" t="s">
        <v>1342</v>
      </c>
      <c r="LA579" s="1661" t="s">
        <v>2948</v>
      </c>
      <c r="LB579" s="1661" t="s">
        <v>2948</v>
      </c>
      <c r="LC579" s="1661" t="s">
        <v>2948</v>
      </c>
      <c r="LD579" s="1661" t="s">
        <v>2948</v>
      </c>
      <c r="LE579" s="1661" t="s">
        <v>2948</v>
      </c>
      <c r="LF579" s="1661"/>
      <c r="LG579" s="1661"/>
      <c r="LH579" s="1661"/>
      <c r="LI579" s="1661"/>
      <c r="LJ579" s="1661"/>
      <c r="LK579" s="1661"/>
      <c r="LL579" s="1661"/>
      <c r="LM579" s="1661"/>
      <c r="LN579" s="1661"/>
      <c r="LO579" s="1661"/>
      <c r="LP579" s="1661"/>
      <c r="LQ579" s="1661"/>
      <c r="LR579" s="1661"/>
      <c r="LS579" s="1661"/>
      <c r="LT579" s="1661"/>
      <c r="LU579" s="1661"/>
      <c r="LV579" s="1661"/>
      <c r="LW579" s="1661"/>
      <c r="LX579" s="1661"/>
      <c r="LY579" s="1661"/>
      <c r="LZ579" s="1661"/>
      <c r="MA579" s="1661"/>
      <c r="MB579" s="1661"/>
      <c r="MC579" s="1661"/>
      <c r="MD579" s="1661"/>
      <c r="ME579" s="1661"/>
      <c r="MF579" s="1661"/>
      <c r="MG579" s="1661"/>
      <c r="MH579" s="1661"/>
      <c r="MI579" s="1661"/>
      <c r="MJ579" s="1527"/>
      <c r="MK579" s="1527"/>
      <c r="ML579" s="1527"/>
      <c r="MM579" s="1527"/>
      <c r="MN579" s="1527"/>
      <c r="MO579" s="1661"/>
      <c r="MP579" s="1661"/>
      <c r="MQ579" s="1661"/>
      <c r="MR579" s="1661"/>
      <c r="MS579" s="1661"/>
    </row>
    <row r="580" spans="1:357" s="1656" customFormat="1" ht="11.25" customHeight="1">
      <c r="A580" s="1664"/>
      <c r="B580" s="1670" t="s">
        <v>3375</v>
      </c>
      <c r="C580" s="1660" t="s">
        <v>151</v>
      </c>
      <c r="D580" s="1660" t="s">
        <v>153</v>
      </c>
      <c r="E580" s="1660" t="s">
        <v>1355</v>
      </c>
      <c r="F580" s="1660" t="s">
        <v>1181</v>
      </c>
      <c r="G580" s="1660" t="s">
        <v>3376</v>
      </c>
      <c r="H580" s="1660" t="s">
        <v>1356</v>
      </c>
      <c r="I580" s="1669"/>
      <c r="J580" s="1671" t="s">
        <v>328</v>
      </c>
      <c r="K580" s="1660" t="s">
        <v>1393</v>
      </c>
      <c r="L580" s="1660" t="s">
        <v>503</v>
      </c>
      <c r="M580" s="1660" t="s">
        <v>1354</v>
      </c>
      <c r="N580" s="1660" t="s">
        <v>2895</v>
      </c>
      <c r="O580" s="1660" t="s">
        <v>362</v>
      </c>
      <c r="P580" s="1662"/>
      <c r="Q580" s="1660" t="s">
        <v>3134</v>
      </c>
      <c r="R580" s="1660" t="s">
        <v>963</v>
      </c>
      <c r="S580" s="1660" t="s">
        <v>1356</v>
      </c>
      <c r="T580" s="1660" t="s">
        <v>2346</v>
      </c>
      <c r="U580" s="1518" t="s">
        <v>1661</v>
      </c>
      <c r="V580" s="1518"/>
      <c r="W580" s="1662"/>
      <c r="X580" s="1662"/>
      <c r="Y580" s="1662"/>
      <c r="Z580" s="1662"/>
      <c r="AA580" s="1662"/>
      <c r="AB580" s="1662"/>
      <c r="AC580" s="1662"/>
      <c r="AD580" s="1662"/>
      <c r="AE580" s="1662"/>
      <c r="AF580" s="1662"/>
      <c r="AG580" s="1662"/>
      <c r="AH580" s="1662"/>
      <c r="AI580" s="1662"/>
      <c r="AJ580" s="1662"/>
      <c r="AK580" s="1662"/>
      <c r="AL580" s="1662"/>
      <c r="AM580" s="1662"/>
      <c r="AN580" s="1662"/>
      <c r="AO580" s="1662"/>
      <c r="AP580" s="1662"/>
      <c r="AQ580" s="1662"/>
      <c r="AR580" s="1662"/>
      <c r="AS580" s="1662"/>
      <c r="AT580" s="1662"/>
      <c r="AU580" s="1662"/>
      <c r="AV580" s="1662"/>
      <c r="AW580" s="1662"/>
      <c r="AX580" s="1662"/>
      <c r="AY580" s="1662"/>
      <c r="AZ580" s="1662"/>
      <c r="BA580" s="1662"/>
      <c r="BB580" s="1662"/>
      <c r="BC580" s="1662"/>
      <c r="BD580" s="1662"/>
      <c r="BE580" s="1662"/>
      <c r="BF580" s="1662"/>
      <c r="BG580" s="1662"/>
      <c r="BH580" s="1662"/>
      <c r="BI580" s="1662"/>
      <c r="BJ580" s="1662"/>
      <c r="BK580" s="1662"/>
      <c r="BL580" s="1662"/>
      <c r="BM580" s="1662"/>
      <c r="BN580" s="1662"/>
      <c r="BO580" s="1662"/>
      <c r="BP580" s="1662"/>
      <c r="BQ580" s="1662"/>
      <c r="BR580" s="1662"/>
      <c r="BS580" s="1662"/>
      <c r="BT580" s="1662"/>
      <c r="BU580" s="1662"/>
      <c r="BV580" s="1662"/>
      <c r="BW580" s="1662"/>
      <c r="BX580" s="1662"/>
      <c r="BY580" s="1662"/>
      <c r="BZ580" s="1662"/>
      <c r="CA580" s="1662"/>
      <c r="CB580" s="1662"/>
      <c r="CC580" s="1662"/>
      <c r="CD580" s="1662"/>
      <c r="CE580" s="1662"/>
      <c r="CF580" s="1662"/>
      <c r="CG580" s="1662"/>
      <c r="CH580" s="1662"/>
      <c r="CI580" s="1662"/>
      <c r="CJ580" s="1662"/>
      <c r="CK580" s="1662"/>
      <c r="CL580" s="1662"/>
      <c r="CM580" s="1662"/>
      <c r="CN580" s="1662"/>
      <c r="CO580" s="1662"/>
      <c r="CP580" s="1662"/>
      <c r="CQ580" s="1662"/>
      <c r="CR580" s="1662"/>
      <c r="CS580" s="1662"/>
      <c r="CT580" s="1662"/>
      <c r="CU580" s="1662"/>
      <c r="CV580" s="1662"/>
      <c r="CW580" s="1662"/>
      <c r="CX580" s="1662"/>
      <c r="CY580" s="1662"/>
      <c r="CZ580" s="1662"/>
      <c r="DA580" s="1662"/>
      <c r="DB580" s="1662"/>
      <c r="DC580" s="1662"/>
      <c r="DD580" s="1662"/>
      <c r="DE580" s="1662"/>
      <c r="DF580" s="1662"/>
      <c r="DG580" s="1662"/>
      <c r="DH580" s="1662"/>
      <c r="DI580" s="1662"/>
      <c r="DJ580" s="1662"/>
      <c r="DK580" s="1662"/>
      <c r="DL580" s="1662"/>
      <c r="DM580" s="1662"/>
      <c r="DN580" s="1662"/>
      <c r="DO580" s="1662"/>
      <c r="DP580" s="1662"/>
      <c r="DQ580" s="1662"/>
      <c r="DR580" s="1662"/>
      <c r="DS580" s="1662"/>
      <c r="DT580" s="1662"/>
      <c r="DU580" s="1662"/>
      <c r="DV580" s="1662"/>
      <c r="DW580" s="1662"/>
      <c r="DX580" s="1662"/>
      <c r="DY580" s="1662"/>
      <c r="DZ580" s="1662"/>
      <c r="EA580" s="1662"/>
      <c r="EB580" s="1662"/>
      <c r="EC580" s="1662"/>
      <c r="ED580" s="1662"/>
      <c r="EE580" s="1662"/>
      <c r="EF580" s="1662"/>
      <c r="EG580" s="1662"/>
      <c r="EH580" s="1662"/>
      <c r="EI580" s="1662"/>
      <c r="EJ580" s="1662"/>
      <c r="EK580" s="1662"/>
      <c r="EL580" s="1662"/>
      <c r="EM580" s="1662"/>
      <c r="EN580" s="1662"/>
      <c r="EO580" s="1662"/>
      <c r="EP580" s="1662"/>
      <c r="EQ580" s="1662"/>
      <c r="ER580" s="1661"/>
      <c r="ES580" s="1661"/>
      <c r="ET580" s="1661"/>
      <c r="EU580" s="1661"/>
      <c r="EV580" s="1661"/>
      <c r="EW580" s="1661"/>
      <c r="EX580" s="1661"/>
      <c r="EY580" s="1661"/>
      <c r="EZ580" s="1661"/>
      <c r="FA580" s="1661"/>
      <c r="FB580" s="1662"/>
      <c r="FC580" s="1662"/>
      <c r="FD580" s="1662"/>
      <c r="FE580" s="1662"/>
      <c r="FF580" s="1662"/>
      <c r="FG580" s="1661"/>
      <c r="FH580" s="1661"/>
      <c r="FI580" s="1661"/>
      <c r="FJ580" s="1661"/>
      <c r="FK580" s="1661"/>
      <c r="FL580" s="1662"/>
      <c r="FM580" s="1662"/>
      <c r="FN580" s="1662"/>
      <c r="FO580" s="1662"/>
      <c r="FP580" s="1662"/>
      <c r="FQ580" s="1661"/>
      <c r="FR580" s="1661"/>
      <c r="FS580" s="1661"/>
      <c r="FT580" s="1661"/>
      <c r="FU580" s="1661"/>
      <c r="FV580" s="1661"/>
      <c r="FW580" s="1661"/>
      <c r="FX580" s="1661"/>
      <c r="FY580" s="1661"/>
      <c r="FZ580" s="1661"/>
      <c r="GA580" s="1661"/>
      <c r="GB580" s="1661"/>
      <c r="GC580" s="1661"/>
      <c r="GD580" s="1661"/>
      <c r="GE580" s="1661"/>
      <c r="GF580" s="1661"/>
      <c r="GG580" s="1661"/>
      <c r="GH580" s="1661"/>
      <c r="GI580" s="1661"/>
      <c r="GJ580" s="1661"/>
      <c r="GK580" s="1661"/>
      <c r="GL580" s="1661"/>
      <c r="GM580" s="1661"/>
      <c r="GN580" s="1661"/>
      <c r="GO580" s="1661"/>
      <c r="GP580" s="1661"/>
      <c r="GQ580" s="1661"/>
      <c r="GR580" s="1661"/>
      <c r="GS580" s="1661"/>
      <c r="GT580" s="1661"/>
      <c r="GU580" s="1661"/>
      <c r="GV580" s="1661"/>
      <c r="GW580" s="1661"/>
      <c r="GX580" s="1661"/>
      <c r="GY580" s="1661"/>
      <c r="GZ580" s="1661"/>
      <c r="HA580" s="1661"/>
      <c r="HB580" s="1661"/>
      <c r="HC580" s="1661"/>
      <c r="HD580" s="1661"/>
      <c r="HE580" s="1661"/>
      <c r="HF580" s="1661"/>
      <c r="HG580" s="1661"/>
      <c r="HH580" s="1661"/>
      <c r="HI580" s="1661"/>
      <c r="HJ580" s="1661"/>
      <c r="HK580" s="1661"/>
      <c r="HL580" s="1661"/>
      <c r="HM580" s="1661"/>
      <c r="HN580" s="1661"/>
      <c r="HO580" s="1661"/>
      <c r="HP580" s="1661"/>
      <c r="HQ580" s="1661"/>
      <c r="HR580" s="1661"/>
      <c r="HS580" s="1661"/>
      <c r="HT580" s="1661"/>
      <c r="HU580" s="1661"/>
      <c r="HV580" s="1661"/>
      <c r="HW580" s="1661"/>
      <c r="HX580" s="1661"/>
      <c r="HY580" s="1661"/>
      <c r="HZ580" s="1525" t="s">
        <v>2213</v>
      </c>
      <c r="IA580" s="1525" t="s">
        <v>2213</v>
      </c>
      <c r="IB580" s="1525" t="s">
        <v>2213</v>
      </c>
      <c r="IC580" s="1525" t="s">
        <v>2213</v>
      </c>
      <c r="ID580" s="1661"/>
      <c r="IE580" s="1661"/>
      <c r="IF580" s="1661"/>
      <c r="IG580" s="1661"/>
      <c r="IH580" s="1661"/>
      <c r="II580" s="1661"/>
      <c r="IJ580" s="1661"/>
      <c r="IK580" s="1661"/>
      <c r="IL580" s="1661"/>
      <c r="IM580" s="1661"/>
      <c r="IN580" s="1525" t="s">
        <v>2215</v>
      </c>
      <c r="IO580" s="1525" t="s">
        <v>2215</v>
      </c>
      <c r="IP580" s="1525" t="s">
        <v>2215</v>
      </c>
      <c r="IQ580" s="1525" t="s">
        <v>2215</v>
      </c>
      <c r="IR580" s="1525" t="s">
        <v>2215</v>
      </c>
      <c r="IS580" s="1525" t="s">
        <v>2950</v>
      </c>
      <c r="IT580" s="1525" t="s">
        <v>2950</v>
      </c>
      <c r="IU580" s="1525" t="s">
        <v>2950</v>
      </c>
      <c r="IV580" s="1525" t="s">
        <v>2950</v>
      </c>
      <c r="IW580" s="1525" t="s">
        <v>2950</v>
      </c>
      <c r="IX580" s="1661"/>
      <c r="IY580" s="1661"/>
      <c r="IZ580" s="1661"/>
      <c r="JA580" s="1661"/>
      <c r="JB580" s="1661"/>
      <c r="JC580" s="1661"/>
      <c r="JD580" s="1661"/>
      <c r="JE580" s="1661"/>
      <c r="JF580" s="1661"/>
      <c r="JG580" s="1661"/>
      <c r="JH580" s="1661"/>
      <c r="JI580" s="1661"/>
      <c r="JJ580" s="1661"/>
      <c r="JK580" s="1661"/>
      <c r="JL580" s="1661"/>
      <c r="JM580" s="1661"/>
      <c r="JN580" s="1661"/>
      <c r="JO580" s="1661"/>
      <c r="JP580" s="1661"/>
      <c r="JQ580" s="1661"/>
      <c r="JR580" s="1661"/>
      <c r="JS580" s="1661"/>
      <c r="JT580" s="1661"/>
      <c r="JU580" s="1661"/>
      <c r="JV580" s="1661"/>
      <c r="JW580" s="1661"/>
      <c r="JX580" s="1661"/>
      <c r="JY580" s="1661"/>
      <c r="JZ580" s="1661"/>
      <c r="KA580" s="1661"/>
      <c r="KB580" s="1661"/>
      <c r="KC580" s="1661"/>
      <c r="KD580" s="1661"/>
      <c r="KE580" s="1661"/>
      <c r="KF580" s="1661"/>
      <c r="KG580" s="1661"/>
      <c r="KH580" s="1661"/>
      <c r="KI580" s="1661"/>
      <c r="KJ580" s="1661"/>
      <c r="KK580" s="1661"/>
      <c r="KL580" s="1661"/>
      <c r="KM580" s="1661"/>
      <c r="KN580" s="1661"/>
      <c r="KO580" s="1661"/>
      <c r="KP580" s="1661"/>
      <c r="KQ580" s="1661"/>
      <c r="KR580" s="1661"/>
      <c r="KS580" s="1661"/>
      <c r="KT580" s="1661"/>
      <c r="KU580" s="1661"/>
      <c r="KV580" s="1661"/>
      <c r="KW580" s="1661"/>
      <c r="KX580" s="1661"/>
      <c r="KY580" s="1661"/>
      <c r="KZ580" s="1661"/>
      <c r="LA580" s="1661"/>
      <c r="LB580" s="1661"/>
      <c r="LC580" s="1661"/>
      <c r="LD580" s="1661"/>
      <c r="LE580" s="1661"/>
      <c r="LF580" s="1661"/>
      <c r="LG580" s="1661"/>
      <c r="LH580" s="1661"/>
      <c r="LI580" s="1661"/>
      <c r="LJ580" s="1661"/>
      <c r="LK580" s="1661"/>
      <c r="LL580" s="1661"/>
      <c r="LM580" s="1661"/>
      <c r="LN580" s="1661"/>
      <c r="LO580" s="1661"/>
      <c r="LP580" s="1661"/>
      <c r="LQ580" s="1661"/>
      <c r="LR580" s="1661"/>
      <c r="LS580" s="1661"/>
      <c r="LT580" s="1661"/>
      <c r="LU580" s="1661"/>
      <c r="LV580" s="1661"/>
      <c r="LW580" s="1661"/>
      <c r="LX580" s="1661"/>
      <c r="LY580" s="1661"/>
      <c r="LZ580" s="1661"/>
      <c r="MA580" s="1661"/>
      <c r="MB580" s="1661"/>
      <c r="MC580" s="1661"/>
      <c r="MD580" s="1661"/>
      <c r="ME580" s="1661"/>
      <c r="MF580" s="1661"/>
      <c r="MG580" s="1661"/>
      <c r="MH580" s="1661"/>
      <c r="MI580" s="1661"/>
      <c r="MJ580" s="1527"/>
      <c r="MK580" s="1527"/>
      <c r="ML580" s="1527"/>
      <c r="MM580" s="1527"/>
      <c r="MN580" s="1527"/>
      <c r="MO580" s="1661"/>
      <c r="MP580" s="1661"/>
      <c r="MQ580" s="1661"/>
      <c r="MR580" s="1661"/>
      <c r="MS580" s="1661"/>
    </row>
    <row r="581" spans="1:357" s="1154" customFormat="1" ht="12" customHeight="1">
      <c r="A581" s="1524" t="str">
        <f t="shared" ref="A581:A618" si="1">IF(AND(E581&gt;0,OR(B581="",C581="",D581="",F581="",G581="", H581="",M581="",N581="",O581="",P581="")),1,"")</f>
        <v/>
      </c>
      <c r="B581" s="1672" t="str">
        <f>'Part VI-Revenues &amp; Expenses'!B10</f>
        <v>N/A-CS</v>
      </c>
      <c r="C581" s="1673">
        <f>'Part VI-Revenues &amp; Expenses'!C10</f>
        <v>0</v>
      </c>
      <c r="D581" s="1674">
        <f>'Part VI-Revenues &amp; Expenses'!D10</f>
        <v>0</v>
      </c>
      <c r="E581" s="1675">
        <f>'Part VI-Revenues &amp; Expenses'!E10</f>
        <v>0</v>
      </c>
      <c r="F581" s="1675">
        <f>'Part VI-Revenues &amp; Expenses'!F10</f>
        <v>0</v>
      </c>
      <c r="G581" s="1675">
        <f>'Part VI-Revenues &amp; Expenses'!G10</f>
        <v>0</v>
      </c>
      <c r="H581" s="1675">
        <f>'Part VI-Revenues &amp; Expenses'!H10</f>
        <v>0</v>
      </c>
      <c r="I581" s="1675">
        <f>'Part VI-Revenues &amp; Expenses'!I10</f>
        <v>0</v>
      </c>
      <c r="J581" s="1676">
        <f>'Part VI-Revenues &amp; Expenses'!J10</f>
        <v>0</v>
      </c>
      <c r="K581" s="1677">
        <f>'Part VI-Revenues &amp; Expenses'!K10</f>
        <v>0</v>
      </c>
      <c r="L581" s="1677">
        <f>'Part VI-Revenues &amp; Expenses'!L10</f>
        <v>0</v>
      </c>
      <c r="M581" s="1678">
        <f>'Part VI-Revenues &amp; Expenses'!M10</f>
        <v>0</v>
      </c>
      <c r="N581" s="1678">
        <f>'Part VI-Revenues &amp; Expenses'!N10</f>
        <v>0</v>
      </c>
      <c r="O581" s="1678">
        <f>'Part VI-Revenues &amp; Expenses'!O10</f>
        <v>0</v>
      </c>
      <c r="P581" s="1660">
        <f>'Part VI-Revenues &amp; Expenses'!P10</f>
        <v>0</v>
      </c>
      <c r="Q581" s="1679"/>
      <c r="R581" s="1680"/>
      <c r="S581" s="1679"/>
      <c r="T581" s="1680"/>
      <c r="U581" s="1519"/>
      <c r="V581" s="1519"/>
      <c r="W581" s="1154" t="str">
        <f t="shared" ref="W581:W618" si="2">IF(AND(C581="Efficiency",B581=80,NOT(M581="Common Space")),E581,"")</f>
        <v/>
      </c>
      <c r="X581" s="1154" t="str">
        <f t="shared" ref="X581:X618" si="3">IF(AND(C581=1,B581=80,NOT(M581="Common Space")),E581,"")</f>
        <v/>
      </c>
      <c r="Y581" s="1154" t="str">
        <f t="shared" ref="Y581:Y618" si="4">IF(AND(C581=2,B581=80,NOT(M581="Common Space")),E581,"")</f>
        <v/>
      </c>
      <c r="Z581" s="1154" t="str">
        <f t="shared" ref="Z581:Z618" si="5">IF(AND(C581=3,B581=80,NOT(M581="Common Space")),E581,"")</f>
        <v/>
      </c>
      <c r="AA581" s="1154" t="str">
        <f t="shared" ref="AA581:AA618" si="6">IF(AND(C581=4,B581=80,NOT(M581="Common Space")),E581,"")</f>
        <v/>
      </c>
      <c r="AB581" s="1154" t="str">
        <f t="shared" ref="AB581:AB618" si="7">IF(AND(C581="Efficiency",B581=70,NOT(M581="Common Space")),E581,"")</f>
        <v/>
      </c>
      <c r="AC581" s="1154" t="str">
        <f t="shared" ref="AC581:AC618" si="8">IF(AND(C581=1,B581=70,NOT(M581="Common Space")),E581,"")</f>
        <v/>
      </c>
      <c r="AD581" s="1154" t="str">
        <f t="shared" ref="AD581:AD618" si="9">IF(AND(C581=2,B581=70,NOT(M581="Common Space")),E581,"")</f>
        <v/>
      </c>
      <c r="AE581" s="1154" t="str">
        <f t="shared" ref="AE581:AE618" si="10">IF(AND(C581=3,B581=70,NOT(M581="Common Space")),E581,"")</f>
        <v/>
      </c>
      <c r="AF581" s="1154" t="str">
        <f t="shared" ref="AF581:AF618" si="11">IF(AND(C581=4,B581=70,NOT(M581="Common Space")),E581,"")</f>
        <v/>
      </c>
      <c r="AG581" s="1154" t="str">
        <f t="shared" ref="AG581:AG618" si="12">IF(AND(C581="Efficiency",B581=60,NOT(M581="Common Space")),E581,"")</f>
        <v/>
      </c>
      <c r="AH581" s="1154" t="str">
        <f t="shared" ref="AH581:AH618" si="13">IF(AND(C581=1,B581=60,NOT(M581="Common Space")),E581,"")</f>
        <v/>
      </c>
      <c r="AI581" s="1154" t="str">
        <f t="shared" ref="AI581:AI618" si="14">IF(AND(C581=2,B581=60,NOT(M581="Common Space")),E581,"")</f>
        <v/>
      </c>
      <c r="AJ581" s="1154" t="str">
        <f t="shared" ref="AJ581:AJ618" si="15">IF(AND(C581=3,B581=60,NOT(M581="Common Space")),E581,"")</f>
        <v/>
      </c>
      <c r="AK581" s="1154" t="str">
        <f t="shared" ref="AK581:AK618" si="16">IF(AND(C581=4,B581=60,NOT(M581="Common Space")),E581,"")</f>
        <v/>
      </c>
      <c r="AL581" s="1154" t="str">
        <f t="shared" ref="AL581:AL618" si="17">IF(AND(C581="Efficiency",B581=50,NOT(M581="Common Space")),E581,"")</f>
        <v/>
      </c>
      <c r="AM581" s="1154" t="str">
        <f t="shared" ref="AM581:AM618" si="18">IF(AND(C581=1,B581=50,NOT(M581="Common Space")),E581,"")</f>
        <v/>
      </c>
      <c r="AN581" s="1154" t="str">
        <f t="shared" ref="AN581:AN618" si="19">IF(AND(C581=2,B581=50,NOT(M581="Common Space")),E581,"")</f>
        <v/>
      </c>
      <c r="AO581" s="1154" t="str">
        <f t="shared" ref="AO581:AO618" si="20">IF(AND(C581=3,B581=50,NOT(M581="Common Space")),E581,"")</f>
        <v/>
      </c>
      <c r="AP581" s="1154" t="str">
        <f t="shared" ref="AP581:AP618" si="21">IF(AND(C581=4,B581=50,NOT(M581="Common Space")),E581,"")</f>
        <v/>
      </c>
      <c r="AQ581" s="1154" t="str">
        <f t="shared" ref="AQ581:AQ618" si="22">IF(AND(C581="Efficiency",B581=40,NOT(M581="Common Space")),E581,"")</f>
        <v/>
      </c>
      <c r="AR581" s="1154" t="str">
        <f t="shared" ref="AR581:AR618" si="23">IF(AND(C581=1,B581=40,NOT(M581="Common Space")),E581,"")</f>
        <v/>
      </c>
      <c r="AS581" s="1154" t="str">
        <f t="shared" ref="AS581:AS618" si="24">IF(AND(C581=2,B581=40,NOT(M581="Common Space")),E581,"")</f>
        <v/>
      </c>
      <c r="AT581" s="1154" t="str">
        <f t="shared" ref="AT581:AT618" si="25">IF(AND(C581=3,B581=40,NOT(M581="Common Space")),E581,"")</f>
        <v/>
      </c>
      <c r="AU581" s="1154" t="str">
        <f t="shared" ref="AU581:AU618" si="26">IF(AND(C581=4,B581=40,NOT(M581="Common Space")),E581,"")</f>
        <v/>
      </c>
      <c r="AV581" s="1154" t="str">
        <f t="shared" ref="AV581:AV618" si="27">IF(AND(C581="Efficiency",B581=30,NOT(M581="Common Space")),E581,"")</f>
        <v/>
      </c>
      <c r="AW581" s="1154" t="str">
        <f t="shared" ref="AW581:AW618" si="28">IF(AND(C581=1,B581=30,NOT(M581="Common Space")),E581,"")</f>
        <v/>
      </c>
      <c r="AX581" s="1154" t="str">
        <f t="shared" ref="AX581:AX618" si="29">IF(AND(C581=2,B581=30,NOT(M581="Common Space")),E581,"")</f>
        <v/>
      </c>
      <c r="AY581" s="1154" t="str">
        <f t="shared" ref="AY581:AY618" si="30">IF(AND(C581=3,B581=30,NOT(M581="Common Space")),E581,"")</f>
        <v/>
      </c>
      <c r="AZ581" s="1154" t="str">
        <f t="shared" ref="AZ581:AZ618" si="31">IF(AND(C581=4,B581=30,NOT(M581="Common Space")),E581,"")</f>
        <v/>
      </c>
      <c r="BA581" s="1154" t="str">
        <f t="shared" ref="BA581:BA618" si="32">IF(AND(C581="Efficiency",B581=20,NOT(M581="Common Space")),E581,"")</f>
        <v/>
      </c>
      <c r="BB581" s="1154" t="str">
        <f t="shared" ref="BB581:BB618" si="33">IF(AND(C581=1,B581=20,NOT(M581="Common Space")),E581,"")</f>
        <v/>
      </c>
      <c r="BC581" s="1154" t="str">
        <f t="shared" ref="BC581:BC618" si="34">IF(AND(C581=2,B581=20,NOT(M581="Common Space")),E581,"")</f>
        <v/>
      </c>
      <c r="BD581" s="1154" t="str">
        <f t="shared" ref="BD581:BD618" si="35">IF(AND(C581=3,B581=20,NOT(M581="Common Space")),E581,"")</f>
        <v/>
      </c>
      <c r="BE581" s="1154" t="str">
        <f t="shared" ref="BE581:BE618" si="36">IF(AND(C581=4,B581=20,NOT(M581="Common Space")),E581,"")</f>
        <v/>
      </c>
      <c r="BF581" s="1154" t="str">
        <f t="shared" ref="BF581:BF618" si="37">IF(AND(C581="Efficiency",B581="Unrestricted",NOT(M581="Common Space")),E581,"")</f>
        <v/>
      </c>
      <c r="BG581" s="1154" t="str">
        <f t="shared" ref="BG581:BG618" si="38">IF(AND(C581=1,B581="Unrestricted",NOT(M581="Common Space")),E581,"")</f>
        <v/>
      </c>
      <c r="BH581" s="1154" t="str">
        <f t="shared" ref="BH581:BH618" si="39">IF(AND(C581=2,B581="Unrestricted",NOT(M581="Common Space")),E581,"")</f>
        <v/>
      </c>
      <c r="BI581" s="1154" t="str">
        <f t="shared" ref="BI581:BI618" si="40">IF(AND(C581=3,B581="Unrestricted",NOT(M581="Common Space")),E581,"")</f>
        <v/>
      </c>
      <c r="BJ581" s="1154" t="str">
        <f t="shared" ref="BJ581:BJ618" si="41">IF(AND(C581=4,B581="Unrestricted",NOT(M581="Common Space")),E581,"")</f>
        <v/>
      </c>
      <c r="BK581" s="1154" t="str">
        <f t="shared" ref="BK581:BK618" si="42">IF(OR(AND($C581="Efficiency",NOT($J581=""),NOT($J581="PHA Oper Sub"),$B581=20,NOT($M581="Common Space")),AND($C581="Efficiency",NOT($J581=""),NOT($J581="PHA Oper Sub"),$B581="HOME 20",NOT($M581="Common Space"))),$E581,"")</f>
        <v/>
      </c>
      <c r="BL581" s="1154" t="str">
        <f t="shared" ref="BL581:BL618" si="43">IF(OR(AND($C581=1,NOT($J581=""),NOT($J581="PHA Oper Sub"),$B581=20,NOT($M581="Common Space")),AND($C581=1,NOT($J581=""),NOT($J581="PHA Oper Sub"),$B581="HOME 20",NOT($M581="Common Space"))),$E581,"")</f>
        <v/>
      </c>
      <c r="BM581" s="1154" t="str">
        <f t="shared" ref="BM581:BM618" si="44">IF(OR(AND($C581=2,NOT($J581=""),NOT($J581="PHA Oper Sub"),$B581=20,NOT($M581="Common Space")),AND($C581=2,NOT($J581=""),NOT($J581="PHA Oper Sub"),$B581="HOME 20",NOT($M581="Common Space"))),$E581,"")</f>
        <v/>
      </c>
      <c r="BN581" s="1154" t="str">
        <f t="shared" ref="BN581:BN618" si="45">IF(OR(AND($C581=3,NOT($J581=""),NOT($J581="PHA Oper Sub"),$B581=20,NOT($M581="Common Space")),AND($C581=3,NOT($J581=""),NOT($J581="PHA Oper Sub"),$B581="HOME 20",NOT($M581="Common Space"))),$E581,"")</f>
        <v/>
      </c>
      <c r="BO581" s="1154" t="str">
        <f t="shared" ref="BO581:BO618" si="46">IF(OR(AND($C581=4,NOT($J581=""),NOT($J581="PHA Oper Sub"),$B581=20,NOT($M581="Common Space")),AND($C581=4,NOT($J581=""),NOT($J581="PHA Oper Sub"),$B581="HOME 20",NOT($M581="Common Space"))),$E581,"")</f>
        <v/>
      </c>
      <c r="BP581" s="1154" t="str">
        <f t="shared" ref="BP581:BP618" si="47">IF(OR(AND($C581="Efficiency",NOT($J581=""),NOT($J581="PHA Oper Sub"),$B581=30,NOT($M581="Common Space")),AND($C581="Efficiency",NOT($J581=""),NOT($J581="PHA Oper Sub"),$B581="HOME 30",NOT($M581="Common Space"))),$E581,"")</f>
        <v/>
      </c>
      <c r="BQ581" s="1154" t="str">
        <f t="shared" ref="BQ581:BQ618" si="48">IF(OR(AND($C581=1,NOT($J581=""),NOT($J581="PHA Oper Sub"),$B581=30,NOT($M581="Common Space")),AND($C581=1,NOT($J581=""),NOT($J581="PHA Oper Sub"),$B581="HOME 30",NOT($M581="Common Space"))),$E581,"")</f>
        <v/>
      </c>
      <c r="BR581" s="1154" t="str">
        <f t="shared" ref="BR581:BR618" si="49">IF(OR(AND($C581=2,NOT($J581=""),NOT($J581="PHA Oper Sub"),$B581=30,NOT($M581="Common Space")),AND($C581=2,NOT($J581=""),NOT($J581="PHA Oper Sub"),$B581="HOME 30",NOT($M581="Common Space"))),$E581,"")</f>
        <v/>
      </c>
      <c r="BS581" s="1154" t="str">
        <f t="shared" ref="BS581:BS618" si="50">IF(OR(AND($C581=3,NOT($J581=""),NOT($J581="PHA Oper Sub"),$B581=30,NOT($M581="Common Space")),AND($C581=3,NOT($J581=""),NOT($J581="PHA Oper Sub"),$B581="HOME 30",NOT($M581="Common Space"))),$E581,"")</f>
        <v/>
      </c>
      <c r="BT581" s="1154" t="str">
        <f t="shared" ref="BT581:BT618" si="51">IF(OR(AND($C581=4,NOT($J581=""),NOT($J581="PHA Oper Sub"),$B581=30,NOT($M581="Common Space")),AND($C581=4,NOT($J581=""),NOT($J581="PHA Oper Sub"),$B581="HOME 30",NOT($M581="Common Space"))),$E581,"")</f>
        <v/>
      </c>
      <c r="BU581" s="1154" t="str">
        <f t="shared" ref="BU581:BU618" si="52">IF(OR(AND($C581="Efficiency",NOT($J581=""),NOT($J581="PHA Oper Sub"),$B581=40,NOT($M581="Common Space")),AND($C581="Efficiency",NOT($J581=""),NOT($J581="PHA Oper Sub"),$B581="HOME 40",NOT($M581="Common Space"))),$E581,"")</f>
        <v/>
      </c>
      <c r="BV581" s="1154" t="str">
        <f t="shared" ref="BV581:BV618" si="53">IF(OR(AND($C581=1,NOT($J581=""),NOT($J581="PHA Oper Sub"),$B581=40,NOT($M581="Common Space")),AND($C581=1,NOT($J581=""),NOT($J581="PHA Oper Sub"),$B581="HOME 40",NOT($M581="Common Space"))),$E581,"")</f>
        <v/>
      </c>
      <c r="BW581" s="1154" t="str">
        <f t="shared" ref="BW581:BW618" si="54">IF(OR(AND($C581=2,NOT($J581=""),NOT($J581="PHA Oper Sub"),$B581=40,NOT($M581="Common Space")),AND($C581=2,NOT($J581=""),NOT($J581="PHA Oper Sub"),$B581="HOME 40",NOT($M581="Common Space"))),$E581,"")</f>
        <v/>
      </c>
      <c r="BX581" s="1154" t="str">
        <f t="shared" ref="BX581:BX618" si="55">IF(OR(AND($C581=3,NOT($J581=""),NOT($J581="PHA Oper Sub"),$B581=40,NOT($M581="Common Space")),AND($C581=3,NOT($J581=""),NOT($J581="PHA Oper Sub"),$B581="HOME 40",NOT($M581="Common Space"))),$E581,"")</f>
        <v/>
      </c>
      <c r="BY581" s="1154" t="str">
        <f t="shared" ref="BY581:BY618" si="56">IF(OR(AND($C581=4,NOT($J581=""),NOT($J581="PHA Oper Sub"),$B581=40,NOT($M581="Common Space")),AND($C581=4,NOT($J581=""),NOT($J581="PHA Oper Sub"),$B581="HOME 40",NOT($M581="Common Space"))),$E581,"")</f>
        <v/>
      </c>
      <c r="BZ581" s="1154" t="str">
        <f t="shared" ref="BZ581:BZ618" si="57">IF(OR(AND($C581="Efficiency",NOT($J581=""),NOT($J581="PHA Oper Sub"),NOT($J581=0),$B581=50,NOT($M581="Common Space")),AND($C581="Efficiency",NOT($J581=""),NOT($J581=0),NOT($J581="PHA Oper Sub"),$B581="HOME 50",NOT($M581="Common Space"))),$E581,"")</f>
        <v/>
      </c>
      <c r="CA581" s="1154" t="str">
        <f t="shared" ref="CA581:CA618" si="58">IF(OR(AND($C581=1,NOT($J581=""),NOT($J581=0),NOT($J581="PHA Oper Sub"),$B581=50,NOT($M581="Common Space")),AND($C581=1,NOT($J581=""),NOT($J581=0),NOT($J581="PHA Oper Sub"),$B581="HOME 50",NOT($M581="Common Space"))),$E581,"")</f>
        <v/>
      </c>
      <c r="CB581" s="1154" t="str">
        <f t="shared" ref="CB581:CB618" si="59">IF(OR(AND($C581=2,NOT($J581=""),NOT($J581=0),NOT($J581="PHA Oper Sub"),$B581=50,NOT($M581="Common Space")),AND($C581=2,NOT($J581=""),NOT($J581=0),NOT($J581="PHA Oper Sub"),$B581="HOME 50",NOT($M581="Common Space"))),$E581,"")</f>
        <v/>
      </c>
      <c r="CC581" s="1154" t="str">
        <f t="shared" ref="CC581:CC618" si="60">IF(OR(AND($C581=3,NOT($J581=""),NOT($J581=0),NOT($J581="PHA Oper Sub"),$B581=50,NOT($M581="Common Space")),AND($C581=3,NOT($J581=""),NOT($J581=0),NOT($J581="PHA Oper Sub"),$B581="HOME 50",NOT($M581="Common Space"))),$E581,"")</f>
        <v/>
      </c>
      <c r="CD581" s="1154" t="str">
        <f t="shared" ref="CD581:CD618" si="61">IF(OR(AND($C581=4,NOT($J581=""),NOT($J581=0),NOT($J581="PHA Oper Sub"),$B581=50,NOT($M581="Common Space")),AND($C581=4,NOT($J581=""),NOT($J581=0),NOT($J581="PHA Oper Sub"),$B581="HOME 50",NOT($M581="Common Space"))),$E581,"")</f>
        <v/>
      </c>
      <c r="CE581" s="1154" t="str">
        <f t="shared" ref="CE581:CE618" si="62">IF(OR(AND($C581="Efficiency",NOT($J581=""),NOT($J581=0),NOT($J581="PHA Oper Sub"),$B581=60,NOT($M581="Common Space")),AND($C581="Efficiency",NOT($J581=""),NOT($J581=0),NOT($J581="PHA Oper Sub"),$B581="HOME 60",NOT($M581="Common Space"))),$E581,"")</f>
        <v/>
      </c>
      <c r="CF581" s="1154" t="str">
        <f t="shared" ref="CF581:CF618" si="63">IF(OR(AND($C581=1,NOT($J581=""),NOT($J581=0),NOT($J581="PHA Oper Sub"),$B581=60,NOT($M581="Common Space")),AND($C581=1,NOT($J581=""),NOT($J581=0),NOT($J581="PHA Oper Sub"),$B581="HOME 60",NOT($M581="Common Space"))),$E581,"")</f>
        <v/>
      </c>
      <c r="CG581" s="1154" t="str">
        <f t="shared" ref="CG581:CG618" si="64">IF(OR(AND($C581=2,NOT($J581=""),NOT($J581=0),NOT($J581="PHA Oper Sub"),$B581=60,NOT($M581="Common Space")),AND($C581=2,NOT($J581=""),NOT($J581=0),NOT($J581="PHA Oper Sub"),$B581="HOME 60",NOT($M581="Common Space"))),$E581,"")</f>
        <v/>
      </c>
      <c r="CH581" s="1154" t="str">
        <f t="shared" ref="CH581:CH618" si="65">IF(OR(AND($C581=3,NOT($J581=""),NOT($J581=0),NOT($J581="PHA Oper Sub"),$B581=60,NOT($M581="Common Space")),AND($C581=3,NOT($J581=""),NOT($J581=0),NOT($J581="PHA Oper Sub"),$B581="HOME 60",NOT($M581="Common Space"))),$E581,"")</f>
        <v/>
      </c>
      <c r="CI581" s="1154" t="str">
        <f t="shared" ref="CI581:CI618" si="66">IF(OR(AND($C581=4,NOT($J581=""),NOT($J581=0),NOT($J581="PHA Oper Sub"),$B581=60,NOT($M581="Common Space")),AND($C581=4,NOT($J581=""),NOT($J581=0),NOT($J581="PHA Oper Sub"),$B581="HOME 60",NOT($M581="Common Space"))),$E581,"")</f>
        <v/>
      </c>
      <c r="CJ581" s="1154" t="str">
        <f t="shared" ref="CJ581:CJ618" si="67">IF(OR(AND($C581="Efficiency",NOT($J581=""),NOT($J581="PHA Oper Sub"),$B581=70,NOT($M581="Common Space")),AND($C581="Efficiency",NOT($J581=""),NOT($J581="PHA Oper Sub"),$B581="HOME 70",NOT($M581="Common Space"))),$E581,"")</f>
        <v/>
      </c>
      <c r="CK581" s="1154" t="str">
        <f t="shared" ref="CK581:CK618" si="68">IF(OR(AND($C581=1,NOT($J581=""),NOT($J581="PHA Oper Sub"),$B581=70,NOT($M581="Common Space")),AND($C581=1,NOT($J581=""),NOT($J581="PHA Oper Sub"),$B581="HOME 70",NOT($M581="Common Space"))),$E581,"")</f>
        <v/>
      </c>
      <c r="CL581" s="1154" t="str">
        <f t="shared" ref="CL581:CL618" si="69">IF(OR(AND($C581=2,NOT($J581=""),NOT($J581="PHA Oper Sub"),$B581=70,NOT($M581="Common Space")),AND($C581=2,NOT($J581=""),NOT($J581="PHA Oper Sub"),$B581="HOME 70",NOT($M581="Common Space"))),$E581,"")</f>
        <v/>
      </c>
      <c r="CM581" s="1154" t="str">
        <f t="shared" ref="CM581:CM618" si="70">IF(OR(AND($C581=3,NOT($J581=""),NOT($J581="PHA Oper Sub"),$B581=70,NOT($M581="Common Space")),AND($C581=3,NOT($J581=""),NOT($J581="PHA Oper Sub"),$B581="HOME 70",NOT($M581="Common Space"))),$E581,"")</f>
        <v/>
      </c>
      <c r="CN581" s="1154" t="str">
        <f t="shared" ref="CN581:CN618" si="71">IF(OR(AND($C581=4,NOT($J581=""),NOT($J581="PHA Oper Sub"),$B581=70,NOT($M581="Common Space")),AND($C581=4,NOT($J581=""),NOT($J581="PHA Oper Sub"),$B581="HOME 70",NOT($M581="Common Space"))),$E581,"")</f>
        <v/>
      </c>
      <c r="CO581" s="1154" t="str">
        <f t="shared" ref="CO581:CO618" si="72">IF(OR(AND($C581="Efficiency",NOT($J581=""),NOT($J581="PHA Oper Sub"),$B581=80,NOT($M581="Common Space")),AND($C581="Efficiency",NOT($J581=""),NOT($J581="PHA Oper Sub"),$B581="HOME 80",NOT($M581="Common Space"))),$E581,"")</f>
        <v/>
      </c>
      <c r="CP581" s="1154" t="str">
        <f t="shared" ref="CP581:CP618" si="73">IF(OR(AND($C581=1,NOT($J581=""),NOT($J581="PHA Oper Sub"),$B581=80,NOT($M581="Common Space")),AND($C581=1,NOT($J581=""),NOT($J581="PHA Oper Sub"),$B581="HOME 80",NOT($M581="Common Space"))),$E581,"")</f>
        <v/>
      </c>
      <c r="CQ581" s="1154" t="str">
        <f t="shared" ref="CQ581:CQ618" si="74">IF(OR(AND($C581=2,NOT($J581=""),NOT($J581="PHA Oper Sub"),$B581=80,NOT($M581="Common Space")),AND($C581=2,NOT($J581=""),NOT($J581="PHA Oper Sub"),$B581="HOME 80",NOT($M581="Common Space"))),$E581,"")</f>
        <v/>
      </c>
      <c r="CR581" s="1154" t="str">
        <f t="shared" ref="CR581:CR618" si="75">IF(OR(AND($C581=3,NOT($J581=""),NOT($J581="PHA Oper Sub"),$B581=80,NOT($M581="Common Space")),AND($C581=3,NOT($J581=""),NOT($J581="PHA Oper Sub"),$B581="HOME 80",NOT($M581="Common Space"))),$E581,"")</f>
        <v/>
      </c>
      <c r="CS581" s="1154" t="str">
        <f t="shared" ref="CS581:CS618" si="76">IF(OR(AND($C581=4,NOT($J581=""),NOT($J581="PHA Oper Sub"),$B581=80,NOT($M581="Common Space")),AND($C581=4,NOT($J581=""),NOT($J581="PHA Oper Sub"),$B581="HOME 80",NOT($M581="Common Space"))),$E581,"")</f>
        <v/>
      </c>
      <c r="CT581" s="1154" t="str">
        <f t="shared" ref="CT581:CT618" si="77">IF(OR(AND($C581="Efficiency",$J581="PHA Oper Sub",$B581=20,NOT($M581="Common Space")),AND($C581="Efficiency",$J581="PHA Oper Sub",$B581="HOME 20",NOT($M581="Common Space"))),$E581,"")</f>
        <v/>
      </c>
      <c r="CU581" s="1154" t="str">
        <f t="shared" ref="CU581:CU618" si="78">IF(OR(AND($C581=1,$J581="PHA Oper Sub",$B581=20,NOT($M581="Common Space")),AND($C581=1,$J581="PHA Oper Sub",$B581="HOME 20",NOT($M581="Common Space"))),$E581,"")</f>
        <v/>
      </c>
      <c r="CV581" s="1154" t="str">
        <f t="shared" ref="CV581:CV618" si="79">IF(OR(AND($C581=2,$J581="PHA Oper Sub",$B581=20,NOT($M581="Common Space")),AND($C581=2,$J581="PHA Oper Sub",$B581="HOME 20",NOT($M581="Common Space"))),$E581,"")</f>
        <v/>
      </c>
      <c r="CW581" s="1154" t="str">
        <f t="shared" ref="CW581:CW618" si="80">IF(OR(AND($C581=3,$J581="PHA Oper Sub",$B581=20,NOT($M581="Common Space")),AND($C581=3,$J581="PHA Oper Sub",$B581="HOME 20",NOT($M581="Common Space"))),$E581,"")</f>
        <v/>
      </c>
      <c r="CX581" s="1154" t="str">
        <f t="shared" ref="CX581:CX618" si="81">IF(OR(AND($C581=4,$J581="PHA Oper Sub",$B581=20,NOT($M581="Common Space")),AND($C581=4,$J581="PHA Oper Sub",$B581="HOME 20",NOT($M581="Common Space"))),$E581,"")</f>
        <v/>
      </c>
      <c r="CY581" s="1154" t="str">
        <f t="shared" ref="CY581:CY618" si="82">IF(OR(AND($C581="Efficiency",$J581="PHA Oper Sub",$B581=30,NOT($M581="Common Space")),AND($C581="Efficiency",$J581="PHA Oper Sub",$B581="HOME 30",NOT($M581="Common Space"))),$E581,"")</f>
        <v/>
      </c>
      <c r="CZ581" s="1154" t="str">
        <f t="shared" ref="CZ581:CZ618" si="83">IF(OR(AND($C581=1,$J581="PHA Oper Sub",$B581=30,NOT($M581="Common Space")),AND($C581=1,$J581="PHA Oper Sub",$B581="HOME 30",NOT($M581="Common Space"))),$E581,"")</f>
        <v/>
      </c>
      <c r="DA581" s="1154" t="str">
        <f t="shared" ref="DA581:DA618" si="84">IF(OR(AND($C581=2,$J581="PHA Oper Sub",$B581=30,NOT($M581="Common Space")),AND($C581=2,$J581="PHA Oper Sub",$B581="HOME 30",NOT($M581="Common Space"))),$E581,"")</f>
        <v/>
      </c>
      <c r="DB581" s="1154" t="str">
        <f t="shared" ref="DB581:DB618" si="85">IF(OR(AND($C581=3,$J581="PHA Oper Sub",$B581=30,NOT($M581="Common Space")),AND($C581=3,$J581="PHA Oper Sub",$B581="HOME 30",NOT($M581="Common Space"))),$E581,"")</f>
        <v/>
      </c>
      <c r="DC581" s="1154" t="str">
        <f t="shared" ref="DC581:DC618" si="86">IF(OR(AND($C581=4,$J581="PHA Oper Sub",$B581=30,NOT($M581="Common Space")),AND($C581=4,$J581="PHA Oper Sub",$B581="HOME 30",NOT($M581="Common Space"))),$E581,"")</f>
        <v/>
      </c>
      <c r="DD581" s="1154" t="str">
        <f t="shared" ref="DD581:DD618" si="87">IF(OR(AND($C581="Efficiency",$J581="PHA Oper Sub",$B581=40,NOT($M581="Common Space")),AND($C581="Efficiency",$J581="PHA Oper Sub",$B581="HOME 40",NOT($M581="Common Space"))),$E581,"")</f>
        <v/>
      </c>
      <c r="DE581" s="1154" t="str">
        <f t="shared" ref="DE581:DE618" si="88">IF(OR(AND($C581=1,$J581="PHA Oper Sub",$B581=40,NOT($M581="Common Space")),AND($C581=1,$J581="PHA Oper Sub",$B581="HOME 40",NOT($M581="Common Space"))),$E581,"")</f>
        <v/>
      </c>
      <c r="DF581" s="1154" t="str">
        <f t="shared" ref="DF581:DF618" si="89">IF(OR(AND($C581=2,$J581="PHA Oper Sub",$B581=40,NOT($M581="Common Space")),AND($C581=2,$J581="PHA Oper Sub",$B581="HOME 40",NOT($M581="Common Space"))),$E581,"")</f>
        <v/>
      </c>
      <c r="DG581" s="1154" t="str">
        <f t="shared" ref="DG581:DG618" si="90">IF(OR(AND($C581=3,$J581="PHA Oper Sub",$B581=40,NOT($M581="Common Space")),AND($C581=3,$J581="PHA Oper Sub",$B581="HOME 40",NOT($M581="Common Space"))),$E581,"")</f>
        <v/>
      </c>
      <c r="DH581" s="1154" t="str">
        <f t="shared" ref="DH581:DH618" si="91">IF(OR(AND($C581=4,$J581="PHA Oper Sub",$B581=40,NOT($M581="Common Space")),AND($C581=4,$J581="PHA Oper Sub",$B581="HOME 40",NOT($M581="Common Space"))),$E581,"")</f>
        <v/>
      </c>
      <c r="DI581" s="1154" t="str">
        <f t="shared" ref="DI581:DI618" si="92">IF(OR(AND($C581="Efficiency",$J581="PHA Oper Sub",$B581=50,NOT($M581="Common Space")),AND($C581="Efficiency",$J581="PHA Oper Sub",$B581="HOME 50",NOT($M581="Common Space"))),$E581,"")</f>
        <v/>
      </c>
      <c r="DJ581" s="1154" t="str">
        <f t="shared" ref="DJ581:DJ618" si="93">IF(OR(AND($C581=1,$J581="PHA Oper Sub",$B581=50,NOT($M581="Common Space")),AND($C581=1,$J581="PHA Oper Sub",$B581="HOME 50",NOT($M581="Common Space"))),$E581,"")</f>
        <v/>
      </c>
      <c r="DK581" s="1154" t="str">
        <f t="shared" ref="DK581:DK618" si="94">IF(OR(AND($C581=2,$J581="PHA Oper Sub",$B581=50,NOT($M581="Common Space")),AND($C581=2,$J581="PHA Oper Sub",$B581="HOME 50",NOT($M581="Common Space"))),$E581,"")</f>
        <v/>
      </c>
      <c r="DL581" s="1154" t="str">
        <f t="shared" ref="DL581:DL618" si="95">IF(OR(AND($C581=3,$J581="PHA Oper Sub",$B581=50,NOT($M581="Common Space")),AND($C581=3,$J581="PHA Oper Sub",$B581="HOME 50",NOT($M581="Common Space"))),$E581,"")</f>
        <v/>
      </c>
      <c r="DM581" s="1154" t="str">
        <f t="shared" ref="DM581:DM618" si="96">IF(OR(AND($C581=4,$J581="PHA Oper Sub",$B581=50,NOT($M581="Common Space")),AND($C581=4,$J581="PHA Oper Sub",$B581="HOME 50",NOT($M581="Common Space"))),$E581,"")</f>
        <v/>
      </c>
      <c r="DN581" s="1154" t="str">
        <f t="shared" ref="DN581:DN618" si="97">IF(OR(AND($C581="Efficiency",$J581="PHA Oper Sub",$B581=60,NOT($M581="Common Space")),AND($C581="Efficiency",$J581="PHA Oper Sub",$B581="HOME 60",NOT($M581="Common Space"))),$E581,"")</f>
        <v/>
      </c>
      <c r="DO581" s="1154" t="str">
        <f t="shared" ref="DO581:DO618" si="98">IF(OR(AND($C581=1,$J581="PHA Oper Sub",$B581=60,NOT($M581="Common Space")),AND($C581=1,$J581="PHA Oper Sub",$B581="HOME 60",NOT($M581="Common Space"))),$E581,"")</f>
        <v/>
      </c>
      <c r="DP581" s="1154" t="str">
        <f t="shared" ref="DP581:DP618" si="99">IF(OR(AND($C581=2,$J581="PHA Oper Sub",$B581=60,NOT($M581="Common Space")),AND($C581=2,$J581="PHA Oper Sub",$B581="HOME 60",NOT($M581="Common Space"))),$E581,"")</f>
        <v/>
      </c>
      <c r="DQ581" s="1154" t="str">
        <f t="shared" ref="DQ581:DQ618" si="100">IF(OR(AND($C581=3,$J581="PHA Oper Sub",$B581=60,NOT($M581="Common Space")),AND($C581=3,$J581="PHA Oper Sub",$B581="HOME 60",NOT($M581="Common Space"))),$E581,"")</f>
        <v/>
      </c>
      <c r="DR581" s="1154" t="str">
        <f t="shared" ref="DR581:DR618" si="101">IF(OR(AND($C581=4,$J581="PHA Oper Sub",$B581=60,NOT($M581="Common Space")),AND($C581=4,$J581="PHA Oper Sub",$B581="HOME 60",NOT($M581="Common Space"))),$E581,"")</f>
        <v/>
      </c>
      <c r="DS581" s="1154" t="str">
        <f t="shared" ref="DS581:DS618" si="102">IF(OR(AND($C581="Efficiency",$J581="PHA Oper Sub",$B581=70,NOT($M581="Common Space")),AND($C581="Efficiency",$J581="PHA Oper Sub",$B581="HOME 70",NOT($M581="Common Space"))),$E581,"")</f>
        <v/>
      </c>
      <c r="DT581" s="1154" t="str">
        <f t="shared" ref="DT581:DT618" si="103">IF(OR(AND($C581=1,$J581="PHA Oper Sub",$B581=70,NOT($M581="Common Space")),AND($C581=1,$J581="PHA Oper Sub",$B581="HOME 70",NOT($M581="Common Space"))),$E581,"")</f>
        <v/>
      </c>
      <c r="DU581" s="1154" t="str">
        <f t="shared" ref="DU581:DU618" si="104">IF(OR(AND($C581=2,$J581="PHA Oper Sub",$B581=70,NOT($M581="Common Space")),AND($C581=2,$J581="PHA Oper Sub",$B581="HOME 70",NOT($M581="Common Space"))),$E581,"")</f>
        <v/>
      </c>
      <c r="DV581" s="1154" t="str">
        <f t="shared" ref="DV581:DV618" si="105">IF(OR(AND($C581=3,$J581="PHA Oper Sub",$B581=70,NOT($M581="Common Space")),AND($C581=3,$J581="PHA Oper Sub",$B581="HOME 70",NOT($M581="Common Space"))),$E581,"")</f>
        <v/>
      </c>
      <c r="DW581" s="1154" t="str">
        <f t="shared" ref="DW581:DW618" si="106">IF(OR(AND($C581=4,$J581="PHA Oper Sub",$B581=70,NOT($M581="Common Space")),AND($C581=4,$J581="PHA Oper Sub",$B581="HOME 70",NOT($M581="Common Space"))),$E581,"")</f>
        <v/>
      </c>
      <c r="DX581" s="1154" t="str">
        <f t="shared" ref="DX581:DX618" si="107">IF(OR(AND($C581="Efficiency",$J581="PHA Oper Sub",$B581=80,NOT($M581="Common Space")),AND($C581="Efficiency",$J581="PHA Oper Sub",$B581="HOME 80",NOT($M581="Common Space"))),$E581,"")</f>
        <v/>
      </c>
      <c r="DY581" s="1154" t="str">
        <f t="shared" ref="DY581:DY618" si="108">IF(OR(AND($C581=1,$J581="PHA Oper Sub",$B581=80,NOT($M581="Common Space")),AND($C581=1,$J581="PHA Oper Sub",$B581="HOME 80",NOT($M581="Common Space"))),$E581,"")</f>
        <v/>
      </c>
      <c r="DZ581" s="1154" t="str">
        <f t="shared" ref="DZ581:DZ618" si="109">IF(OR(AND($C581=2,$J581="PHA Oper Sub",$B581=80,NOT($M581="Common Space")),AND($C581=2,$J581="PHA Oper Sub",$B581="HOME 80",NOT($M581="Common Space"))),$E581,"")</f>
        <v/>
      </c>
      <c r="EA581" s="1154" t="str">
        <f t="shared" ref="EA581:EA618" si="110">IF(OR(AND($C581=3,$J581="PHA Oper Sub",$B581=80,NOT($M581="Common Space")),AND($C581=3,$J581="PHA Oper Sub",$B581="HOME 80",NOT($M581="Common Space"))),$E581,"")</f>
        <v/>
      </c>
      <c r="EB581" s="1154" t="str">
        <f t="shared" ref="EB581:EB618" si="111">IF(OR(AND($C581=4,$J581="PHA Oper Sub",$B581=80,NOT($M581="Common Space")),AND($C581=4,$J581="PHA Oper Sub",$B581="HOME 80",NOT($M581="Common Space"))),$E581,"")</f>
        <v/>
      </c>
      <c r="EC581" s="1154" t="str">
        <f t="shared" ref="EC581:EC618" si="112">IF(AND(C581="Efficiency",M581="Common Space"),E581,"")</f>
        <v/>
      </c>
      <c r="ED581" s="1154" t="str">
        <f t="shared" ref="ED581:ED618" si="113">IF(AND(C581=1,M581="Common Space"),E581,"")</f>
        <v/>
      </c>
      <c r="EE581" s="1154" t="str">
        <f t="shared" ref="EE581:EE618" si="114">IF(AND(C581=2,M581="Common Space"),E581,"")</f>
        <v/>
      </c>
      <c r="EF581" s="1154" t="str">
        <f t="shared" ref="EF581:EF618" si="115">IF(AND(C581=3,M581="Common Space"),E581,"")</f>
        <v/>
      </c>
      <c r="EG581" s="1154" t="str">
        <f>IF(AND(C581=4,M581="Common Space"),E581,"")</f>
        <v/>
      </c>
      <c r="EH581" s="1154" t="str">
        <f t="shared" ref="EH581:EH618" si="116">IF(OR(AND($C581="Efficiency",$B581=80,NOT($M581="Common Space")),AND($C581="Efficiency",$B581="HOME 80",NOT($M581="Common Space"))),$E581*$F581,"")</f>
        <v/>
      </c>
      <c r="EI581" s="1154" t="str">
        <f t="shared" ref="EI581:EI618" si="117">IF(OR(AND($C581=1,$B581=80,NOT($M581="Common Space")),AND($C581=1,$B581="HOME 80",NOT($M581="Common Space"))),$E581*$F581,"")</f>
        <v/>
      </c>
      <c r="EJ581" s="1154" t="str">
        <f t="shared" ref="EJ581:EJ618" si="118">IF(OR(AND($C581=2,$B581=80,NOT($M581="Common Space")),AND($C581=2,$B581="HOME 80",NOT($M581="Common Space"))),$E581*$F581,"")</f>
        <v/>
      </c>
      <c r="EK581" s="1154" t="str">
        <f t="shared" ref="EK581:EK618" si="119">IF(OR(AND($C581=3,$B581=80,NOT($M581="Common Space")),AND($C581=3,$B581="HOME 80",NOT($M581="Common Space"))),$E581*$F581,"")</f>
        <v/>
      </c>
      <c r="EL581" s="1154" t="str">
        <f t="shared" ref="EL581:EL618" si="120">IF(OR(AND($C581=4,$B581=80,NOT($M581="Common Space")),AND($C581=4,$B581="HOME 80",NOT($M581="Common Space"))),$E581*$F581,"")</f>
        <v/>
      </c>
      <c r="EM581" s="1154" t="str">
        <f t="shared" ref="EM581:EM618" si="121">IF(OR(AND($C581="Efficiency",$B581=70,NOT($M581="Common Space")),AND($C581="Efficiency",$B581="HOME 70",NOT($M581="Common Space"))),$E581*$F581,"")</f>
        <v/>
      </c>
      <c r="EN581" s="1154" t="str">
        <f t="shared" ref="EN581:EN618" si="122">IF(OR(AND($C581=1,$B581=70,NOT($M581="Common Space")),AND($C581=1,$B581="HOME 70",NOT($M581="Common Space"))),$E581*$F581,"")</f>
        <v/>
      </c>
      <c r="EO581" s="1154" t="str">
        <f t="shared" ref="EO581:EO618" si="123">IF(OR(AND($C581=2,$B581=70,NOT($M581="Common Space")),AND($C581=2,$B581="HOME 70",NOT($M581="Common Space"))),$E581*$F581,"")</f>
        <v/>
      </c>
      <c r="EP581" s="1154" t="str">
        <f t="shared" ref="EP581:EP618" si="124">IF(OR(AND($C581=3,$B581=70,NOT($M581="Common Space")),AND($C581=3,$B581="HOME 70",NOT($M581="Common Space"))),$E581*$F581,"")</f>
        <v/>
      </c>
      <c r="EQ581" s="1154" t="str">
        <f t="shared" ref="EQ581:EQ618" si="125">IF(OR(AND($C581=4,$B581=70,NOT($M581="Common Space")),AND($C581=4,$B581="HOME 70",NOT($M581="Common Space"))),$E581*$F581,"")</f>
        <v/>
      </c>
      <c r="ER581" s="1154" t="str">
        <f t="shared" ref="ER581:ER618" si="126">IF(OR(AND($C581="Efficiency",$B581=60,NOT($M581="Common Space")),AND($C581="Efficiency",$B581="HOME 60",NOT($M581="Common Space"))),$E581*$F581,"")</f>
        <v/>
      </c>
      <c r="ES581" s="1154" t="str">
        <f t="shared" ref="ES581:ES618" si="127">IF(OR(AND($C581=1,$B581=60,NOT($M581="Common Space")),AND($C581=1,$B581="HOME 60",NOT($M581="Common Space"))),$E581*$F581,"")</f>
        <v/>
      </c>
      <c r="ET581" s="1154" t="str">
        <f t="shared" ref="ET581:ET618" si="128">IF(OR(AND($C581=2,$B581=60,NOT($M581="Common Space")),AND($C581=2,$B581="HOME 60",NOT($M581="Common Space"))),$E581*$F581,"")</f>
        <v/>
      </c>
      <c r="EU581" s="1154" t="str">
        <f t="shared" ref="EU581:EU618" si="129">IF(OR(AND($C581=3,$B581=60,NOT($M581="Common Space")),AND($C581=3,$B581="HOME 60",NOT($M581="Common Space"))),$E581*$F581,"")</f>
        <v/>
      </c>
      <c r="EV581" s="1154" t="str">
        <f t="shared" ref="EV581:EV618" si="130">IF(OR(AND($C581=4,$B581=60,NOT($M581="Common Space")),AND($C581=4,$B581="HOME 60",NOT($M581="Common Space"))),$E581*$F581,"")</f>
        <v/>
      </c>
      <c r="EW581" s="1154" t="str">
        <f>IF(OR(AND($C581="Efficiency",$B581=50,NOT($M581="Common Space")),AND($C581="Efficiency",$B581="HOME 50",NOT($M581="Common Space"))),$E581*$F581,"")</f>
        <v/>
      </c>
      <c r="EX581" s="1154" t="str">
        <f>IF(OR(AND($C581=1,$B581=50,NOT($M581="Common Space")),AND($C581=1,$B581="HOME 50",NOT($M581="Common Space"))),$E581*$F581,"")</f>
        <v/>
      </c>
      <c r="EY581" s="1154" t="str">
        <f>IF(OR(AND($C581=2,$B581=50,NOT($M581="Common Space")),AND($C581=2,$B581="HOME 50",NOT($M581="Common Space"))),$E581*$F581,"")</f>
        <v/>
      </c>
      <c r="EZ581" s="1154" t="str">
        <f>IF(OR(AND($C581=3,$B581=50,NOT($M581="Common Space")),AND($C581=3,$B581="HOME 50",NOT($M581="Common Space"))),$E581*$F581,"")</f>
        <v/>
      </c>
      <c r="FA581" s="1154" t="str">
        <f>IF(OR(AND($C581=4,$B581=50,NOT($M581="Common Space")),AND($C581=4,$B581="HOME 50",NOT($M581="Common Space"))),$E581*$F581,"")</f>
        <v/>
      </c>
      <c r="FB581" s="1154" t="str">
        <f t="shared" ref="FB581:FB618" si="131">IF(OR(AND($C581="Efficiency",$B581=40,NOT($M581="Common Space")),AND($C581="Efficiency",$B581="HOME 40",NOT($M581="Common Space"))),$E581*$F581,"")</f>
        <v/>
      </c>
      <c r="FC581" s="1154" t="str">
        <f t="shared" ref="FC581:FC618" si="132">IF(OR(AND($C581=1,$B581=40,NOT($M581="Common Space")),AND($C581=1,$B581="HOME 40",NOT($M581="Common Space"))),$E581*$F581,"")</f>
        <v/>
      </c>
      <c r="FD581" s="1154" t="str">
        <f t="shared" ref="FD581:FD618" si="133">IF(OR(AND($C581=2,$B581=40,NOT($M581="Common Space")),AND($C581=2,$B581="HOME 40",NOT($M581="Common Space"))),$E581*$F581,"")</f>
        <v/>
      </c>
      <c r="FE581" s="1154" t="str">
        <f t="shared" ref="FE581:FE618" si="134">IF(OR(AND($C581=3,$B581=40,NOT($M581="Common Space")),AND($C581=3,$B581="HOME 40",NOT($M581="Common Space"))),$E581*$F581,"")</f>
        <v/>
      </c>
      <c r="FF581" s="1154" t="str">
        <f t="shared" ref="FF581:FF618" si="135">IF(OR(AND($C581=4,$B581=40,NOT($M581="Common Space")),AND($C581=4,$B581="HOME 40",NOT($M581="Common Space"))),$E581*$F581,"")</f>
        <v/>
      </c>
      <c r="FG581" s="1154" t="str">
        <f>IF(OR(AND($C581="Efficiency",$B581=30,NOT($M581="Common Space")),AND($C581="Efficiency",$B581="HOME 30",NOT($M581="Common Space"))),$E581*$F581,"")</f>
        <v/>
      </c>
      <c r="FH581" s="1154" t="str">
        <f>IF(OR(AND($C581=1,$B581=30,NOT($M581="Common Space")),AND($C581=1,$B581="HOME 30",NOT($M581="Common Space"))),$E581*$F581,"")</f>
        <v/>
      </c>
      <c r="FI581" s="1154" t="str">
        <f>IF(OR(AND($C581=2,$B581=30,NOT($M581="Common Space")),AND($C581=2,$B581="HOME 30",NOT($M581="Common Space"))),$E581*$F581,"")</f>
        <v/>
      </c>
      <c r="FJ581" s="1154" t="str">
        <f>IF(OR(AND($C581=3,$B581=30,NOT($M581="Common Space")),AND($C581=3,$B581="HOME 30",NOT($M581="Common Space"))),$E581*$F581,"")</f>
        <v/>
      </c>
      <c r="FK581" s="1154" t="str">
        <f>IF(OR(AND($C581=4,$B581=30,NOT($M581="Common Space")),AND($C581=4,$B581="HOME 30",NOT($M581="Common Space"))),$E581*$F581,"")</f>
        <v/>
      </c>
      <c r="FL581" s="1154" t="str">
        <f t="shared" ref="FL581:FL618" si="136">IF(OR(AND($C581="Efficiency",$B581=20,NOT($M581="Common Space")),AND($C581="Efficiency",$B581="HOME 20",NOT($M581="Common Space"))),$E581*$F581,"")</f>
        <v/>
      </c>
      <c r="FM581" s="1154" t="str">
        <f t="shared" ref="FM581:FM618" si="137">IF(OR(AND($C581=1,$B581=20,NOT($M581="Common Space")),AND($C581=1,$B581="HOME 20",NOT($M581="Common Space"))),$E581*$F581,"")</f>
        <v/>
      </c>
      <c r="FN581" s="1154" t="str">
        <f t="shared" ref="FN581:FN618" si="138">IF(OR(AND($C581=2,$B581=20,NOT($M581="Common Space")),AND($C581=2,$B581="HOME 20",NOT($M581="Common Space"))),$E581*$F581,"")</f>
        <v/>
      </c>
      <c r="FO581" s="1154" t="str">
        <f t="shared" ref="FO581:FO618" si="139">IF(OR(AND($C581=3,$B581=20,NOT($M581="Common Space")),AND($C581=3,$B581="HOME 20",NOT($M581="Common Space"))),$E581*$F581,"")</f>
        <v/>
      </c>
      <c r="FP581" s="1154" t="str">
        <f t="shared" ref="FP581:FP618" si="140">IF(OR(AND($C581=4,$B581=20,NOT($M581="Common Space")),AND($C581=4,$B581="HOME 20",NOT($M581="Common Space"))),$E581*$F581,"")</f>
        <v/>
      </c>
      <c r="FQ581" s="1154" t="str">
        <f t="shared" ref="FQ581:FQ618" si="141">IF(AND(C581="Efficiency",B581="Unrestricted",NOT(M581="Common Space")),E581*F581,"")</f>
        <v/>
      </c>
      <c r="FR581" s="1154" t="str">
        <f t="shared" ref="FR581:FR618" si="142">IF(AND(C581=1,B581="Unrestricted",NOT(M581="Common Space")),E581*F581,"")</f>
        <v/>
      </c>
      <c r="FS581" s="1154" t="str">
        <f t="shared" ref="FS581:FS618" si="143">IF(AND(C581=2,B581="Unrestricted",NOT(M581="Common Space")),E581*F581,"")</f>
        <v/>
      </c>
      <c r="FT581" s="1154" t="str">
        <f t="shared" ref="FT581:FT618" si="144">IF(AND(C581=3,B581="Unrestricted",NOT(M581="Common Space")),E581*F581,"")</f>
        <v/>
      </c>
      <c r="FU581" s="1154" t="str">
        <f t="shared" ref="FU581:FU618" si="145">IF(AND(C581=4,B581="Unrestricted",NOT(M581="Common Space")),E581*F581,"")</f>
        <v/>
      </c>
      <c r="FV581" s="1154" t="str">
        <f t="shared" ref="FV581:FV618" si="146">IF(AND(C581="Efficiency",NOT(J581=""),NOT($J581=0),NOT(M581="Common Space")),E581*F581,"")</f>
        <v/>
      </c>
      <c r="FW581" s="1154" t="str">
        <f t="shared" ref="FW581:FW618" si="147">IF(AND(C581=1,NOT(J581=""),NOT($J581=0),NOT(M581="Common Space")),E581*F581,"")</f>
        <v/>
      </c>
      <c r="FX581" s="1154" t="str">
        <f t="shared" ref="FX581:FX618" si="148">IF(AND(C581=2,NOT(J581=""),NOT($J581=0),NOT(M581="Common Space")),E581*F581,"")</f>
        <v/>
      </c>
      <c r="FY581" s="1154" t="str">
        <f t="shared" ref="FY581:FY618" si="149">IF(AND(C581=3,NOT(J581=""),NOT($J581=0),NOT(M581="Common Space")),E581*F581,"")</f>
        <v/>
      </c>
      <c r="FZ581" s="1154" t="str">
        <f t="shared" ref="FZ581:FZ618" si="150">IF(AND(C581=4,NOT(J581=""),NOT($J581=0),NOT(M581="Common Space")),E581*F581,"")</f>
        <v/>
      </c>
      <c r="GA581" s="1154" t="str">
        <f t="shared" ref="GA581:GA618" si="151">IF(AND(C581="Efficiency",M581="Common Space"),E581*F581,"")</f>
        <v/>
      </c>
      <c r="GB581" s="1154" t="str">
        <f t="shared" ref="GB581:GB618" si="152">IF(AND(C581=1,M581="Common Space"),E581*F581,"")</f>
        <v/>
      </c>
      <c r="GC581" s="1154" t="str">
        <f t="shared" ref="GC581:GC618" si="153">IF(AND(C581=2,M581="Common Space"),E581*F581,"")</f>
        <v/>
      </c>
      <c r="GD581" s="1154" t="str">
        <f t="shared" ref="GD581:GD618" si="154">IF(AND(C581=3,M581="Common Space"),E581*F581,"")</f>
        <v/>
      </c>
      <c r="GE581" s="1154" t="str">
        <f t="shared" ref="GE581:GE618" si="155">IF(AND(C581=4,M581="Common Space"),E581*F581,"")</f>
        <v/>
      </c>
      <c r="GF581" s="1154" t="str">
        <f t="shared" ref="GF581:GF618" si="156">IF(AND($C581="Efficiency", $O581="New Construction",NOT($B581="Unrestricted"),NOT($B581="NSP 120"),NOT($B581="N/A-CS"),NOT($M581="Common Space")),$E581,"")</f>
        <v/>
      </c>
      <c r="GG581" s="1154" t="str">
        <f t="shared" ref="GG581:GG618" si="157">IF(AND($C581=1, $O581="New Construction",NOT($B581="Unrestricted"),NOT($B581="NSP 120"),NOT($B581="N/A-CS"),NOT($M581="Common Space")),$E581,"")</f>
        <v/>
      </c>
      <c r="GH581" s="1154" t="str">
        <f t="shared" ref="GH581:GH618" si="158">IF(AND($C581=2, $O581="New Construction",NOT($B581="Unrestricted"),NOT($B581="NSP 120"),NOT($B581="N/A-CS"),NOT($M581="Common Space")),$E581,"")</f>
        <v/>
      </c>
      <c r="GI581" s="1154" t="str">
        <f t="shared" ref="GI581:GI618" si="159">IF(AND($C581=3, $O581="New Construction",NOT($B581="Unrestricted"),NOT($B581="NSP 120"),NOT($B581="N/A-CS"),NOT($M581="Common Space")),$E581,"")</f>
        <v/>
      </c>
      <c r="GJ581" s="1154" t="str">
        <f t="shared" ref="GJ581:GJ618" si="160">IF(AND($C581=4, $O581="New Construction",NOT($B581="Unrestricted"),NOT($B581="NSP 120"),NOT($B581="N/A-CS"),NOT($M581="Common Space")),$E581,"")</f>
        <v/>
      </c>
      <c r="GK581" s="1154" t="str">
        <f t="shared" ref="GK581:GK618" si="161">IF(AND($C581="Efficiency", $O581="New Construction",$B581="Unrestricted",NOT($B581="N/A-CS"),NOT($M581="Common Space")),$E581,"")</f>
        <v/>
      </c>
      <c r="GL581" s="1154" t="str">
        <f t="shared" ref="GL581:GL618" si="162">IF(AND($C581=1, $O581="New Construction",$B581="Unrestricted",NOT($B581="N/A-CS"),NOT($M581="Common Space")),$E581,"")</f>
        <v/>
      </c>
      <c r="GM581" s="1154" t="str">
        <f t="shared" ref="GM581:GM618" si="163">IF(AND($C581=2, $O581="New Construction",$B581="Unrestricted",NOT($B581="N/A-CS"),NOT($M581="Common Space")),$E581,"")</f>
        <v/>
      </c>
      <c r="GN581" s="1154" t="str">
        <f t="shared" ref="GN581:GN618" si="164">IF(AND($C581=3, $O581="New Construction",$B581="Unrestricted",NOT($B581="N/A-CS"),NOT($M581="Common Space")),$E581,"")</f>
        <v/>
      </c>
      <c r="GO581" s="1154" t="str">
        <f t="shared" ref="GO581:GO618" si="165">IF(AND($C581=4, $O581="New Construction",$B581="Unrestricted",NOT($B581="N/A-CS"),NOT($M581="Common Space")),$E581,"")</f>
        <v/>
      </c>
      <c r="GP581" s="1154" t="str">
        <f t="shared" ref="GP581:GP618" si="166">IF(AND($C581="Efficiency", $O581="New Construction",$B581="N/A-CS",$M581="Common Space"),$E581,"")</f>
        <v/>
      </c>
      <c r="GQ581" s="1154" t="str">
        <f t="shared" ref="GQ581:GQ618" si="167">IF(AND($C581=1, $O581="New Construction",$B581="N/A-CS",$M581="Common Space"),$E581,"")</f>
        <v/>
      </c>
      <c r="GR581" s="1154" t="str">
        <f t="shared" ref="GR581:GR618" si="168">IF(AND($C581=2, $O581="New Construction",$B581="N/A-CS",$M581="Common Space"),$E581,"")</f>
        <v/>
      </c>
      <c r="GS581" s="1154" t="str">
        <f t="shared" ref="GS581:GS618" si="169">IF(AND($C581=3, $O581="New Construction",$B581="N/A-CS",$M581="Common Space"),$E581,"")</f>
        <v/>
      </c>
      <c r="GT581" s="1154" t="str">
        <f t="shared" ref="GT581:GT618" si="170">IF(AND($C581=4, $O581="New Construction",$B581="N/A-CS",$M581="Common Space"),$E581,"")</f>
        <v/>
      </c>
      <c r="GU581" s="1154" t="str">
        <f t="shared" ref="GU581:GU618" si="171">IF(AND($C581="Efficiency", $O581="Acquisition/Rehab",NOT($B581="Unrestricted"),NOT($B581="NSP 120"),NOT($B581="N/A-CS"),NOT($M581="Common Space")),$E581,"")</f>
        <v/>
      </c>
      <c r="GV581" s="1154" t="str">
        <f t="shared" ref="GV581:GV618" si="172">IF(AND($C581=1, $O581="Acquisition/Rehab",NOT($B581="Unrestricted"),NOT($B581="NSP 120"),NOT($B581="N/A-CS"),NOT($M581="Common Space")),$E581,"")</f>
        <v/>
      </c>
      <c r="GW581" s="1154" t="str">
        <f t="shared" ref="GW581:GW618" si="173">IF(AND($C581=2, $O581="Acquisition/Rehab",NOT($B581="Unrestricted"),NOT($B581="NSP 120"),NOT($B581="N/A-CS"),NOT($M581="Common Space")),$E581,"")</f>
        <v/>
      </c>
      <c r="GX581" s="1154" t="str">
        <f t="shared" ref="GX581:GX618" si="174">IF(AND($C581=3, $O581="Acquisition/Rehab",NOT($B581="Unrestricted"),NOT($B581="NSP 120"),NOT($B581="N/A-CS"),NOT($M581="Common Space")),$E581,"")</f>
        <v/>
      </c>
      <c r="GY581" s="1154" t="str">
        <f t="shared" ref="GY581:GY618" si="175">IF(AND($C581=4, $O581="Acquisition/Rehab",NOT($B581="Unrestricted"),NOT($B581="NSP 120"),NOT($B581="N/A-CS"),NOT($M581="Common Space")),$E581,"")</f>
        <v/>
      </c>
      <c r="GZ581" s="1154" t="str">
        <f t="shared" ref="GZ581:GZ618" si="176">IF(AND($C581="Efficiency", $O581="Acquisition/Rehab",$B581="Unrestricted",NOT($B581="N/A-CS"),NOT($M581="Common Space")),$E581,"")</f>
        <v/>
      </c>
      <c r="HA581" s="1154" t="str">
        <f t="shared" ref="HA581:HA618" si="177">IF(AND($C581=1, $O581="Acquisition/Rehab",$B581="Unrestricted",NOT($B581="N/A-CS"),NOT($M581="Common Space")),$E581,"")</f>
        <v/>
      </c>
      <c r="HB581" s="1154" t="str">
        <f t="shared" ref="HB581:HB618" si="178">IF(AND($C581=2, $O581="Acquisition/Rehab",$B581="Unrestricted",NOT($B581="N/A-CS"),NOT($M581="Common Space")),$E581,"")</f>
        <v/>
      </c>
      <c r="HC581" s="1154" t="str">
        <f t="shared" ref="HC581:HC618" si="179">IF(AND($C581=3, $O581="Acquisition/Rehab",$B581="Unrestricted",NOT($B581="N/A-CS"),NOT($M581="Common Space")),$E581,"")</f>
        <v/>
      </c>
      <c r="HD581" s="1154" t="str">
        <f t="shared" ref="HD581:HD618" si="180">IF(AND($C581=4, $O581="Acquisition/Rehab",$B581="Unrestricted",NOT($B581="N/A-CS"),NOT($M581="Common Space")),$E581,"")</f>
        <v/>
      </c>
      <c r="HE581" s="1154" t="str">
        <f t="shared" ref="HE581:HE618" si="181">IF(AND($C581="Efficiency", $O581="Acquisition/Rehab",$B581="N/A-CS",$M581="Common Space"),$E581,"")</f>
        <v/>
      </c>
      <c r="HF581" s="1154" t="str">
        <f t="shared" ref="HF581:HF618" si="182">IF(AND($C581=1, $O581="Acquisition/Rehab",$B581="N/A-CS",$M581="Common Space"),$E581,"")</f>
        <v/>
      </c>
      <c r="HG581" s="1154" t="str">
        <f t="shared" ref="HG581:HG618" si="183">IF(AND($C581=2, $O581="Acquisition/Rehab",$B581="N/A-CS",$M581="Common Space"),$E581,"")</f>
        <v/>
      </c>
      <c r="HH581" s="1154" t="str">
        <f t="shared" ref="HH581:HH618" si="184">IF(AND($C581=3, $O581="Acquisition/Rehab",$B581="N/A-CS",$M581="Common Space"),$E581,"")</f>
        <v/>
      </c>
      <c r="HI581" s="1154" t="str">
        <f t="shared" ref="HI581:HI618" si="185">IF(AND($C581=4, $O581="Acquisition/Rehab",$B581="N/A-CS",$M581="Common Space"),$E581,"")</f>
        <v/>
      </c>
      <c r="HJ581" s="1154" t="str">
        <f t="shared" ref="HJ581:HJ618" si="186">IF(AND($C581="Efficiency", $O581="Rehabilitation",NOT($B581="Unrestricted"),NOT($B581="NSP 120"),NOT($B581="N/A-CS"),NOT($M581="Common Space")),$E581,"")</f>
        <v/>
      </c>
      <c r="HK581" s="1154" t="str">
        <f t="shared" ref="HK581:HK618" si="187">IF(AND($C581=1, $O581="Rehabilitation",NOT($B581="Unrestricted"),NOT($B581="NSP 120"),NOT($B581="N/A-CS"),NOT($M581="Common Space")),$E581,"")</f>
        <v/>
      </c>
      <c r="HL581" s="1154" t="str">
        <f t="shared" ref="HL581:HL618" si="188">IF(AND($C581=2, $O581="Rehabilitation",NOT($B581="Unrestricted"),NOT($B581="NSP 120"),NOT($B581="N/A-CS"),NOT($M581="Common Space")),$E581,"")</f>
        <v/>
      </c>
      <c r="HM581" s="1154" t="str">
        <f t="shared" ref="HM581:HM618" si="189">IF(AND($C581=3, $O581="Rehabilitation",NOT($B581="Unrestricted"),NOT($B581="NSP 120"),NOT($B581="N/A-CS"),NOT($M581="Common Space")),$E581,"")</f>
        <v/>
      </c>
      <c r="HN581" s="1154" t="str">
        <f t="shared" ref="HN581:HN618" si="190">IF(AND($C581=4, $O581="Rehabilitation",NOT($B581="Unrestricted"),NOT($B581="NSP 120"),NOT($B581="N/A-CS"),NOT($M581="Common Space")),$E581,"")</f>
        <v/>
      </c>
      <c r="HO581" s="1154" t="str">
        <f t="shared" ref="HO581:HO618" si="191">IF(AND($C581="Efficiency", $O581="Rehabilitation",$B581="Unrestricted",NOT($B581="N/A-CS"),NOT($M581="Common Space")),$E581,"")</f>
        <v/>
      </c>
      <c r="HP581" s="1154" t="str">
        <f t="shared" ref="HP581:HP618" si="192">IF(AND($C581=1, $O581="Rehabilitation",$B581="Unrestricted",NOT($B581="N/A-CS"),NOT($M581="Common Space")),$E581,"")</f>
        <v/>
      </c>
      <c r="HQ581" s="1154" t="str">
        <f t="shared" ref="HQ581:HQ618" si="193">IF(AND($C581=2, $O581="Rehabilitation",$B581="Unrestricted",NOT($B581="N/A-CS"),NOT($M581="Common Space")),$E581,"")</f>
        <v/>
      </c>
      <c r="HR581" s="1154" t="str">
        <f t="shared" ref="HR581:HR618" si="194">IF(AND($C581=3, $O581="Rehabilitation",$B581="Unrestricted",NOT($B581="N/A-CS"),NOT($M581="Common Space")),$E581,"")</f>
        <v/>
      </c>
      <c r="HS581" s="1154" t="str">
        <f t="shared" ref="HS581:HS618" si="195">IF(AND($C581=4, $O581="Rehabilitation",$B581="Unrestricted",NOT($B581="N/A-CS"),NOT($M581="Common Space")),$E581,"")</f>
        <v/>
      </c>
      <c r="HT581" s="1154" t="str">
        <f t="shared" ref="HT581:HT618" si="196">IF(AND($C581="Efficiency", $O581="Rehabilitation",$B581="N/A-CS",$M581="Common Space"),$E581,"")</f>
        <v/>
      </c>
      <c r="HU581" s="1154" t="str">
        <f t="shared" ref="HU581:HU618" si="197">IF(AND($C581=1, $O581="Rehabilitation",$B581="N/A-CS",$M581="Common Space"),$E581,"")</f>
        <v/>
      </c>
      <c r="HV581" s="1154" t="str">
        <f t="shared" ref="HV581:HV618" si="198">IF(AND($C581=2, $O581="Rehabilitation",$B581="N/A-CS",$M581="Common Space"),$E581,"")</f>
        <v/>
      </c>
      <c r="HW581" s="1154" t="str">
        <f t="shared" ref="HW581:HW618" si="199">IF(AND($C581=3, $O581="Rehabilitation",$B581="N/A-CS",$M581="Common Space"),$E581,"")</f>
        <v/>
      </c>
      <c r="HX581" s="1154" t="str">
        <f t="shared" ref="HX581:HX618" si="200">IF(AND($C581=4, $O581="Rehabilitation",$B581="N/A-CS",$M581="Common Space"),$E581,"")</f>
        <v/>
      </c>
      <c r="HY581" s="1681" t="str">
        <f t="shared" ref="HY581:HY618" si="201">IF(AND($C581="Efficiency", NOT(OR($N581="SF Detached",$N581="Mfd Home",$N581="Duplex",$N581="Townhome"))),$E581,"")</f>
        <v/>
      </c>
      <c r="HZ581" s="1681" t="str">
        <f t="shared" ref="HZ581:HZ618" si="202">IF(AND($C581=1, NOT(OR($N581="SF Detached",$N581="Mfd Home",$N581="Duplex",$N581="Townhome"))),$E581,"")</f>
        <v/>
      </c>
      <c r="IA581" s="1681" t="str">
        <f t="shared" ref="IA581:IA618" si="203">IF(AND($C581=2, NOT(OR($N581="SF Detached",$N581="Mfd Home",$N581="Duplex",$N581="Townhome"))),$E581,"")</f>
        <v/>
      </c>
      <c r="IB581" s="1681" t="str">
        <f t="shared" ref="IB581:IB618" si="204">IF(AND($C581=3, NOT(OR($N581="SF Detached",$N581="Mfd Home",$N581="Duplex",$N581="Townhome"))),$E581,"")</f>
        <v/>
      </c>
      <c r="IC581" s="1681" t="str">
        <f t="shared" ref="IC581:IC618" si="205">IF(AND($C581=4, NOT(OR($N581="SF Detached",$N581="Mfd Home",$N581="Duplex",$N581="Townhome"))),$E581,"")</f>
        <v/>
      </c>
      <c r="ID581" s="1681" t="str">
        <f t="shared" ref="ID581:ID618" si="206">IF(AND($C581="Efficiency", $N581="SF Detached",NOT($P581="Yes")),$E581,"")</f>
        <v/>
      </c>
      <c r="IE581" s="1681" t="str">
        <f t="shared" ref="IE581:IE618" si="207">IF(AND($C581=1, $N581="SF Detached",NOT($P581="Yes")),$E581,"")</f>
        <v/>
      </c>
      <c r="IF581" s="1681" t="str">
        <f t="shared" ref="IF581:IF618" si="208">IF(AND($C581=2, $N581="SF Detached",NOT($P581="Yes")),$E581,"")</f>
        <v/>
      </c>
      <c r="IG581" s="1681" t="str">
        <f t="shared" ref="IG581:IG618" si="209">IF(AND($C581=3, $N581="SF Detached",NOT($P581="Yes")),$E581,"")</f>
        <v/>
      </c>
      <c r="IH581" s="1681" t="str">
        <f t="shared" ref="IH581:IH618" si="210">IF(AND($C581=4, $N581="SF Detached",NOT($P581="Yes")),$E581,"")</f>
        <v/>
      </c>
      <c r="II581" s="1681" t="str">
        <f t="shared" ref="II581:II618" si="211">IF(AND($C581="Efficiency", $N581="SF Detached",$P581="Yes"),$E581,"")</f>
        <v/>
      </c>
      <c r="IJ581" s="1681" t="str">
        <f t="shared" ref="IJ581:IJ618" si="212">IF(AND($C581=1, $N581="SF Detached",$P581="Yes"),$E581,"")</f>
        <v/>
      </c>
      <c r="IK581" s="1681" t="str">
        <f t="shared" ref="IK581:IK618" si="213">IF(AND($C581=2, $N581="SF Detached",$P581="Yes"),$E581,"")</f>
        <v/>
      </c>
      <c r="IL581" s="1681" t="str">
        <f t="shared" ref="IL581:IL618" si="214">IF(AND($C581=3, $N581="SF Detached",$P581="Yes"),$E581,"")</f>
        <v/>
      </c>
      <c r="IM581" s="1681" t="str">
        <f t="shared" ref="IM581:IM618" si="215">IF(AND($C581=4, $N581="SF Detached",$P581="Yes"),$E581,"")</f>
        <v/>
      </c>
      <c r="IN581" s="1681" t="str">
        <f t="shared" ref="IN581:IN618" si="216">IF(AND($C581="Efficiency", $N581="Mfd Home",NOT($P581="Yes")),$E581,"")</f>
        <v/>
      </c>
      <c r="IO581" s="1681" t="str">
        <f t="shared" ref="IO581:IO618" si="217">IF(AND($C581=1, $N581="Mfd Home",NOT($P581="Yes")),$E581,"")</f>
        <v/>
      </c>
      <c r="IP581" s="1681" t="str">
        <f t="shared" ref="IP581:IP618" si="218">IF(AND($C581=2, $N581="Mfd Home",NOT($P581="Yes")),$E581,"")</f>
        <v/>
      </c>
      <c r="IQ581" s="1681" t="str">
        <f t="shared" ref="IQ581:IQ618" si="219">IF(AND($C581=3, $N581="Mfd Home",NOT($P581="Yes")),$E581,"")</f>
        <v/>
      </c>
      <c r="IR581" s="1681" t="str">
        <f t="shared" ref="IR581:IR618" si="220">IF(AND($C581=4, $N581="Mfd Home",NOT($P581="Yes")),$E581,"")</f>
        <v/>
      </c>
      <c r="IS581" s="1681" t="str">
        <f t="shared" ref="IS581:IS618" si="221">IF(AND($C581="Efficiency", $N581="Mfd Home",$P581="Yes"),$E581,"")</f>
        <v/>
      </c>
      <c r="IT581" s="1681" t="str">
        <f t="shared" ref="IT581:IT618" si="222">IF(AND($C581=1, $N581="Mfd Home",$P581="Yes"),$E581,"")</f>
        <v/>
      </c>
      <c r="IU581" s="1681" t="str">
        <f t="shared" ref="IU581:IU618" si="223">IF(AND($C581=2, $N581="Mfd Home",$P581="Yes"),$E581,"")</f>
        <v/>
      </c>
      <c r="IV581" s="1681" t="str">
        <f t="shared" ref="IV581:IV618" si="224">IF(AND($C581=3, $N581="Mfd Home",$P581="Yes"),$E581,"")</f>
        <v/>
      </c>
      <c r="IW581" s="1681" t="str">
        <f t="shared" ref="IW581:IW618" si="225">IF(AND($C581=4, $N581="Mfd Home",$P581="Yes"),$E581,"")</f>
        <v/>
      </c>
      <c r="IX581" s="1681" t="str">
        <f t="shared" ref="IX581:IX618" si="226">IF(AND($C581="Efficiency", $N581="Duplex",NOT($P581="Yes")),$E581,"")</f>
        <v/>
      </c>
      <c r="IY581" s="1681" t="str">
        <f t="shared" ref="IY581:IY618" si="227">IF(AND($C581=1, $N581="Duplex",NOT($P581="Yes")),$E581,"")</f>
        <v/>
      </c>
      <c r="IZ581" s="1681" t="str">
        <f t="shared" ref="IZ581:IZ618" si="228">IF(AND($C581=2, $N581="Duplex",NOT($P581="Yes")),$E581,"")</f>
        <v/>
      </c>
      <c r="JA581" s="1681" t="str">
        <f t="shared" ref="JA581:JA618" si="229">IF(AND($C581=3, $N581="Duplex",NOT($P581="Yes")),$E581,"")</f>
        <v/>
      </c>
      <c r="JB581" s="1681" t="str">
        <f t="shared" ref="JB581:JB618" si="230">IF(AND($C581=4, $N581="Duplex",NOT($P581="Yes")),$E581,"")</f>
        <v/>
      </c>
      <c r="JC581" s="1681" t="str">
        <f t="shared" ref="JC581:JC618" si="231">IF(AND($C581="Efficiency", $N581="Duplex",$P581="Yes"),$E581,"")</f>
        <v/>
      </c>
      <c r="JD581" s="1681" t="str">
        <f t="shared" ref="JD581:JD618" si="232">IF(AND($C581=1, $N581="Duplex",$P581="Yes"),$E581,"")</f>
        <v/>
      </c>
      <c r="JE581" s="1681" t="str">
        <f t="shared" ref="JE581:JE618" si="233">IF(AND($C581=2, $N581="Duplex",$P581="Yes"),$E581,"")</f>
        <v/>
      </c>
      <c r="JF581" s="1681" t="str">
        <f t="shared" ref="JF581:JF618" si="234">IF(AND($C581=3, $N581="Duplex",$P581="Yes"),$E581,"")</f>
        <v/>
      </c>
      <c r="JG581" s="1681" t="str">
        <f t="shared" ref="JG581:JG618" si="235">IF(AND($C581=4, $N581="Duplex",$P581="Yes"),$E581,"")</f>
        <v/>
      </c>
      <c r="JH581" s="1681" t="str">
        <f t="shared" ref="JH581:JH618" si="236">IF(AND($C581="Efficiency", $N581="Townhome",NOT($P581="Yes")),$E581,"")</f>
        <v/>
      </c>
      <c r="JI581" s="1681" t="str">
        <f t="shared" ref="JI581:JI618" si="237">IF(AND($C581=1, $N581="Townhome",NOT($P581="Yes")),$E581,"")</f>
        <v/>
      </c>
      <c r="JJ581" s="1681" t="str">
        <f t="shared" ref="JJ581:JJ618" si="238">IF(AND($C581=2, $N581="Townhome",NOT($P581="Yes")),$E581,"")</f>
        <v/>
      </c>
      <c r="JK581" s="1681" t="str">
        <f t="shared" ref="JK581:JK618" si="239">IF(AND($C581=3, $N581="Townhome",NOT($P581="Yes")),$E581,"")</f>
        <v/>
      </c>
      <c r="JL581" s="1681" t="str">
        <f t="shared" ref="JL581:JL618" si="240">IF(AND($C581=4, $N581="Townhome",NOT($P581="Yes")),$E581,"")</f>
        <v/>
      </c>
      <c r="JM581" s="1681" t="str">
        <f t="shared" ref="JM581:JM618" si="241">IF(AND($C581="Efficiency", $N581="Townhome",$P581="Yes"),$E581,"")</f>
        <v/>
      </c>
      <c r="JN581" s="1681" t="str">
        <f t="shared" ref="JN581:JN618" si="242">IF(AND($C581=1, $N581="Townhome",$P581="Yes"),$E581,"")</f>
        <v/>
      </c>
      <c r="JO581" s="1681" t="str">
        <f t="shared" ref="JO581:JO618" si="243">IF(AND($C581=2, $N581="Townhome",$P581="Yes"),$E581,"")</f>
        <v/>
      </c>
      <c r="JP581" s="1681" t="str">
        <f t="shared" ref="JP581:JP618" si="244">IF(AND($C581=3, $N581="Townhome",$P581="Yes"),$E581,"")</f>
        <v/>
      </c>
      <c r="JQ581" s="1681" t="str">
        <f t="shared" ref="JQ581:JQ618" si="245">IF(AND($C581=4, $N581="Townhome",$P581="Yes"),$E581,"")</f>
        <v/>
      </c>
      <c r="JR581" s="1681" t="str">
        <f t="shared" ref="JR581:JR618" si="246">IF(AND($C581="Efficiency", $N581="1-Story",NOT($P581="Yes")),$E581,"")</f>
        <v/>
      </c>
      <c r="JS581" s="1681" t="str">
        <f t="shared" ref="JS581:JS618" si="247">IF(AND($C581=1, $N581="1-Story",NOT($P581="Yes")),$E581,"")</f>
        <v/>
      </c>
      <c r="JT581" s="1681" t="str">
        <f t="shared" ref="JT581:JT618" si="248">IF(AND($C581=2, $N581="1-Story",NOT($P581="Yes")),$E581,"")</f>
        <v/>
      </c>
      <c r="JU581" s="1681" t="str">
        <f t="shared" ref="JU581:JU618" si="249">IF(AND($C581=3, $N581="1-Story",NOT($P581="Yes")),$E581,"")</f>
        <v/>
      </c>
      <c r="JV581" s="1681" t="str">
        <f t="shared" ref="JV581:JV618" si="250">IF(AND($C581=4, $N581="1-Story",NOT($P581="Yes")),$E581,"")</f>
        <v/>
      </c>
      <c r="JW581" s="1681" t="str">
        <f t="shared" ref="JW581:JW618" si="251">IF(AND($C581="Efficiency", $N581="1-Story",$P581="Yes"),$E581,"")</f>
        <v/>
      </c>
      <c r="JX581" s="1681" t="str">
        <f t="shared" ref="JX581:JX618" si="252">IF(AND($C581=1, $N581="1-Story",$P581="Yes"),$E581,"")</f>
        <v/>
      </c>
      <c r="JY581" s="1681" t="str">
        <f t="shared" ref="JY581:JY618" si="253">IF(AND($C581=2, $N581="1-Story",$P581="Yes"),$E581,"")</f>
        <v/>
      </c>
      <c r="JZ581" s="1681" t="str">
        <f t="shared" ref="JZ581:JZ618" si="254">IF(AND($C581=3, $N581="1-Story",$P581="Yes"),$E581,"")</f>
        <v/>
      </c>
      <c r="KA581" s="1681" t="str">
        <f t="shared" ref="KA581:KA618" si="255">IF(AND($C581=4, $N581="1-Story",$P581="Yes"),$E581,"")</f>
        <v/>
      </c>
      <c r="KB581" s="1681" t="str">
        <f t="shared" ref="KB581:KB618" si="256">IF(AND($C581="Efficiency", $N581="2-Story",NOT($P581="Yes")),$E581,"")</f>
        <v/>
      </c>
      <c r="KC581" s="1681" t="str">
        <f t="shared" ref="KC581:KC618" si="257">IF(AND($C581=1, $N581="2-Story",NOT($P581="Yes")),$E581,"")</f>
        <v/>
      </c>
      <c r="KD581" s="1681" t="str">
        <f t="shared" ref="KD581:KD618" si="258">IF(AND($C581=2, $N581="2-Story",NOT($P581="Yes")),$E581,"")</f>
        <v/>
      </c>
      <c r="KE581" s="1681" t="str">
        <f t="shared" ref="KE581:KE618" si="259">IF(AND($C581=3, $N581="2-Story",NOT($P581="Yes")),$E581,"")</f>
        <v/>
      </c>
      <c r="KF581" s="1681" t="str">
        <f t="shared" ref="KF581:KF618" si="260">IF(AND($C581=4, $N581="2-Story",NOT($P581="Yes")),$E581,"")</f>
        <v/>
      </c>
      <c r="KG581" s="1681" t="str">
        <f t="shared" ref="KG581:KG618" si="261">IF(AND($C581="Efficiency", $N581="2-Story",$P581="Yes"),$E581,"")</f>
        <v/>
      </c>
      <c r="KH581" s="1681" t="str">
        <f t="shared" ref="KH581:KH618" si="262">IF(AND($C581=1, $N581="2-Story",$P581="Yes"),$E581,"")</f>
        <v/>
      </c>
      <c r="KI581" s="1681" t="str">
        <f t="shared" ref="KI581:KI618" si="263">IF(AND($C581=2, $N581="2-Story",$P581="Yes"),$E581,"")</f>
        <v/>
      </c>
      <c r="KJ581" s="1681" t="str">
        <f t="shared" ref="KJ581:KJ618" si="264">IF(AND($C581=3, $N581="2-Story",$P581="Yes"),$E581,"")</f>
        <v/>
      </c>
      <c r="KK581" s="1681" t="str">
        <f t="shared" ref="KK581:KK618" si="265">IF(AND($C581=4, $N581="2-Story",$P581="Yes"),$E581,"")</f>
        <v/>
      </c>
      <c r="KL581" s="1681" t="str">
        <f t="shared" ref="KL581:KL618" si="266">IF(AND($C581="Efficiency", $N581="2-Story Walkup",NOT($P581="Yes")),$E581,"")</f>
        <v/>
      </c>
      <c r="KM581" s="1681" t="str">
        <f t="shared" ref="KM581:KM618" si="267">IF(AND($C581=1, $N581="2-Story Walkup",NOT($P581="Yes")),$E581,"")</f>
        <v/>
      </c>
      <c r="KN581" s="1681" t="str">
        <f t="shared" ref="KN581:KN618" si="268">IF(AND($C581=2, $N581="2-Story Walkup",NOT($P581="Yes")),$E581,"")</f>
        <v/>
      </c>
      <c r="KO581" s="1681" t="str">
        <f t="shared" ref="KO581:KO618" si="269">IF(AND($C581=3, $N581="2-Story Walkup",NOT($P581="Yes")),$E581,"")</f>
        <v/>
      </c>
      <c r="KP581" s="1681" t="str">
        <f t="shared" ref="KP581:KP618" si="270">IF(AND($C581=4, $N581="2-Story Walkup",NOT($P581="Yes")),$E581,"")</f>
        <v/>
      </c>
      <c r="KQ581" s="1681" t="str">
        <f t="shared" ref="KQ581:KQ618" si="271">IF(AND($C581="Efficiency", $N581="2-Story Walkup",$P581="Yes"),$E581,"")</f>
        <v/>
      </c>
      <c r="KR581" s="1681" t="str">
        <f t="shared" ref="KR581:KR618" si="272">IF(AND($C581=1, $N581="2-Story Walkup",$P581="Yes"),$E581,"")</f>
        <v/>
      </c>
      <c r="KS581" s="1681" t="str">
        <f t="shared" ref="KS581:KS618" si="273">IF(AND($C581=2, $N581="2-Story Walkup",$P581="Yes"),$E581,"")</f>
        <v/>
      </c>
      <c r="KT581" s="1681" t="str">
        <f t="shared" ref="KT581:KT618" si="274">IF(AND($C581=3, $N581="2-Story Walkup",$P581="Yes"),$E581,"")</f>
        <v/>
      </c>
      <c r="KU581" s="1681" t="str">
        <f t="shared" ref="KU581:KU618" si="275">IF(AND($C581=4, $N581="2-Story Walkup",$P581="Yes"),$E581,"")</f>
        <v/>
      </c>
      <c r="KV581" s="1681" t="str">
        <f t="shared" ref="KV581:KV618" si="276">IF(AND($C581="Efficiency", $N581="3+ Story",NOT($P581="Yes")),$E581,"")</f>
        <v/>
      </c>
      <c r="KW581" s="1681" t="str">
        <f t="shared" ref="KW581:KW618" si="277">IF(AND($C581=1, $N581="3+ Story",NOT($P581="Yes")),$E581,"")</f>
        <v/>
      </c>
      <c r="KX581" s="1681" t="str">
        <f t="shared" ref="KX581:KX618" si="278">IF(AND($C581=2, $N581="3+ Story",NOT($P581="Yes")),$E581,"")</f>
        <v/>
      </c>
      <c r="KY581" s="1681" t="str">
        <f t="shared" ref="KY581:KY618" si="279">IF(AND($C581=3, $N581="3+ Story",NOT($P581="Yes")),$E581,"")</f>
        <v/>
      </c>
      <c r="KZ581" s="1681" t="str">
        <f t="shared" ref="KZ581:KZ618" si="280">IF(AND($C581=4, $N581="3+ Story",NOT($P581="Yes")),$E581,"")</f>
        <v/>
      </c>
      <c r="LA581" s="1681" t="str">
        <f t="shared" ref="LA581:LA618" si="281">IF(AND($C581="Efficiency", $N581="3+ Story",$P581="Yes"),$E581,"")</f>
        <v/>
      </c>
      <c r="LB581" s="1681" t="str">
        <f t="shared" ref="LB581:LB618" si="282">IF(AND($C581=1, $N581="3+ Story",$P581="Yes"),$E581,"")</f>
        <v/>
      </c>
      <c r="LC581" s="1681" t="str">
        <f t="shared" ref="LC581:LC618" si="283">IF(AND($C581=2, $N581="3+ Story",$P581="Yes"),$E581,"")</f>
        <v/>
      </c>
      <c r="LD581" s="1681" t="str">
        <f t="shared" ref="LD581:LD618" si="284">IF(AND($C581=3, $N581="3+ Story",$P581="Yes"),$E581,"")</f>
        <v/>
      </c>
      <c r="LE581" s="1681" t="str">
        <f t="shared" ref="LE581:LE618" si="285">IF(AND($C581=4, $N581="3+ Story",$P581="Yes"),$E581,"")</f>
        <v/>
      </c>
      <c r="LF581" s="1525" t="str">
        <f t="shared" ref="LF581:LF618" si="286">IF(AND($B581="NSP 120% AMI",$C581="Efficiency", NOT($M581="Common Space")),$E581,"")</f>
        <v/>
      </c>
      <c r="LG581" s="1525" t="str">
        <f t="shared" ref="LG581:LG618" si="287">IF(AND($B581="NSP 120% AMI",$C581=1,NOT($M581="Common Space")),$E581,"")</f>
        <v/>
      </c>
      <c r="LH581" s="1525" t="str">
        <f t="shared" ref="LH581:LH618" si="288">IF(AND($B581="NSP 120% AMI",$C581=2,NOT($M581="Common Space")),$E581,"")</f>
        <v/>
      </c>
      <c r="LI581" s="1525" t="str">
        <f t="shared" ref="LI581:LI618" si="289">IF(AND($B581="NSP 120% AMI",$C581=3,NOT($M581="Common Space")),$E581,"")</f>
        <v/>
      </c>
      <c r="LJ581" s="1525" t="str">
        <f t="shared" ref="LJ581:LJ618" si="290">IF(AND($B581="NSP 120% AMI",$C581=4,NOT($M581="Common Space")),$E581,"")</f>
        <v/>
      </c>
      <c r="LK581" s="1154" t="str">
        <f t="shared" ref="LK581:LK618" si="291">IF(AND(C581="Efficiency",B581="NSP 120% AMI",NOT(M581="Common Space")),E581*F581,"")</f>
        <v/>
      </c>
      <c r="LL581" s="1154" t="str">
        <f t="shared" ref="LL581:LL618" si="292">IF(AND(C581=1,B581="NSP 120% AMI",NOT(M581="Common Space")),E581*F581,"")</f>
        <v/>
      </c>
      <c r="LM581" s="1154" t="str">
        <f t="shared" ref="LM581:LM618" si="293">IF(AND(C581=2,B581="NSP 120% AMI",NOT(M581="Common Space")),E581*F581,"")</f>
        <v/>
      </c>
      <c r="LN581" s="1154" t="str">
        <f t="shared" ref="LN581:LN618" si="294">IF(AND(C581=3,B581="NSP 120% AMI",NOT(M581="Common Space")),E581*F581,"")</f>
        <v/>
      </c>
      <c r="LO581" s="1154" t="str">
        <f t="shared" ref="LO581:LO618" si="295">IF(AND(C581=4,B581="NSP 120% AMI",NOT(M581="Common Space")),E581*F581,"")</f>
        <v/>
      </c>
      <c r="LP581" s="1154" t="str">
        <f t="shared" ref="LP581:LP618" si="296">IF(AND($C581="Efficiency", $O581="New Construction",$B581="NSP 120% AMI",NOT($M581="Common Space")),$E581,"")</f>
        <v/>
      </c>
      <c r="LQ581" s="1154" t="str">
        <f t="shared" ref="LQ581:LQ618" si="297">IF(AND($C581=1, $O581="New Construction",$B581="NSP 120% AMI",NOT($M581="Common Space")),$E581,"")</f>
        <v/>
      </c>
      <c r="LR581" s="1154" t="str">
        <f t="shared" ref="LR581:LR618" si="298">IF(AND($C581=2, $O581="New Construction",$B581="NSP 120% AMI",NOT($M581="Common Space")),$E581,"")</f>
        <v/>
      </c>
      <c r="LS581" s="1154" t="str">
        <f t="shared" ref="LS581:LS618" si="299">IF(AND($C581=3, $O581="New Construction",$B581="NSP 120% AMI",NOT($M581="Common Space")),$E581,"")</f>
        <v/>
      </c>
      <c r="LT581" s="1154" t="str">
        <f t="shared" ref="LT581:LT618" si="300">IF(AND($C581=4, $O581="New Construction",$B581="NSP 120% AMI",NOT($M581="Common Space")),$E581,"")</f>
        <v/>
      </c>
      <c r="LU581" s="1154" t="str">
        <f t="shared" ref="LU581:LU618" si="301">IF(AND($C581="Efficiency", $O581="Acquisition/Rehab",$B581="NSP 120% AMI",NOT($M581="Common Space")),$E581,"")</f>
        <v/>
      </c>
      <c r="LV581" s="1154" t="str">
        <f t="shared" ref="LV581:LV618" si="302">IF(AND($C581=1, $O581="Acquisition/Rehab",$B581="NSP 120% AMI",NOT($M581="Common Space")),$E581,"")</f>
        <v/>
      </c>
      <c r="LW581" s="1154" t="str">
        <f t="shared" ref="LW581:LW618" si="303">IF(AND($C581=2, $O581="Acquisition/Rehab",$B581="NSP 120% AMI",NOT($M581="Common Space")),$E581,"")</f>
        <v/>
      </c>
      <c r="LX581" s="1154" t="str">
        <f t="shared" ref="LX581:LX618" si="304">IF(AND($C581=3, $O581="Acquisition/Rehab",$B581="NSP 120% AMI",NOT($M581="Common Space")),$E581,"")</f>
        <v/>
      </c>
      <c r="LY581" s="1154" t="str">
        <f t="shared" ref="LY581:LY618" si="305">IF(AND($C581=4, $O581="Acquisition/Rehab",$B581="NSP 120% AMI",NOT($M581="Common Space")),$E581,"")</f>
        <v/>
      </c>
      <c r="LZ581" s="1154" t="str">
        <f t="shared" ref="LZ581:LZ618" si="306">IF(AND($C581="Efficiency", $O581="Rehabilitation",$B581="NSP 120% AMI",NOT($M581="Common Space")),$E581,"")</f>
        <v/>
      </c>
      <c r="MA581" s="1154" t="str">
        <f t="shared" ref="MA581:MA618" si="307">IF(AND($C581=1, $O581="Rehabilitation",$B581="NSP 120% AMI",NOT($M581="Common Space")),$E581,"")</f>
        <v/>
      </c>
      <c r="MB581" s="1154" t="str">
        <f t="shared" ref="MB581:MB618" si="308">IF(AND($C581=2, $O581="Rehabilitation",$B581="NSP 120% AMI",NOT($M581="Common Space")),$E581,"")</f>
        <v/>
      </c>
      <c r="MC581" s="1154" t="str">
        <f t="shared" ref="MC581:MC618" si="309">IF(AND($C581=3, $O581="Rehabilitation",$B581="NSP 120% AMI",NOT($M581="Common Space")),$E581,"")</f>
        <v/>
      </c>
      <c r="MD581" s="1154" t="str">
        <f t="shared" ref="MD581:MD618" si="310">IF(AND($C581=4, $O581="Rehabilitation",$B581="NSP 120% AMI",NOT($M581="Common Space")),$E581,"")</f>
        <v/>
      </c>
      <c r="ME581" s="1525">
        <f>IF(AND($C581="Efficiency",$E581&gt;0,OR($N581="1-Story",$N581="2-Story",$N581="3+ Story",$N581="2-Story Walkup",$N581="Townhome"),OR($O581="Acquisition/Rehab",$O581="Rehabilitation"),NOT($P581="Yes")),$E581,0)</f>
        <v>0</v>
      </c>
      <c r="MF581" s="1525">
        <f>IF(AND($C581=1,$E581&gt;0,OR($N581="1-Story",$N581="2-Story",$N581="3+ Story",$N581="2-Story Walkup",$N581="Townhome"),OR($O581="Acquisition/Rehab",$O581="Rehabilitation"),NOT($P581="Yes")),$E581,0)</f>
        <v>0</v>
      </c>
      <c r="MG581" s="1525">
        <f>IF(AND($C581=2,$E581&gt;0,OR($N581="1-Story",$N581="2-Story",$N581="3+ Story",$N581="2-Story Walkup",$N581="Townhome"),OR($O581="Acquisition/Rehab",$O581="Rehabilitation"),NOT($P581="Yes")),$E581,0)</f>
        <v>0</v>
      </c>
      <c r="MH581" s="1525">
        <f>IF(AND($C581=3,$E581&gt;0,OR($N581="1-Story",$N581="2-Story",$N581="3+ Story",$N581="2-Story Walkup",$N581="Townhome"),OR($O581="Acquisition/Rehab",$O581="Rehabilitation"),NOT($P581="Yes")),$E581,0)</f>
        <v>0</v>
      </c>
      <c r="MI581" s="1525">
        <f>IF(AND($C581=4,$E581&gt;0,OR($N581="1-Story",$N581="2-Story",$N581="3+ Story",$N581="2-Story Walkup",$N581="Townhome"),OR($O581="Acquisition/Rehab",$O581="Rehabilitation"),NOT($P581="Yes")),$E581,0)</f>
        <v>0</v>
      </c>
      <c r="MJ581" s="1525">
        <f>IF(AND($C581="Efficiency",$E581&gt;0,OR($N581="1-Story",$N581="2-Story",$N581="3+ Story",$N581="2-Story Walkup",$N581="Townhome"),$O581="New Construction"),$E581,0)</f>
        <v>0</v>
      </c>
      <c r="MK581" s="1525">
        <f>IF(AND($C581=1,$E581&gt;0,OR($N581="1-Story",$N581="2-Story",$N581="3+ Story",$N581="2-Story Walkup",$N581="Townhome"),$O581="New Construction"),$E581,0)</f>
        <v>0</v>
      </c>
      <c r="ML581" s="1525">
        <f>IF(AND($C581=2,$E581&gt;0,OR($N581="1-Story",$N581="2-Story",$N581="3+ Story",$N581="2-Story Walkup",$N581="Townhome"),$O581="New Construction"),$E581,0)</f>
        <v>0</v>
      </c>
      <c r="MM581" s="1525">
        <f>IF(AND($C581=3,$E581&gt;0,OR($N581="1-Story",$N581="2-Story",$N581="3+ Story",$N581="2-Story Walkup",$N581="Townhome"),$O581="New Construction"),$E581,0)</f>
        <v>0</v>
      </c>
      <c r="MN581" s="1525">
        <f>IF(AND($C581=4,$E581&gt;0,OR($N581="1-Story",$N581="2-Story",$N581="3+ Story",$N581="2-Story Walkup",$N581="Townhome"),$O581="New Construction"),$E581,0)</f>
        <v>0</v>
      </c>
      <c r="MO581" s="1525">
        <f>IF(AND($C581="Efficiency",$E581&gt;0,OR($N581="SF Detached",$N581="Duplex",$N581="Mfd Home"),NOT($P581="Yes")),$E581,0)</f>
        <v>0</v>
      </c>
      <c r="MP581" s="1525">
        <f>IF(AND($C581=1,$E581&gt;0,OR($N581="SF Detached",$N581="Duplex",$N581="Mfd Home"),NOT($P581="Yes")),$E581,0)</f>
        <v>0</v>
      </c>
      <c r="MQ581" s="1525">
        <f>IF(AND($C581=2,$E581&gt;0,OR($N581="SF Detached",$N581="Duplex",$N581="Mfd Home"),NOT($P581="Yes")),$E581,0)</f>
        <v>0</v>
      </c>
      <c r="MR581" s="1525">
        <f>IF(AND($C581=3,$E581&gt;0,OR($N581="SF Detached",$N581="Duplex",$N581="Mfd Home"),NOT($P581="Yes")),$E581,0)</f>
        <v>0</v>
      </c>
      <c r="MS581" s="1525">
        <f>IF(AND($C581=4,$E581&gt;0,OR($N581="SF Detached",$N581="Duplex",$N581="Mfd Home"),NOT($P581="Yes")),$E581,0)</f>
        <v>0</v>
      </c>
    </row>
    <row r="582" spans="1:357" s="1154" customFormat="1" ht="12" customHeight="1">
      <c r="A582" s="1524" t="str">
        <f t="shared" si="1"/>
        <v/>
      </c>
      <c r="B582" s="1672" t="str">
        <f>'Part VI-Revenues &amp; Expenses'!B11</f>
        <v>N/A-CS</v>
      </c>
      <c r="C582" s="1673">
        <f>'Part VI-Revenues &amp; Expenses'!C11</f>
        <v>0</v>
      </c>
      <c r="D582" s="1674">
        <f>'Part VI-Revenues &amp; Expenses'!D11</f>
        <v>0</v>
      </c>
      <c r="E582" s="1675">
        <f>'Part VI-Revenues &amp; Expenses'!E11</f>
        <v>0</v>
      </c>
      <c r="F582" s="1675">
        <f>'Part VI-Revenues &amp; Expenses'!F11</f>
        <v>0</v>
      </c>
      <c r="G582" s="1675">
        <f>'Part VI-Revenues &amp; Expenses'!G11</f>
        <v>0</v>
      </c>
      <c r="H582" s="1675">
        <f>'Part VI-Revenues &amp; Expenses'!H11</f>
        <v>0</v>
      </c>
      <c r="I582" s="1675">
        <f>'Part VI-Revenues &amp; Expenses'!I11</f>
        <v>0</v>
      </c>
      <c r="J582" s="1676">
        <f>'Part VI-Revenues &amp; Expenses'!J11</f>
        <v>0</v>
      </c>
      <c r="K582" s="1677">
        <f>'Part VI-Revenues &amp; Expenses'!K11</f>
        <v>0</v>
      </c>
      <c r="L582" s="1677">
        <f>'Part VI-Revenues &amp; Expenses'!L11</f>
        <v>0</v>
      </c>
      <c r="M582" s="1678">
        <f>'Part VI-Revenues &amp; Expenses'!M11</f>
        <v>0</v>
      </c>
      <c r="N582" s="1678">
        <f>'Part VI-Revenues &amp; Expenses'!N11</f>
        <v>0</v>
      </c>
      <c r="O582" s="1678">
        <f>'Part VI-Revenues &amp; Expenses'!O11</f>
        <v>0</v>
      </c>
      <c r="P582" s="1660">
        <f>'Part VI-Revenues &amp; Expenses'!P11</f>
        <v>0</v>
      </c>
      <c r="Q582" s="1679"/>
      <c r="R582" s="1680"/>
      <c r="S582" s="1679"/>
      <c r="T582" s="1680"/>
      <c r="U582" s="1519"/>
      <c r="V582" s="1519"/>
      <c r="W582" s="1154" t="str">
        <f t="shared" si="2"/>
        <v/>
      </c>
      <c r="X582" s="1154" t="str">
        <f t="shared" si="3"/>
        <v/>
      </c>
      <c r="Y582" s="1154" t="str">
        <f t="shared" si="4"/>
        <v/>
      </c>
      <c r="Z582" s="1154" t="str">
        <f t="shared" si="5"/>
        <v/>
      </c>
      <c r="AA582" s="1154" t="str">
        <f t="shared" si="6"/>
        <v/>
      </c>
      <c r="AB582" s="1154" t="str">
        <f t="shared" si="7"/>
        <v/>
      </c>
      <c r="AC582" s="1154" t="str">
        <f t="shared" si="8"/>
        <v/>
      </c>
      <c r="AD582" s="1154" t="str">
        <f t="shared" si="9"/>
        <v/>
      </c>
      <c r="AE582" s="1154" t="str">
        <f t="shared" si="10"/>
        <v/>
      </c>
      <c r="AF582" s="1154" t="str">
        <f t="shared" si="11"/>
        <v/>
      </c>
      <c r="AG582" s="1154" t="str">
        <f t="shared" si="12"/>
        <v/>
      </c>
      <c r="AH582" s="1154" t="str">
        <f t="shared" si="13"/>
        <v/>
      </c>
      <c r="AI582" s="1154" t="str">
        <f t="shared" si="14"/>
        <v/>
      </c>
      <c r="AJ582" s="1154" t="str">
        <f t="shared" si="15"/>
        <v/>
      </c>
      <c r="AK582" s="1154" t="str">
        <f t="shared" si="16"/>
        <v/>
      </c>
      <c r="AL582" s="1154" t="str">
        <f t="shared" si="17"/>
        <v/>
      </c>
      <c r="AM582" s="1154" t="str">
        <f t="shared" si="18"/>
        <v/>
      </c>
      <c r="AN582" s="1154" t="str">
        <f t="shared" si="19"/>
        <v/>
      </c>
      <c r="AO582" s="1154" t="str">
        <f t="shared" si="20"/>
        <v/>
      </c>
      <c r="AP582" s="1154" t="str">
        <f t="shared" si="21"/>
        <v/>
      </c>
      <c r="AQ582" s="1154" t="str">
        <f t="shared" si="22"/>
        <v/>
      </c>
      <c r="AR582" s="1154" t="str">
        <f t="shared" si="23"/>
        <v/>
      </c>
      <c r="AS582" s="1154" t="str">
        <f t="shared" si="24"/>
        <v/>
      </c>
      <c r="AT582" s="1154" t="str">
        <f t="shared" si="25"/>
        <v/>
      </c>
      <c r="AU582" s="1154" t="str">
        <f t="shared" si="26"/>
        <v/>
      </c>
      <c r="AV582" s="1154" t="str">
        <f t="shared" si="27"/>
        <v/>
      </c>
      <c r="AW582" s="1154" t="str">
        <f t="shared" si="28"/>
        <v/>
      </c>
      <c r="AX582" s="1154" t="str">
        <f t="shared" si="29"/>
        <v/>
      </c>
      <c r="AY582" s="1154" t="str">
        <f t="shared" si="30"/>
        <v/>
      </c>
      <c r="AZ582" s="1154" t="str">
        <f t="shared" si="31"/>
        <v/>
      </c>
      <c r="BA582" s="1154" t="str">
        <f t="shared" si="32"/>
        <v/>
      </c>
      <c r="BB582" s="1154" t="str">
        <f t="shared" si="33"/>
        <v/>
      </c>
      <c r="BC582" s="1154" t="str">
        <f t="shared" si="34"/>
        <v/>
      </c>
      <c r="BD582" s="1154" t="str">
        <f t="shared" si="35"/>
        <v/>
      </c>
      <c r="BE582" s="1154" t="str">
        <f t="shared" si="36"/>
        <v/>
      </c>
      <c r="BF582" s="1154" t="str">
        <f t="shared" si="37"/>
        <v/>
      </c>
      <c r="BG582" s="1154" t="str">
        <f t="shared" si="38"/>
        <v/>
      </c>
      <c r="BH582" s="1154" t="str">
        <f t="shared" si="39"/>
        <v/>
      </c>
      <c r="BI582" s="1154" t="str">
        <f t="shared" si="40"/>
        <v/>
      </c>
      <c r="BJ582" s="1154" t="str">
        <f t="shared" si="41"/>
        <v/>
      </c>
      <c r="BK582" s="1154" t="str">
        <f t="shared" si="42"/>
        <v/>
      </c>
      <c r="BL582" s="1154" t="str">
        <f t="shared" si="43"/>
        <v/>
      </c>
      <c r="BM582" s="1154" t="str">
        <f t="shared" si="44"/>
        <v/>
      </c>
      <c r="BN582" s="1154" t="str">
        <f t="shared" si="45"/>
        <v/>
      </c>
      <c r="BO582" s="1154" t="str">
        <f t="shared" si="46"/>
        <v/>
      </c>
      <c r="BP582" s="1154" t="str">
        <f t="shared" si="47"/>
        <v/>
      </c>
      <c r="BQ582" s="1154" t="str">
        <f t="shared" si="48"/>
        <v/>
      </c>
      <c r="BR582" s="1154" t="str">
        <f t="shared" si="49"/>
        <v/>
      </c>
      <c r="BS582" s="1154" t="str">
        <f t="shared" si="50"/>
        <v/>
      </c>
      <c r="BT582" s="1154" t="str">
        <f t="shared" si="51"/>
        <v/>
      </c>
      <c r="BU582" s="1154" t="str">
        <f t="shared" si="52"/>
        <v/>
      </c>
      <c r="BV582" s="1154" t="str">
        <f t="shared" si="53"/>
        <v/>
      </c>
      <c r="BW582" s="1154" t="str">
        <f t="shared" si="54"/>
        <v/>
      </c>
      <c r="BX582" s="1154" t="str">
        <f t="shared" si="55"/>
        <v/>
      </c>
      <c r="BY582" s="1154" t="str">
        <f t="shared" si="56"/>
        <v/>
      </c>
      <c r="BZ582" s="1154" t="str">
        <f t="shared" si="57"/>
        <v/>
      </c>
      <c r="CA582" s="1154" t="str">
        <f t="shared" si="58"/>
        <v/>
      </c>
      <c r="CB582" s="1154" t="str">
        <f t="shared" si="59"/>
        <v/>
      </c>
      <c r="CC582" s="1154" t="str">
        <f t="shared" si="60"/>
        <v/>
      </c>
      <c r="CD582" s="1154" t="str">
        <f t="shared" si="61"/>
        <v/>
      </c>
      <c r="CE582" s="1154" t="str">
        <f t="shared" si="62"/>
        <v/>
      </c>
      <c r="CF582" s="1154" t="str">
        <f t="shared" si="63"/>
        <v/>
      </c>
      <c r="CG582" s="1154" t="str">
        <f t="shared" si="64"/>
        <v/>
      </c>
      <c r="CH582" s="1154" t="str">
        <f t="shared" si="65"/>
        <v/>
      </c>
      <c r="CI582" s="1154" t="str">
        <f t="shared" si="66"/>
        <v/>
      </c>
      <c r="CJ582" s="1154" t="str">
        <f t="shared" si="67"/>
        <v/>
      </c>
      <c r="CK582" s="1154" t="str">
        <f t="shared" si="68"/>
        <v/>
      </c>
      <c r="CL582" s="1154" t="str">
        <f t="shared" si="69"/>
        <v/>
      </c>
      <c r="CM582" s="1154" t="str">
        <f t="shared" si="70"/>
        <v/>
      </c>
      <c r="CN582" s="1154" t="str">
        <f t="shared" si="71"/>
        <v/>
      </c>
      <c r="CO582" s="1154" t="str">
        <f t="shared" si="72"/>
        <v/>
      </c>
      <c r="CP582" s="1154" t="str">
        <f t="shared" si="73"/>
        <v/>
      </c>
      <c r="CQ582" s="1154" t="str">
        <f t="shared" si="74"/>
        <v/>
      </c>
      <c r="CR582" s="1154" t="str">
        <f t="shared" si="75"/>
        <v/>
      </c>
      <c r="CS582" s="1154" t="str">
        <f t="shared" si="76"/>
        <v/>
      </c>
      <c r="CT582" s="1154" t="str">
        <f t="shared" si="77"/>
        <v/>
      </c>
      <c r="CU582" s="1154" t="str">
        <f t="shared" si="78"/>
        <v/>
      </c>
      <c r="CV582" s="1154" t="str">
        <f t="shared" si="79"/>
        <v/>
      </c>
      <c r="CW582" s="1154" t="str">
        <f t="shared" si="80"/>
        <v/>
      </c>
      <c r="CX582" s="1154" t="str">
        <f t="shared" si="81"/>
        <v/>
      </c>
      <c r="CY582" s="1154" t="str">
        <f t="shared" si="82"/>
        <v/>
      </c>
      <c r="CZ582" s="1154" t="str">
        <f t="shared" si="83"/>
        <v/>
      </c>
      <c r="DA582" s="1154" t="str">
        <f t="shared" si="84"/>
        <v/>
      </c>
      <c r="DB582" s="1154" t="str">
        <f t="shared" si="85"/>
        <v/>
      </c>
      <c r="DC582" s="1154" t="str">
        <f t="shared" si="86"/>
        <v/>
      </c>
      <c r="DD582" s="1154" t="str">
        <f t="shared" si="87"/>
        <v/>
      </c>
      <c r="DE582" s="1154" t="str">
        <f t="shared" si="88"/>
        <v/>
      </c>
      <c r="DF582" s="1154" t="str">
        <f t="shared" si="89"/>
        <v/>
      </c>
      <c r="DG582" s="1154" t="str">
        <f t="shared" si="90"/>
        <v/>
      </c>
      <c r="DH582" s="1154" t="str">
        <f t="shared" si="91"/>
        <v/>
      </c>
      <c r="DI582" s="1154" t="str">
        <f t="shared" si="92"/>
        <v/>
      </c>
      <c r="DJ582" s="1154" t="str">
        <f t="shared" si="93"/>
        <v/>
      </c>
      <c r="DK582" s="1154" t="str">
        <f t="shared" si="94"/>
        <v/>
      </c>
      <c r="DL582" s="1154" t="str">
        <f t="shared" si="95"/>
        <v/>
      </c>
      <c r="DM582" s="1154" t="str">
        <f t="shared" si="96"/>
        <v/>
      </c>
      <c r="DN582" s="1154" t="str">
        <f t="shared" si="97"/>
        <v/>
      </c>
      <c r="DO582" s="1154" t="str">
        <f t="shared" si="98"/>
        <v/>
      </c>
      <c r="DP582" s="1154" t="str">
        <f t="shared" si="99"/>
        <v/>
      </c>
      <c r="DQ582" s="1154" t="str">
        <f t="shared" si="100"/>
        <v/>
      </c>
      <c r="DR582" s="1154" t="str">
        <f t="shared" si="101"/>
        <v/>
      </c>
      <c r="DS582" s="1154" t="str">
        <f t="shared" si="102"/>
        <v/>
      </c>
      <c r="DT582" s="1154" t="str">
        <f t="shared" si="103"/>
        <v/>
      </c>
      <c r="DU582" s="1154" t="str">
        <f t="shared" si="104"/>
        <v/>
      </c>
      <c r="DV582" s="1154" t="str">
        <f t="shared" si="105"/>
        <v/>
      </c>
      <c r="DW582" s="1154" t="str">
        <f t="shared" si="106"/>
        <v/>
      </c>
      <c r="DX582" s="1154" t="str">
        <f t="shared" si="107"/>
        <v/>
      </c>
      <c r="DY582" s="1154" t="str">
        <f t="shared" si="108"/>
        <v/>
      </c>
      <c r="DZ582" s="1154" t="str">
        <f t="shared" si="109"/>
        <v/>
      </c>
      <c r="EA582" s="1154" t="str">
        <f t="shared" si="110"/>
        <v/>
      </c>
      <c r="EB582" s="1154" t="str">
        <f t="shared" si="111"/>
        <v/>
      </c>
      <c r="EC582" s="1154" t="str">
        <f t="shared" si="112"/>
        <v/>
      </c>
      <c r="ED582" s="1154" t="str">
        <f t="shared" si="113"/>
        <v/>
      </c>
      <c r="EE582" s="1154" t="str">
        <f t="shared" si="114"/>
        <v/>
      </c>
      <c r="EF582" s="1154" t="str">
        <f t="shared" si="115"/>
        <v/>
      </c>
      <c r="EG582" s="1154" t="str">
        <f t="shared" ref="EG582:EG618" si="311">IF(AND(C582=4,M582="Common Space"),E582,"")</f>
        <v/>
      </c>
      <c r="EH582" s="1154" t="str">
        <f t="shared" si="116"/>
        <v/>
      </c>
      <c r="EI582" s="1154" t="str">
        <f t="shared" si="117"/>
        <v/>
      </c>
      <c r="EJ582" s="1154" t="str">
        <f t="shared" si="118"/>
        <v/>
      </c>
      <c r="EK582" s="1154" t="str">
        <f t="shared" si="119"/>
        <v/>
      </c>
      <c r="EL582" s="1154" t="str">
        <f t="shared" si="120"/>
        <v/>
      </c>
      <c r="EM582" s="1154" t="str">
        <f t="shared" si="121"/>
        <v/>
      </c>
      <c r="EN582" s="1154" t="str">
        <f t="shared" si="122"/>
        <v/>
      </c>
      <c r="EO582" s="1154" t="str">
        <f t="shared" si="123"/>
        <v/>
      </c>
      <c r="EP582" s="1154" t="str">
        <f t="shared" si="124"/>
        <v/>
      </c>
      <c r="EQ582" s="1154" t="str">
        <f t="shared" si="125"/>
        <v/>
      </c>
      <c r="ER582" s="1154" t="str">
        <f t="shared" si="126"/>
        <v/>
      </c>
      <c r="ES582" s="1154" t="str">
        <f t="shared" si="127"/>
        <v/>
      </c>
      <c r="ET582" s="1154" t="str">
        <f t="shared" si="128"/>
        <v/>
      </c>
      <c r="EU582" s="1154" t="str">
        <f t="shared" si="129"/>
        <v/>
      </c>
      <c r="EV582" s="1154" t="str">
        <f t="shared" si="130"/>
        <v/>
      </c>
      <c r="EW582" s="1154" t="str">
        <f t="shared" ref="EW582:EW618" si="312">IF(OR(AND($C582="Efficiency",$B582=50,NOT($M582="Common Space")),AND($C582="Efficiency",$B582="HOME 50",NOT($M582="Common Space"))),$E582*$F582,"")</f>
        <v/>
      </c>
      <c r="EX582" s="1154" t="str">
        <f t="shared" ref="EX582:EX618" si="313">IF(OR(AND($C582=1,$B582=50,NOT($M582="Common Space")),AND($C582=1,$B582="HOME 50",NOT($M582="Common Space"))),$E582*$F582,"")</f>
        <v/>
      </c>
      <c r="EY582" s="1154" t="str">
        <f t="shared" ref="EY582:EY618" si="314">IF(OR(AND($C582=2,$B582=50,NOT($M582="Common Space")),AND($C582=2,$B582="HOME 50",NOT($M582="Common Space"))),$E582*$F582,"")</f>
        <v/>
      </c>
      <c r="EZ582" s="1154" t="str">
        <f t="shared" ref="EZ582:EZ618" si="315">IF(OR(AND($C582=3,$B582=50,NOT($M582="Common Space")),AND($C582=3,$B582="HOME 50",NOT($M582="Common Space"))),$E582*$F582,"")</f>
        <v/>
      </c>
      <c r="FA582" s="1154" t="str">
        <f t="shared" ref="FA582:FA618" si="316">IF(OR(AND($C582=4,$B582=50,NOT($M582="Common Space")),AND($C582=4,$B582="HOME 50",NOT($M582="Common Space"))),$E582*$F582,"")</f>
        <v/>
      </c>
      <c r="FB582" s="1154" t="str">
        <f t="shared" si="131"/>
        <v/>
      </c>
      <c r="FC582" s="1154" t="str">
        <f t="shared" si="132"/>
        <v/>
      </c>
      <c r="FD582" s="1154" t="str">
        <f t="shared" si="133"/>
        <v/>
      </c>
      <c r="FE582" s="1154" t="str">
        <f t="shared" si="134"/>
        <v/>
      </c>
      <c r="FF582" s="1154" t="str">
        <f t="shared" si="135"/>
        <v/>
      </c>
      <c r="FG582" s="1154" t="str">
        <f t="shared" ref="FG582:FG618" si="317">IF(OR(AND($C582="Efficiency",$B582=30,NOT($M582="Common Space")),AND($C582="Efficiency",$B582="HOME 30",NOT($M582="Common Space"))),$E582*$F582,"")</f>
        <v/>
      </c>
      <c r="FH582" s="1154" t="str">
        <f t="shared" ref="FH582:FH618" si="318">IF(OR(AND($C582=1,$B582=30,NOT($M582="Common Space")),AND($C582=1,$B582="HOME 30",NOT($M582="Common Space"))),$E582*$F582,"")</f>
        <v/>
      </c>
      <c r="FI582" s="1154" t="str">
        <f t="shared" ref="FI582:FI618" si="319">IF(OR(AND($C582=2,$B582=30,NOT($M582="Common Space")),AND($C582=2,$B582="HOME 30",NOT($M582="Common Space"))),$E582*$F582,"")</f>
        <v/>
      </c>
      <c r="FJ582" s="1154" t="str">
        <f t="shared" ref="FJ582:FJ618" si="320">IF(OR(AND($C582=3,$B582=30,NOT($M582="Common Space")),AND($C582=3,$B582="HOME 30",NOT($M582="Common Space"))),$E582*$F582,"")</f>
        <v/>
      </c>
      <c r="FK582" s="1154" t="str">
        <f t="shared" ref="FK582:FK618" si="321">IF(OR(AND($C582=4,$B582=30,NOT($M582="Common Space")),AND($C582=4,$B582="HOME 30",NOT($M582="Common Space"))),$E582*$F582,"")</f>
        <v/>
      </c>
      <c r="FL582" s="1154" t="str">
        <f t="shared" si="136"/>
        <v/>
      </c>
      <c r="FM582" s="1154" t="str">
        <f t="shared" si="137"/>
        <v/>
      </c>
      <c r="FN582" s="1154" t="str">
        <f t="shared" si="138"/>
        <v/>
      </c>
      <c r="FO582" s="1154" t="str">
        <f t="shared" si="139"/>
        <v/>
      </c>
      <c r="FP582" s="1154" t="str">
        <f t="shared" si="140"/>
        <v/>
      </c>
      <c r="FQ582" s="1154" t="str">
        <f t="shared" si="141"/>
        <v/>
      </c>
      <c r="FR582" s="1154" t="str">
        <f t="shared" si="142"/>
        <v/>
      </c>
      <c r="FS582" s="1154" t="str">
        <f t="shared" si="143"/>
        <v/>
      </c>
      <c r="FT582" s="1154" t="str">
        <f t="shared" si="144"/>
        <v/>
      </c>
      <c r="FU582" s="1154" t="str">
        <f t="shared" si="145"/>
        <v/>
      </c>
      <c r="FV582" s="1154" t="str">
        <f t="shared" si="146"/>
        <v/>
      </c>
      <c r="FW582" s="1154" t="str">
        <f t="shared" si="147"/>
        <v/>
      </c>
      <c r="FX582" s="1154" t="str">
        <f t="shared" si="148"/>
        <v/>
      </c>
      <c r="FY582" s="1154" t="str">
        <f t="shared" si="149"/>
        <v/>
      </c>
      <c r="FZ582" s="1154" t="str">
        <f t="shared" si="150"/>
        <v/>
      </c>
      <c r="GA582" s="1154" t="str">
        <f t="shared" si="151"/>
        <v/>
      </c>
      <c r="GB582" s="1154" t="str">
        <f t="shared" si="152"/>
        <v/>
      </c>
      <c r="GC582" s="1154" t="str">
        <f t="shared" si="153"/>
        <v/>
      </c>
      <c r="GD582" s="1154" t="str">
        <f t="shared" si="154"/>
        <v/>
      </c>
      <c r="GE582" s="1154" t="str">
        <f t="shared" si="155"/>
        <v/>
      </c>
      <c r="GF582" s="1154" t="str">
        <f t="shared" si="156"/>
        <v/>
      </c>
      <c r="GG582" s="1154" t="str">
        <f t="shared" si="157"/>
        <v/>
      </c>
      <c r="GH582" s="1154" t="str">
        <f t="shared" si="158"/>
        <v/>
      </c>
      <c r="GI582" s="1154" t="str">
        <f t="shared" si="159"/>
        <v/>
      </c>
      <c r="GJ582" s="1154" t="str">
        <f t="shared" si="160"/>
        <v/>
      </c>
      <c r="GK582" s="1154" t="str">
        <f t="shared" si="161"/>
        <v/>
      </c>
      <c r="GL582" s="1154" t="str">
        <f t="shared" si="162"/>
        <v/>
      </c>
      <c r="GM582" s="1154" t="str">
        <f t="shared" si="163"/>
        <v/>
      </c>
      <c r="GN582" s="1154" t="str">
        <f t="shared" si="164"/>
        <v/>
      </c>
      <c r="GO582" s="1154" t="str">
        <f t="shared" si="165"/>
        <v/>
      </c>
      <c r="GP582" s="1154" t="str">
        <f t="shared" si="166"/>
        <v/>
      </c>
      <c r="GQ582" s="1154" t="str">
        <f t="shared" si="167"/>
        <v/>
      </c>
      <c r="GR582" s="1154" t="str">
        <f t="shared" si="168"/>
        <v/>
      </c>
      <c r="GS582" s="1154" t="str">
        <f t="shared" si="169"/>
        <v/>
      </c>
      <c r="GT582" s="1154" t="str">
        <f t="shared" si="170"/>
        <v/>
      </c>
      <c r="GU582" s="1154" t="str">
        <f t="shared" si="171"/>
        <v/>
      </c>
      <c r="GV582" s="1154" t="str">
        <f t="shared" si="172"/>
        <v/>
      </c>
      <c r="GW582" s="1154" t="str">
        <f t="shared" si="173"/>
        <v/>
      </c>
      <c r="GX582" s="1154" t="str">
        <f t="shared" si="174"/>
        <v/>
      </c>
      <c r="GY582" s="1154" t="str">
        <f t="shared" si="175"/>
        <v/>
      </c>
      <c r="GZ582" s="1154" t="str">
        <f t="shared" si="176"/>
        <v/>
      </c>
      <c r="HA582" s="1154" t="str">
        <f t="shared" si="177"/>
        <v/>
      </c>
      <c r="HB582" s="1154" t="str">
        <f t="shared" si="178"/>
        <v/>
      </c>
      <c r="HC582" s="1154" t="str">
        <f t="shared" si="179"/>
        <v/>
      </c>
      <c r="HD582" s="1154" t="str">
        <f t="shared" si="180"/>
        <v/>
      </c>
      <c r="HE582" s="1154" t="str">
        <f t="shared" si="181"/>
        <v/>
      </c>
      <c r="HF582" s="1154" t="str">
        <f t="shared" si="182"/>
        <v/>
      </c>
      <c r="HG582" s="1154" t="str">
        <f t="shared" si="183"/>
        <v/>
      </c>
      <c r="HH582" s="1154" t="str">
        <f t="shared" si="184"/>
        <v/>
      </c>
      <c r="HI582" s="1154" t="str">
        <f t="shared" si="185"/>
        <v/>
      </c>
      <c r="HJ582" s="1154" t="str">
        <f t="shared" si="186"/>
        <v/>
      </c>
      <c r="HK582" s="1154" t="str">
        <f t="shared" si="187"/>
        <v/>
      </c>
      <c r="HL582" s="1154" t="str">
        <f t="shared" si="188"/>
        <v/>
      </c>
      <c r="HM582" s="1154" t="str">
        <f t="shared" si="189"/>
        <v/>
      </c>
      <c r="HN582" s="1154" t="str">
        <f t="shared" si="190"/>
        <v/>
      </c>
      <c r="HO582" s="1154" t="str">
        <f t="shared" si="191"/>
        <v/>
      </c>
      <c r="HP582" s="1154" t="str">
        <f t="shared" si="192"/>
        <v/>
      </c>
      <c r="HQ582" s="1154" t="str">
        <f t="shared" si="193"/>
        <v/>
      </c>
      <c r="HR582" s="1154" t="str">
        <f t="shared" si="194"/>
        <v/>
      </c>
      <c r="HS582" s="1154" t="str">
        <f t="shared" si="195"/>
        <v/>
      </c>
      <c r="HT582" s="1154" t="str">
        <f t="shared" si="196"/>
        <v/>
      </c>
      <c r="HU582" s="1154" t="str">
        <f t="shared" si="197"/>
        <v/>
      </c>
      <c r="HV582" s="1154" t="str">
        <f t="shared" si="198"/>
        <v/>
      </c>
      <c r="HW582" s="1154" t="str">
        <f t="shared" si="199"/>
        <v/>
      </c>
      <c r="HX582" s="1154" t="str">
        <f t="shared" si="200"/>
        <v/>
      </c>
      <c r="HY582" s="1681" t="str">
        <f t="shared" si="201"/>
        <v/>
      </c>
      <c r="HZ582" s="1681" t="str">
        <f t="shared" si="202"/>
        <v/>
      </c>
      <c r="IA582" s="1681" t="str">
        <f t="shared" si="203"/>
        <v/>
      </c>
      <c r="IB582" s="1681" t="str">
        <f t="shared" si="204"/>
        <v/>
      </c>
      <c r="IC582" s="1681" t="str">
        <f t="shared" si="205"/>
        <v/>
      </c>
      <c r="ID582" s="1681" t="str">
        <f t="shared" si="206"/>
        <v/>
      </c>
      <c r="IE582" s="1681" t="str">
        <f t="shared" si="207"/>
        <v/>
      </c>
      <c r="IF582" s="1681" t="str">
        <f t="shared" si="208"/>
        <v/>
      </c>
      <c r="IG582" s="1681" t="str">
        <f t="shared" si="209"/>
        <v/>
      </c>
      <c r="IH582" s="1681" t="str">
        <f t="shared" si="210"/>
        <v/>
      </c>
      <c r="II582" s="1681" t="str">
        <f t="shared" si="211"/>
        <v/>
      </c>
      <c r="IJ582" s="1681" t="str">
        <f t="shared" si="212"/>
        <v/>
      </c>
      <c r="IK582" s="1681" t="str">
        <f t="shared" si="213"/>
        <v/>
      </c>
      <c r="IL582" s="1681" t="str">
        <f t="shared" si="214"/>
        <v/>
      </c>
      <c r="IM582" s="1681" t="str">
        <f t="shared" si="215"/>
        <v/>
      </c>
      <c r="IN582" s="1681" t="str">
        <f t="shared" si="216"/>
        <v/>
      </c>
      <c r="IO582" s="1681" t="str">
        <f t="shared" si="217"/>
        <v/>
      </c>
      <c r="IP582" s="1681" t="str">
        <f t="shared" si="218"/>
        <v/>
      </c>
      <c r="IQ582" s="1681" t="str">
        <f t="shared" si="219"/>
        <v/>
      </c>
      <c r="IR582" s="1681" t="str">
        <f t="shared" si="220"/>
        <v/>
      </c>
      <c r="IS582" s="1681" t="str">
        <f t="shared" si="221"/>
        <v/>
      </c>
      <c r="IT582" s="1681" t="str">
        <f t="shared" si="222"/>
        <v/>
      </c>
      <c r="IU582" s="1681" t="str">
        <f t="shared" si="223"/>
        <v/>
      </c>
      <c r="IV582" s="1681" t="str">
        <f t="shared" si="224"/>
        <v/>
      </c>
      <c r="IW582" s="1681" t="str">
        <f t="shared" si="225"/>
        <v/>
      </c>
      <c r="IX582" s="1681" t="str">
        <f t="shared" si="226"/>
        <v/>
      </c>
      <c r="IY582" s="1681" t="str">
        <f t="shared" si="227"/>
        <v/>
      </c>
      <c r="IZ582" s="1681" t="str">
        <f t="shared" si="228"/>
        <v/>
      </c>
      <c r="JA582" s="1681" t="str">
        <f t="shared" si="229"/>
        <v/>
      </c>
      <c r="JB582" s="1681" t="str">
        <f t="shared" si="230"/>
        <v/>
      </c>
      <c r="JC582" s="1681" t="str">
        <f t="shared" si="231"/>
        <v/>
      </c>
      <c r="JD582" s="1681" t="str">
        <f t="shared" si="232"/>
        <v/>
      </c>
      <c r="JE582" s="1681" t="str">
        <f t="shared" si="233"/>
        <v/>
      </c>
      <c r="JF582" s="1681" t="str">
        <f t="shared" si="234"/>
        <v/>
      </c>
      <c r="JG582" s="1681" t="str">
        <f t="shared" si="235"/>
        <v/>
      </c>
      <c r="JH582" s="1681" t="str">
        <f t="shared" si="236"/>
        <v/>
      </c>
      <c r="JI582" s="1681" t="str">
        <f t="shared" si="237"/>
        <v/>
      </c>
      <c r="JJ582" s="1681" t="str">
        <f t="shared" si="238"/>
        <v/>
      </c>
      <c r="JK582" s="1681" t="str">
        <f t="shared" si="239"/>
        <v/>
      </c>
      <c r="JL582" s="1681" t="str">
        <f t="shared" si="240"/>
        <v/>
      </c>
      <c r="JM582" s="1681" t="str">
        <f t="shared" si="241"/>
        <v/>
      </c>
      <c r="JN582" s="1681" t="str">
        <f t="shared" si="242"/>
        <v/>
      </c>
      <c r="JO582" s="1681" t="str">
        <f t="shared" si="243"/>
        <v/>
      </c>
      <c r="JP582" s="1681" t="str">
        <f t="shared" si="244"/>
        <v/>
      </c>
      <c r="JQ582" s="1681" t="str">
        <f t="shared" si="245"/>
        <v/>
      </c>
      <c r="JR582" s="1681" t="str">
        <f t="shared" si="246"/>
        <v/>
      </c>
      <c r="JS582" s="1681" t="str">
        <f t="shared" si="247"/>
        <v/>
      </c>
      <c r="JT582" s="1681" t="str">
        <f t="shared" si="248"/>
        <v/>
      </c>
      <c r="JU582" s="1681" t="str">
        <f t="shared" si="249"/>
        <v/>
      </c>
      <c r="JV582" s="1681" t="str">
        <f t="shared" si="250"/>
        <v/>
      </c>
      <c r="JW582" s="1681" t="str">
        <f t="shared" si="251"/>
        <v/>
      </c>
      <c r="JX582" s="1681" t="str">
        <f t="shared" si="252"/>
        <v/>
      </c>
      <c r="JY582" s="1681" t="str">
        <f t="shared" si="253"/>
        <v/>
      </c>
      <c r="JZ582" s="1681" t="str">
        <f t="shared" si="254"/>
        <v/>
      </c>
      <c r="KA582" s="1681" t="str">
        <f t="shared" si="255"/>
        <v/>
      </c>
      <c r="KB582" s="1681" t="str">
        <f t="shared" si="256"/>
        <v/>
      </c>
      <c r="KC582" s="1681" t="str">
        <f t="shared" si="257"/>
        <v/>
      </c>
      <c r="KD582" s="1681" t="str">
        <f t="shared" si="258"/>
        <v/>
      </c>
      <c r="KE582" s="1681" t="str">
        <f t="shared" si="259"/>
        <v/>
      </c>
      <c r="KF582" s="1681" t="str">
        <f t="shared" si="260"/>
        <v/>
      </c>
      <c r="KG582" s="1681" t="str">
        <f t="shared" si="261"/>
        <v/>
      </c>
      <c r="KH582" s="1681" t="str">
        <f t="shared" si="262"/>
        <v/>
      </c>
      <c r="KI582" s="1681" t="str">
        <f t="shared" si="263"/>
        <v/>
      </c>
      <c r="KJ582" s="1681" t="str">
        <f t="shared" si="264"/>
        <v/>
      </c>
      <c r="KK582" s="1681" t="str">
        <f t="shared" si="265"/>
        <v/>
      </c>
      <c r="KL582" s="1681" t="str">
        <f t="shared" si="266"/>
        <v/>
      </c>
      <c r="KM582" s="1681" t="str">
        <f t="shared" si="267"/>
        <v/>
      </c>
      <c r="KN582" s="1681" t="str">
        <f t="shared" si="268"/>
        <v/>
      </c>
      <c r="KO582" s="1681" t="str">
        <f t="shared" si="269"/>
        <v/>
      </c>
      <c r="KP582" s="1681" t="str">
        <f t="shared" si="270"/>
        <v/>
      </c>
      <c r="KQ582" s="1681" t="str">
        <f t="shared" si="271"/>
        <v/>
      </c>
      <c r="KR582" s="1681" t="str">
        <f t="shared" si="272"/>
        <v/>
      </c>
      <c r="KS582" s="1681" t="str">
        <f t="shared" si="273"/>
        <v/>
      </c>
      <c r="KT582" s="1681" t="str">
        <f t="shared" si="274"/>
        <v/>
      </c>
      <c r="KU582" s="1681" t="str">
        <f t="shared" si="275"/>
        <v/>
      </c>
      <c r="KV582" s="1681" t="str">
        <f t="shared" si="276"/>
        <v/>
      </c>
      <c r="KW582" s="1681" t="str">
        <f t="shared" si="277"/>
        <v/>
      </c>
      <c r="KX582" s="1681" t="str">
        <f t="shared" si="278"/>
        <v/>
      </c>
      <c r="KY582" s="1681" t="str">
        <f t="shared" si="279"/>
        <v/>
      </c>
      <c r="KZ582" s="1681" t="str">
        <f t="shared" si="280"/>
        <v/>
      </c>
      <c r="LA582" s="1681" t="str">
        <f t="shared" si="281"/>
        <v/>
      </c>
      <c r="LB582" s="1681" t="str">
        <f t="shared" si="282"/>
        <v/>
      </c>
      <c r="LC582" s="1681" t="str">
        <f t="shared" si="283"/>
        <v/>
      </c>
      <c r="LD582" s="1681" t="str">
        <f t="shared" si="284"/>
        <v/>
      </c>
      <c r="LE582" s="1681" t="str">
        <f t="shared" si="285"/>
        <v/>
      </c>
      <c r="LF582" s="1525" t="str">
        <f t="shared" si="286"/>
        <v/>
      </c>
      <c r="LG582" s="1525" t="str">
        <f t="shared" si="287"/>
        <v/>
      </c>
      <c r="LH582" s="1525" t="str">
        <f t="shared" si="288"/>
        <v/>
      </c>
      <c r="LI582" s="1525" t="str">
        <f t="shared" si="289"/>
        <v/>
      </c>
      <c r="LJ582" s="1525" t="str">
        <f t="shared" si="290"/>
        <v/>
      </c>
      <c r="LK582" s="1154" t="str">
        <f t="shared" si="291"/>
        <v/>
      </c>
      <c r="LL582" s="1154" t="str">
        <f t="shared" si="292"/>
        <v/>
      </c>
      <c r="LM582" s="1154" t="str">
        <f t="shared" si="293"/>
        <v/>
      </c>
      <c r="LN582" s="1154" t="str">
        <f t="shared" si="294"/>
        <v/>
      </c>
      <c r="LO582" s="1154" t="str">
        <f t="shared" si="295"/>
        <v/>
      </c>
      <c r="LP582" s="1154" t="str">
        <f t="shared" si="296"/>
        <v/>
      </c>
      <c r="LQ582" s="1154" t="str">
        <f t="shared" si="297"/>
        <v/>
      </c>
      <c r="LR582" s="1154" t="str">
        <f t="shared" si="298"/>
        <v/>
      </c>
      <c r="LS582" s="1154" t="str">
        <f t="shared" si="299"/>
        <v/>
      </c>
      <c r="LT582" s="1154" t="str">
        <f t="shared" si="300"/>
        <v/>
      </c>
      <c r="LU582" s="1154" t="str">
        <f t="shared" si="301"/>
        <v/>
      </c>
      <c r="LV582" s="1154" t="str">
        <f t="shared" si="302"/>
        <v/>
      </c>
      <c r="LW582" s="1154" t="str">
        <f t="shared" si="303"/>
        <v/>
      </c>
      <c r="LX582" s="1154" t="str">
        <f t="shared" si="304"/>
        <v/>
      </c>
      <c r="LY582" s="1154" t="str">
        <f t="shared" si="305"/>
        <v/>
      </c>
      <c r="LZ582" s="1154" t="str">
        <f t="shared" si="306"/>
        <v/>
      </c>
      <c r="MA582" s="1154" t="str">
        <f t="shared" si="307"/>
        <v/>
      </c>
      <c r="MB582" s="1154" t="str">
        <f t="shared" si="308"/>
        <v/>
      </c>
      <c r="MC582" s="1154" t="str">
        <f t="shared" si="309"/>
        <v/>
      </c>
      <c r="MD582" s="1154" t="str">
        <f t="shared" si="310"/>
        <v/>
      </c>
      <c r="ME582" s="1525">
        <f t="shared" ref="ME582:ME618" si="322">IF(AND($C582="Efficiency",$E582&gt;0,OR($N582="1-Story",$N582="2-Story",$N582="3+ Story",$N582="2-Story Walkup",$N582="Townhome"),OR($O582="Acquisition/Rehab",$O582="Rehabilitation"),NOT($P582="Yes")),$E582,0)</f>
        <v>0</v>
      </c>
      <c r="MF582" s="1525">
        <f t="shared" ref="MF582:MF618" si="323">IF(AND($C582=1,$E582&gt;0,OR($N582="1-Story",$N582="2-Story",$N582="3+ Story",$N582="2-Story Walkup",$N582="Townhome"),OR($O582="Acquisition/Rehab",$O582="Rehabilitation"),NOT($P582="Yes")),$E582,0)</f>
        <v>0</v>
      </c>
      <c r="MG582" s="1525">
        <f t="shared" ref="MG582:MG618" si="324">IF(AND($C582=2,$E582&gt;0,OR($N582="1-Story",$N582="2-Story",$N582="3+ Story",$N582="2-Story Walkup",$N582="Townhome"),OR($O582="Acquisition/Rehab",$O582="Rehabilitation"),NOT($P582="Yes")),$E582,0)</f>
        <v>0</v>
      </c>
      <c r="MH582" s="1525">
        <f t="shared" ref="MH582:MH618" si="325">IF(AND($C582=3,$E582&gt;0,OR($N582="1-Story",$N582="2-Story",$N582="3+ Story",$N582="2-Story Walkup",$N582="Townhome"),OR($O582="Acquisition/Rehab",$O582="Rehabilitation"),NOT($P582="Yes")),$E582,0)</f>
        <v>0</v>
      </c>
      <c r="MI582" s="1525">
        <f t="shared" ref="MI582:MI618" si="326">IF(AND($C582=4,$E582&gt;0,OR($N582="1-Story",$N582="2-Story",$N582="3+ Story",$N582="2-Story Walkup",$N582="Townhome"),OR($O582="Acquisition/Rehab",$O582="Rehabilitation"),NOT($P582="Yes")),$E582,0)</f>
        <v>0</v>
      </c>
      <c r="MJ582" s="1525">
        <f t="shared" ref="MJ582:MJ618" si="327">IF(AND($C582="Efficiency",$E582&gt;0,OR($N582="1-Story",$N582="2-Story",$N582="3+ Story",$N582="2-Story Walkup",$N582="Townhome"),$O582="New Construction"),$E582,0)</f>
        <v>0</v>
      </c>
      <c r="MK582" s="1525">
        <f t="shared" ref="MK582:MK618" si="328">IF(AND($C582=1,$E582&gt;0,OR($N582="1-Story",$N582="2-Story",$N582="3+ Story",$N582="2-Story Walkup",$N582="Townhome"),$O582="New Construction"),$E582,0)</f>
        <v>0</v>
      </c>
      <c r="ML582" s="1525">
        <f t="shared" ref="ML582:ML618" si="329">IF(AND($C582=2,$E582&gt;0,OR($N582="1-Story",$N582="2-Story",$N582="3+ Story",$N582="2-Story Walkup",$N582="Townhome"),$O582="New Construction"),$E582,0)</f>
        <v>0</v>
      </c>
      <c r="MM582" s="1525">
        <f t="shared" ref="MM582:MM618" si="330">IF(AND($C582=3,$E582&gt;0,OR($N582="1-Story",$N582="2-Story",$N582="3+ Story",$N582="2-Story Walkup",$N582="Townhome"),$O582="New Construction"),$E582,0)</f>
        <v>0</v>
      </c>
      <c r="MN582" s="1525">
        <f t="shared" ref="MN582:MN618" si="331">IF(AND($C582=4,$E582&gt;0,OR($N582="1-Story",$N582="2-Story",$N582="3+ Story",$N582="2-Story Walkup",$N582="Townhome"),$O582="New Construction"),$E582,0)</f>
        <v>0</v>
      </c>
      <c r="MO582" s="1525">
        <f t="shared" ref="MO582:MO618" si="332">IF(AND($C582="Efficiency",$E582&gt;0,OR($N582="SF Detached",$N582="Duplex",$N582="Mfd Home"),NOT($P582="Yes")),$E582,0)</f>
        <v>0</v>
      </c>
      <c r="MP582" s="1525">
        <f t="shared" ref="MP582:MP618" si="333">IF(AND($C582=1,$E582&gt;0,OR($N582="SF Detached",$N582="Duplex",$N582="Mfd Home"),NOT($P582="Yes")),$E582,0)</f>
        <v>0</v>
      </c>
      <c r="MQ582" s="1525">
        <f t="shared" ref="MQ582:MQ618" si="334">IF(AND($C582=2,$E582&gt;0,OR($N582="SF Detached",$N582="Duplex",$N582="Mfd Home"),NOT($P582="Yes")),$E582,0)</f>
        <v>0</v>
      </c>
      <c r="MR582" s="1525">
        <f t="shared" ref="MR582:MR618" si="335">IF(AND($C582=3,$E582&gt;0,OR($N582="SF Detached",$N582="Duplex",$N582="Mfd Home"),NOT($P582="Yes")),$E582,0)</f>
        <v>0</v>
      </c>
      <c r="MS582" s="1525">
        <f t="shared" ref="MS582:MS618" si="336">IF(AND($C582=4,$E582&gt;0,OR($N582="SF Detached",$N582="Duplex",$N582="Mfd Home"),NOT($P582="Yes")),$E582,0)</f>
        <v>0</v>
      </c>
    </row>
    <row r="583" spans="1:357" s="1154" customFormat="1" ht="12" customHeight="1">
      <c r="A583" s="1524" t="str">
        <f t="shared" si="1"/>
        <v/>
      </c>
      <c r="B583" s="1672" t="str">
        <f>'Part VI-Revenues &amp; Expenses'!B12</f>
        <v>Unrestricted</v>
      </c>
      <c r="C583" s="1673">
        <f>'Part VI-Revenues &amp; Expenses'!C12</f>
        <v>0</v>
      </c>
      <c r="D583" s="1674">
        <f>'Part VI-Revenues &amp; Expenses'!D12</f>
        <v>0</v>
      </c>
      <c r="E583" s="1675">
        <f>'Part VI-Revenues &amp; Expenses'!E12</f>
        <v>0</v>
      </c>
      <c r="F583" s="1675">
        <f>'Part VI-Revenues &amp; Expenses'!F12</f>
        <v>0</v>
      </c>
      <c r="G583" s="1675">
        <f>'Part VI-Revenues &amp; Expenses'!G12</f>
        <v>0</v>
      </c>
      <c r="H583" s="1675">
        <f>'Part VI-Revenues &amp; Expenses'!H12</f>
        <v>0</v>
      </c>
      <c r="I583" s="1675">
        <f>'Part VI-Revenues &amp; Expenses'!I12</f>
        <v>0</v>
      </c>
      <c r="J583" s="1676">
        <f>'Part VI-Revenues &amp; Expenses'!J12</f>
        <v>0</v>
      </c>
      <c r="K583" s="1677">
        <f>'Part VI-Revenues &amp; Expenses'!K12</f>
        <v>0</v>
      </c>
      <c r="L583" s="1677">
        <f>'Part VI-Revenues &amp; Expenses'!L12</f>
        <v>0</v>
      </c>
      <c r="M583" s="1678">
        <f>'Part VI-Revenues &amp; Expenses'!M12</f>
        <v>0</v>
      </c>
      <c r="N583" s="1678">
        <f>'Part VI-Revenues &amp; Expenses'!N12</f>
        <v>0</v>
      </c>
      <c r="O583" s="1678">
        <f>'Part VI-Revenues &amp; Expenses'!O12</f>
        <v>0</v>
      </c>
      <c r="P583" s="1660">
        <f>'Part VI-Revenues &amp; Expenses'!P12</f>
        <v>0</v>
      </c>
      <c r="Q583" s="1679"/>
      <c r="R583" s="1680"/>
      <c r="S583" s="1679"/>
      <c r="T583" s="1680"/>
      <c r="U583" s="1519"/>
      <c r="V583" s="1519"/>
      <c r="W583" s="1154" t="str">
        <f t="shared" si="2"/>
        <v/>
      </c>
      <c r="X583" s="1154" t="str">
        <f t="shared" si="3"/>
        <v/>
      </c>
      <c r="Y583" s="1154" t="str">
        <f t="shared" si="4"/>
        <v/>
      </c>
      <c r="Z583" s="1154" t="str">
        <f t="shared" si="5"/>
        <v/>
      </c>
      <c r="AA583" s="1154" t="str">
        <f t="shared" si="6"/>
        <v/>
      </c>
      <c r="AB583" s="1154" t="str">
        <f t="shared" si="7"/>
        <v/>
      </c>
      <c r="AC583" s="1154" t="str">
        <f t="shared" si="8"/>
        <v/>
      </c>
      <c r="AD583" s="1154" t="str">
        <f t="shared" si="9"/>
        <v/>
      </c>
      <c r="AE583" s="1154" t="str">
        <f t="shared" si="10"/>
        <v/>
      </c>
      <c r="AF583" s="1154" t="str">
        <f t="shared" si="11"/>
        <v/>
      </c>
      <c r="AG583" s="1154" t="str">
        <f t="shared" si="12"/>
        <v/>
      </c>
      <c r="AH583" s="1154" t="str">
        <f t="shared" si="13"/>
        <v/>
      </c>
      <c r="AI583" s="1154" t="str">
        <f t="shared" si="14"/>
        <v/>
      </c>
      <c r="AJ583" s="1154" t="str">
        <f t="shared" si="15"/>
        <v/>
      </c>
      <c r="AK583" s="1154" t="str">
        <f t="shared" si="16"/>
        <v/>
      </c>
      <c r="AL583" s="1154" t="str">
        <f t="shared" si="17"/>
        <v/>
      </c>
      <c r="AM583" s="1154" t="str">
        <f t="shared" si="18"/>
        <v/>
      </c>
      <c r="AN583" s="1154" t="str">
        <f t="shared" si="19"/>
        <v/>
      </c>
      <c r="AO583" s="1154" t="str">
        <f t="shared" si="20"/>
        <v/>
      </c>
      <c r="AP583" s="1154" t="str">
        <f t="shared" si="21"/>
        <v/>
      </c>
      <c r="AQ583" s="1154" t="str">
        <f t="shared" si="22"/>
        <v/>
      </c>
      <c r="AR583" s="1154" t="str">
        <f t="shared" si="23"/>
        <v/>
      </c>
      <c r="AS583" s="1154" t="str">
        <f t="shared" si="24"/>
        <v/>
      </c>
      <c r="AT583" s="1154" t="str">
        <f t="shared" si="25"/>
        <v/>
      </c>
      <c r="AU583" s="1154" t="str">
        <f t="shared" si="26"/>
        <v/>
      </c>
      <c r="AV583" s="1154" t="str">
        <f t="shared" si="27"/>
        <v/>
      </c>
      <c r="AW583" s="1154" t="str">
        <f t="shared" si="28"/>
        <v/>
      </c>
      <c r="AX583" s="1154" t="str">
        <f t="shared" si="29"/>
        <v/>
      </c>
      <c r="AY583" s="1154" t="str">
        <f t="shared" si="30"/>
        <v/>
      </c>
      <c r="AZ583" s="1154" t="str">
        <f t="shared" si="31"/>
        <v/>
      </c>
      <c r="BA583" s="1154" t="str">
        <f t="shared" si="32"/>
        <v/>
      </c>
      <c r="BB583" s="1154" t="str">
        <f t="shared" si="33"/>
        <v/>
      </c>
      <c r="BC583" s="1154" t="str">
        <f t="shared" si="34"/>
        <v/>
      </c>
      <c r="BD583" s="1154" t="str">
        <f t="shared" si="35"/>
        <v/>
      </c>
      <c r="BE583" s="1154" t="str">
        <f t="shared" si="36"/>
        <v/>
      </c>
      <c r="BF583" s="1154" t="str">
        <f t="shared" si="37"/>
        <v/>
      </c>
      <c r="BG583" s="1154" t="str">
        <f t="shared" si="38"/>
        <v/>
      </c>
      <c r="BH583" s="1154" t="str">
        <f t="shared" si="39"/>
        <v/>
      </c>
      <c r="BI583" s="1154" t="str">
        <f t="shared" si="40"/>
        <v/>
      </c>
      <c r="BJ583" s="1154" t="str">
        <f t="shared" si="41"/>
        <v/>
      </c>
      <c r="BK583" s="1154" t="str">
        <f t="shared" si="42"/>
        <v/>
      </c>
      <c r="BL583" s="1154" t="str">
        <f t="shared" si="43"/>
        <v/>
      </c>
      <c r="BM583" s="1154" t="str">
        <f t="shared" si="44"/>
        <v/>
      </c>
      <c r="BN583" s="1154" t="str">
        <f t="shared" si="45"/>
        <v/>
      </c>
      <c r="BO583" s="1154" t="str">
        <f t="shared" si="46"/>
        <v/>
      </c>
      <c r="BP583" s="1154" t="str">
        <f t="shared" si="47"/>
        <v/>
      </c>
      <c r="BQ583" s="1154" t="str">
        <f t="shared" si="48"/>
        <v/>
      </c>
      <c r="BR583" s="1154" t="str">
        <f t="shared" si="49"/>
        <v/>
      </c>
      <c r="BS583" s="1154" t="str">
        <f t="shared" si="50"/>
        <v/>
      </c>
      <c r="BT583" s="1154" t="str">
        <f t="shared" si="51"/>
        <v/>
      </c>
      <c r="BU583" s="1154" t="str">
        <f t="shared" si="52"/>
        <v/>
      </c>
      <c r="BV583" s="1154" t="str">
        <f t="shared" si="53"/>
        <v/>
      </c>
      <c r="BW583" s="1154" t="str">
        <f t="shared" si="54"/>
        <v/>
      </c>
      <c r="BX583" s="1154" t="str">
        <f t="shared" si="55"/>
        <v/>
      </c>
      <c r="BY583" s="1154" t="str">
        <f t="shared" si="56"/>
        <v/>
      </c>
      <c r="BZ583" s="1154" t="str">
        <f t="shared" si="57"/>
        <v/>
      </c>
      <c r="CA583" s="1154" t="str">
        <f t="shared" si="58"/>
        <v/>
      </c>
      <c r="CB583" s="1154" t="str">
        <f t="shared" si="59"/>
        <v/>
      </c>
      <c r="CC583" s="1154" t="str">
        <f t="shared" si="60"/>
        <v/>
      </c>
      <c r="CD583" s="1154" t="str">
        <f t="shared" si="61"/>
        <v/>
      </c>
      <c r="CE583" s="1154" t="str">
        <f t="shared" si="62"/>
        <v/>
      </c>
      <c r="CF583" s="1154" t="str">
        <f t="shared" si="63"/>
        <v/>
      </c>
      <c r="CG583" s="1154" t="str">
        <f t="shared" si="64"/>
        <v/>
      </c>
      <c r="CH583" s="1154" t="str">
        <f t="shared" si="65"/>
        <v/>
      </c>
      <c r="CI583" s="1154" t="str">
        <f t="shared" si="66"/>
        <v/>
      </c>
      <c r="CJ583" s="1154" t="str">
        <f t="shared" si="67"/>
        <v/>
      </c>
      <c r="CK583" s="1154" t="str">
        <f t="shared" si="68"/>
        <v/>
      </c>
      <c r="CL583" s="1154" t="str">
        <f t="shared" si="69"/>
        <v/>
      </c>
      <c r="CM583" s="1154" t="str">
        <f t="shared" si="70"/>
        <v/>
      </c>
      <c r="CN583" s="1154" t="str">
        <f t="shared" si="71"/>
        <v/>
      </c>
      <c r="CO583" s="1154" t="str">
        <f t="shared" si="72"/>
        <v/>
      </c>
      <c r="CP583" s="1154" t="str">
        <f t="shared" si="73"/>
        <v/>
      </c>
      <c r="CQ583" s="1154" t="str">
        <f t="shared" si="74"/>
        <v/>
      </c>
      <c r="CR583" s="1154" t="str">
        <f t="shared" si="75"/>
        <v/>
      </c>
      <c r="CS583" s="1154" t="str">
        <f t="shared" si="76"/>
        <v/>
      </c>
      <c r="CT583" s="1154" t="str">
        <f t="shared" si="77"/>
        <v/>
      </c>
      <c r="CU583" s="1154" t="str">
        <f t="shared" si="78"/>
        <v/>
      </c>
      <c r="CV583" s="1154" t="str">
        <f t="shared" si="79"/>
        <v/>
      </c>
      <c r="CW583" s="1154" t="str">
        <f t="shared" si="80"/>
        <v/>
      </c>
      <c r="CX583" s="1154" t="str">
        <f t="shared" si="81"/>
        <v/>
      </c>
      <c r="CY583" s="1154" t="str">
        <f t="shared" si="82"/>
        <v/>
      </c>
      <c r="CZ583" s="1154" t="str">
        <f t="shared" si="83"/>
        <v/>
      </c>
      <c r="DA583" s="1154" t="str">
        <f t="shared" si="84"/>
        <v/>
      </c>
      <c r="DB583" s="1154" t="str">
        <f t="shared" si="85"/>
        <v/>
      </c>
      <c r="DC583" s="1154" t="str">
        <f t="shared" si="86"/>
        <v/>
      </c>
      <c r="DD583" s="1154" t="str">
        <f t="shared" si="87"/>
        <v/>
      </c>
      <c r="DE583" s="1154" t="str">
        <f t="shared" si="88"/>
        <v/>
      </c>
      <c r="DF583" s="1154" t="str">
        <f t="shared" si="89"/>
        <v/>
      </c>
      <c r="DG583" s="1154" t="str">
        <f t="shared" si="90"/>
        <v/>
      </c>
      <c r="DH583" s="1154" t="str">
        <f t="shared" si="91"/>
        <v/>
      </c>
      <c r="DI583" s="1154" t="str">
        <f t="shared" si="92"/>
        <v/>
      </c>
      <c r="DJ583" s="1154" t="str">
        <f t="shared" si="93"/>
        <v/>
      </c>
      <c r="DK583" s="1154" t="str">
        <f t="shared" si="94"/>
        <v/>
      </c>
      <c r="DL583" s="1154" t="str">
        <f t="shared" si="95"/>
        <v/>
      </c>
      <c r="DM583" s="1154" t="str">
        <f t="shared" si="96"/>
        <v/>
      </c>
      <c r="DN583" s="1154" t="str">
        <f t="shared" si="97"/>
        <v/>
      </c>
      <c r="DO583" s="1154" t="str">
        <f t="shared" si="98"/>
        <v/>
      </c>
      <c r="DP583" s="1154" t="str">
        <f t="shared" si="99"/>
        <v/>
      </c>
      <c r="DQ583" s="1154" t="str">
        <f t="shared" si="100"/>
        <v/>
      </c>
      <c r="DR583" s="1154" t="str">
        <f t="shared" si="101"/>
        <v/>
      </c>
      <c r="DS583" s="1154" t="str">
        <f t="shared" si="102"/>
        <v/>
      </c>
      <c r="DT583" s="1154" t="str">
        <f t="shared" si="103"/>
        <v/>
      </c>
      <c r="DU583" s="1154" t="str">
        <f t="shared" si="104"/>
        <v/>
      </c>
      <c r="DV583" s="1154" t="str">
        <f t="shared" si="105"/>
        <v/>
      </c>
      <c r="DW583" s="1154" t="str">
        <f t="shared" si="106"/>
        <v/>
      </c>
      <c r="DX583" s="1154" t="str">
        <f t="shared" si="107"/>
        <v/>
      </c>
      <c r="DY583" s="1154" t="str">
        <f t="shared" si="108"/>
        <v/>
      </c>
      <c r="DZ583" s="1154" t="str">
        <f t="shared" si="109"/>
        <v/>
      </c>
      <c r="EA583" s="1154" t="str">
        <f t="shared" si="110"/>
        <v/>
      </c>
      <c r="EB583" s="1154" t="str">
        <f t="shared" si="111"/>
        <v/>
      </c>
      <c r="EC583" s="1154" t="str">
        <f t="shared" si="112"/>
        <v/>
      </c>
      <c r="ED583" s="1154" t="str">
        <f t="shared" si="113"/>
        <v/>
      </c>
      <c r="EE583" s="1154" t="str">
        <f t="shared" si="114"/>
        <v/>
      </c>
      <c r="EF583" s="1154" t="str">
        <f t="shared" si="115"/>
        <v/>
      </c>
      <c r="EG583" s="1154" t="str">
        <f t="shared" si="311"/>
        <v/>
      </c>
      <c r="EH583" s="1154" t="str">
        <f t="shared" si="116"/>
        <v/>
      </c>
      <c r="EI583" s="1154" t="str">
        <f t="shared" si="117"/>
        <v/>
      </c>
      <c r="EJ583" s="1154" t="str">
        <f t="shared" si="118"/>
        <v/>
      </c>
      <c r="EK583" s="1154" t="str">
        <f t="shared" si="119"/>
        <v/>
      </c>
      <c r="EL583" s="1154" t="str">
        <f t="shared" si="120"/>
        <v/>
      </c>
      <c r="EM583" s="1154" t="str">
        <f t="shared" si="121"/>
        <v/>
      </c>
      <c r="EN583" s="1154" t="str">
        <f t="shared" si="122"/>
        <v/>
      </c>
      <c r="EO583" s="1154" t="str">
        <f t="shared" si="123"/>
        <v/>
      </c>
      <c r="EP583" s="1154" t="str">
        <f t="shared" si="124"/>
        <v/>
      </c>
      <c r="EQ583" s="1154" t="str">
        <f t="shared" si="125"/>
        <v/>
      </c>
      <c r="ER583" s="1154" t="str">
        <f t="shared" si="126"/>
        <v/>
      </c>
      <c r="ES583" s="1154" t="str">
        <f t="shared" si="127"/>
        <v/>
      </c>
      <c r="ET583" s="1154" t="str">
        <f t="shared" si="128"/>
        <v/>
      </c>
      <c r="EU583" s="1154" t="str">
        <f t="shared" si="129"/>
        <v/>
      </c>
      <c r="EV583" s="1154" t="str">
        <f t="shared" si="130"/>
        <v/>
      </c>
      <c r="EW583" s="1154" t="str">
        <f t="shared" si="312"/>
        <v/>
      </c>
      <c r="EX583" s="1154" t="str">
        <f t="shared" si="313"/>
        <v/>
      </c>
      <c r="EY583" s="1154" t="str">
        <f t="shared" si="314"/>
        <v/>
      </c>
      <c r="EZ583" s="1154" t="str">
        <f t="shared" si="315"/>
        <v/>
      </c>
      <c r="FA583" s="1154" t="str">
        <f t="shared" si="316"/>
        <v/>
      </c>
      <c r="FB583" s="1154" t="str">
        <f t="shared" si="131"/>
        <v/>
      </c>
      <c r="FC583" s="1154" t="str">
        <f t="shared" si="132"/>
        <v/>
      </c>
      <c r="FD583" s="1154" t="str">
        <f t="shared" si="133"/>
        <v/>
      </c>
      <c r="FE583" s="1154" t="str">
        <f t="shared" si="134"/>
        <v/>
      </c>
      <c r="FF583" s="1154" t="str">
        <f t="shared" si="135"/>
        <v/>
      </c>
      <c r="FG583" s="1154" t="str">
        <f t="shared" si="317"/>
        <v/>
      </c>
      <c r="FH583" s="1154" t="str">
        <f t="shared" si="318"/>
        <v/>
      </c>
      <c r="FI583" s="1154" t="str">
        <f t="shared" si="319"/>
        <v/>
      </c>
      <c r="FJ583" s="1154" t="str">
        <f t="shared" si="320"/>
        <v/>
      </c>
      <c r="FK583" s="1154" t="str">
        <f t="shared" si="321"/>
        <v/>
      </c>
      <c r="FL583" s="1154" t="str">
        <f t="shared" si="136"/>
        <v/>
      </c>
      <c r="FM583" s="1154" t="str">
        <f t="shared" si="137"/>
        <v/>
      </c>
      <c r="FN583" s="1154" t="str">
        <f t="shared" si="138"/>
        <v/>
      </c>
      <c r="FO583" s="1154" t="str">
        <f t="shared" si="139"/>
        <v/>
      </c>
      <c r="FP583" s="1154" t="str">
        <f t="shared" si="140"/>
        <v/>
      </c>
      <c r="FQ583" s="1154" t="str">
        <f t="shared" si="141"/>
        <v/>
      </c>
      <c r="FR583" s="1154" t="str">
        <f t="shared" si="142"/>
        <v/>
      </c>
      <c r="FS583" s="1154" t="str">
        <f t="shared" si="143"/>
        <v/>
      </c>
      <c r="FT583" s="1154" t="str">
        <f t="shared" si="144"/>
        <v/>
      </c>
      <c r="FU583" s="1154" t="str">
        <f t="shared" si="145"/>
        <v/>
      </c>
      <c r="FV583" s="1154" t="str">
        <f t="shared" si="146"/>
        <v/>
      </c>
      <c r="FW583" s="1154" t="str">
        <f t="shared" si="147"/>
        <v/>
      </c>
      <c r="FX583" s="1154" t="str">
        <f t="shared" si="148"/>
        <v/>
      </c>
      <c r="FY583" s="1154" t="str">
        <f t="shared" si="149"/>
        <v/>
      </c>
      <c r="FZ583" s="1154" t="str">
        <f t="shared" si="150"/>
        <v/>
      </c>
      <c r="GA583" s="1154" t="str">
        <f t="shared" si="151"/>
        <v/>
      </c>
      <c r="GB583" s="1154" t="str">
        <f t="shared" si="152"/>
        <v/>
      </c>
      <c r="GC583" s="1154" t="str">
        <f t="shared" si="153"/>
        <v/>
      </c>
      <c r="GD583" s="1154" t="str">
        <f t="shared" si="154"/>
        <v/>
      </c>
      <c r="GE583" s="1154" t="str">
        <f t="shared" si="155"/>
        <v/>
      </c>
      <c r="GF583" s="1154" t="str">
        <f t="shared" si="156"/>
        <v/>
      </c>
      <c r="GG583" s="1154" t="str">
        <f t="shared" si="157"/>
        <v/>
      </c>
      <c r="GH583" s="1154" t="str">
        <f t="shared" si="158"/>
        <v/>
      </c>
      <c r="GI583" s="1154" t="str">
        <f t="shared" si="159"/>
        <v/>
      </c>
      <c r="GJ583" s="1154" t="str">
        <f t="shared" si="160"/>
        <v/>
      </c>
      <c r="GK583" s="1154" t="str">
        <f t="shared" si="161"/>
        <v/>
      </c>
      <c r="GL583" s="1154" t="str">
        <f t="shared" si="162"/>
        <v/>
      </c>
      <c r="GM583" s="1154" t="str">
        <f t="shared" si="163"/>
        <v/>
      </c>
      <c r="GN583" s="1154" t="str">
        <f t="shared" si="164"/>
        <v/>
      </c>
      <c r="GO583" s="1154" t="str">
        <f t="shared" si="165"/>
        <v/>
      </c>
      <c r="GP583" s="1154" t="str">
        <f t="shared" si="166"/>
        <v/>
      </c>
      <c r="GQ583" s="1154" t="str">
        <f t="shared" si="167"/>
        <v/>
      </c>
      <c r="GR583" s="1154" t="str">
        <f t="shared" si="168"/>
        <v/>
      </c>
      <c r="GS583" s="1154" t="str">
        <f t="shared" si="169"/>
        <v/>
      </c>
      <c r="GT583" s="1154" t="str">
        <f t="shared" si="170"/>
        <v/>
      </c>
      <c r="GU583" s="1154" t="str">
        <f t="shared" si="171"/>
        <v/>
      </c>
      <c r="GV583" s="1154" t="str">
        <f t="shared" si="172"/>
        <v/>
      </c>
      <c r="GW583" s="1154" t="str">
        <f t="shared" si="173"/>
        <v/>
      </c>
      <c r="GX583" s="1154" t="str">
        <f t="shared" si="174"/>
        <v/>
      </c>
      <c r="GY583" s="1154" t="str">
        <f t="shared" si="175"/>
        <v/>
      </c>
      <c r="GZ583" s="1154" t="str">
        <f t="shared" si="176"/>
        <v/>
      </c>
      <c r="HA583" s="1154" t="str">
        <f t="shared" si="177"/>
        <v/>
      </c>
      <c r="HB583" s="1154" t="str">
        <f t="shared" si="178"/>
        <v/>
      </c>
      <c r="HC583" s="1154" t="str">
        <f t="shared" si="179"/>
        <v/>
      </c>
      <c r="HD583" s="1154" t="str">
        <f t="shared" si="180"/>
        <v/>
      </c>
      <c r="HE583" s="1154" t="str">
        <f t="shared" si="181"/>
        <v/>
      </c>
      <c r="HF583" s="1154" t="str">
        <f t="shared" si="182"/>
        <v/>
      </c>
      <c r="HG583" s="1154" t="str">
        <f t="shared" si="183"/>
        <v/>
      </c>
      <c r="HH583" s="1154" t="str">
        <f t="shared" si="184"/>
        <v/>
      </c>
      <c r="HI583" s="1154" t="str">
        <f t="shared" si="185"/>
        <v/>
      </c>
      <c r="HJ583" s="1154" t="str">
        <f t="shared" si="186"/>
        <v/>
      </c>
      <c r="HK583" s="1154" t="str">
        <f t="shared" si="187"/>
        <v/>
      </c>
      <c r="HL583" s="1154" t="str">
        <f t="shared" si="188"/>
        <v/>
      </c>
      <c r="HM583" s="1154" t="str">
        <f t="shared" si="189"/>
        <v/>
      </c>
      <c r="HN583" s="1154" t="str">
        <f t="shared" si="190"/>
        <v/>
      </c>
      <c r="HO583" s="1154" t="str">
        <f t="shared" si="191"/>
        <v/>
      </c>
      <c r="HP583" s="1154" t="str">
        <f t="shared" si="192"/>
        <v/>
      </c>
      <c r="HQ583" s="1154" t="str">
        <f t="shared" si="193"/>
        <v/>
      </c>
      <c r="HR583" s="1154" t="str">
        <f t="shared" si="194"/>
        <v/>
      </c>
      <c r="HS583" s="1154" t="str">
        <f t="shared" si="195"/>
        <v/>
      </c>
      <c r="HT583" s="1154" t="str">
        <f t="shared" si="196"/>
        <v/>
      </c>
      <c r="HU583" s="1154" t="str">
        <f t="shared" si="197"/>
        <v/>
      </c>
      <c r="HV583" s="1154" t="str">
        <f t="shared" si="198"/>
        <v/>
      </c>
      <c r="HW583" s="1154" t="str">
        <f t="shared" si="199"/>
        <v/>
      </c>
      <c r="HX583" s="1154" t="str">
        <f t="shared" si="200"/>
        <v/>
      </c>
      <c r="HY583" s="1681" t="str">
        <f t="shared" si="201"/>
        <v/>
      </c>
      <c r="HZ583" s="1681" t="str">
        <f t="shared" si="202"/>
        <v/>
      </c>
      <c r="IA583" s="1681" t="str">
        <f t="shared" si="203"/>
        <v/>
      </c>
      <c r="IB583" s="1681" t="str">
        <f t="shared" si="204"/>
        <v/>
      </c>
      <c r="IC583" s="1681" t="str">
        <f t="shared" si="205"/>
        <v/>
      </c>
      <c r="ID583" s="1681" t="str">
        <f t="shared" si="206"/>
        <v/>
      </c>
      <c r="IE583" s="1681" t="str">
        <f t="shared" si="207"/>
        <v/>
      </c>
      <c r="IF583" s="1681" t="str">
        <f t="shared" si="208"/>
        <v/>
      </c>
      <c r="IG583" s="1681" t="str">
        <f t="shared" si="209"/>
        <v/>
      </c>
      <c r="IH583" s="1681" t="str">
        <f t="shared" si="210"/>
        <v/>
      </c>
      <c r="II583" s="1681" t="str">
        <f t="shared" si="211"/>
        <v/>
      </c>
      <c r="IJ583" s="1681" t="str">
        <f t="shared" si="212"/>
        <v/>
      </c>
      <c r="IK583" s="1681" t="str">
        <f t="shared" si="213"/>
        <v/>
      </c>
      <c r="IL583" s="1681" t="str">
        <f t="shared" si="214"/>
        <v/>
      </c>
      <c r="IM583" s="1681" t="str">
        <f t="shared" si="215"/>
        <v/>
      </c>
      <c r="IN583" s="1681" t="str">
        <f t="shared" si="216"/>
        <v/>
      </c>
      <c r="IO583" s="1681" t="str">
        <f t="shared" si="217"/>
        <v/>
      </c>
      <c r="IP583" s="1681" t="str">
        <f t="shared" si="218"/>
        <v/>
      </c>
      <c r="IQ583" s="1681" t="str">
        <f t="shared" si="219"/>
        <v/>
      </c>
      <c r="IR583" s="1681" t="str">
        <f t="shared" si="220"/>
        <v/>
      </c>
      <c r="IS583" s="1681" t="str">
        <f t="shared" si="221"/>
        <v/>
      </c>
      <c r="IT583" s="1681" t="str">
        <f t="shared" si="222"/>
        <v/>
      </c>
      <c r="IU583" s="1681" t="str">
        <f t="shared" si="223"/>
        <v/>
      </c>
      <c r="IV583" s="1681" t="str">
        <f t="shared" si="224"/>
        <v/>
      </c>
      <c r="IW583" s="1681" t="str">
        <f t="shared" si="225"/>
        <v/>
      </c>
      <c r="IX583" s="1681" t="str">
        <f t="shared" si="226"/>
        <v/>
      </c>
      <c r="IY583" s="1681" t="str">
        <f t="shared" si="227"/>
        <v/>
      </c>
      <c r="IZ583" s="1681" t="str">
        <f t="shared" si="228"/>
        <v/>
      </c>
      <c r="JA583" s="1681" t="str">
        <f t="shared" si="229"/>
        <v/>
      </c>
      <c r="JB583" s="1681" t="str">
        <f t="shared" si="230"/>
        <v/>
      </c>
      <c r="JC583" s="1681" t="str">
        <f t="shared" si="231"/>
        <v/>
      </c>
      <c r="JD583" s="1681" t="str">
        <f t="shared" si="232"/>
        <v/>
      </c>
      <c r="JE583" s="1681" t="str">
        <f t="shared" si="233"/>
        <v/>
      </c>
      <c r="JF583" s="1681" t="str">
        <f t="shared" si="234"/>
        <v/>
      </c>
      <c r="JG583" s="1681" t="str">
        <f t="shared" si="235"/>
        <v/>
      </c>
      <c r="JH583" s="1681" t="str">
        <f t="shared" si="236"/>
        <v/>
      </c>
      <c r="JI583" s="1681" t="str">
        <f t="shared" si="237"/>
        <v/>
      </c>
      <c r="JJ583" s="1681" t="str">
        <f t="shared" si="238"/>
        <v/>
      </c>
      <c r="JK583" s="1681" t="str">
        <f t="shared" si="239"/>
        <v/>
      </c>
      <c r="JL583" s="1681" t="str">
        <f t="shared" si="240"/>
        <v/>
      </c>
      <c r="JM583" s="1681" t="str">
        <f t="shared" si="241"/>
        <v/>
      </c>
      <c r="JN583" s="1681" t="str">
        <f t="shared" si="242"/>
        <v/>
      </c>
      <c r="JO583" s="1681" t="str">
        <f t="shared" si="243"/>
        <v/>
      </c>
      <c r="JP583" s="1681" t="str">
        <f t="shared" si="244"/>
        <v/>
      </c>
      <c r="JQ583" s="1681" t="str">
        <f t="shared" si="245"/>
        <v/>
      </c>
      <c r="JR583" s="1681" t="str">
        <f t="shared" si="246"/>
        <v/>
      </c>
      <c r="JS583" s="1681" t="str">
        <f t="shared" si="247"/>
        <v/>
      </c>
      <c r="JT583" s="1681" t="str">
        <f t="shared" si="248"/>
        <v/>
      </c>
      <c r="JU583" s="1681" t="str">
        <f t="shared" si="249"/>
        <v/>
      </c>
      <c r="JV583" s="1681" t="str">
        <f t="shared" si="250"/>
        <v/>
      </c>
      <c r="JW583" s="1681" t="str">
        <f t="shared" si="251"/>
        <v/>
      </c>
      <c r="JX583" s="1681" t="str">
        <f t="shared" si="252"/>
        <v/>
      </c>
      <c r="JY583" s="1681" t="str">
        <f t="shared" si="253"/>
        <v/>
      </c>
      <c r="JZ583" s="1681" t="str">
        <f t="shared" si="254"/>
        <v/>
      </c>
      <c r="KA583" s="1681" t="str">
        <f t="shared" si="255"/>
        <v/>
      </c>
      <c r="KB583" s="1681" t="str">
        <f t="shared" si="256"/>
        <v/>
      </c>
      <c r="KC583" s="1681" t="str">
        <f t="shared" si="257"/>
        <v/>
      </c>
      <c r="KD583" s="1681" t="str">
        <f t="shared" si="258"/>
        <v/>
      </c>
      <c r="KE583" s="1681" t="str">
        <f t="shared" si="259"/>
        <v/>
      </c>
      <c r="KF583" s="1681" t="str">
        <f t="shared" si="260"/>
        <v/>
      </c>
      <c r="KG583" s="1681" t="str">
        <f t="shared" si="261"/>
        <v/>
      </c>
      <c r="KH583" s="1681" t="str">
        <f t="shared" si="262"/>
        <v/>
      </c>
      <c r="KI583" s="1681" t="str">
        <f t="shared" si="263"/>
        <v/>
      </c>
      <c r="KJ583" s="1681" t="str">
        <f t="shared" si="264"/>
        <v/>
      </c>
      <c r="KK583" s="1681" t="str">
        <f t="shared" si="265"/>
        <v/>
      </c>
      <c r="KL583" s="1681" t="str">
        <f t="shared" si="266"/>
        <v/>
      </c>
      <c r="KM583" s="1681" t="str">
        <f t="shared" si="267"/>
        <v/>
      </c>
      <c r="KN583" s="1681" t="str">
        <f t="shared" si="268"/>
        <v/>
      </c>
      <c r="KO583" s="1681" t="str">
        <f t="shared" si="269"/>
        <v/>
      </c>
      <c r="KP583" s="1681" t="str">
        <f t="shared" si="270"/>
        <v/>
      </c>
      <c r="KQ583" s="1681" t="str">
        <f t="shared" si="271"/>
        <v/>
      </c>
      <c r="KR583" s="1681" t="str">
        <f t="shared" si="272"/>
        <v/>
      </c>
      <c r="KS583" s="1681" t="str">
        <f t="shared" si="273"/>
        <v/>
      </c>
      <c r="KT583" s="1681" t="str">
        <f t="shared" si="274"/>
        <v/>
      </c>
      <c r="KU583" s="1681" t="str">
        <f t="shared" si="275"/>
        <v/>
      </c>
      <c r="KV583" s="1681" t="str">
        <f t="shared" si="276"/>
        <v/>
      </c>
      <c r="KW583" s="1681" t="str">
        <f t="shared" si="277"/>
        <v/>
      </c>
      <c r="KX583" s="1681" t="str">
        <f t="shared" si="278"/>
        <v/>
      </c>
      <c r="KY583" s="1681" t="str">
        <f t="shared" si="279"/>
        <v/>
      </c>
      <c r="KZ583" s="1681" t="str">
        <f t="shared" si="280"/>
        <v/>
      </c>
      <c r="LA583" s="1681" t="str">
        <f t="shared" si="281"/>
        <v/>
      </c>
      <c r="LB583" s="1681" t="str">
        <f t="shared" si="282"/>
        <v/>
      </c>
      <c r="LC583" s="1681" t="str">
        <f t="shared" si="283"/>
        <v/>
      </c>
      <c r="LD583" s="1681" t="str">
        <f t="shared" si="284"/>
        <v/>
      </c>
      <c r="LE583" s="1681" t="str">
        <f t="shared" si="285"/>
        <v/>
      </c>
      <c r="LF583" s="1525" t="str">
        <f t="shared" si="286"/>
        <v/>
      </c>
      <c r="LG583" s="1525" t="str">
        <f t="shared" si="287"/>
        <v/>
      </c>
      <c r="LH583" s="1525" t="str">
        <f t="shared" si="288"/>
        <v/>
      </c>
      <c r="LI583" s="1525" t="str">
        <f t="shared" si="289"/>
        <v/>
      </c>
      <c r="LJ583" s="1525" t="str">
        <f t="shared" si="290"/>
        <v/>
      </c>
      <c r="LK583" s="1154" t="str">
        <f t="shared" si="291"/>
        <v/>
      </c>
      <c r="LL583" s="1154" t="str">
        <f t="shared" si="292"/>
        <v/>
      </c>
      <c r="LM583" s="1154" t="str">
        <f t="shared" si="293"/>
        <v/>
      </c>
      <c r="LN583" s="1154" t="str">
        <f t="shared" si="294"/>
        <v/>
      </c>
      <c r="LO583" s="1154" t="str">
        <f t="shared" si="295"/>
        <v/>
      </c>
      <c r="LP583" s="1154" t="str">
        <f t="shared" si="296"/>
        <v/>
      </c>
      <c r="LQ583" s="1154" t="str">
        <f t="shared" si="297"/>
        <v/>
      </c>
      <c r="LR583" s="1154" t="str">
        <f t="shared" si="298"/>
        <v/>
      </c>
      <c r="LS583" s="1154" t="str">
        <f t="shared" si="299"/>
        <v/>
      </c>
      <c r="LT583" s="1154" t="str">
        <f t="shared" si="300"/>
        <v/>
      </c>
      <c r="LU583" s="1154" t="str">
        <f t="shared" si="301"/>
        <v/>
      </c>
      <c r="LV583" s="1154" t="str">
        <f t="shared" si="302"/>
        <v/>
      </c>
      <c r="LW583" s="1154" t="str">
        <f t="shared" si="303"/>
        <v/>
      </c>
      <c r="LX583" s="1154" t="str">
        <f t="shared" si="304"/>
        <v/>
      </c>
      <c r="LY583" s="1154" t="str">
        <f t="shared" si="305"/>
        <v/>
      </c>
      <c r="LZ583" s="1154" t="str">
        <f t="shared" si="306"/>
        <v/>
      </c>
      <c r="MA583" s="1154" t="str">
        <f t="shared" si="307"/>
        <v/>
      </c>
      <c r="MB583" s="1154" t="str">
        <f t="shared" si="308"/>
        <v/>
      </c>
      <c r="MC583" s="1154" t="str">
        <f t="shared" si="309"/>
        <v/>
      </c>
      <c r="MD583" s="1154" t="str">
        <f t="shared" si="310"/>
        <v/>
      </c>
      <c r="ME583" s="1525">
        <f t="shared" si="322"/>
        <v>0</v>
      </c>
      <c r="MF583" s="1525">
        <f t="shared" si="323"/>
        <v>0</v>
      </c>
      <c r="MG583" s="1525">
        <f t="shared" si="324"/>
        <v>0</v>
      </c>
      <c r="MH583" s="1525">
        <f t="shared" si="325"/>
        <v>0</v>
      </c>
      <c r="MI583" s="1525">
        <f t="shared" si="326"/>
        <v>0</v>
      </c>
      <c r="MJ583" s="1525">
        <f t="shared" si="327"/>
        <v>0</v>
      </c>
      <c r="MK583" s="1525">
        <f t="shared" si="328"/>
        <v>0</v>
      </c>
      <c r="ML583" s="1525">
        <f t="shared" si="329"/>
        <v>0</v>
      </c>
      <c r="MM583" s="1525">
        <f t="shared" si="330"/>
        <v>0</v>
      </c>
      <c r="MN583" s="1525">
        <f t="shared" si="331"/>
        <v>0</v>
      </c>
      <c r="MO583" s="1525">
        <f t="shared" si="332"/>
        <v>0</v>
      </c>
      <c r="MP583" s="1525">
        <f t="shared" si="333"/>
        <v>0</v>
      </c>
      <c r="MQ583" s="1525">
        <f t="shared" si="334"/>
        <v>0</v>
      </c>
      <c r="MR583" s="1525">
        <f t="shared" si="335"/>
        <v>0</v>
      </c>
      <c r="MS583" s="1525">
        <f t="shared" si="336"/>
        <v>0</v>
      </c>
    </row>
    <row r="584" spans="1:357" s="1154" customFormat="1" ht="12" customHeight="1">
      <c r="A584" s="1524" t="str">
        <f t="shared" si="1"/>
        <v/>
      </c>
      <c r="B584" s="1672" t="str">
        <f>'Part VI-Revenues &amp; Expenses'!B13</f>
        <v>Unrestricted</v>
      </c>
      <c r="C584" s="1673">
        <f>'Part VI-Revenues &amp; Expenses'!C13</f>
        <v>0</v>
      </c>
      <c r="D584" s="1674">
        <f>'Part VI-Revenues &amp; Expenses'!D13</f>
        <v>0</v>
      </c>
      <c r="E584" s="1675">
        <f>'Part VI-Revenues &amp; Expenses'!E13</f>
        <v>0</v>
      </c>
      <c r="F584" s="1675">
        <f>'Part VI-Revenues &amp; Expenses'!F13</f>
        <v>0</v>
      </c>
      <c r="G584" s="1675">
        <f>'Part VI-Revenues &amp; Expenses'!G13</f>
        <v>0</v>
      </c>
      <c r="H584" s="1675">
        <f>'Part VI-Revenues &amp; Expenses'!H13</f>
        <v>0</v>
      </c>
      <c r="I584" s="1675">
        <f>'Part VI-Revenues &amp; Expenses'!I13</f>
        <v>0</v>
      </c>
      <c r="J584" s="1676">
        <f>'Part VI-Revenues &amp; Expenses'!J13</f>
        <v>0</v>
      </c>
      <c r="K584" s="1677">
        <f>'Part VI-Revenues &amp; Expenses'!K13</f>
        <v>0</v>
      </c>
      <c r="L584" s="1677">
        <f>'Part VI-Revenues &amp; Expenses'!L13</f>
        <v>0</v>
      </c>
      <c r="M584" s="1678">
        <f>'Part VI-Revenues &amp; Expenses'!M13</f>
        <v>0</v>
      </c>
      <c r="N584" s="1678">
        <f>'Part VI-Revenues &amp; Expenses'!N13</f>
        <v>0</v>
      </c>
      <c r="O584" s="1678">
        <f>'Part VI-Revenues &amp; Expenses'!O13</f>
        <v>0</v>
      </c>
      <c r="P584" s="1660">
        <f>'Part VI-Revenues &amp; Expenses'!P13</f>
        <v>0</v>
      </c>
      <c r="Q584" s="1679"/>
      <c r="R584" s="1680"/>
      <c r="S584" s="1679"/>
      <c r="T584" s="1680"/>
      <c r="U584" s="1519"/>
      <c r="V584" s="1519"/>
      <c r="W584" s="1154" t="str">
        <f t="shared" si="2"/>
        <v/>
      </c>
      <c r="X584" s="1154" t="str">
        <f t="shared" si="3"/>
        <v/>
      </c>
      <c r="Y584" s="1154" t="str">
        <f t="shared" si="4"/>
        <v/>
      </c>
      <c r="Z584" s="1154" t="str">
        <f t="shared" si="5"/>
        <v/>
      </c>
      <c r="AA584" s="1154" t="str">
        <f t="shared" si="6"/>
        <v/>
      </c>
      <c r="AB584" s="1154" t="str">
        <f t="shared" si="7"/>
        <v/>
      </c>
      <c r="AC584" s="1154" t="str">
        <f t="shared" si="8"/>
        <v/>
      </c>
      <c r="AD584" s="1154" t="str">
        <f t="shared" si="9"/>
        <v/>
      </c>
      <c r="AE584" s="1154" t="str">
        <f t="shared" si="10"/>
        <v/>
      </c>
      <c r="AF584" s="1154" t="str">
        <f t="shared" si="11"/>
        <v/>
      </c>
      <c r="AG584" s="1154" t="str">
        <f t="shared" si="12"/>
        <v/>
      </c>
      <c r="AH584" s="1154" t="str">
        <f t="shared" si="13"/>
        <v/>
      </c>
      <c r="AI584" s="1154" t="str">
        <f t="shared" si="14"/>
        <v/>
      </c>
      <c r="AJ584" s="1154" t="str">
        <f t="shared" si="15"/>
        <v/>
      </c>
      <c r="AK584" s="1154" t="str">
        <f t="shared" si="16"/>
        <v/>
      </c>
      <c r="AL584" s="1154" t="str">
        <f t="shared" si="17"/>
        <v/>
      </c>
      <c r="AM584" s="1154" t="str">
        <f t="shared" si="18"/>
        <v/>
      </c>
      <c r="AN584" s="1154" t="str">
        <f t="shared" si="19"/>
        <v/>
      </c>
      <c r="AO584" s="1154" t="str">
        <f t="shared" si="20"/>
        <v/>
      </c>
      <c r="AP584" s="1154" t="str">
        <f t="shared" si="21"/>
        <v/>
      </c>
      <c r="AQ584" s="1154" t="str">
        <f t="shared" si="22"/>
        <v/>
      </c>
      <c r="AR584" s="1154" t="str">
        <f t="shared" si="23"/>
        <v/>
      </c>
      <c r="AS584" s="1154" t="str">
        <f t="shared" si="24"/>
        <v/>
      </c>
      <c r="AT584" s="1154" t="str">
        <f t="shared" si="25"/>
        <v/>
      </c>
      <c r="AU584" s="1154" t="str">
        <f t="shared" si="26"/>
        <v/>
      </c>
      <c r="AV584" s="1154" t="str">
        <f t="shared" si="27"/>
        <v/>
      </c>
      <c r="AW584" s="1154" t="str">
        <f t="shared" si="28"/>
        <v/>
      </c>
      <c r="AX584" s="1154" t="str">
        <f t="shared" si="29"/>
        <v/>
      </c>
      <c r="AY584" s="1154" t="str">
        <f t="shared" si="30"/>
        <v/>
      </c>
      <c r="AZ584" s="1154" t="str">
        <f t="shared" si="31"/>
        <v/>
      </c>
      <c r="BA584" s="1154" t="str">
        <f t="shared" si="32"/>
        <v/>
      </c>
      <c r="BB584" s="1154" t="str">
        <f t="shared" si="33"/>
        <v/>
      </c>
      <c r="BC584" s="1154" t="str">
        <f t="shared" si="34"/>
        <v/>
      </c>
      <c r="BD584" s="1154" t="str">
        <f t="shared" si="35"/>
        <v/>
      </c>
      <c r="BE584" s="1154" t="str">
        <f t="shared" si="36"/>
        <v/>
      </c>
      <c r="BF584" s="1154" t="str">
        <f t="shared" si="37"/>
        <v/>
      </c>
      <c r="BG584" s="1154" t="str">
        <f t="shared" si="38"/>
        <v/>
      </c>
      <c r="BH584" s="1154" t="str">
        <f t="shared" si="39"/>
        <v/>
      </c>
      <c r="BI584" s="1154" t="str">
        <f t="shared" si="40"/>
        <v/>
      </c>
      <c r="BJ584" s="1154" t="str">
        <f t="shared" si="41"/>
        <v/>
      </c>
      <c r="BK584" s="1154" t="str">
        <f t="shared" si="42"/>
        <v/>
      </c>
      <c r="BL584" s="1154" t="str">
        <f t="shared" si="43"/>
        <v/>
      </c>
      <c r="BM584" s="1154" t="str">
        <f t="shared" si="44"/>
        <v/>
      </c>
      <c r="BN584" s="1154" t="str">
        <f t="shared" si="45"/>
        <v/>
      </c>
      <c r="BO584" s="1154" t="str">
        <f t="shared" si="46"/>
        <v/>
      </c>
      <c r="BP584" s="1154" t="str">
        <f t="shared" si="47"/>
        <v/>
      </c>
      <c r="BQ584" s="1154" t="str">
        <f t="shared" si="48"/>
        <v/>
      </c>
      <c r="BR584" s="1154" t="str">
        <f t="shared" si="49"/>
        <v/>
      </c>
      <c r="BS584" s="1154" t="str">
        <f t="shared" si="50"/>
        <v/>
      </c>
      <c r="BT584" s="1154" t="str">
        <f t="shared" si="51"/>
        <v/>
      </c>
      <c r="BU584" s="1154" t="str">
        <f t="shared" si="52"/>
        <v/>
      </c>
      <c r="BV584" s="1154" t="str">
        <f t="shared" si="53"/>
        <v/>
      </c>
      <c r="BW584" s="1154" t="str">
        <f t="shared" si="54"/>
        <v/>
      </c>
      <c r="BX584" s="1154" t="str">
        <f t="shared" si="55"/>
        <v/>
      </c>
      <c r="BY584" s="1154" t="str">
        <f t="shared" si="56"/>
        <v/>
      </c>
      <c r="BZ584" s="1154" t="str">
        <f t="shared" si="57"/>
        <v/>
      </c>
      <c r="CA584" s="1154" t="str">
        <f t="shared" si="58"/>
        <v/>
      </c>
      <c r="CB584" s="1154" t="str">
        <f t="shared" si="59"/>
        <v/>
      </c>
      <c r="CC584" s="1154" t="str">
        <f t="shared" si="60"/>
        <v/>
      </c>
      <c r="CD584" s="1154" t="str">
        <f t="shared" si="61"/>
        <v/>
      </c>
      <c r="CE584" s="1154" t="str">
        <f t="shared" si="62"/>
        <v/>
      </c>
      <c r="CF584" s="1154" t="str">
        <f t="shared" si="63"/>
        <v/>
      </c>
      <c r="CG584" s="1154" t="str">
        <f t="shared" si="64"/>
        <v/>
      </c>
      <c r="CH584" s="1154" t="str">
        <f t="shared" si="65"/>
        <v/>
      </c>
      <c r="CI584" s="1154" t="str">
        <f t="shared" si="66"/>
        <v/>
      </c>
      <c r="CJ584" s="1154" t="str">
        <f t="shared" si="67"/>
        <v/>
      </c>
      <c r="CK584" s="1154" t="str">
        <f t="shared" si="68"/>
        <v/>
      </c>
      <c r="CL584" s="1154" t="str">
        <f t="shared" si="69"/>
        <v/>
      </c>
      <c r="CM584" s="1154" t="str">
        <f t="shared" si="70"/>
        <v/>
      </c>
      <c r="CN584" s="1154" t="str">
        <f t="shared" si="71"/>
        <v/>
      </c>
      <c r="CO584" s="1154" t="str">
        <f t="shared" si="72"/>
        <v/>
      </c>
      <c r="CP584" s="1154" t="str">
        <f t="shared" si="73"/>
        <v/>
      </c>
      <c r="CQ584" s="1154" t="str">
        <f t="shared" si="74"/>
        <v/>
      </c>
      <c r="CR584" s="1154" t="str">
        <f t="shared" si="75"/>
        <v/>
      </c>
      <c r="CS584" s="1154" t="str">
        <f t="shared" si="76"/>
        <v/>
      </c>
      <c r="CT584" s="1154" t="str">
        <f t="shared" si="77"/>
        <v/>
      </c>
      <c r="CU584" s="1154" t="str">
        <f t="shared" si="78"/>
        <v/>
      </c>
      <c r="CV584" s="1154" t="str">
        <f t="shared" si="79"/>
        <v/>
      </c>
      <c r="CW584" s="1154" t="str">
        <f t="shared" si="80"/>
        <v/>
      </c>
      <c r="CX584" s="1154" t="str">
        <f t="shared" si="81"/>
        <v/>
      </c>
      <c r="CY584" s="1154" t="str">
        <f t="shared" si="82"/>
        <v/>
      </c>
      <c r="CZ584" s="1154" t="str">
        <f t="shared" si="83"/>
        <v/>
      </c>
      <c r="DA584" s="1154" t="str">
        <f t="shared" si="84"/>
        <v/>
      </c>
      <c r="DB584" s="1154" t="str">
        <f t="shared" si="85"/>
        <v/>
      </c>
      <c r="DC584" s="1154" t="str">
        <f t="shared" si="86"/>
        <v/>
      </c>
      <c r="DD584" s="1154" t="str">
        <f t="shared" si="87"/>
        <v/>
      </c>
      <c r="DE584" s="1154" t="str">
        <f t="shared" si="88"/>
        <v/>
      </c>
      <c r="DF584" s="1154" t="str">
        <f t="shared" si="89"/>
        <v/>
      </c>
      <c r="DG584" s="1154" t="str">
        <f t="shared" si="90"/>
        <v/>
      </c>
      <c r="DH584" s="1154" t="str">
        <f t="shared" si="91"/>
        <v/>
      </c>
      <c r="DI584" s="1154" t="str">
        <f t="shared" si="92"/>
        <v/>
      </c>
      <c r="DJ584" s="1154" t="str">
        <f t="shared" si="93"/>
        <v/>
      </c>
      <c r="DK584" s="1154" t="str">
        <f t="shared" si="94"/>
        <v/>
      </c>
      <c r="DL584" s="1154" t="str">
        <f t="shared" si="95"/>
        <v/>
      </c>
      <c r="DM584" s="1154" t="str">
        <f t="shared" si="96"/>
        <v/>
      </c>
      <c r="DN584" s="1154" t="str">
        <f t="shared" si="97"/>
        <v/>
      </c>
      <c r="DO584" s="1154" t="str">
        <f t="shared" si="98"/>
        <v/>
      </c>
      <c r="DP584" s="1154" t="str">
        <f t="shared" si="99"/>
        <v/>
      </c>
      <c r="DQ584" s="1154" t="str">
        <f t="shared" si="100"/>
        <v/>
      </c>
      <c r="DR584" s="1154" t="str">
        <f t="shared" si="101"/>
        <v/>
      </c>
      <c r="DS584" s="1154" t="str">
        <f t="shared" si="102"/>
        <v/>
      </c>
      <c r="DT584" s="1154" t="str">
        <f t="shared" si="103"/>
        <v/>
      </c>
      <c r="DU584" s="1154" t="str">
        <f t="shared" si="104"/>
        <v/>
      </c>
      <c r="DV584" s="1154" t="str">
        <f t="shared" si="105"/>
        <v/>
      </c>
      <c r="DW584" s="1154" t="str">
        <f t="shared" si="106"/>
        <v/>
      </c>
      <c r="DX584" s="1154" t="str">
        <f t="shared" si="107"/>
        <v/>
      </c>
      <c r="DY584" s="1154" t="str">
        <f t="shared" si="108"/>
        <v/>
      </c>
      <c r="DZ584" s="1154" t="str">
        <f t="shared" si="109"/>
        <v/>
      </c>
      <c r="EA584" s="1154" t="str">
        <f t="shared" si="110"/>
        <v/>
      </c>
      <c r="EB584" s="1154" t="str">
        <f t="shared" si="111"/>
        <v/>
      </c>
      <c r="EC584" s="1154" t="str">
        <f t="shared" si="112"/>
        <v/>
      </c>
      <c r="ED584" s="1154" t="str">
        <f t="shared" si="113"/>
        <v/>
      </c>
      <c r="EE584" s="1154" t="str">
        <f t="shared" si="114"/>
        <v/>
      </c>
      <c r="EF584" s="1154" t="str">
        <f t="shared" si="115"/>
        <v/>
      </c>
      <c r="EG584" s="1154" t="str">
        <f t="shared" si="311"/>
        <v/>
      </c>
      <c r="EH584" s="1154" t="str">
        <f t="shared" si="116"/>
        <v/>
      </c>
      <c r="EI584" s="1154" t="str">
        <f t="shared" si="117"/>
        <v/>
      </c>
      <c r="EJ584" s="1154" t="str">
        <f t="shared" si="118"/>
        <v/>
      </c>
      <c r="EK584" s="1154" t="str">
        <f t="shared" si="119"/>
        <v/>
      </c>
      <c r="EL584" s="1154" t="str">
        <f t="shared" si="120"/>
        <v/>
      </c>
      <c r="EM584" s="1154" t="str">
        <f t="shared" si="121"/>
        <v/>
      </c>
      <c r="EN584" s="1154" t="str">
        <f t="shared" si="122"/>
        <v/>
      </c>
      <c r="EO584" s="1154" t="str">
        <f t="shared" si="123"/>
        <v/>
      </c>
      <c r="EP584" s="1154" t="str">
        <f t="shared" si="124"/>
        <v/>
      </c>
      <c r="EQ584" s="1154" t="str">
        <f t="shared" si="125"/>
        <v/>
      </c>
      <c r="ER584" s="1154" t="str">
        <f t="shared" si="126"/>
        <v/>
      </c>
      <c r="ES584" s="1154" t="str">
        <f t="shared" si="127"/>
        <v/>
      </c>
      <c r="ET584" s="1154" t="str">
        <f t="shared" si="128"/>
        <v/>
      </c>
      <c r="EU584" s="1154" t="str">
        <f t="shared" si="129"/>
        <v/>
      </c>
      <c r="EV584" s="1154" t="str">
        <f t="shared" si="130"/>
        <v/>
      </c>
      <c r="EW584" s="1154" t="str">
        <f t="shared" si="312"/>
        <v/>
      </c>
      <c r="EX584" s="1154" t="str">
        <f t="shared" si="313"/>
        <v/>
      </c>
      <c r="EY584" s="1154" t="str">
        <f t="shared" si="314"/>
        <v/>
      </c>
      <c r="EZ584" s="1154" t="str">
        <f t="shared" si="315"/>
        <v/>
      </c>
      <c r="FA584" s="1154" t="str">
        <f t="shared" si="316"/>
        <v/>
      </c>
      <c r="FB584" s="1154" t="str">
        <f t="shared" si="131"/>
        <v/>
      </c>
      <c r="FC584" s="1154" t="str">
        <f t="shared" si="132"/>
        <v/>
      </c>
      <c r="FD584" s="1154" t="str">
        <f t="shared" si="133"/>
        <v/>
      </c>
      <c r="FE584" s="1154" t="str">
        <f t="shared" si="134"/>
        <v/>
      </c>
      <c r="FF584" s="1154" t="str">
        <f t="shared" si="135"/>
        <v/>
      </c>
      <c r="FG584" s="1154" t="str">
        <f t="shared" si="317"/>
        <v/>
      </c>
      <c r="FH584" s="1154" t="str">
        <f t="shared" si="318"/>
        <v/>
      </c>
      <c r="FI584" s="1154" t="str">
        <f t="shared" si="319"/>
        <v/>
      </c>
      <c r="FJ584" s="1154" t="str">
        <f t="shared" si="320"/>
        <v/>
      </c>
      <c r="FK584" s="1154" t="str">
        <f t="shared" si="321"/>
        <v/>
      </c>
      <c r="FL584" s="1154" t="str">
        <f t="shared" si="136"/>
        <v/>
      </c>
      <c r="FM584" s="1154" t="str">
        <f t="shared" si="137"/>
        <v/>
      </c>
      <c r="FN584" s="1154" t="str">
        <f t="shared" si="138"/>
        <v/>
      </c>
      <c r="FO584" s="1154" t="str">
        <f t="shared" si="139"/>
        <v/>
      </c>
      <c r="FP584" s="1154" t="str">
        <f t="shared" si="140"/>
        <v/>
      </c>
      <c r="FQ584" s="1154" t="str">
        <f t="shared" si="141"/>
        <v/>
      </c>
      <c r="FR584" s="1154" t="str">
        <f t="shared" si="142"/>
        <v/>
      </c>
      <c r="FS584" s="1154" t="str">
        <f t="shared" si="143"/>
        <v/>
      </c>
      <c r="FT584" s="1154" t="str">
        <f t="shared" si="144"/>
        <v/>
      </c>
      <c r="FU584" s="1154" t="str">
        <f t="shared" si="145"/>
        <v/>
      </c>
      <c r="FV584" s="1154" t="str">
        <f t="shared" si="146"/>
        <v/>
      </c>
      <c r="FW584" s="1154" t="str">
        <f t="shared" si="147"/>
        <v/>
      </c>
      <c r="FX584" s="1154" t="str">
        <f t="shared" si="148"/>
        <v/>
      </c>
      <c r="FY584" s="1154" t="str">
        <f t="shared" si="149"/>
        <v/>
      </c>
      <c r="FZ584" s="1154" t="str">
        <f t="shared" si="150"/>
        <v/>
      </c>
      <c r="GA584" s="1154" t="str">
        <f t="shared" si="151"/>
        <v/>
      </c>
      <c r="GB584" s="1154" t="str">
        <f t="shared" si="152"/>
        <v/>
      </c>
      <c r="GC584" s="1154" t="str">
        <f t="shared" si="153"/>
        <v/>
      </c>
      <c r="GD584" s="1154" t="str">
        <f t="shared" si="154"/>
        <v/>
      </c>
      <c r="GE584" s="1154" t="str">
        <f t="shared" si="155"/>
        <v/>
      </c>
      <c r="GF584" s="1154" t="str">
        <f t="shared" si="156"/>
        <v/>
      </c>
      <c r="GG584" s="1154" t="str">
        <f t="shared" si="157"/>
        <v/>
      </c>
      <c r="GH584" s="1154" t="str">
        <f t="shared" si="158"/>
        <v/>
      </c>
      <c r="GI584" s="1154" t="str">
        <f t="shared" si="159"/>
        <v/>
      </c>
      <c r="GJ584" s="1154" t="str">
        <f t="shared" si="160"/>
        <v/>
      </c>
      <c r="GK584" s="1154" t="str">
        <f t="shared" si="161"/>
        <v/>
      </c>
      <c r="GL584" s="1154" t="str">
        <f t="shared" si="162"/>
        <v/>
      </c>
      <c r="GM584" s="1154" t="str">
        <f t="shared" si="163"/>
        <v/>
      </c>
      <c r="GN584" s="1154" t="str">
        <f t="shared" si="164"/>
        <v/>
      </c>
      <c r="GO584" s="1154" t="str">
        <f t="shared" si="165"/>
        <v/>
      </c>
      <c r="GP584" s="1154" t="str">
        <f t="shared" si="166"/>
        <v/>
      </c>
      <c r="GQ584" s="1154" t="str">
        <f t="shared" si="167"/>
        <v/>
      </c>
      <c r="GR584" s="1154" t="str">
        <f t="shared" si="168"/>
        <v/>
      </c>
      <c r="GS584" s="1154" t="str">
        <f t="shared" si="169"/>
        <v/>
      </c>
      <c r="GT584" s="1154" t="str">
        <f t="shared" si="170"/>
        <v/>
      </c>
      <c r="GU584" s="1154" t="str">
        <f t="shared" si="171"/>
        <v/>
      </c>
      <c r="GV584" s="1154" t="str">
        <f t="shared" si="172"/>
        <v/>
      </c>
      <c r="GW584" s="1154" t="str">
        <f t="shared" si="173"/>
        <v/>
      </c>
      <c r="GX584" s="1154" t="str">
        <f t="shared" si="174"/>
        <v/>
      </c>
      <c r="GY584" s="1154" t="str">
        <f t="shared" si="175"/>
        <v/>
      </c>
      <c r="GZ584" s="1154" t="str">
        <f t="shared" si="176"/>
        <v/>
      </c>
      <c r="HA584" s="1154" t="str">
        <f t="shared" si="177"/>
        <v/>
      </c>
      <c r="HB584" s="1154" t="str">
        <f t="shared" si="178"/>
        <v/>
      </c>
      <c r="HC584" s="1154" t="str">
        <f t="shared" si="179"/>
        <v/>
      </c>
      <c r="HD584" s="1154" t="str">
        <f t="shared" si="180"/>
        <v/>
      </c>
      <c r="HE584" s="1154" t="str">
        <f t="shared" si="181"/>
        <v/>
      </c>
      <c r="HF584" s="1154" t="str">
        <f t="shared" si="182"/>
        <v/>
      </c>
      <c r="HG584" s="1154" t="str">
        <f t="shared" si="183"/>
        <v/>
      </c>
      <c r="HH584" s="1154" t="str">
        <f t="shared" si="184"/>
        <v/>
      </c>
      <c r="HI584" s="1154" t="str">
        <f t="shared" si="185"/>
        <v/>
      </c>
      <c r="HJ584" s="1154" t="str">
        <f t="shared" si="186"/>
        <v/>
      </c>
      <c r="HK584" s="1154" t="str">
        <f t="shared" si="187"/>
        <v/>
      </c>
      <c r="HL584" s="1154" t="str">
        <f t="shared" si="188"/>
        <v/>
      </c>
      <c r="HM584" s="1154" t="str">
        <f t="shared" si="189"/>
        <v/>
      </c>
      <c r="HN584" s="1154" t="str">
        <f t="shared" si="190"/>
        <v/>
      </c>
      <c r="HO584" s="1154" t="str">
        <f t="shared" si="191"/>
        <v/>
      </c>
      <c r="HP584" s="1154" t="str">
        <f t="shared" si="192"/>
        <v/>
      </c>
      <c r="HQ584" s="1154" t="str">
        <f t="shared" si="193"/>
        <v/>
      </c>
      <c r="HR584" s="1154" t="str">
        <f t="shared" si="194"/>
        <v/>
      </c>
      <c r="HS584" s="1154" t="str">
        <f t="shared" si="195"/>
        <v/>
      </c>
      <c r="HT584" s="1154" t="str">
        <f t="shared" si="196"/>
        <v/>
      </c>
      <c r="HU584" s="1154" t="str">
        <f t="shared" si="197"/>
        <v/>
      </c>
      <c r="HV584" s="1154" t="str">
        <f t="shared" si="198"/>
        <v/>
      </c>
      <c r="HW584" s="1154" t="str">
        <f t="shared" si="199"/>
        <v/>
      </c>
      <c r="HX584" s="1154" t="str">
        <f t="shared" si="200"/>
        <v/>
      </c>
      <c r="HY584" s="1681" t="str">
        <f t="shared" si="201"/>
        <v/>
      </c>
      <c r="HZ584" s="1681" t="str">
        <f t="shared" si="202"/>
        <v/>
      </c>
      <c r="IA584" s="1681" t="str">
        <f t="shared" si="203"/>
        <v/>
      </c>
      <c r="IB584" s="1681" t="str">
        <f t="shared" si="204"/>
        <v/>
      </c>
      <c r="IC584" s="1681" t="str">
        <f t="shared" si="205"/>
        <v/>
      </c>
      <c r="ID584" s="1681" t="str">
        <f t="shared" si="206"/>
        <v/>
      </c>
      <c r="IE584" s="1681" t="str">
        <f t="shared" si="207"/>
        <v/>
      </c>
      <c r="IF584" s="1681" t="str">
        <f t="shared" si="208"/>
        <v/>
      </c>
      <c r="IG584" s="1681" t="str">
        <f t="shared" si="209"/>
        <v/>
      </c>
      <c r="IH584" s="1681" t="str">
        <f t="shared" si="210"/>
        <v/>
      </c>
      <c r="II584" s="1681" t="str">
        <f t="shared" si="211"/>
        <v/>
      </c>
      <c r="IJ584" s="1681" t="str">
        <f t="shared" si="212"/>
        <v/>
      </c>
      <c r="IK584" s="1681" t="str">
        <f t="shared" si="213"/>
        <v/>
      </c>
      <c r="IL584" s="1681" t="str">
        <f t="shared" si="214"/>
        <v/>
      </c>
      <c r="IM584" s="1681" t="str">
        <f t="shared" si="215"/>
        <v/>
      </c>
      <c r="IN584" s="1681" t="str">
        <f t="shared" si="216"/>
        <v/>
      </c>
      <c r="IO584" s="1681" t="str">
        <f t="shared" si="217"/>
        <v/>
      </c>
      <c r="IP584" s="1681" t="str">
        <f t="shared" si="218"/>
        <v/>
      </c>
      <c r="IQ584" s="1681" t="str">
        <f t="shared" si="219"/>
        <v/>
      </c>
      <c r="IR584" s="1681" t="str">
        <f t="shared" si="220"/>
        <v/>
      </c>
      <c r="IS584" s="1681" t="str">
        <f t="shared" si="221"/>
        <v/>
      </c>
      <c r="IT584" s="1681" t="str">
        <f t="shared" si="222"/>
        <v/>
      </c>
      <c r="IU584" s="1681" t="str">
        <f t="shared" si="223"/>
        <v/>
      </c>
      <c r="IV584" s="1681" t="str">
        <f t="shared" si="224"/>
        <v/>
      </c>
      <c r="IW584" s="1681" t="str">
        <f t="shared" si="225"/>
        <v/>
      </c>
      <c r="IX584" s="1681" t="str">
        <f t="shared" si="226"/>
        <v/>
      </c>
      <c r="IY584" s="1681" t="str">
        <f t="shared" si="227"/>
        <v/>
      </c>
      <c r="IZ584" s="1681" t="str">
        <f t="shared" si="228"/>
        <v/>
      </c>
      <c r="JA584" s="1681" t="str">
        <f t="shared" si="229"/>
        <v/>
      </c>
      <c r="JB584" s="1681" t="str">
        <f t="shared" si="230"/>
        <v/>
      </c>
      <c r="JC584" s="1681" t="str">
        <f t="shared" si="231"/>
        <v/>
      </c>
      <c r="JD584" s="1681" t="str">
        <f t="shared" si="232"/>
        <v/>
      </c>
      <c r="JE584" s="1681" t="str">
        <f t="shared" si="233"/>
        <v/>
      </c>
      <c r="JF584" s="1681" t="str">
        <f t="shared" si="234"/>
        <v/>
      </c>
      <c r="JG584" s="1681" t="str">
        <f t="shared" si="235"/>
        <v/>
      </c>
      <c r="JH584" s="1681" t="str">
        <f t="shared" si="236"/>
        <v/>
      </c>
      <c r="JI584" s="1681" t="str">
        <f t="shared" si="237"/>
        <v/>
      </c>
      <c r="JJ584" s="1681" t="str">
        <f t="shared" si="238"/>
        <v/>
      </c>
      <c r="JK584" s="1681" t="str">
        <f t="shared" si="239"/>
        <v/>
      </c>
      <c r="JL584" s="1681" t="str">
        <f t="shared" si="240"/>
        <v/>
      </c>
      <c r="JM584" s="1681" t="str">
        <f t="shared" si="241"/>
        <v/>
      </c>
      <c r="JN584" s="1681" t="str">
        <f t="shared" si="242"/>
        <v/>
      </c>
      <c r="JO584" s="1681" t="str">
        <f t="shared" si="243"/>
        <v/>
      </c>
      <c r="JP584" s="1681" t="str">
        <f t="shared" si="244"/>
        <v/>
      </c>
      <c r="JQ584" s="1681" t="str">
        <f t="shared" si="245"/>
        <v/>
      </c>
      <c r="JR584" s="1681" t="str">
        <f t="shared" si="246"/>
        <v/>
      </c>
      <c r="JS584" s="1681" t="str">
        <f t="shared" si="247"/>
        <v/>
      </c>
      <c r="JT584" s="1681" t="str">
        <f t="shared" si="248"/>
        <v/>
      </c>
      <c r="JU584" s="1681" t="str">
        <f t="shared" si="249"/>
        <v/>
      </c>
      <c r="JV584" s="1681" t="str">
        <f t="shared" si="250"/>
        <v/>
      </c>
      <c r="JW584" s="1681" t="str">
        <f t="shared" si="251"/>
        <v/>
      </c>
      <c r="JX584" s="1681" t="str">
        <f t="shared" si="252"/>
        <v/>
      </c>
      <c r="JY584" s="1681" t="str">
        <f t="shared" si="253"/>
        <v/>
      </c>
      <c r="JZ584" s="1681" t="str">
        <f t="shared" si="254"/>
        <v/>
      </c>
      <c r="KA584" s="1681" t="str">
        <f t="shared" si="255"/>
        <v/>
      </c>
      <c r="KB584" s="1681" t="str">
        <f t="shared" si="256"/>
        <v/>
      </c>
      <c r="KC584" s="1681" t="str">
        <f t="shared" si="257"/>
        <v/>
      </c>
      <c r="KD584" s="1681" t="str">
        <f t="shared" si="258"/>
        <v/>
      </c>
      <c r="KE584" s="1681" t="str">
        <f t="shared" si="259"/>
        <v/>
      </c>
      <c r="KF584" s="1681" t="str">
        <f t="shared" si="260"/>
        <v/>
      </c>
      <c r="KG584" s="1681" t="str">
        <f t="shared" si="261"/>
        <v/>
      </c>
      <c r="KH584" s="1681" t="str">
        <f t="shared" si="262"/>
        <v/>
      </c>
      <c r="KI584" s="1681" t="str">
        <f t="shared" si="263"/>
        <v/>
      </c>
      <c r="KJ584" s="1681" t="str">
        <f t="shared" si="264"/>
        <v/>
      </c>
      <c r="KK584" s="1681" t="str">
        <f t="shared" si="265"/>
        <v/>
      </c>
      <c r="KL584" s="1681" t="str">
        <f t="shared" si="266"/>
        <v/>
      </c>
      <c r="KM584" s="1681" t="str">
        <f t="shared" si="267"/>
        <v/>
      </c>
      <c r="KN584" s="1681" t="str">
        <f t="shared" si="268"/>
        <v/>
      </c>
      <c r="KO584" s="1681" t="str">
        <f t="shared" si="269"/>
        <v/>
      </c>
      <c r="KP584" s="1681" t="str">
        <f t="shared" si="270"/>
        <v/>
      </c>
      <c r="KQ584" s="1681" t="str">
        <f t="shared" si="271"/>
        <v/>
      </c>
      <c r="KR584" s="1681" t="str">
        <f t="shared" si="272"/>
        <v/>
      </c>
      <c r="KS584" s="1681" t="str">
        <f t="shared" si="273"/>
        <v/>
      </c>
      <c r="KT584" s="1681" t="str">
        <f t="shared" si="274"/>
        <v/>
      </c>
      <c r="KU584" s="1681" t="str">
        <f t="shared" si="275"/>
        <v/>
      </c>
      <c r="KV584" s="1681" t="str">
        <f t="shared" si="276"/>
        <v/>
      </c>
      <c r="KW584" s="1681" t="str">
        <f t="shared" si="277"/>
        <v/>
      </c>
      <c r="KX584" s="1681" t="str">
        <f t="shared" si="278"/>
        <v/>
      </c>
      <c r="KY584" s="1681" t="str">
        <f t="shared" si="279"/>
        <v/>
      </c>
      <c r="KZ584" s="1681" t="str">
        <f t="shared" si="280"/>
        <v/>
      </c>
      <c r="LA584" s="1681" t="str">
        <f t="shared" si="281"/>
        <v/>
      </c>
      <c r="LB584" s="1681" t="str">
        <f t="shared" si="282"/>
        <v/>
      </c>
      <c r="LC584" s="1681" t="str">
        <f t="shared" si="283"/>
        <v/>
      </c>
      <c r="LD584" s="1681" t="str">
        <f t="shared" si="284"/>
        <v/>
      </c>
      <c r="LE584" s="1681" t="str">
        <f t="shared" si="285"/>
        <v/>
      </c>
      <c r="LF584" s="1525" t="str">
        <f t="shared" si="286"/>
        <v/>
      </c>
      <c r="LG584" s="1525" t="str">
        <f t="shared" si="287"/>
        <v/>
      </c>
      <c r="LH584" s="1525" t="str">
        <f t="shared" si="288"/>
        <v/>
      </c>
      <c r="LI584" s="1525" t="str">
        <f t="shared" si="289"/>
        <v/>
      </c>
      <c r="LJ584" s="1525" t="str">
        <f t="shared" si="290"/>
        <v/>
      </c>
      <c r="LK584" s="1154" t="str">
        <f t="shared" si="291"/>
        <v/>
      </c>
      <c r="LL584" s="1154" t="str">
        <f t="shared" si="292"/>
        <v/>
      </c>
      <c r="LM584" s="1154" t="str">
        <f t="shared" si="293"/>
        <v/>
      </c>
      <c r="LN584" s="1154" t="str">
        <f t="shared" si="294"/>
        <v/>
      </c>
      <c r="LO584" s="1154" t="str">
        <f t="shared" si="295"/>
        <v/>
      </c>
      <c r="LP584" s="1154" t="str">
        <f t="shared" si="296"/>
        <v/>
      </c>
      <c r="LQ584" s="1154" t="str">
        <f t="shared" si="297"/>
        <v/>
      </c>
      <c r="LR584" s="1154" t="str">
        <f t="shared" si="298"/>
        <v/>
      </c>
      <c r="LS584" s="1154" t="str">
        <f t="shared" si="299"/>
        <v/>
      </c>
      <c r="LT584" s="1154" t="str">
        <f t="shared" si="300"/>
        <v/>
      </c>
      <c r="LU584" s="1154" t="str">
        <f t="shared" si="301"/>
        <v/>
      </c>
      <c r="LV584" s="1154" t="str">
        <f t="shared" si="302"/>
        <v/>
      </c>
      <c r="LW584" s="1154" t="str">
        <f t="shared" si="303"/>
        <v/>
      </c>
      <c r="LX584" s="1154" t="str">
        <f t="shared" si="304"/>
        <v/>
      </c>
      <c r="LY584" s="1154" t="str">
        <f t="shared" si="305"/>
        <v/>
      </c>
      <c r="LZ584" s="1154" t="str">
        <f t="shared" si="306"/>
        <v/>
      </c>
      <c r="MA584" s="1154" t="str">
        <f t="shared" si="307"/>
        <v/>
      </c>
      <c r="MB584" s="1154" t="str">
        <f t="shared" si="308"/>
        <v/>
      </c>
      <c r="MC584" s="1154" t="str">
        <f t="shared" si="309"/>
        <v/>
      </c>
      <c r="MD584" s="1154" t="str">
        <f t="shared" si="310"/>
        <v/>
      </c>
      <c r="ME584" s="1525">
        <f t="shared" si="322"/>
        <v>0</v>
      </c>
      <c r="MF584" s="1525">
        <f t="shared" si="323"/>
        <v>0</v>
      </c>
      <c r="MG584" s="1525">
        <f t="shared" si="324"/>
        <v>0</v>
      </c>
      <c r="MH584" s="1525">
        <f t="shared" si="325"/>
        <v>0</v>
      </c>
      <c r="MI584" s="1525">
        <f t="shared" si="326"/>
        <v>0</v>
      </c>
      <c r="MJ584" s="1525">
        <f t="shared" si="327"/>
        <v>0</v>
      </c>
      <c r="MK584" s="1525">
        <f t="shared" si="328"/>
        <v>0</v>
      </c>
      <c r="ML584" s="1525">
        <f t="shared" si="329"/>
        <v>0</v>
      </c>
      <c r="MM584" s="1525">
        <f t="shared" si="330"/>
        <v>0</v>
      </c>
      <c r="MN584" s="1525">
        <f t="shared" si="331"/>
        <v>0</v>
      </c>
      <c r="MO584" s="1525">
        <f t="shared" si="332"/>
        <v>0</v>
      </c>
      <c r="MP584" s="1525">
        <f t="shared" si="333"/>
        <v>0</v>
      </c>
      <c r="MQ584" s="1525">
        <f t="shared" si="334"/>
        <v>0</v>
      </c>
      <c r="MR584" s="1525">
        <f t="shared" si="335"/>
        <v>0</v>
      </c>
      <c r="MS584" s="1525">
        <f t="shared" si="336"/>
        <v>0</v>
      </c>
    </row>
    <row r="585" spans="1:357" s="1154" customFormat="1" ht="12" customHeight="1">
      <c r="A585" s="1524" t="str">
        <f t="shared" si="1"/>
        <v/>
      </c>
      <c r="B585" s="1672" t="str">
        <f>'Part VI-Revenues &amp; Expenses'!B14</f>
        <v>Unrestricted</v>
      </c>
      <c r="C585" s="1673">
        <f>'Part VI-Revenues &amp; Expenses'!C14</f>
        <v>0</v>
      </c>
      <c r="D585" s="1674">
        <f>'Part VI-Revenues &amp; Expenses'!D14</f>
        <v>0</v>
      </c>
      <c r="E585" s="1675">
        <f>'Part VI-Revenues &amp; Expenses'!E14</f>
        <v>0</v>
      </c>
      <c r="F585" s="1675">
        <f>'Part VI-Revenues &amp; Expenses'!F14</f>
        <v>0</v>
      </c>
      <c r="G585" s="1675">
        <f>'Part VI-Revenues &amp; Expenses'!G14</f>
        <v>0</v>
      </c>
      <c r="H585" s="1675">
        <f>'Part VI-Revenues &amp; Expenses'!H14</f>
        <v>0</v>
      </c>
      <c r="I585" s="1675">
        <f>'Part VI-Revenues &amp; Expenses'!I14</f>
        <v>0</v>
      </c>
      <c r="J585" s="1676">
        <f>'Part VI-Revenues &amp; Expenses'!J14</f>
        <v>0</v>
      </c>
      <c r="K585" s="1677">
        <f>'Part VI-Revenues &amp; Expenses'!K14</f>
        <v>0</v>
      </c>
      <c r="L585" s="1677">
        <f>'Part VI-Revenues &amp; Expenses'!L14</f>
        <v>0</v>
      </c>
      <c r="M585" s="1678">
        <f>'Part VI-Revenues &amp; Expenses'!M14</f>
        <v>0</v>
      </c>
      <c r="N585" s="1678">
        <f>'Part VI-Revenues &amp; Expenses'!N14</f>
        <v>0</v>
      </c>
      <c r="O585" s="1678">
        <f>'Part VI-Revenues &amp; Expenses'!O14</f>
        <v>0</v>
      </c>
      <c r="P585" s="1660">
        <f>'Part VI-Revenues &amp; Expenses'!P14</f>
        <v>0</v>
      </c>
      <c r="Q585" s="1679"/>
      <c r="R585" s="1680"/>
      <c r="S585" s="1679"/>
      <c r="T585" s="1680"/>
      <c r="U585" s="1519"/>
      <c r="V585" s="1519"/>
      <c r="W585" s="1154" t="str">
        <f t="shared" si="2"/>
        <v/>
      </c>
      <c r="X585" s="1154" t="str">
        <f t="shared" si="3"/>
        <v/>
      </c>
      <c r="Y585" s="1154" t="str">
        <f t="shared" si="4"/>
        <v/>
      </c>
      <c r="Z585" s="1154" t="str">
        <f t="shared" si="5"/>
        <v/>
      </c>
      <c r="AA585" s="1154" t="str">
        <f t="shared" si="6"/>
        <v/>
      </c>
      <c r="AB585" s="1154" t="str">
        <f t="shared" si="7"/>
        <v/>
      </c>
      <c r="AC585" s="1154" t="str">
        <f t="shared" si="8"/>
        <v/>
      </c>
      <c r="AD585" s="1154" t="str">
        <f t="shared" si="9"/>
        <v/>
      </c>
      <c r="AE585" s="1154" t="str">
        <f t="shared" si="10"/>
        <v/>
      </c>
      <c r="AF585" s="1154" t="str">
        <f t="shared" si="11"/>
        <v/>
      </c>
      <c r="AG585" s="1154" t="str">
        <f t="shared" si="12"/>
        <v/>
      </c>
      <c r="AH585" s="1154" t="str">
        <f t="shared" si="13"/>
        <v/>
      </c>
      <c r="AI585" s="1154" t="str">
        <f t="shared" si="14"/>
        <v/>
      </c>
      <c r="AJ585" s="1154" t="str">
        <f t="shared" si="15"/>
        <v/>
      </c>
      <c r="AK585" s="1154" t="str">
        <f t="shared" si="16"/>
        <v/>
      </c>
      <c r="AL585" s="1154" t="str">
        <f t="shared" si="17"/>
        <v/>
      </c>
      <c r="AM585" s="1154" t="str">
        <f t="shared" si="18"/>
        <v/>
      </c>
      <c r="AN585" s="1154" t="str">
        <f t="shared" si="19"/>
        <v/>
      </c>
      <c r="AO585" s="1154" t="str">
        <f t="shared" si="20"/>
        <v/>
      </c>
      <c r="AP585" s="1154" t="str">
        <f t="shared" si="21"/>
        <v/>
      </c>
      <c r="AQ585" s="1154" t="str">
        <f t="shared" si="22"/>
        <v/>
      </c>
      <c r="AR585" s="1154" t="str">
        <f t="shared" si="23"/>
        <v/>
      </c>
      <c r="AS585" s="1154" t="str">
        <f t="shared" si="24"/>
        <v/>
      </c>
      <c r="AT585" s="1154" t="str">
        <f t="shared" si="25"/>
        <v/>
      </c>
      <c r="AU585" s="1154" t="str">
        <f t="shared" si="26"/>
        <v/>
      </c>
      <c r="AV585" s="1154" t="str">
        <f t="shared" si="27"/>
        <v/>
      </c>
      <c r="AW585" s="1154" t="str">
        <f t="shared" si="28"/>
        <v/>
      </c>
      <c r="AX585" s="1154" t="str">
        <f t="shared" si="29"/>
        <v/>
      </c>
      <c r="AY585" s="1154" t="str">
        <f t="shared" si="30"/>
        <v/>
      </c>
      <c r="AZ585" s="1154" t="str">
        <f t="shared" si="31"/>
        <v/>
      </c>
      <c r="BA585" s="1154" t="str">
        <f t="shared" si="32"/>
        <v/>
      </c>
      <c r="BB585" s="1154" t="str">
        <f t="shared" si="33"/>
        <v/>
      </c>
      <c r="BC585" s="1154" t="str">
        <f t="shared" si="34"/>
        <v/>
      </c>
      <c r="BD585" s="1154" t="str">
        <f t="shared" si="35"/>
        <v/>
      </c>
      <c r="BE585" s="1154" t="str">
        <f t="shared" si="36"/>
        <v/>
      </c>
      <c r="BF585" s="1154" t="str">
        <f t="shared" si="37"/>
        <v/>
      </c>
      <c r="BG585" s="1154" t="str">
        <f t="shared" si="38"/>
        <v/>
      </c>
      <c r="BH585" s="1154" t="str">
        <f t="shared" si="39"/>
        <v/>
      </c>
      <c r="BI585" s="1154" t="str">
        <f t="shared" si="40"/>
        <v/>
      </c>
      <c r="BJ585" s="1154" t="str">
        <f t="shared" si="41"/>
        <v/>
      </c>
      <c r="BK585" s="1154" t="str">
        <f t="shared" si="42"/>
        <v/>
      </c>
      <c r="BL585" s="1154" t="str">
        <f t="shared" si="43"/>
        <v/>
      </c>
      <c r="BM585" s="1154" t="str">
        <f t="shared" si="44"/>
        <v/>
      </c>
      <c r="BN585" s="1154" t="str">
        <f t="shared" si="45"/>
        <v/>
      </c>
      <c r="BO585" s="1154" t="str">
        <f t="shared" si="46"/>
        <v/>
      </c>
      <c r="BP585" s="1154" t="str">
        <f t="shared" si="47"/>
        <v/>
      </c>
      <c r="BQ585" s="1154" t="str">
        <f t="shared" si="48"/>
        <v/>
      </c>
      <c r="BR585" s="1154" t="str">
        <f t="shared" si="49"/>
        <v/>
      </c>
      <c r="BS585" s="1154" t="str">
        <f t="shared" si="50"/>
        <v/>
      </c>
      <c r="BT585" s="1154" t="str">
        <f t="shared" si="51"/>
        <v/>
      </c>
      <c r="BU585" s="1154" t="str">
        <f t="shared" si="52"/>
        <v/>
      </c>
      <c r="BV585" s="1154" t="str">
        <f t="shared" si="53"/>
        <v/>
      </c>
      <c r="BW585" s="1154" t="str">
        <f t="shared" si="54"/>
        <v/>
      </c>
      <c r="BX585" s="1154" t="str">
        <f t="shared" si="55"/>
        <v/>
      </c>
      <c r="BY585" s="1154" t="str">
        <f t="shared" si="56"/>
        <v/>
      </c>
      <c r="BZ585" s="1154" t="str">
        <f t="shared" si="57"/>
        <v/>
      </c>
      <c r="CA585" s="1154" t="str">
        <f t="shared" si="58"/>
        <v/>
      </c>
      <c r="CB585" s="1154" t="str">
        <f t="shared" si="59"/>
        <v/>
      </c>
      <c r="CC585" s="1154" t="str">
        <f t="shared" si="60"/>
        <v/>
      </c>
      <c r="CD585" s="1154" t="str">
        <f t="shared" si="61"/>
        <v/>
      </c>
      <c r="CE585" s="1154" t="str">
        <f t="shared" si="62"/>
        <v/>
      </c>
      <c r="CF585" s="1154" t="str">
        <f t="shared" si="63"/>
        <v/>
      </c>
      <c r="CG585" s="1154" t="str">
        <f t="shared" si="64"/>
        <v/>
      </c>
      <c r="CH585" s="1154" t="str">
        <f t="shared" si="65"/>
        <v/>
      </c>
      <c r="CI585" s="1154" t="str">
        <f t="shared" si="66"/>
        <v/>
      </c>
      <c r="CJ585" s="1154" t="str">
        <f t="shared" si="67"/>
        <v/>
      </c>
      <c r="CK585" s="1154" t="str">
        <f t="shared" si="68"/>
        <v/>
      </c>
      <c r="CL585" s="1154" t="str">
        <f t="shared" si="69"/>
        <v/>
      </c>
      <c r="CM585" s="1154" t="str">
        <f t="shared" si="70"/>
        <v/>
      </c>
      <c r="CN585" s="1154" t="str">
        <f t="shared" si="71"/>
        <v/>
      </c>
      <c r="CO585" s="1154" t="str">
        <f t="shared" si="72"/>
        <v/>
      </c>
      <c r="CP585" s="1154" t="str">
        <f t="shared" si="73"/>
        <v/>
      </c>
      <c r="CQ585" s="1154" t="str">
        <f t="shared" si="74"/>
        <v/>
      </c>
      <c r="CR585" s="1154" t="str">
        <f t="shared" si="75"/>
        <v/>
      </c>
      <c r="CS585" s="1154" t="str">
        <f t="shared" si="76"/>
        <v/>
      </c>
      <c r="CT585" s="1154" t="str">
        <f t="shared" si="77"/>
        <v/>
      </c>
      <c r="CU585" s="1154" t="str">
        <f t="shared" si="78"/>
        <v/>
      </c>
      <c r="CV585" s="1154" t="str">
        <f t="shared" si="79"/>
        <v/>
      </c>
      <c r="CW585" s="1154" t="str">
        <f t="shared" si="80"/>
        <v/>
      </c>
      <c r="CX585" s="1154" t="str">
        <f t="shared" si="81"/>
        <v/>
      </c>
      <c r="CY585" s="1154" t="str">
        <f t="shared" si="82"/>
        <v/>
      </c>
      <c r="CZ585" s="1154" t="str">
        <f t="shared" si="83"/>
        <v/>
      </c>
      <c r="DA585" s="1154" t="str">
        <f t="shared" si="84"/>
        <v/>
      </c>
      <c r="DB585" s="1154" t="str">
        <f t="shared" si="85"/>
        <v/>
      </c>
      <c r="DC585" s="1154" t="str">
        <f t="shared" si="86"/>
        <v/>
      </c>
      <c r="DD585" s="1154" t="str">
        <f t="shared" si="87"/>
        <v/>
      </c>
      <c r="DE585" s="1154" t="str">
        <f t="shared" si="88"/>
        <v/>
      </c>
      <c r="DF585" s="1154" t="str">
        <f t="shared" si="89"/>
        <v/>
      </c>
      <c r="DG585" s="1154" t="str">
        <f t="shared" si="90"/>
        <v/>
      </c>
      <c r="DH585" s="1154" t="str">
        <f t="shared" si="91"/>
        <v/>
      </c>
      <c r="DI585" s="1154" t="str">
        <f t="shared" si="92"/>
        <v/>
      </c>
      <c r="DJ585" s="1154" t="str">
        <f t="shared" si="93"/>
        <v/>
      </c>
      <c r="DK585" s="1154" t="str">
        <f t="shared" si="94"/>
        <v/>
      </c>
      <c r="DL585" s="1154" t="str">
        <f t="shared" si="95"/>
        <v/>
      </c>
      <c r="DM585" s="1154" t="str">
        <f t="shared" si="96"/>
        <v/>
      </c>
      <c r="DN585" s="1154" t="str">
        <f t="shared" si="97"/>
        <v/>
      </c>
      <c r="DO585" s="1154" t="str">
        <f t="shared" si="98"/>
        <v/>
      </c>
      <c r="DP585" s="1154" t="str">
        <f t="shared" si="99"/>
        <v/>
      </c>
      <c r="DQ585" s="1154" t="str">
        <f t="shared" si="100"/>
        <v/>
      </c>
      <c r="DR585" s="1154" t="str">
        <f t="shared" si="101"/>
        <v/>
      </c>
      <c r="DS585" s="1154" t="str">
        <f t="shared" si="102"/>
        <v/>
      </c>
      <c r="DT585" s="1154" t="str">
        <f t="shared" si="103"/>
        <v/>
      </c>
      <c r="DU585" s="1154" t="str">
        <f t="shared" si="104"/>
        <v/>
      </c>
      <c r="DV585" s="1154" t="str">
        <f t="shared" si="105"/>
        <v/>
      </c>
      <c r="DW585" s="1154" t="str">
        <f t="shared" si="106"/>
        <v/>
      </c>
      <c r="DX585" s="1154" t="str">
        <f t="shared" si="107"/>
        <v/>
      </c>
      <c r="DY585" s="1154" t="str">
        <f t="shared" si="108"/>
        <v/>
      </c>
      <c r="DZ585" s="1154" t="str">
        <f t="shared" si="109"/>
        <v/>
      </c>
      <c r="EA585" s="1154" t="str">
        <f t="shared" si="110"/>
        <v/>
      </c>
      <c r="EB585" s="1154" t="str">
        <f t="shared" si="111"/>
        <v/>
      </c>
      <c r="EC585" s="1154" t="str">
        <f t="shared" si="112"/>
        <v/>
      </c>
      <c r="ED585" s="1154" t="str">
        <f t="shared" si="113"/>
        <v/>
      </c>
      <c r="EE585" s="1154" t="str">
        <f t="shared" si="114"/>
        <v/>
      </c>
      <c r="EF585" s="1154" t="str">
        <f t="shared" si="115"/>
        <v/>
      </c>
      <c r="EG585" s="1154" t="str">
        <f t="shared" si="311"/>
        <v/>
      </c>
      <c r="EH585" s="1154" t="str">
        <f t="shared" si="116"/>
        <v/>
      </c>
      <c r="EI585" s="1154" t="str">
        <f t="shared" si="117"/>
        <v/>
      </c>
      <c r="EJ585" s="1154" t="str">
        <f t="shared" si="118"/>
        <v/>
      </c>
      <c r="EK585" s="1154" t="str">
        <f t="shared" si="119"/>
        <v/>
      </c>
      <c r="EL585" s="1154" t="str">
        <f t="shared" si="120"/>
        <v/>
      </c>
      <c r="EM585" s="1154" t="str">
        <f t="shared" si="121"/>
        <v/>
      </c>
      <c r="EN585" s="1154" t="str">
        <f t="shared" si="122"/>
        <v/>
      </c>
      <c r="EO585" s="1154" t="str">
        <f t="shared" si="123"/>
        <v/>
      </c>
      <c r="EP585" s="1154" t="str">
        <f t="shared" si="124"/>
        <v/>
      </c>
      <c r="EQ585" s="1154" t="str">
        <f t="shared" si="125"/>
        <v/>
      </c>
      <c r="ER585" s="1154" t="str">
        <f t="shared" si="126"/>
        <v/>
      </c>
      <c r="ES585" s="1154" t="str">
        <f t="shared" si="127"/>
        <v/>
      </c>
      <c r="ET585" s="1154" t="str">
        <f t="shared" si="128"/>
        <v/>
      </c>
      <c r="EU585" s="1154" t="str">
        <f t="shared" si="129"/>
        <v/>
      </c>
      <c r="EV585" s="1154" t="str">
        <f t="shared" si="130"/>
        <v/>
      </c>
      <c r="EW585" s="1154" t="str">
        <f t="shared" si="312"/>
        <v/>
      </c>
      <c r="EX585" s="1154" t="str">
        <f t="shared" si="313"/>
        <v/>
      </c>
      <c r="EY585" s="1154" t="str">
        <f t="shared" si="314"/>
        <v/>
      </c>
      <c r="EZ585" s="1154" t="str">
        <f t="shared" si="315"/>
        <v/>
      </c>
      <c r="FA585" s="1154" t="str">
        <f t="shared" si="316"/>
        <v/>
      </c>
      <c r="FB585" s="1154" t="str">
        <f t="shared" si="131"/>
        <v/>
      </c>
      <c r="FC585" s="1154" t="str">
        <f t="shared" si="132"/>
        <v/>
      </c>
      <c r="FD585" s="1154" t="str">
        <f t="shared" si="133"/>
        <v/>
      </c>
      <c r="FE585" s="1154" t="str">
        <f t="shared" si="134"/>
        <v/>
      </c>
      <c r="FF585" s="1154" t="str">
        <f t="shared" si="135"/>
        <v/>
      </c>
      <c r="FG585" s="1154" t="str">
        <f t="shared" si="317"/>
        <v/>
      </c>
      <c r="FH585" s="1154" t="str">
        <f t="shared" si="318"/>
        <v/>
      </c>
      <c r="FI585" s="1154" t="str">
        <f t="shared" si="319"/>
        <v/>
      </c>
      <c r="FJ585" s="1154" t="str">
        <f t="shared" si="320"/>
        <v/>
      </c>
      <c r="FK585" s="1154" t="str">
        <f t="shared" si="321"/>
        <v/>
      </c>
      <c r="FL585" s="1154" t="str">
        <f t="shared" si="136"/>
        <v/>
      </c>
      <c r="FM585" s="1154" t="str">
        <f t="shared" si="137"/>
        <v/>
      </c>
      <c r="FN585" s="1154" t="str">
        <f t="shared" si="138"/>
        <v/>
      </c>
      <c r="FO585" s="1154" t="str">
        <f t="shared" si="139"/>
        <v/>
      </c>
      <c r="FP585" s="1154" t="str">
        <f t="shared" si="140"/>
        <v/>
      </c>
      <c r="FQ585" s="1154" t="str">
        <f t="shared" si="141"/>
        <v/>
      </c>
      <c r="FR585" s="1154" t="str">
        <f t="shared" si="142"/>
        <v/>
      </c>
      <c r="FS585" s="1154" t="str">
        <f t="shared" si="143"/>
        <v/>
      </c>
      <c r="FT585" s="1154" t="str">
        <f t="shared" si="144"/>
        <v/>
      </c>
      <c r="FU585" s="1154" t="str">
        <f t="shared" si="145"/>
        <v/>
      </c>
      <c r="FV585" s="1154" t="str">
        <f t="shared" si="146"/>
        <v/>
      </c>
      <c r="FW585" s="1154" t="str">
        <f t="shared" si="147"/>
        <v/>
      </c>
      <c r="FX585" s="1154" t="str">
        <f t="shared" si="148"/>
        <v/>
      </c>
      <c r="FY585" s="1154" t="str">
        <f t="shared" si="149"/>
        <v/>
      </c>
      <c r="FZ585" s="1154" t="str">
        <f t="shared" si="150"/>
        <v/>
      </c>
      <c r="GA585" s="1154" t="str">
        <f t="shared" si="151"/>
        <v/>
      </c>
      <c r="GB585" s="1154" t="str">
        <f t="shared" si="152"/>
        <v/>
      </c>
      <c r="GC585" s="1154" t="str">
        <f t="shared" si="153"/>
        <v/>
      </c>
      <c r="GD585" s="1154" t="str">
        <f t="shared" si="154"/>
        <v/>
      </c>
      <c r="GE585" s="1154" t="str">
        <f t="shared" si="155"/>
        <v/>
      </c>
      <c r="GF585" s="1154" t="str">
        <f t="shared" si="156"/>
        <v/>
      </c>
      <c r="GG585" s="1154" t="str">
        <f t="shared" si="157"/>
        <v/>
      </c>
      <c r="GH585" s="1154" t="str">
        <f t="shared" si="158"/>
        <v/>
      </c>
      <c r="GI585" s="1154" t="str">
        <f t="shared" si="159"/>
        <v/>
      </c>
      <c r="GJ585" s="1154" t="str">
        <f t="shared" si="160"/>
        <v/>
      </c>
      <c r="GK585" s="1154" t="str">
        <f t="shared" si="161"/>
        <v/>
      </c>
      <c r="GL585" s="1154" t="str">
        <f t="shared" si="162"/>
        <v/>
      </c>
      <c r="GM585" s="1154" t="str">
        <f t="shared" si="163"/>
        <v/>
      </c>
      <c r="GN585" s="1154" t="str">
        <f t="shared" si="164"/>
        <v/>
      </c>
      <c r="GO585" s="1154" t="str">
        <f t="shared" si="165"/>
        <v/>
      </c>
      <c r="GP585" s="1154" t="str">
        <f t="shared" si="166"/>
        <v/>
      </c>
      <c r="GQ585" s="1154" t="str">
        <f t="shared" si="167"/>
        <v/>
      </c>
      <c r="GR585" s="1154" t="str">
        <f t="shared" si="168"/>
        <v/>
      </c>
      <c r="GS585" s="1154" t="str">
        <f t="shared" si="169"/>
        <v/>
      </c>
      <c r="GT585" s="1154" t="str">
        <f t="shared" si="170"/>
        <v/>
      </c>
      <c r="GU585" s="1154" t="str">
        <f t="shared" si="171"/>
        <v/>
      </c>
      <c r="GV585" s="1154" t="str">
        <f t="shared" si="172"/>
        <v/>
      </c>
      <c r="GW585" s="1154" t="str">
        <f t="shared" si="173"/>
        <v/>
      </c>
      <c r="GX585" s="1154" t="str">
        <f t="shared" si="174"/>
        <v/>
      </c>
      <c r="GY585" s="1154" t="str">
        <f t="shared" si="175"/>
        <v/>
      </c>
      <c r="GZ585" s="1154" t="str">
        <f t="shared" si="176"/>
        <v/>
      </c>
      <c r="HA585" s="1154" t="str">
        <f t="shared" si="177"/>
        <v/>
      </c>
      <c r="HB585" s="1154" t="str">
        <f t="shared" si="178"/>
        <v/>
      </c>
      <c r="HC585" s="1154" t="str">
        <f t="shared" si="179"/>
        <v/>
      </c>
      <c r="HD585" s="1154" t="str">
        <f t="shared" si="180"/>
        <v/>
      </c>
      <c r="HE585" s="1154" t="str">
        <f t="shared" si="181"/>
        <v/>
      </c>
      <c r="HF585" s="1154" t="str">
        <f t="shared" si="182"/>
        <v/>
      </c>
      <c r="HG585" s="1154" t="str">
        <f t="shared" si="183"/>
        <v/>
      </c>
      <c r="HH585" s="1154" t="str">
        <f t="shared" si="184"/>
        <v/>
      </c>
      <c r="HI585" s="1154" t="str">
        <f t="shared" si="185"/>
        <v/>
      </c>
      <c r="HJ585" s="1154" t="str">
        <f t="shared" si="186"/>
        <v/>
      </c>
      <c r="HK585" s="1154" t="str">
        <f t="shared" si="187"/>
        <v/>
      </c>
      <c r="HL585" s="1154" t="str">
        <f t="shared" si="188"/>
        <v/>
      </c>
      <c r="HM585" s="1154" t="str">
        <f t="shared" si="189"/>
        <v/>
      </c>
      <c r="HN585" s="1154" t="str">
        <f t="shared" si="190"/>
        <v/>
      </c>
      <c r="HO585" s="1154" t="str">
        <f t="shared" si="191"/>
        <v/>
      </c>
      <c r="HP585" s="1154" t="str">
        <f t="shared" si="192"/>
        <v/>
      </c>
      <c r="HQ585" s="1154" t="str">
        <f t="shared" si="193"/>
        <v/>
      </c>
      <c r="HR585" s="1154" t="str">
        <f t="shared" si="194"/>
        <v/>
      </c>
      <c r="HS585" s="1154" t="str">
        <f t="shared" si="195"/>
        <v/>
      </c>
      <c r="HT585" s="1154" t="str">
        <f t="shared" si="196"/>
        <v/>
      </c>
      <c r="HU585" s="1154" t="str">
        <f t="shared" si="197"/>
        <v/>
      </c>
      <c r="HV585" s="1154" t="str">
        <f t="shared" si="198"/>
        <v/>
      </c>
      <c r="HW585" s="1154" t="str">
        <f t="shared" si="199"/>
        <v/>
      </c>
      <c r="HX585" s="1154" t="str">
        <f t="shared" si="200"/>
        <v/>
      </c>
      <c r="HY585" s="1681" t="str">
        <f t="shared" si="201"/>
        <v/>
      </c>
      <c r="HZ585" s="1681" t="str">
        <f t="shared" si="202"/>
        <v/>
      </c>
      <c r="IA585" s="1681" t="str">
        <f t="shared" si="203"/>
        <v/>
      </c>
      <c r="IB585" s="1681" t="str">
        <f t="shared" si="204"/>
        <v/>
      </c>
      <c r="IC585" s="1681" t="str">
        <f t="shared" si="205"/>
        <v/>
      </c>
      <c r="ID585" s="1681" t="str">
        <f t="shared" si="206"/>
        <v/>
      </c>
      <c r="IE585" s="1681" t="str">
        <f t="shared" si="207"/>
        <v/>
      </c>
      <c r="IF585" s="1681" t="str">
        <f t="shared" si="208"/>
        <v/>
      </c>
      <c r="IG585" s="1681" t="str">
        <f t="shared" si="209"/>
        <v/>
      </c>
      <c r="IH585" s="1681" t="str">
        <f t="shared" si="210"/>
        <v/>
      </c>
      <c r="II585" s="1681" t="str">
        <f t="shared" si="211"/>
        <v/>
      </c>
      <c r="IJ585" s="1681" t="str">
        <f t="shared" si="212"/>
        <v/>
      </c>
      <c r="IK585" s="1681" t="str">
        <f t="shared" si="213"/>
        <v/>
      </c>
      <c r="IL585" s="1681" t="str">
        <f t="shared" si="214"/>
        <v/>
      </c>
      <c r="IM585" s="1681" t="str">
        <f t="shared" si="215"/>
        <v/>
      </c>
      <c r="IN585" s="1681" t="str">
        <f t="shared" si="216"/>
        <v/>
      </c>
      <c r="IO585" s="1681" t="str">
        <f t="shared" si="217"/>
        <v/>
      </c>
      <c r="IP585" s="1681" t="str">
        <f t="shared" si="218"/>
        <v/>
      </c>
      <c r="IQ585" s="1681" t="str">
        <f t="shared" si="219"/>
        <v/>
      </c>
      <c r="IR585" s="1681" t="str">
        <f t="shared" si="220"/>
        <v/>
      </c>
      <c r="IS585" s="1681" t="str">
        <f t="shared" si="221"/>
        <v/>
      </c>
      <c r="IT585" s="1681" t="str">
        <f t="shared" si="222"/>
        <v/>
      </c>
      <c r="IU585" s="1681" t="str">
        <f t="shared" si="223"/>
        <v/>
      </c>
      <c r="IV585" s="1681" t="str">
        <f t="shared" si="224"/>
        <v/>
      </c>
      <c r="IW585" s="1681" t="str">
        <f t="shared" si="225"/>
        <v/>
      </c>
      <c r="IX585" s="1681" t="str">
        <f t="shared" si="226"/>
        <v/>
      </c>
      <c r="IY585" s="1681" t="str">
        <f t="shared" si="227"/>
        <v/>
      </c>
      <c r="IZ585" s="1681" t="str">
        <f t="shared" si="228"/>
        <v/>
      </c>
      <c r="JA585" s="1681" t="str">
        <f t="shared" si="229"/>
        <v/>
      </c>
      <c r="JB585" s="1681" t="str">
        <f t="shared" si="230"/>
        <v/>
      </c>
      <c r="JC585" s="1681" t="str">
        <f t="shared" si="231"/>
        <v/>
      </c>
      <c r="JD585" s="1681" t="str">
        <f t="shared" si="232"/>
        <v/>
      </c>
      <c r="JE585" s="1681" t="str">
        <f t="shared" si="233"/>
        <v/>
      </c>
      <c r="JF585" s="1681" t="str">
        <f t="shared" si="234"/>
        <v/>
      </c>
      <c r="JG585" s="1681" t="str">
        <f t="shared" si="235"/>
        <v/>
      </c>
      <c r="JH585" s="1681" t="str">
        <f t="shared" si="236"/>
        <v/>
      </c>
      <c r="JI585" s="1681" t="str">
        <f t="shared" si="237"/>
        <v/>
      </c>
      <c r="JJ585" s="1681" t="str">
        <f t="shared" si="238"/>
        <v/>
      </c>
      <c r="JK585" s="1681" t="str">
        <f t="shared" si="239"/>
        <v/>
      </c>
      <c r="JL585" s="1681" t="str">
        <f t="shared" si="240"/>
        <v/>
      </c>
      <c r="JM585" s="1681" t="str">
        <f t="shared" si="241"/>
        <v/>
      </c>
      <c r="JN585" s="1681" t="str">
        <f t="shared" si="242"/>
        <v/>
      </c>
      <c r="JO585" s="1681" t="str">
        <f t="shared" si="243"/>
        <v/>
      </c>
      <c r="JP585" s="1681" t="str">
        <f t="shared" si="244"/>
        <v/>
      </c>
      <c r="JQ585" s="1681" t="str">
        <f t="shared" si="245"/>
        <v/>
      </c>
      <c r="JR585" s="1681" t="str">
        <f t="shared" si="246"/>
        <v/>
      </c>
      <c r="JS585" s="1681" t="str">
        <f t="shared" si="247"/>
        <v/>
      </c>
      <c r="JT585" s="1681" t="str">
        <f t="shared" si="248"/>
        <v/>
      </c>
      <c r="JU585" s="1681" t="str">
        <f t="shared" si="249"/>
        <v/>
      </c>
      <c r="JV585" s="1681" t="str">
        <f t="shared" si="250"/>
        <v/>
      </c>
      <c r="JW585" s="1681" t="str">
        <f t="shared" si="251"/>
        <v/>
      </c>
      <c r="JX585" s="1681" t="str">
        <f t="shared" si="252"/>
        <v/>
      </c>
      <c r="JY585" s="1681" t="str">
        <f t="shared" si="253"/>
        <v/>
      </c>
      <c r="JZ585" s="1681" t="str">
        <f t="shared" si="254"/>
        <v/>
      </c>
      <c r="KA585" s="1681" t="str">
        <f t="shared" si="255"/>
        <v/>
      </c>
      <c r="KB585" s="1681" t="str">
        <f t="shared" si="256"/>
        <v/>
      </c>
      <c r="KC585" s="1681" t="str">
        <f t="shared" si="257"/>
        <v/>
      </c>
      <c r="KD585" s="1681" t="str">
        <f t="shared" si="258"/>
        <v/>
      </c>
      <c r="KE585" s="1681" t="str">
        <f t="shared" si="259"/>
        <v/>
      </c>
      <c r="KF585" s="1681" t="str">
        <f t="shared" si="260"/>
        <v/>
      </c>
      <c r="KG585" s="1681" t="str">
        <f t="shared" si="261"/>
        <v/>
      </c>
      <c r="KH585" s="1681" t="str">
        <f t="shared" si="262"/>
        <v/>
      </c>
      <c r="KI585" s="1681" t="str">
        <f t="shared" si="263"/>
        <v/>
      </c>
      <c r="KJ585" s="1681" t="str">
        <f t="shared" si="264"/>
        <v/>
      </c>
      <c r="KK585" s="1681" t="str">
        <f t="shared" si="265"/>
        <v/>
      </c>
      <c r="KL585" s="1681" t="str">
        <f t="shared" si="266"/>
        <v/>
      </c>
      <c r="KM585" s="1681" t="str">
        <f t="shared" si="267"/>
        <v/>
      </c>
      <c r="KN585" s="1681" t="str">
        <f t="shared" si="268"/>
        <v/>
      </c>
      <c r="KO585" s="1681" t="str">
        <f t="shared" si="269"/>
        <v/>
      </c>
      <c r="KP585" s="1681" t="str">
        <f t="shared" si="270"/>
        <v/>
      </c>
      <c r="KQ585" s="1681" t="str">
        <f t="shared" si="271"/>
        <v/>
      </c>
      <c r="KR585" s="1681" t="str">
        <f t="shared" si="272"/>
        <v/>
      </c>
      <c r="KS585" s="1681" t="str">
        <f t="shared" si="273"/>
        <v/>
      </c>
      <c r="KT585" s="1681" t="str">
        <f t="shared" si="274"/>
        <v/>
      </c>
      <c r="KU585" s="1681" t="str">
        <f t="shared" si="275"/>
        <v/>
      </c>
      <c r="KV585" s="1681" t="str">
        <f t="shared" si="276"/>
        <v/>
      </c>
      <c r="KW585" s="1681" t="str">
        <f t="shared" si="277"/>
        <v/>
      </c>
      <c r="KX585" s="1681" t="str">
        <f t="shared" si="278"/>
        <v/>
      </c>
      <c r="KY585" s="1681" t="str">
        <f t="shared" si="279"/>
        <v/>
      </c>
      <c r="KZ585" s="1681" t="str">
        <f t="shared" si="280"/>
        <v/>
      </c>
      <c r="LA585" s="1681" t="str">
        <f t="shared" si="281"/>
        <v/>
      </c>
      <c r="LB585" s="1681" t="str">
        <f t="shared" si="282"/>
        <v/>
      </c>
      <c r="LC585" s="1681" t="str">
        <f t="shared" si="283"/>
        <v/>
      </c>
      <c r="LD585" s="1681" t="str">
        <f t="shared" si="284"/>
        <v/>
      </c>
      <c r="LE585" s="1681" t="str">
        <f t="shared" si="285"/>
        <v/>
      </c>
      <c r="LF585" s="1525" t="str">
        <f t="shared" si="286"/>
        <v/>
      </c>
      <c r="LG585" s="1525" t="str">
        <f t="shared" si="287"/>
        <v/>
      </c>
      <c r="LH585" s="1525" t="str">
        <f t="shared" si="288"/>
        <v/>
      </c>
      <c r="LI585" s="1525" t="str">
        <f t="shared" si="289"/>
        <v/>
      </c>
      <c r="LJ585" s="1525" t="str">
        <f t="shared" si="290"/>
        <v/>
      </c>
      <c r="LK585" s="1154" t="str">
        <f t="shared" si="291"/>
        <v/>
      </c>
      <c r="LL585" s="1154" t="str">
        <f t="shared" si="292"/>
        <v/>
      </c>
      <c r="LM585" s="1154" t="str">
        <f t="shared" si="293"/>
        <v/>
      </c>
      <c r="LN585" s="1154" t="str">
        <f t="shared" si="294"/>
        <v/>
      </c>
      <c r="LO585" s="1154" t="str">
        <f t="shared" si="295"/>
        <v/>
      </c>
      <c r="LP585" s="1154" t="str">
        <f t="shared" si="296"/>
        <v/>
      </c>
      <c r="LQ585" s="1154" t="str">
        <f t="shared" si="297"/>
        <v/>
      </c>
      <c r="LR585" s="1154" t="str">
        <f t="shared" si="298"/>
        <v/>
      </c>
      <c r="LS585" s="1154" t="str">
        <f t="shared" si="299"/>
        <v/>
      </c>
      <c r="LT585" s="1154" t="str">
        <f t="shared" si="300"/>
        <v/>
      </c>
      <c r="LU585" s="1154" t="str">
        <f t="shared" si="301"/>
        <v/>
      </c>
      <c r="LV585" s="1154" t="str">
        <f t="shared" si="302"/>
        <v/>
      </c>
      <c r="LW585" s="1154" t="str">
        <f t="shared" si="303"/>
        <v/>
      </c>
      <c r="LX585" s="1154" t="str">
        <f t="shared" si="304"/>
        <v/>
      </c>
      <c r="LY585" s="1154" t="str">
        <f t="shared" si="305"/>
        <v/>
      </c>
      <c r="LZ585" s="1154" t="str">
        <f t="shared" si="306"/>
        <v/>
      </c>
      <c r="MA585" s="1154" t="str">
        <f t="shared" si="307"/>
        <v/>
      </c>
      <c r="MB585" s="1154" t="str">
        <f t="shared" si="308"/>
        <v/>
      </c>
      <c r="MC585" s="1154" t="str">
        <f t="shared" si="309"/>
        <v/>
      </c>
      <c r="MD585" s="1154" t="str">
        <f t="shared" si="310"/>
        <v/>
      </c>
      <c r="ME585" s="1525">
        <f t="shared" si="322"/>
        <v>0</v>
      </c>
      <c r="MF585" s="1525">
        <f t="shared" si="323"/>
        <v>0</v>
      </c>
      <c r="MG585" s="1525">
        <f t="shared" si="324"/>
        <v>0</v>
      </c>
      <c r="MH585" s="1525">
        <f t="shared" si="325"/>
        <v>0</v>
      </c>
      <c r="MI585" s="1525">
        <f t="shared" si="326"/>
        <v>0</v>
      </c>
      <c r="MJ585" s="1525">
        <f t="shared" si="327"/>
        <v>0</v>
      </c>
      <c r="MK585" s="1525">
        <f t="shared" si="328"/>
        <v>0</v>
      </c>
      <c r="ML585" s="1525">
        <f t="shared" si="329"/>
        <v>0</v>
      </c>
      <c r="MM585" s="1525">
        <f t="shared" si="330"/>
        <v>0</v>
      </c>
      <c r="MN585" s="1525">
        <f t="shared" si="331"/>
        <v>0</v>
      </c>
      <c r="MO585" s="1525">
        <f t="shared" si="332"/>
        <v>0</v>
      </c>
      <c r="MP585" s="1525">
        <f t="shared" si="333"/>
        <v>0</v>
      </c>
      <c r="MQ585" s="1525">
        <f t="shared" si="334"/>
        <v>0</v>
      </c>
      <c r="MR585" s="1525">
        <f t="shared" si="335"/>
        <v>0</v>
      </c>
      <c r="MS585" s="1525">
        <f t="shared" si="336"/>
        <v>0</v>
      </c>
    </row>
    <row r="586" spans="1:357" s="1154" customFormat="1" ht="12" customHeight="1">
      <c r="A586" s="1524" t="str">
        <f t="shared" si="1"/>
        <v/>
      </c>
      <c r="B586" s="1672" t="str">
        <f>'Part VI-Revenues &amp; Expenses'!B15</f>
        <v>Unrestricted</v>
      </c>
      <c r="C586" s="1673">
        <f>'Part VI-Revenues &amp; Expenses'!C15</f>
        <v>0</v>
      </c>
      <c r="D586" s="1674">
        <f>'Part VI-Revenues &amp; Expenses'!D15</f>
        <v>0</v>
      </c>
      <c r="E586" s="1675">
        <f>'Part VI-Revenues &amp; Expenses'!E15</f>
        <v>0</v>
      </c>
      <c r="F586" s="1675">
        <f>'Part VI-Revenues &amp; Expenses'!F15</f>
        <v>0</v>
      </c>
      <c r="G586" s="1675">
        <f>'Part VI-Revenues &amp; Expenses'!G15</f>
        <v>0</v>
      </c>
      <c r="H586" s="1675">
        <f>'Part VI-Revenues &amp; Expenses'!H15</f>
        <v>0</v>
      </c>
      <c r="I586" s="1675">
        <f>'Part VI-Revenues &amp; Expenses'!I15</f>
        <v>0</v>
      </c>
      <c r="J586" s="1676">
        <f>'Part VI-Revenues &amp; Expenses'!J15</f>
        <v>0</v>
      </c>
      <c r="K586" s="1677">
        <f>'Part VI-Revenues &amp; Expenses'!K15</f>
        <v>0</v>
      </c>
      <c r="L586" s="1677">
        <f>'Part VI-Revenues &amp; Expenses'!L15</f>
        <v>0</v>
      </c>
      <c r="M586" s="1678">
        <f>'Part VI-Revenues &amp; Expenses'!M15</f>
        <v>0</v>
      </c>
      <c r="N586" s="1678">
        <f>'Part VI-Revenues &amp; Expenses'!N15</f>
        <v>0</v>
      </c>
      <c r="O586" s="1678">
        <f>'Part VI-Revenues &amp; Expenses'!O15</f>
        <v>0</v>
      </c>
      <c r="P586" s="1660">
        <f>'Part VI-Revenues &amp; Expenses'!P15</f>
        <v>0</v>
      </c>
      <c r="Q586" s="1679"/>
      <c r="R586" s="1680"/>
      <c r="S586" s="1679"/>
      <c r="T586" s="1680"/>
      <c r="U586" s="1519"/>
      <c r="V586" s="1519"/>
      <c r="W586" s="1154" t="str">
        <f t="shared" si="2"/>
        <v/>
      </c>
      <c r="X586" s="1154" t="str">
        <f t="shared" si="3"/>
        <v/>
      </c>
      <c r="Y586" s="1154" t="str">
        <f t="shared" si="4"/>
        <v/>
      </c>
      <c r="Z586" s="1154" t="str">
        <f t="shared" si="5"/>
        <v/>
      </c>
      <c r="AA586" s="1154" t="str">
        <f t="shared" si="6"/>
        <v/>
      </c>
      <c r="AB586" s="1154" t="str">
        <f t="shared" si="7"/>
        <v/>
      </c>
      <c r="AC586" s="1154" t="str">
        <f t="shared" si="8"/>
        <v/>
      </c>
      <c r="AD586" s="1154" t="str">
        <f t="shared" si="9"/>
        <v/>
      </c>
      <c r="AE586" s="1154" t="str">
        <f t="shared" si="10"/>
        <v/>
      </c>
      <c r="AF586" s="1154" t="str">
        <f t="shared" si="11"/>
        <v/>
      </c>
      <c r="AG586" s="1154" t="str">
        <f t="shared" si="12"/>
        <v/>
      </c>
      <c r="AH586" s="1154" t="str">
        <f t="shared" si="13"/>
        <v/>
      </c>
      <c r="AI586" s="1154" t="str">
        <f t="shared" si="14"/>
        <v/>
      </c>
      <c r="AJ586" s="1154" t="str">
        <f t="shared" si="15"/>
        <v/>
      </c>
      <c r="AK586" s="1154" t="str">
        <f t="shared" si="16"/>
        <v/>
      </c>
      <c r="AL586" s="1154" t="str">
        <f t="shared" si="17"/>
        <v/>
      </c>
      <c r="AM586" s="1154" t="str">
        <f t="shared" si="18"/>
        <v/>
      </c>
      <c r="AN586" s="1154" t="str">
        <f t="shared" si="19"/>
        <v/>
      </c>
      <c r="AO586" s="1154" t="str">
        <f t="shared" si="20"/>
        <v/>
      </c>
      <c r="AP586" s="1154" t="str">
        <f t="shared" si="21"/>
        <v/>
      </c>
      <c r="AQ586" s="1154" t="str">
        <f t="shared" si="22"/>
        <v/>
      </c>
      <c r="AR586" s="1154" t="str">
        <f t="shared" si="23"/>
        <v/>
      </c>
      <c r="AS586" s="1154" t="str">
        <f t="shared" si="24"/>
        <v/>
      </c>
      <c r="AT586" s="1154" t="str">
        <f t="shared" si="25"/>
        <v/>
      </c>
      <c r="AU586" s="1154" t="str">
        <f t="shared" si="26"/>
        <v/>
      </c>
      <c r="AV586" s="1154" t="str">
        <f t="shared" si="27"/>
        <v/>
      </c>
      <c r="AW586" s="1154" t="str">
        <f t="shared" si="28"/>
        <v/>
      </c>
      <c r="AX586" s="1154" t="str">
        <f t="shared" si="29"/>
        <v/>
      </c>
      <c r="AY586" s="1154" t="str">
        <f t="shared" si="30"/>
        <v/>
      </c>
      <c r="AZ586" s="1154" t="str">
        <f t="shared" si="31"/>
        <v/>
      </c>
      <c r="BA586" s="1154" t="str">
        <f t="shared" si="32"/>
        <v/>
      </c>
      <c r="BB586" s="1154" t="str">
        <f t="shared" si="33"/>
        <v/>
      </c>
      <c r="BC586" s="1154" t="str">
        <f t="shared" si="34"/>
        <v/>
      </c>
      <c r="BD586" s="1154" t="str">
        <f t="shared" si="35"/>
        <v/>
      </c>
      <c r="BE586" s="1154" t="str">
        <f t="shared" si="36"/>
        <v/>
      </c>
      <c r="BF586" s="1154" t="str">
        <f t="shared" si="37"/>
        <v/>
      </c>
      <c r="BG586" s="1154" t="str">
        <f t="shared" si="38"/>
        <v/>
      </c>
      <c r="BH586" s="1154" t="str">
        <f t="shared" si="39"/>
        <v/>
      </c>
      <c r="BI586" s="1154" t="str">
        <f t="shared" si="40"/>
        <v/>
      </c>
      <c r="BJ586" s="1154" t="str">
        <f t="shared" si="41"/>
        <v/>
      </c>
      <c r="BK586" s="1154" t="str">
        <f t="shared" si="42"/>
        <v/>
      </c>
      <c r="BL586" s="1154" t="str">
        <f t="shared" si="43"/>
        <v/>
      </c>
      <c r="BM586" s="1154" t="str">
        <f t="shared" si="44"/>
        <v/>
      </c>
      <c r="BN586" s="1154" t="str">
        <f t="shared" si="45"/>
        <v/>
      </c>
      <c r="BO586" s="1154" t="str">
        <f t="shared" si="46"/>
        <v/>
      </c>
      <c r="BP586" s="1154" t="str">
        <f t="shared" si="47"/>
        <v/>
      </c>
      <c r="BQ586" s="1154" t="str">
        <f t="shared" si="48"/>
        <v/>
      </c>
      <c r="BR586" s="1154" t="str">
        <f t="shared" si="49"/>
        <v/>
      </c>
      <c r="BS586" s="1154" t="str">
        <f t="shared" si="50"/>
        <v/>
      </c>
      <c r="BT586" s="1154" t="str">
        <f t="shared" si="51"/>
        <v/>
      </c>
      <c r="BU586" s="1154" t="str">
        <f t="shared" si="52"/>
        <v/>
      </c>
      <c r="BV586" s="1154" t="str">
        <f t="shared" si="53"/>
        <v/>
      </c>
      <c r="BW586" s="1154" t="str">
        <f t="shared" si="54"/>
        <v/>
      </c>
      <c r="BX586" s="1154" t="str">
        <f t="shared" si="55"/>
        <v/>
      </c>
      <c r="BY586" s="1154" t="str">
        <f t="shared" si="56"/>
        <v/>
      </c>
      <c r="BZ586" s="1154" t="str">
        <f t="shared" si="57"/>
        <v/>
      </c>
      <c r="CA586" s="1154" t="str">
        <f t="shared" si="58"/>
        <v/>
      </c>
      <c r="CB586" s="1154" t="str">
        <f t="shared" si="59"/>
        <v/>
      </c>
      <c r="CC586" s="1154" t="str">
        <f t="shared" si="60"/>
        <v/>
      </c>
      <c r="CD586" s="1154" t="str">
        <f t="shared" si="61"/>
        <v/>
      </c>
      <c r="CE586" s="1154" t="str">
        <f t="shared" si="62"/>
        <v/>
      </c>
      <c r="CF586" s="1154" t="str">
        <f t="shared" si="63"/>
        <v/>
      </c>
      <c r="CG586" s="1154" t="str">
        <f t="shared" si="64"/>
        <v/>
      </c>
      <c r="CH586" s="1154" t="str">
        <f t="shared" si="65"/>
        <v/>
      </c>
      <c r="CI586" s="1154" t="str">
        <f t="shared" si="66"/>
        <v/>
      </c>
      <c r="CJ586" s="1154" t="str">
        <f t="shared" si="67"/>
        <v/>
      </c>
      <c r="CK586" s="1154" t="str">
        <f t="shared" si="68"/>
        <v/>
      </c>
      <c r="CL586" s="1154" t="str">
        <f t="shared" si="69"/>
        <v/>
      </c>
      <c r="CM586" s="1154" t="str">
        <f t="shared" si="70"/>
        <v/>
      </c>
      <c r="CN586" s="1154" t="str">
        <f t="shared" si="71"/>
        <v/>
      </c>
      <c r="CO586" s="1154" t="str">
        <f t="shared" si="72"/>
        <v/>
      </c>
      <c r="CP586" s="1154" t="str">
        <f t="shared" si="73"/>
        <v/>
      </c>
      <c r="CQ586" s="1154" t="str">
        <f t="shared" si="74"/>
        <v/>
      </c>
      <c r="CR586" s="1154" t="str">
        <f t="shared" si="75"/>
        <v/>
      </c>
      <c r="CS586" s="1154" t="str">
        <f t="shared" si="76"/>
        <v/>
      </c>
      <c r="CT586" s="1154" t="str">
        <f t="shared" si="77"/>
        <v/>
      </c>
      <c r="CU586" s="1154" t="str">
        <f t="shared" si="78"/>
        <v/>
      </c>
      <c r="CV586" s="1154" t="str">
        <f t="shared" si="79"/>
        <v/>
      </c>
      <c r="CW586" s="1154" t="str">
        <f t="shared" si="80"/>
        <v/>
      </c>
      <c r="CX586" s="1154" t="str">
        <f t="shared" si="81"/>
        <v/>
      </c>
      <c r="CY586" s="1154" t="str">
        <f t="shared" si="82"/>
        <v/>
      </c>
      <c r="CZ586" s="1154" t="str">
        <f t="shared" si="83"/>
        <v/>
      </c>
      <c r="DA586" s="1154" t="str">
        <f t="shared" si="84"/>
        <v/>
      </c>
      <c r="DB586" s="1154" t="str">
        <f t="shared" si="85"/>
        <v/>
      </c>
      <c r="DC586" s="1154" t="str">
        <f t="shared" si="86"/>
        <v/>
      </c>
      <c r="DD586" s="1154" t="str">
        <f t="shared" si="87"/>
        <v/>
      </c>
      <c r="DE586" s="1154" t="str">
        <f t="shared" si="88"/>
        <v/>
      </c>
      <c r="DF586" s="1154" t="str">
        <f t="shared" si="89"/>
        <v/>
      </c>
      <c r="DG586" s="1154" t="str">
        <f t="shared" si="90"/>
        <v/>
      </c>
      <c r="DH586" s="1154" t="str">
        <f t="shared" si="91"/>
        <v/>
      </c>
      <c r="DI586" s="1154" t="str">
        <f t="shared" si="92"/>
        <v/>
      </c>
      <c r="DJ586" s="1154" t="str">
        <f t="shared" si="93"/>
        <v/>
      </c>
      <c r="DK586" s="1154" t="str">
        <f t="shared" si="94"/>
        <v/>
      </c>
      <c r="DL586" s="1154" t="str">
        <f t="shared" si="95"/>
        <v/>
      </c>
      <c r="DM586" s="1154" t="str">
        <f t="shared" si="96"/>
        <v/>
      </c>
      <c r="DN586" s="1154" t="str">
        <f t="shared" si="97"/>
        <v/>
      </c>
      <c r="DO586" s="1154" t="str">
        <f t="shared" si="98"/>
        <v/>
      </c>
      <c r="DP586" s="1154" t="str">
        <f t="shared" si="99"/>
        <v/>
      </c>
      <c r="DQ586" s="1154" t="str">
        <f t="shared" si="100"/>
        <v/>
      </c>
      <c r="DR586" s="1154" t="str">
        <f t="shared" si="101"/>
        <v/>
      </c>
      <c r="DS586" s="1154" t="str">
        <f t="shared" si="102"/>
        <v/>
      </c>
      <c r="DT586" s="1154" t="str">
        <f t="shared" si="103"/>
        <v/>
      </c>
      <c r="DU586" s="1154" t="str">
        <f t="shared" si="104"/>
        <v/>
      </c>
      <c r="DV586" s="1154" t="str">
        <f t="shared" si="105"/>
        <v/>
      </c>
      <c r="DW586" s="1154" t="str">
        <f t="shared" si="106"/>
        <v/>
      </c>
      <c r="DX586" s="1154" t="str">
        <f t="shared" si="107"/>
        <v/>
      </c>
      <c r="DY586" s="1154" t="str">
        <f t="shared" si="108"/>
        <v/>
      </c>
      <c r="DZ586" s="1154" t="str">
        <f t="shared" si="109"/>
        <v/>
      </c>
      <c r="EA586" s="1154" t="str">
        <f t="shared" si="110"/>
        <v/>
      </c>
      <c r="EB586" s="1154" t="str">
        <f t="shared" si="111"/>
        <v/>
      </c>
      <c r="EC586" s="1154" t="str">
        <f t="shared" si="112"/>
        <v/>
      </c>
      <c r="ED586" s="1154" t="str">
        <f t="shared" si="113"/>
        <v/>
      </c>
      <c r="EE586" s="1154" t="str">
        <f t="shared" si="114"/>
        <v/>
      </c>
      <c r="EF586" s="1154" t="str">
        <f t="shared" si="115"/>
        <v/>
      </c>
      <c r="EG586" s="1154" t="str">
        <f t="shared" si="311"/>
        <v/>
      </c>
      <c r="EH586" s="1154" t="str">
        <f t="shared" si="116"/>
        <v/>
      </c>
      <c r="EI586" s="1154" t="str">
        <f t="shared" si="117"/>
        <v/>
      </c>
      <c r="EJ586" s="1154" t="str">
        <f t="shared" si="118"/>
        <v/>
      </c>
      <c r="EK586" s="1154" t="str">
        <f t="shared" si="119"/>
        <v/>
      </c>
      <c r="EL586" s="1154" t="str">
        <f t="shared" si="120"/>
        <v/>
      </c>
      <c r="EM586" s="1154" t="str">
        <f t="shared" si="121"/>
        <v/>
      </c>
      <c r="EN586" s="1154" t="str">
        <f t="shared" si="122"/>
        <v/>
      </c>
      <c r="EO586" s="1154" t="str">
        <f t="shared" si="123"/>
        <v/>
      </c>
      <c r="EP586" s="1154" t="str">
        <f t="shared" si="124"/>
        <v/>
      </c>
      <c r="EQ586" s="1154" t="str">
        <f t="shared" si="125"/>
        <v/>
      </c>
      <c r="ER586" s="1154" t="str">
        <f t="shared" si="126"/>
        <v/>
      </c>
      <c r="ES586" s="1154" t="str">
        <f t="shared" si="127"/>
        <v/>
      </c>
      <c r="ET586" s="1154" t="str">
        <f t="shared" si="128"/>
        <v/>
      </c>
      <c r="EU586" s="1154" t="str">
        <f t="shared" si="129"/>
        <v/>
      </c>
      <c r="EV586" s="1154" t="str">
        <f t="shared" si="130"/>
        <v/>
      </c>
      <c r="EW586" s="1154" t="str">
        <f t="shared" si="312"/>
        <v/>
      </c>
      <c r="EX586" s="1154" t="str">
        <f t="shared" si="313"/>
        <v/>
      </c>
      <c r="EY586" s="1154" t="str">
        <f t="shared" si="314"/>
        <v/>
      </c>
      <c r="EZ586" s="1154" t="str">
        <f t="shared" si="315"/>
        <v/>
      </c>
      <c r="FA586" s="1154" t="str">
        <f t="shared" si="316"/>
        <v/>
      </c>
      <c r="FB586" s="1154" t="str">
        <f t="shared" si="131"/>
        <v/>
      </c>
      <c r="FC586" s="1154" t="str">
        <f t="shared" si="132"/>
        <v/>
      </c>
      <c r="FD586" s="1154" t="str">
        <f t="shared" si="133"/>
        <v/>
      </c>
      <c r="FE586" s="1154" t="str">
        <f t="shared" si="134"/>
        <v/>
      </c>
      <c r="FF586" s="1154" t="str">
        <f t="shared" si="135"/>
        <v/>
      </c>
      <c r="FG586" s="1154" t="str">
        <f t="shared" si="317"/>
        <v/>
      </c>
      <c r="FH586" s="1154" t="str">
        <f t="shared" si="318"/>
        <v/>
      </c>
      <c r="FI586" s="1154" t="str">
        <f t="shared" si="319"/>
        <v/>
      </c>
      <c r="FJ586" s="1154" t="str">
        <f t="shared" si="320"/>
        <v/>
      </c>
      <c r="FK586" s="1154" t="str">
        <f t="shared" si="321"/>
        <v/>
      </c>
      <c r="FL586" s="1154" t="str">
        <f t="shared" si="136"/>
        <v/>
      </c>
      <c r="FM586" s="1154" t="str">
        <f t="shared" si="137"/>
        <v/>
      </c>
      <c r="FN586" s="1154" t="str">
        <f t="shared" si="138"/>
        <v/>
      </c>
      <c r="FO586" s="1154" t="str">
        <f t="shared" si="139"/>
        <v/>
      </c>
      <c r="FP586" s="1154" t="str">
        <f t="shared" si="140"/>
        <v/>
      </c>
      <c r="FQ586" s="1154" t="str">
        <f t="shared" si="141"/>
        <v/>
      </c>
      <c r="FR586" s="1154" t="str">
        <f t="shared" si="142"/>
        <v/>
      </c>
      <c r="FS586" s="1154" t="str">
        <f t="shared" si="143"/>
        <v/>
      </c>
      <c r="FT586" s="1154" t="str">
        <f t="shared" si="144"/>
        <v/>
      </c>
      <c r="FU586" s="1154" t="str">
        <f t="shared" si="145"/>
        <v/>
      </c>
      <c r="FV586" s="1154" t="str">
        <f t="shared" si="146"/>
        <v/>
      </c>
      <c r="FW586" s="1154" t="str">
        <f t="shared" si="147"/>
        <v/>
      </c>
      <c r="FX586" s="1154" t="str">
        <f t="shared" si="148"/>
        <v/>
      </c>
      <c r="FY586" s="1154" t="str">
        <f t="shared" si="149"/>
        <v/>
      </c>
      <c r="FZ586" s="1154" t="str">
        <f t="shared" si="150"/>
        <v/>
      </c>
      <c r="GA586" s="1154" t="str">
        <f t="shared" si="151"/>
        <v/>
      </c>
      <c r="GB586" s="1154" t="str">
        <f t="shared" si="152"/>
        <v/>
      </c>
      <c r="GC586" s="1154" t="str">
        <f t="shared" si="153"/>
        <v/>
      </c>
      <c r="GD586" s="1154" t="str">
        <f t="shared" si="154"/>
        <v/>
      </c>
      <c r="GE586" s="1154" t="str">
        <f t="shared" si="155"/>
        <v/>
      </c>
      <c r="GF586" s="1154" t="str">
        <f t="shared" si="156"/>
        <v/>
      </c>
      <c r="GG586" s="1154" t="str">
        <f t="shared" si="157"/>
        <v/>
      </c>
      <c r="GH586" s="1154" t="str">
        <f t="shared" si="158"/>
        <v/>
      </c>
      <c r="GI586" s="1154" t="str">
        <f t="shared" si="159"/>
        <v/>
      </c>
      <c r="GJ586" s="1154" t="str">
        <f t="shared" si="160"/>
        <v/>
      </c>
      <c r="GK586" s="1154" t="str">
        <f t="shared" si="161"/>
        <v/>
      </c>
      <c r="GL586" s="1154" t="str">
        <f t="shared" si="162"/>
        <v/>
      </c>
      <c r="GM586" s="1154" t="str">
        <f t="shared" si="163"/>
        <v/>
      </c>
      <c r="GN586" s="1154" t="str">
        <f t="shared" si="164"/>
        <v/>
      </c>
      <c r="GO586" s="1154" t="str">
        <f t="shared" si="165"/>
        <v/>
      </c>
      <c r="GP586" s="1154" t="str">
        <f t="shared" si="166"/>
        <v/>
      </c>
      <c r="GQ586" s="1154" t="str">
        <f t="shared" si="167"/>
        <v/>
      </c>
      <c r="GR586" s="1154" t="str">
        <f t="shared" si="168"/>
        <v/>
      </c>
      <c r="GS586" s="1154" t="str">
        <f t="shared" si="169"/>
        <v/>
      </c>
      <c r="GT586" s="1154" t="str">
        <f t="shared" si="170"/>
        <v/>
      </c>
      <c r="GU586" s="1154" t="str">
        <f t="shared" si="171"/>
        <v/>
      </c>
      <c r="GV586" s="1154" t="str">
        <f t="shared" si="172"/>
        <v/>
      </c>
      <c r="GW586" s="1154" t="str">
        <f t="shared" si="173"/>
        <v/>
      </c>
      <c r="GX586" s="1154" t="str">
        <f t="shared" si="174"/>
        <v/>
      </c>
      <c r="GY586" s="1154" t="str">
        <f t="shared" si="175"/>
        <v/>
      </c>
      <c r="GZ586" s="1154" t="str">
        <f t="shared" si="176"/>
        <v/>
      </c>
      <c r="HA586" s="1154" t="str">
        <f t="shared" si="177"/>
        <v/>
      </c>
      <c r="HB586" s="1154" t="str">
        <f t="shared" si="178"/>
        <v/>
      </c>
      <c r="HC586" s="1154" t="str">
        <f t="shared" si="179"/>
        <v/>
      </c>
      <c r="HD586" s="1154" t="str">
        <f t="shared" si="180"/>
        <v/>
      </c>
      <c r="HE586" s="1154" t="str">
        <f t="shared" si="181"/>
        <v/>
      </c>
      <c r="HF586" s="1154" t="str">
        <f t="shared" si="182"/>
        <v/>
      </c>
      <c r="HG586" s="1154" t="str">
        <f t="shared" si="183"/>
        <v/>
      </c>
      <c r="HH586" s="1154" t="str">
        <f t="shared" si="184"/>
        <v/>
      </c>
      <c r="HI586" s="1154" t="str">
        <f t="shared" si="185"/>
        <v/>
      </c>
      <c r="HJ586" s="1154" t="str">
        <f t="shared" si="186"/>
        <v/>
      </c>
      <c r="HK586" s="1154" t="str">
        <f t="shared" si="187"/>
        <v/>
      </c>
      <c r="HL586" s="1154" t="str">
        <f t="shared" si="188"/>
        <v/>
      </c>
      <c r="HM586" s="1154" t="str">
        <f t="shared" si="189"/>
        <v/>
      </c>
      <c r="HN586" s="1154" t="str">
        <f t="shared" si="190"/>
        <v/>
      </c>
      <c r="HO586" s="1154" t="str">
        <f t="shared" si="191"/>
        <v/>
      </c>
      <c r="HP586" s="1154" t="str">
        <f t="shared" si="192"/>
        <v/>
      </c>
      <c r="HQ586" s="1154" t="str">
        <f t="shared" si="193"/>
        <v/>
      </c>
      <c r="HR586" s="1154" t="str">
        <f t="shared" si="194"/>
        <v/>
      </c>
      <c r="HS586" s="1154" t="str">
        <f t="shared" si="195"/>
        <v/>
      </c>
      <c r="HT586" s="1154" t="str">
        <f t="shared" si="196"/>
        <v/>
      </c>
      <c r="HU586" s="1154" t="str">
        <f t="shared" si="197"/>
        <v/>
      </c>
      <c r="HV586" s="1154" t="str">
        <f t="shared" si="198"/>
        <v/>
      </c>
      <c r="HW586" s="1154" t="str">
        <f t="shared" si="199"/>
        <v/>
      </c>
      <c r="HX586" s="1154" t="str">
        <f t="shared" si="200"/>
        <v/>
      </c>
      <c r="HY586" s="1681" t="str">
        <f t="shared" si="201"/>
        <v/>
      </c>
      <c r="HZ586" s="1681" t="str">
        <f t="shared" si="202"/>
        <v/>
      </c>
      <c r="IA586" s="1681" t="str">
        <f t="shared" si="203"/>
        <v/>
      </c>
      <c r="IB586" s="1681" t="str">
        <f t="shared" si="204"/>
        <v/>
      </c>
      <c r="IC586" s="1681" t="str">
        <f t="shared" si="205"/>
        <v/>
      </c>
      <c r="ID586" s="1681" t="str">
        <f t="shared" si="206"/>
        <v/>
      </c>
      <c r="IE586" s="1681" t="str">
        <f t="shared" si="207"/>
        <v/>
      </c>
      <c r="IF586" s="1681" t="str">
        <f t="shared" si="208"/>
        <v/>
      </c>
      <c r="IG586" s="1681" t="str">
        <f t="shared" si="209"/>
        <v/>
      </c>
      <c r="IH586" s="1681" t="str">
        <f t="shared" si="210"/>
        <v/>
      </c>
      <c r="II586" s="1681" t="str">
        <f t="shared" si="211"/>
        <v/>
      </c>
      <c r="IJ586" s="1681" t="str">
        <f t="shared" si="212"/>
        <v/>
      </c>
      <c r="IK586" s="1681" t="str">
        <f t="shared" si="213"/>
        <v/>
      </c>
      <c r="IL586" s="1681" t="str">
        <f t="shared" si="214"/>
        <v/>
      </c>
      <c r="IM586" s="1681" t="str">
        <f t="shared" si="215"/>
        <v/>
      </c>
      <c r="IN586" s="1681" t="str">
        <f t="shared" si="216"/>
        <v/>
      </c>
      <c r="IO586" s="1681" t="str">
        <f t="shared" si="217"/>
        <v/>
      </c>
      <c r="IP586" s="1681" t="str">
        <f t="shared" si="218"/>
        <v/>
      </c>
      <c r="IQ586" s="1681" t="str">
        <f t="shared" si="219"/>
        <v/>
      </c>
      <c r="IR586" s="1681" t="str">
        <f t="shared" si="220"/>
        <v/>
      </c>
      <c r="IS586" s="1681" t="str">
        <f t="shared" si="221"/>
        <v/>
      </c>
      <c r="IT586" s="1681" t="str">
        <f t="shared" si="222"/>
        <v/>
      </c>
      <c r="IU586" s="1681" t="str">
        <f t="shared" si="223"/>
        <v/>
      </c>
      <c r="IV586" s="1681" t="str">
        <f t="shared" si="224"/>
        <v/>
      </c>
      <c r="IW586" s="1681" t="str">
        <f t="shared" si="225"/>
        <v/>
      </c>
      <c r="IX586" s="1681" t="str">
        <f t="shared" si="226"/>
        <v/>
      </c>
      <c r="IY586" s="1681" t="str">
        <f t="shared" si="227"/>
        <v/>
      </c>
      <c r="IZ586" s="1681" t="str">
        <f t="shared" si="228"/>
        <v/>
      </c>
      <c r="JA586" s="1681" t="str">
        <f t="shared" si="229"/>
        <v/>
      </c>
      <c r="JB586" s="1681" t="str">
        <f t="shared" si="230"/>
        <v/>
      </c>
      <c r="JC586" s="1681" t="str">
        <f t="shared" si="231"/>
        <v/>
      </c>
      <c r="JD586" s="1681" t="str">
        <f t="shared" si="232"/>
        <v/>
      </c>
      <c r="JE586" s="1681" t="str">
        <f t="shared" si="233"/>
        <v/>
      </c>
      <c r="JF586" s="1681" t="str">
        <f t="shared" si="234"/>
        <v/>
      </c>
      <c r="JG586" s="1681" t="str">
        <f t="shared" si="235"/>
        <v/>
      </c>
      <c r="JH586" s="1681" t="str">
        <f t="shared" si="236"/>
        <v/>
      </c>
      <c r="JI586" s="1681" t="str">
        <f t="shared" si="237"/>
        <v/>
      </c>
      <c r="JJ586" s="1681" t="str">
        <f t="shared" si="238"/>
        <v/>
      </c>
      <c r="JK586" s="1681" t="str">
        <f t="shared" si="239"/>
        <v/>
      </c>
      <c r="JL586" s="1681" t="str">
        <f t="shared" si="240"/>
        <v/>
      </c>
      <c r="JM586" s="1681" t="str">
        <f t="shared" si="241"/>
        <v/>
      </c>
      <c r="JN586" s="1681" t="str">
        <f t="shared" si="242"/>
        <v/>
      </c>
      <c r="JO586" s="1681" t="str">
        <f t="shared" si="243"/>
        <v/>
      </c>
      <c r="JP586" s="1681" t="str">
        <f t="shared" si="244"/>
        <v/>
      </c>
      <c r="JQ586" s="1681" t="str">
        <f t="shared" si="245"/>
        <v/>
      </c>
      <c r="JR586" s="1681" t="str">
        <f t="shared" si="246"/>
        <v/>
      </c>
      <c r="JS586" s="1681" t="str">
        <f t="shared" si="247"/>
        <v/>
      </c>
      <c r="JT586" s="1681" t="str">
        <f t="shared" si="248"/>
        <v/>
      </c>
      <c r="JU586" s="1681" t="str">
        <f t="shared" si="249"/>
        <v/>
      </c>
      <c r="JV586" s="1681" t="str">
        <f t="shared" si="250"/>
        <v/>
      </c>
      <c r="JW586" s="1681" t="str">
        <f t="shared" si="251"/>
        <v/>
      </c>
      <c r="JX586" s="1681" t="str">
        <f t="shared" si="252"/>
        <v/>
      </c>
      <c r="JY586" s="1681" t="str">
        <f t="shared" si="253"/>
        <v/>
      </c>
      <c r="JZ586" s="1681" t="str">
        <f t="shared" si="254"/>
        <v/>
      </c>
      <c r="KA586" s="1681" t="str">
        <f t="shared" si="255"/>
        <v/>
      </c>
      <c r="KB586" s="1681" t="str">
        <f t="shared" si="256"/>
        <v/>
      </c>
      <c r="KC586" s="1681" t="str">
        <f t="shared" si="257"/>
        <v/>
      </c>
      <c r="KD586" s="1681" t="str">
        <f t="shared" si="258"/>
        <v/>
      </c>
      <c r="KE586" s="1681" t="str">
        <f t="shared" si="259"/>
        <v/>
      </c>
      <c r="KF586" s="1681" t="str">
        <f t="shared" si="260"/>
        <v/>
      </c>
      <c r="KG586" s="1681" t="str">
        <f t="shared" si="261"/>
        <v/>
      </c>
      <c r="KH586" s="1681" t="str">
        <f t="shared" si="262"/>
        <v/>
      </c>
      <c r="KI586" s="1681" t="str">
        <f t="shared" si="263"/>
        <v/>
      </c>
      <c r="KJ586" s="1681" t="str">
        <f t="shared" si="264"/>
        <v/>
      </c>
      <c r="KK586" s="1681" t="str">
        <f t="shared" si="265"/>
        <v/>
      </c>
      <c r="KL586" s="1681" t="str">
        <f t="shared" si="266"/>
        <v/>
      </c>
      <c r="KM586" s="1681" t="str">
        <f t="shared" si="267"/>
        <v/>
      </c>
      <c r="KN586" s="1681" t="str">
        <f t="shared" si="268"/>
        <v/>
      </c>
      <c r="KO586" s="1681" t="str">
        <f t="shared" si="269"/>
        <v/>
      </c>
      <c r="KP586" s="1681" t="str">
        <f t="shared" si="270"/>
        <v/>
      </c>
      <c r="KQ586" s="1681" t="str">
        <f t="shared" si="271"/>
        <v/>
      </c>
      <c r="KR586" s="1681" t="str">
        <f t="shared" si="272"/>
        <v/>
      </c>
      <c r="KS586" s="1681" t="str">
        <f t="shared" si="273"/>
        <v/>
      </c>
      <c r="KT586" s="1681" t="str">
        <f t="shared" si="274"/>
        <v/>
      </c>
      <c r="KU586" s="1681" t="str">
        <f t="shared" si="275"/>
        <v/>
      </c>
      <c r="KV586" s="1681" t="str">
        <f t="shared" si="276"/>
        <v/>
      </c>
      <c r="KW586" s="1681" t="str">
        <f t="shared" si="277"/>
        <v/>
      </c>
      <c r="KX586" s="1681" t="str">
        <f t="shared" si="278"/>
        <v/>
      </c>
      <c r="KY586" s="1681" t="str">
        <f t="shared" si="279"/>
        <v/>
      </c>
      <c r="KZ586" s="1681" t="str">
        <f t="shared" si="280"/>
        <v/>
      </c>
      <c r="LA586" s="1681" t="str">
        <f t="shared" si="281"/>
        <v/>
      </c>
      <c r="LB586" s="1681" t="str">
        <f t="shared" si="282"/>
        <v/>
      </c>
      <c r="LC586" s="1681" t="str">
        <f t="shared" si="283"/>
        <v/>
      </c>
      <c r="LD586" s="1681" t="str">
        <f t="shared" si="284"/>
        <v/>
      </c>
      <c r="LE586" s="1681" t="str">
        <f t="shared" si="285"/>
        <v/>
      </c>
      <c r="LF586" s="1525" t="str">
        <f t="shared" si="286"/>
        <v/>
      </c>
      <c r="LG586" s="1525" t="str">
        <f t="shared" si="287"/>
        <v/>
      </c>
      <c r="LH586" s="1525" t="str">
        <f t="shared" si="288"/>
        <v/>
      </c>
      <c r="LI586" s="1525" t="str">
        <f t="shared" si="289"/>
        <v/>
      </c>
      <c r="LJ586" s="1525" t="str">
        <f t="shared" si="290"/>
        <v/>
      </c>
      <c r="LK586" s="1154" t="str">
        <f t="shared" si="291"/>
        <v/>
      </c>
      <c r="LL586" s="1154" t="str">
        <f t="shared" si="292"/>
        <v/>
      </c>
      <c r="LM586" s="1154" t="str">
        <f t="shared" si="293"/>
        <v/>
      </c>
      <c r="LN586" s="1154" t="str">
        <f t="shared" si="294"/>
        <v/>
      </c>
      <c r="LO586" s="1154" t="str">
        <f t="shared" si="295"/>
        <v/>
      </c>
      <c r="LP586" s="1154" t="str">
        <f t="shared" si="296"/>
        <v/>
      </c>
      <c r="LQ586" s="1154" t="str">
        <f t="shared" si="297"/>
        <v/>
      </c>
      <c r="LR586" s="1154" t="str">
        <f t="shared" si="298"/>
        <v/>
      </c>
      <c r="LS586" s="1154" t="str">
        <f t="shared" si="299"/>
        <v/>
      </c>
      <c r="LT586" s="1154" t="str">
        <f t="shared" si="300"/>
        <v/>
      </c>
      <c r="LU586" s="1154" t="str">
        <f t="shared" si="301"/>
        <v/>
      </c>
      <c r="LV586" s="1154" t="str">
        <f t="shared" si="302"/>
        <v/>
      </c>
      <c r="LW586" s="1154" t="str">
        <f t="shared" si="303"/>
        <v/>
      </c>
      <c r="LX586" s="1154" t="str">
        <f t="shared" si="304"/>
        <v/>
      </c>
      <c r="LY586" s="1154" t="str">
        <f t="shared" si="305"/>
        <v/>
      </c>
      <c r="LZ586" s="1154" t="str">
        <f t="shared" si="306"/>
        <v/>
      </c>
      <c r="MA586" s="1154" t="str">
        <f t="shared" si="307"/>
        <v/>
      </c>
      <c r="MB586" s="1154" t="str">
        <f t="shared" si="308"/>
        <v/>
      </c>
      <c r="MC586" s="1154" t="str">
        <f t="shared" si="309"/>
        <v/>
      </c>
      <c r="MD586" s="1154" t="str">
        <f t="shared" si="310"/>
        <v/>
      </c>
      <c r="ME586" s="1525">
        <f t="shared" si="322"/>
        <v>0</v>
      </c>
      <c r="MF586" s="1525">
        <f t="shared" si="323"/>
        <v>0</v>
      </c>
      <c r="MG586" s="1525">
        <f t="shared" si="324"/>
        <v>0</v>
      </c>
      <c r="MH586" s="1525">
        <f t="shared" si="325"/>
        <v>0</v>
      </c>
      <c r="MI586" s="1525">
        <f t="shared" si="326"/>
        <v>0</v>
      </c>
      <c r="MJ586" s="1525">
        <f t="shared" si="327"/>
        <v>0</v>
      </c>
      <c r="MK586" s="1525">
        <f t="shared" si="328"/>
        <v>0</v>
      </c>
      <c r="ML586" s="1525">
        <f t="shared" si="329"/>
        <v>0</v>
      </c>
      <c r="MM586" s="1525">
        <f t="shared" si="330"/>
        <v>0</v>
      </c>
      <c r="MN586" s="1525">
        <f t="shared" si="331"/>
        <v>0</v>
      </c>
      <c r="MO586" s="1525">
        <f t="shared" si="332"/>
        <v>0</v>
      </c>
      <c r="MP586" s="1525">
        <f t="shared" si="333"/>
        <v>0</v>
      </c>
      <c r="MQ586" s="1525">
        <f t="shared" si="334"/>
        <v>0</v>
      </c>
      <c r="MR586" s="1525">
        <f t="shared" si="335"/>
        <v>0</v>
      </c>
      <c r="MS586" s="1525">
        <f t="shared" si="336"/>
        <v>0</v>
      </c>
    </row>
    <row r="587" spans="1:357" s="1154" customFormat="1" ht="12" customHeight="1">
      <c r="A587" s="1524" t="str">
        <f t="shared" si="1"/>
        <v/>
      </c>
      <c r="B587" s="1672" t="str">
        <f>'Part VI-Revenues &amp; Expenses'!B16</f>
        <v>Unrestricted</v>
      </c>
      <c r="C587" s="1673">
        <f>'Part VI-Revenues &amp; Expenses'!C16</f>
        <v>0</v>
      </c>
      <c r="D587" s="1674">
        <f>'Part VI-Revenues &amp; Expenses'!D16</f>
        <v>0</v>
      </c>
      <c r="E587" s="1675">
        <f>'Part VI-Revenues &amp; Expenses'!E16</f>
        <v>0</v>
      </c>
      <c r="F587" s="1675">
        <f>'Part VI-Revenues &amp; Expenses'!F16</f>
        <v>0</v>
      </c>
      <c r="G587" s="1675">
        <f>'Part VI-Revenues &amp; Expenses'!G16</f>
        <v>0</v>
      </c>
      <c r="H587" s="1675">
        <f>'Part VI-Revenues &amp; Expenses'!H16</f>
        <v>0</v>
      </c>
      <c r="I587" s="1675">
        <f>'Part VI-Revenues &amp; Expenses'!I16</f>
        <v>0</v>
      </c>
      <c r="J587" s="1676">
        <f>'Part VI-Revenues &amp; Expenses'!J16</f>
        <v>0</v>
      </c>
      <c r="K587" s="1677">
        <f>'Part VI-Revenues &amp; Expenses'!K16</f>
        <v>0</v>
      </c>
      <c r="L587" s="1677">
        <f>'Part VI-Revenues &amp; Expenses'!L16</f>
        <v>0</v>
      </c>
      <c r="M587" s="1678">
        <f>'Part VI-Revenues &amp; Expenses'!M16</f>
        <v>0</v>
      </c>
      <c r="N587" s="1678">
        <f>'Part VI-Revenues &amp; Expenses'!N16</f>
        <v>0</v>
      </c>
      <c r="O587" s="1678">
        <f>'Part VI-Revenues &amp; Expenses'!O16</f>
        <v>0</v>
      </c>
      <c r="P587" s="1660">
        <f>'Part VI-Revenues &amp; Expenses'!P16</f>
        <v>0</v>
      </c>
      <c r="Q587" s="1679"/>
      <c r="R587" s="1680"/>
      <c r="S587" s="1679"/>
      <c r="T587" s="1680"/>
      <c r="U587" s="1519"/>
      <c r="V587" s="1519"/>
      <c r="W587" s="1154" t="str">
        <f t="shared" si="2"/>
        <v/>
      </c>
      <c r="X587" s="1154" t="str">
        <f t="shared" si="3"/>
        <v/>
      </c>
      <c r="Y587" s="1154" t="str">
        <f t="shared" si="4"/>
        <v/>
      </c>
      <c r="Z587" s="1154" t="str">
        <f t="shared" si="5"/>
        <v/>
      </c>
      <c r="AA587" s="1154" t="str">
        <f t="shared" si="6"/>
        <v/>
      </c>
      <c r="AB587" s="1154" t="str">
        <f t="shared" si="7"/>
        <v/>
      </c>
      <c r="AC587" s="1154" t="str">
        <f t="shared" si="8"/>
        <v/>
      </c>
      <c r="AD587" s="1154" t="str">
        <f t="shared" si="9"/>
        <v/>
      </c>
      <c r="AE587" s="1154" t="str">
        <f t="shared" si="10"/>
        <v/>
      </c>
      <c r="AF587" s="1154" t="str">
        <f t="shared" si="11"/>
        <v/>
      </c>
      <c r="AG587" s="1154" t="str">
        <f t="shared" si="12"/>
        <v/>
      </c>
      <c r="AH587" s="1154" t="str">
        <f t="shared" si="13"/>
        <v/>
      </c>
      <c r="AI587" s="1154" t="str">
        <f t="shared" si="14"/>
        <v/>
      </c>
      <c r="AJ587" s="1154" t="str">
        <f t="shared" si="15"/>
        <v/>
      </c>
      <c r="AK587" s="1154" t="str">
        <f t="shared" si="16"/>
        <v/>
      </c>
      <c r="AL587" s="1154" t="str">
        <f t="shared" si="17"/>
        <v/>
      </c>
      <c r="AM587" s="1154" t="str">
        <f t="shared" si="18"/>
        <v/>
      </c>
      <c r="AN587" s="1154" t="str">
        <f t="shared" si="19"/>
        <v/>
      </c>
      <c r="AO587" s="1154" t="str">
        <f t="shared" si="20"/>
        <v/>
      </c>
      <c r="AP587" s="1154" t="str">
        <f t="shared" si="21"/>
        <v/>
      </c>
      <c r="AQ587" s="1154" t="str">
        <f t="shared" si="22"/>
        <v/>
      </c>
      <c r="AR587" s="1154" t="str">
        <f t="shared" si="23"/>
        <v/>
      </c>
      <c r="AS587" s="1154" t="str">
        <f t="shared" si="24"/>
        <v/>
      </c>
      <c r="AT587" s="1154" t="str">
        <f t="shared" si="25"/>
        <v/>
      </c>
      <c r="AU587" s="1154" t="str">
        <f t="shared" si="26"/>
        <v/>
      </c>
      <c r="AV587" s="1154" t="str">
        <f t="shared" si="27"/>
        <v/>
      </c>
      <c r="AW587" s="1154" t="str">
        <f t="shared" si="28"/>
        <v/>
      </c>
      <c r="AX587" s="1154" t="str">
        <f t="shared" si="29"/>
        <v/>
      </c>
      <c r="AY587" s="1154" t="str">
        <f t="shared" si="30"/>
        <v/>
      </c>
      <c r="AZ587" s="1154" t="str">
        <f t="shared" si="31"/>
        <v/>
      </c>
      <c r="BA587" s="1154" t="str">
        <f t="shared" si="32"/>
        <v/>
      </c>
      <c r="BB587" s="1154" t="str">
        <f t="shared" si="33"/>
        <v/>
      </c>
      <c r="BC587" s="1154" t="str">
        <f t="shared" si="34"/>
        <v/>
      </c>
      <c r="BD587" s="1154" t="str">
        <f t="shared" si="35"/>
        <v/>
      </c>
      <c r="BE587" s="1154" t="str">
        <f t="shared" si="36"/>
        <v/>
      </c>
      <c r="BF587" s="1154" t="str">
        <f t="shared" si="37"/>
        <v/>
      </c>
      <c r="BG587" s="1154" t="str">
        <f t="shared" si="38"/>
        <v/>
      </c>
      <c r="BH587" s="1154" t="str">
        <f t="shared" si="39"/>
        <v/>
      </c>
      <c r="BI587" s="1154" t="str">
        <f t="shared" si="40"/>
        <v/>
      </c>
      <c r="BJ587" s="1154" t="str">
        <f t="shared" si="41"/>
        <v/>
      </c>
      <c r="BK587" s="1154" t="str">
        <f t="shared" si="42"/>
        <v/>
      </c>
      <c r="BL587" s="1154" t="str">
        <f t="shared" si="43"/>
        <v/>
      </c>
      <c r="BM587" s="1154" t="str">
        <f t="shared" si="44"/>
        <v/>
      </c>
      <c r="BN587" s="1154" t="str">
        <f t="shared" si="45"/>
        <v/>
      </c>
      <c r="BO587" s="1154" t="str">
        <f t="shared" si="46"/>
        <v/>
      </c>
      <c r="BP587" s="1154" t="str">
        <f t="shared" si="47"/>
        <v/>
      </c>
      <c r="BQ587" s="1154" t="str">
        <f t="shared" si="48"/>
        <v/>
      </c>
      <c r="BR587" s="1154" t="str">
        <f t="shared" si="49"/>
        <v/>
      </c>
      <c r="BS587" s="1154" t="str">
        <f t="shared" si="50"/>
        <v/>
      </c>
      <c r="BT587" s="1154" t="str">
        <f t="shared" si="51"/>
        <v/>
      </c>
      <c r="BU587" s="1154" t="str">
        <f t="shared" si="52"/>
        <v/>
      </c>
      <c r="BV587" s="1154" t="str">
        <f t="shared" si="53"/>
        <v/>
      </c>
      <c r="BW587" s="1154" t="str">
        <f t="shared" si="54"/>
        <v/>
      </c>
      <c r="BX587" s="1154" t="str">
        <f t="shared" si="55"/>
        <v/>
      </c>
      <c r="BY587" s="1154" t="str">
        <f t="shared" si="56"/>
        <v/>
      </c>
      <c r="BZ587" s="1154" t="str">
        <f t="shared" si="57"/>
        <v/>
      </c>
      <c r="CA587" s="1154" t="str">
        <f t="shared" si="58"/>
        <v/>
      </c>
      <c r="CB587" s="1154" t="str">
        <f t="shared" si="59"/>
        <v/>
      </c>
      <c r="CC587" s="1154" t="str">
        <f t="shared" si="60"/>
        <v/>
      </c>
      <c r="CD587" s="1154" t="str">
        <f t="shared" si="61"/>
        <v/>
      </c>
      <c r="CE587" s="1154" t="str">
        <f t="shared" si="62"/>
        <v/>
      </c>
      <c r="CF587" s="1154" t="str">
        <f t="shared" si="63"/>
        <v/>
      </c>
      <c r="CG587" s="1154" t="str">
        <f t="shared" si="64"/>
        <v/>
      </c>
      <c r="CH587" s="1154" t="str">
        <f t="shared" si="65"/>
        <v/>
      </c>
      <c r="CI587" s="1154" t="str">
        <f t="shared" si="66"/>
        <v/>
      </c>
      <c r="CJ587" s="1154" t="str">
        <f t="shared" si="67"/>
        <v/>
      </c>
      <c r="CK587" s="1154" t="str">
        <f t="shared" si="68"/>
        <v/>
      </c>
      <c r="CL587" s="1154" t="str">
        <f t="shared" si="69"/>
        <v/>
      </c>
      <c r="CM587" s="1154" t="str">
        <f t="shared" si="70"/>
        <v/>
      </c>
      <c r="CN587" s="1154" t="str">
        <f t="shared" si="71"/>
        <v/>
      </c>
      <c r="CO587" s="1154" t="str">
        <f t="shared" si="72"/>
        <v/>
      </c>
      <c r="CP587" s="1154" t="str">
        <f t="shared" si="73"/>
        <v/>
      </c>
      <c r="CQ587" s="1154" t="str">
        <f t="shared" si="74"/>
        <v/>
      </c>
      <c r="CR587" s="1154" t="str">
        <f t="shared" si="75"/>
        <v/>
      </c>
      <c r="CS587" s="1154" t="str">
        <f t="shared" si="76"/>
        <v/>
      </c>
      <c r="CT587" s="1154" t="str">
        <f t="shared" si="77"/>
        <v/>
      </c>
      <c r="CU587" s="1154" t="str">
        <f t="shared" si="78"/>
        <v/>
      </c>
      <c r="CV587" s="1154" t="str">
        <f t="shared" si="79"/>
        <v/>
      </c>
      <c r="CW587" s="1154" t="str">
        <f t="shared" si="80"/>
        <v/>
      </c>
      <c r="CX587" s="1154" t="str">
        <f t="shared" si="81"/>
        <v/>
      </c>
      <c r="CY587" s="1154" t="str">
        <f t="shared" si="82"/>
        <v/>
      </c>
      <c r="CZ587" s="1154" t="str">
        <f t="shared" si="83"/>
        <v/>
      </c>
      <c r="DA587" s="1154" t="str">
        <f t="shared" si="84"/>
        <v/>
      </c>
      <c r="DB587" s="1154" t="str">
        <f t="shared" si="85"/>
        <v/>
      </c>
      <c r="DC587" s="1154" t="str">
        <f t="shared" si="86"/>
        <v/>
      </c>
      <c r="DD587" s="1154" t="str">
        <f t="shared" si="87"/>
        <v/>
      </c>
      <c r="DE587" s="1154" t="str">
        <f t="shared" si="88"/>
        <v/>
      </c>
      <c r="DF587" s="1154" t="str">
        <f t="shared" si="89"/>
        <v/>
      </c>
      <c r="DG587" s="1154" t="str">
        <f t="shared" si="90"/>
        <v/>
      </c>
      <c r="DH587" s="1154" t="str">
        <f t="shared" si="91"/>
        <v/>
      </c>
      <c r="DI587" s="1154" t="str">
        <f t="shared" si="92"/>
        <v/>
      </c>
      <c r="DJ587" s="1154" t="str">
        <f t="shared" si="93"/>
        <v/>
      </c>
      <c r="DK587" s="1154" t="str">
        <f t="shared" si="94"/>
        <v/>
      </c>
      <c r="DL587" s="1154" t="str">
        <f t="shared" si="95"/>
        <v/>
      </c>
      <c r="DM587" s="1154" t="str">
        <f t="shared" si="96"/>
        <v/>
      </c>
      <c r="DN587" s="1154" t="str">
        <f t="shared" si="97"/>
        <v/>
      </c>
      <c r="DO587" s="1154" t="str">
        <f t="shared" si="98"/>
        <v/>
      </c>
      <c r="DP587" s="1154" t="str">
        <f t="shared" si="99"/>
        <v/>
      </c>
      <c r="DQ587" s="1154" t="str">
        <f t="shared" si="100"/>
        <v/>
      </c>
      <c r="DR587" s="1154" t="str">
        <f t="shared" si="101"/>
        <v/>
      </c>
      <c r="DS587" s="1154" t="str">
        <f t="shared" si="102"/>
        <v/>
      </c>
      <c r="DT587" s="1154" t="str">
        <f t="shared" si="103"/>
        <v/>
      </c>
      <c r="DU587" s="1154" t="str">
        <f t="shared" si="104"/>
        <v/>
      </c>
      <c r="DV587" s="1154" t="str">
        <f t="shared" si="105"/>
        <v/>
      </c>
      <c r="DW587" s="1154" t="str">
        <f t="shared" si="106"/>
        <v/>
      </c>
      <c r="DX587" s="1154" t="str">
        <f t="shared" si="107"/>
        <v/>
      </c>
      <c r="DY587" s="1154" t="str">
        <f t="shared" si="108"/>
        <v/>
      </c>
      <c r="DZ587" s="1154" t="str">
        <f t="shared" si="109"/>
        <v/>
      </c>
      <c r="EA587" s="1154" t="str">
        <f t="shared" si="110"/>
        <v/>
      </c>
      <c r="EB587" s="1154" t="str">
        <f t="shared" si="111"/>
        <v/>
      </c>
      <c r="EC587" s="1154" t="str">
        <f t="shared" si="112"/>
        <v/>
      </c>
      <c r="ED587" s="1154" t="str">
        <f t="shared" si="113"/>
        <v/>
      </c>
      <c r="EE587" s="1154" t="str">
        <f t="shared" si="114"/>
        <v/>
      </c>
      <c r="EF587" s="1154" t="str">
        <f t="shared" si="115"/>
        <v/>
      </c>
      <c r="EG587" s="1154" t="str">
        <f t="shared" si="311"/>
        <v/>
      </c>
      <c r="EH587" s="1154" t="str">
        <f t="shared" si="116"/>
        <v/>
      </c>
      <c r="EI587" s="1154" t="str">
        <f t="shared" si="117"/>
        <v/>
      </c>
      <c r="EJ587" s="1154" t="str">
        <f t="shared" si="118"/>
        <v/>
      </c>
      <c r="EK587" s="1154" t="str">
        <f t="shared" si="119"/>
        <v/>
      </c>
      <c r="EL587" s="1154" t="str">
        <f t="shared" si="120"/>
        <v/>
      </c>
      <c r="EM587" s="1154" t="str">
        <f t="shared" si="121"/>
        <v/>
      </c>
      <c r="EN587" s="1154" t="str">
        <f t="shared" si="122"/>
        <v/>
      </c>
      <c r="EO587" s="1154" t="str">
        <f t="shared" si="123"/>
        <v/>
      </c>
      <c r="EP587" s="1154" t="str">
        <f t="shared" si="124"/>
        <v/>
      </c>
      <c r="EQ587" s="1154" t="str">
        <f t="shared" si="125"/>
        <v/>
      </c>
      <c r="ER587" s="1154" t="str">
        <f t="shared" si="126"/>
        <v/>
      </c>
      <c r="ES587" s="1154" t="str">
        <f t="shared" si="127"/>
        <v/>
      </c>
      <c r="ET587" s="1154" t="str">
        <f t="shared" si="128"/>
        <v/>
      </c>
      <c r="EU587" s="1154" t="str">
        <f t="shared" si="129"/>
        <v/>
      </c>
      <c r="EV587" s="1154" t="str">
        <f t="shared" si="130"/>
        <v/>
      </c>
      <c r="EW587" s="1154" t="str">
        <f t="shared" si="312"/>
        <v/>
      </c>
      <c r="EX587" s="1154" t="str">
        <f t="shared" si="313"/>
        <v/>
      </c>
      <c r="EY587" s="1154" t="str">
        <f t="shared" si="314"/>
        <v/>
      </c>
      <c r="EZ587" s="1154" t="str">
        <f t="shared" si="315"/>
        <v/>
      </c>
      <c r="FA587" s="1154" t="str">
        <f t="shared" si="316"/>
        <v/>
      </c>
      <c r="FB587" s="1154" t="str">
        <f t="shared" si="131"/>
        <v/>
      </c>
      <c r="FC587" s="1154" t="str">
        <f t="shared" si="132"/>
        <v/>
      </c>
      <c r="FD587" s="1154" t="str">
        <f t="shared" si="133"/>
        <v/>
      </c>
      <c r="FE587" s="1154" t="str">
        <f t="shared" si="134"/>
        <v/>
      </c>
      <c r="FF587" s="1154" t="str">
        <f t="shared" si="135"/>
        <v/>
      </c>
      <c r="FG587" s="1154" t="str">
        <f t="shared" si="317"/>
        <v/>
      </c>
      <c r="FH587" s="1154" t="str">
        <f t="shared" si="318"/>
        <v/>
      </c>
      <c r="FI587" s="1154" t="str">
        <f t="shared" si="319"/>
        <v/>
      </c>
      <c r="FJ587" s="1154" t="str">
        <f t="shared" si="320"/>
        <v/>
      </c>
      <c r="FK587" s="1154" t="str">
        <f t="shared" si="321"/>
        <v/>
      </c>
      <c r="FL587" s="1154" t="str">
        <f t="shared" si="136"/>
        <v/>
      </c>
      <c r="FM587" s="1154" t="str">
        <f t="shared" si="137"/>
        <v/>
      </c>
      <c r="FN587" s="1154" t="str">
        <f t="shared" si="138"/>
        <v/>
      </c>
      <c r="FO587" s="1154" t="str">
        <f t="shared" si="139"/>
        <v/>
      </c>
      <c r="FP587" s="1154" t="str">
        <f t="shared" si="140"/>
        <v/>
      </c>
      <c r="FQ587" s="1154" t="str">
        <f t="shared" si="141"/>
        <v/>
      </c>
      <c r="FR587" s="1154" t="str">
        <f t="shared" si="142"/>
        <v/>
      </c>
      <c r="FS587" s="1154" t="str">
        <f t="shared" si="143"/>
        <v/>
      </c>
      <c r="FT587" s="1154" t="str">
        <f t="shared" si="144"/>
        <v/>
      </c>
      <c r="FU587" s="1154" t="str">
        <f t="shared" si="145"/>
        <v/>
      </c>
      <c r="FV587" s="1154" t="str">
        <f t="shared" si="146"/>
        <v/>
      </c>
      <c r="FW587" s="1154" t="str">
        <f t="shared" si="147"/>
        <v/>
      </c>
      <c r="FX587" s="1154" t="str">
        <f t="shared" si="148"/>
        <v/>
      </c>
      <c r="FY587" s="1154" t="str">
        <f t="shared" si="149"/>
        <v/>
      </c>
      <c r="FZ587" s="1154" t="str">
        <f t="shared" si="150"/>
        <v/>
      </c>
      <c r="GA587" s="1154" t="str">
        <f t="shared" si="151"/>
        <v/>
      </c>
      <c r="GB587" s="1154" t="str">
        <f t="shared" si="152"/>
        <v/>
      </c>
      <c r="GC587" s="1154" t="str">
        <f t="shared" si="153"/>
        <v/>
      </c>
      <c r="GD587" s="1154" t="str">
        <f t="shared" si="154"/>
        <v/>
      </c>
      <c r="GE587" s="1154" t="str">
        <f t="shared" si="155"/>
        <v/>
      </c>
      <c r="GF587" s="1154" t="str">
        <f t="shared" si="156"/>
        <v/>
      </c>
      <c r="GG587" s="1154" t="str">
        <f t="shared" si="157"/>
        <v/>
      </c>
      <c r="GH587" s="1154" t="str">
        <f t="shared" si="158"/>
        <v/>
      </c>
      <c r="GI587" s="1154" t="str">
        <f t="shared" si="159"/>
        <v/>
      </c>
      <c r="GJ587" s="1154" t="str">
        <f t="shared" si="160"/>
        <v/>
      </c>
      <c r="GK587" s="1154" t="str">
        <f t="shared" si="161"/>
        <v/>
      </c>
      <c r="GL587" s="1154" t="str">
        <f t="shared" si="162"/>
        <v/>
      </c>
      <c r="GM587" s="1154" t="str">
        <f t="shared" si="163"/>
        <v/>
      </c>
      <c r="GN587" s="1154" t="str">
        <f t="shared" si="164"/>
        <v/>
      </c>
      <c r="GO587" s="1154" t="str">
        <f t="shared" si="165"/>
        <v/>
      </c>
      <c r="GP587" s="1154" t="str">
        <f t="shared" si="166"/>
        <v/>
      </c>
      <c r="GQ587" s="1154" t="str">
        <f t="shared" si="167"/>
        <v/>
      </c>
      <c r="GR587" s="1154" t="str">
        <f t="shared" si="168"/>
        <v/>
      </c>
      <c r="GS587" s="1154" t="str">
        <f t="shared" si="169"/>
        <v/>
      </c>
      <c r="GT587" s="1154" t="str">
        <f t="shared" si="170"/>
        <v/>
      </c>
      <c r="GU587" s="1154" t="str">
        <f t="shared" si="171"/>
        <v/>
      </c>
      <c r="GV587" s="1154" t="str">
        <f t="shared" si="172"/>
        <v/>
      </c>
      <c r="GW587" s="1154" t="str">
        <f t="shared" si="173"/>
        <v/>
      </c>
      <c r="GX587" s="1154" t="str">
        <f t="shared" si="174"/>
        <v/>
      </c>
      <c r="GY587" s="1154" t="str">
        <f t="shared" si="175"/>
        <v/>
      </c>
      <c r="GZ587" s="1154" t="str">
        <f t="shared" si="176"/>
        <v/>
      </c>
      <c r="HA587" s="1154" t="str">
        <f t="shared" si="177"/>
        <v/>
      </c>
      <c r="HB587" s="1154" t="str">
        <f t="shared" si="178"/>
        <v/>
      </c>
      <c r="HC587" s="1154" t="str">
        <f t="shared" si="179"/>
        <v/>
      </c>
      <c r="HD587" s="1154" t="str">
        <f t="shared" si="180"/>
        <v/>
      </c>
      <c r="HE587" s="1154" t="str">
        <f t="shared" si="181"/>
        <v/>
      </c>
      <c r="HF587" s="1154" t="str">
        <f t="shared" si="182"/>
        <v/>
      </c>
      <c r="HG587" s="1154" t="str">
        <f t="shared" si="183"/>
        <v/>
      </c>
      <c r="HH587" s="1154" t="str">
        <f t="shared" si="184"/>
        <v/>
      </c>
      <c r="HI587" s="1154" t="str">
        <f t="shared" si="185"/>
        <v/>
      </c>
      <c r="HJ587" s="1154" t="str">
        <f t="shared" si="186"/>
        <v/>
      </c>
      <c r="HK587" s="1154" t="str">
        <f t="shared" si="187"/>
        <v/>
      </c>
      <c r="HL587" s="1154" t="str">
        <f t="shared" si="188"/>
        <v/>
      </c>
      <c r="HM587" s="1154" t="str">
        <f t="shared" si="189"/>
        <v/>
      </c>
      <c r="HN587" s="1154" t="str">
        <f t="shared" si="190"/>
        <v/>
      </c>
      <c r="HO587" s="1154" t="str">
        <f t="shared" si="191"/>
        <v/>
      </c>
      <c r="HP587" s="1154" t="str">
        <f t="shared" si="192"/>
        <v/>
      </c>
      <c r="HQ587" s="1154" t="str">
        <f t="shared" si="193"/>
        <v/>
      </c>
      <c r="HR587" s="1154" t="str">
        <f t="shared" si="194"/>
        <v/>
      </c>
      <c r="HS587" s="1154" t="str">
        <f t="shared" si="195"/>
        <v/>
      </c>
      <c r="HT587" s="1154" t="str">
        <f t="shared" si="196"/>
        <v/>
      </c>
      <c r="HU587" s="1154" t="str">
        <f t="shared" si="197"/>
        <v/>
      </c>
      <c r="HV587" s="1154" t="str">
        <f t="shared" si="198"/>
        <v/>
      </c>
      <c r="HW587" s="1154" t="str">
        <f t="shared" si="199"/>
        <v/>
      </c>
      <c r="HX587" s="1154" t="str">
        <f t="shared" si="200"/>
        <v/>
      </c>
      <c r="HY587" s="1681" t="str">
        <f t="shared" si="201"/>
        <v/>
      </c>
      <c r="HZ587" s="1681" t="str">
        <f t="shared" si="202"/>
        <v/>
      </c>
      <c r="IA587" s="1681" t="str">
        <f t="shared" si="203"/>
        <v/>
      </c>
      <c r="IB587" s="1681" t="str">
        <f t="shared" si="204"/>
        <v/>
      </c>
      <c r="IC587" s="1681" t="str">
        <f t="shared" si="205"/>
        <v/>
      </c>
      <c r="ID587" s="1681" t="str">
        <f t="shared" si="206"/>
        <v/>
      </c>
      <c r="IE587" s="1681" t="str">
        <f t="shared" si="207"/>
        <v/>
      </c>
      <c r="IF587" s="1681" t="str">
        <f t="shared" si="208"/>
        <v/>
      </c>
      <c r="IG587" s="1681" t="str">
        <f t="shared" si="209"/>
        <v/>
      </c>
      <c r="IH587" s="1681" t="str">
        <f t="shared" si="210"/>
        <v/>
      </c>
      <c r="II587" s="1681" t="str">
        <f t="shared" si="211"/>
        <v/>
      </c>
      <c r="IJ587" s="1681" t="str">
        <f t="shared" si="212"/>
        <v/>
      </c>
      <c r="IK587" s="1681" t="str">
        <f t="shared" si="213"/>
        <v/>
      </c>
      <c r="IL587" s="1681" t="str">
        <f t="shared" si="214"/>
        <v/>
      </c>
      <c r="IM587" s="1681" t="str">
        <f t="shared" si="215"/>
        <v/>
      </c>
      <c r="IN587" s="1681" t="str">
        <f t="shared" si="216"/>
        <v/>
      </c>
      <c r="IO587" s="1681" t="str">
        <f t="shared" si="217"/>
        <v/>
      </c>
      <c r="IP587" s="1681" t="str">
        <f t="shared" si="218"/>
        <v/>
      </c>
      <c r="IQ587" s="1681" t="str">
        <f t="shared" si="219"/>
        <v/>
      </c>
      <c r="IR587" s="1681" t="str">
        <f t="shared" si="220"/>
        <v/>
      </c>
      <c r="IS587" s="1681" t="str">
        <f t="shared" si="221"/>
        <v/>
      </c>
      <c r="IT587" s="1681" t="str">
        <f t="shared" si="222"/>
        <v/>
      </c>
      <c r="IU587" s="1681" t="str">
        <f t="shared" si="223"/>
        <v/>
      </c>
      <c r="IV587" s="1681" t="str">
        <f t="shared" si="224"/>
        <v/>
      </c>
      <c r="IW587" s="1681" t="str">
        <f t="shared" si="225"/>
        <v/>
      </c>
      <c r="IX587" s="1681" t="str">
        <f t="shared" si="226"/>
        <v/>
      </c>
      <c r="IY587" s="1681" t="str">
        <f t="shared" si="227"/>
        <v/>
      </c>
      <c r="IZ587" s="1681" t="str">
        <f t="shared" si="228"/>
        <v/>
      </c>
      <c r="JA587" s="1681" t="str">
        <f t="shared" si="229"/>
        <v/>
      </c>
      <c r="JB587" s="1681" t="str">
        <f t="shared" si="230"/>
        <v/>
      </c>
      <c r="JC587" s="1681" t="str">
        <f t="shared" si="231"/>
        <v/>
      </c>
      <c r="JD587" s="1681" t="str">
        <f t="shared" si="232"/>
        <v/>
      </c>
      <c r="JE587" s="1681" t="str">
        <f t="shared" si="233"/>
        <v/>
      </c>
      <c r="JF587" s="1681" t="str">
        <f t="shared" si="234"/>
        <v/>
      </c>
      <c r="JG587" s="1681" t="str">
        <f t="shared" si="235"/>
        <v/>
      </c>
      <c r="JH587" s="1681" t="str">
        <f t="shared" si="236"/>
        <v/>
      </c>
      <c r="JI587" s="1681" t="str">
        <f t="shared" si="237"/>
        <v/>
      </c>
      <c r="JJ587" s="1681" t="str">
        <f t="shared" si="238"/>
        <v/>
      </c>
      <c r="JK587" s="1681" t="str">
        <f t="shared" si="239"/>
        <v/>
      </c>
      <c r="JL587" s="1681" t="str">
        <f t="shared" si="240"/>
        <v/>
      </c>
      <c r="JM587" s="1681" t="str">
        <f t="shared" si="241"/>
        <v/>
      </c>
      <c r="JN587" s="1681" t="str">
        <f t="shared" si="242"/>
        <v/>
      </c>
      <c r="JO587" s="1681" t="str">
        <f t="shared" si="243"/>
        <v/>
      </c>
      <c r="JP587" s="1681" t="str">
        <f t="shared" si="244"/>
        <v/>
      </c>
      <c r="JQ587" s="1681" t="str">
        <f t="shared" si="245"/>
        <v/>
      </c>
      <c r="JR587" s="1681" t="str">
        <f t="shared" si="246"/>
        <v/>
      </c>
      <c r="JS587" s="1681" t="str">
        <f t="shared" si="247"/>
        <v/>
      </c>
      <c r="JT587" s="1681" t="str">
        <f t="shared" si="248"/>
        <v/>
      </c>
      <c r="JU587" s="1681" t="str">
        <f t="shared" si="249"/>
        <v/>
      </c>
      <c r="JV587" s="1681" t="str">
        <f t="shared" si="250"/>
        <v/>
      </c>
      <c r="JW587" s="1681" t="str">
        <f t="shared" si="251"/>
        <v/>
      </c>
      <c r="JX587" s="1681" t="str">
        <f t="shared" si="252"/>
        <v/>
      </c>
      <c r="JY587" s="1681" t="str">
        <f t="shared" si="253"/>
        <v/>
      </c>
      <c r="JZ587" s="1681" t="str">
        <f t="shared" si="254"/>
        <v/>
      </c>
      <c r="KA587" s="1681" t="str">
        <f t="shared" si="255"/>
        <v/>
      </c>
      <c r="KB587" s="1681" t="str">
        <f t="shared" si="256"/>
        <v/>
      </c>
      <c r="KC587" s="1681" t="str">
        <f t="shared" si="257"/>
        <v/>
      </c>
      <c r="KD587" s="1681" t="str">
        <f t="shared" si="258"/>
        <v/>
      </c>
      <c r="KE587" s="1681" t="str">
        <f t="shared" si="259"/>
        <v/>
      </c>
      <c r="KF587" s="1681" t="str">
        <f t="shared" si="260"/>
        <v/>
      </c>
      <c r="KG587" s="1681" t="str">
        <f t="shared" si="261"/>
        <v/>
      </c>
      <c r="KH587" s="1681" t="str">
        <f t="shared" si="262"/>
        <v/>
      </c>
      <c r="KI587" s="1681" t="str">
        <f t="shared" si="263"/>
        <v/>
      </c>
      <c r="KJ587" s="1681" t="str">
        <f t="shared" si="264"/>
        <v/>
      </c>
      <c r="KK587" s="1681" t="str">
        <f t="shared" si="265"/>
        <v/>
      </c>
      <c r="KL587" s="1681" t="str">
        <f t="shared" si="266"/>
        <v/>
      </c>
      <c r="KM587" s="1681" t="str">
        <f t="shared" si="267"/>
        <v/>
      </c>
      <c r="KN587" s="1681" t="str">
        <f t="shared" si="268"/>
        <v/>
      </c>
      <c r="KO587" s="1681" t="str">
        <f t="shared" si="269"/>
        <v/>
      </c>
      <c r="KP587" s="1681" t="str">
        <f t="shared" si="270"/>
        <v/>
      </c>
      <c r="KQ587" s="1681" t="str">
        <f t="shared" si="271"/>
        <v/>
      </c>
      <c r="KR587" s="1681" t="str">
        <f t="shared" si="272"/>
        <v/>
      </c>
      <c r="KS587" s="1681" t="str">
        <f t="shared" si="273"/>
        <v/>
      </c>
      <c r="KT587" s="1681" t="str">
        <f t="shared" si="274"/>
        <v/>
      </c>
      <c r="KU587" s="1681" t="str">
        <f t="shared" si="275"/>
        <v/>
      </c>
      <c r="KV587" s="1681" t="str">
        <f t="shared" si="276"/>
        <v/>
      </c>
      <c r="KW587" s="1681" t="str">
        <f t="shared" si="277"/>
        <v/>
      </c>
      <c r="KX587" s="1681" t="str">
        <f t="shared" si="278"/>
        <v/>
      </c>
      <c r="KY587" s="1681" t="str">
        <f t="shared" si="279"/>
        <v/>
      </c>
      <c r="KZ587" s="1681" t="str">
        <f t="shared" si="280"/>
        <v/>
      </c>
      <c r="LA587" s="1681" t="str">
        <f t="shared" si="281"/>
        <v/>
      </c>
      <c r="LB587" s="1681" t="str">
        <f t="shared" si="282"/>
        <v/>
      </c>
      <c r="LC587" s="1681" t="str">
        <f t="shared" si="283"/>
        <v/>
      </c>
      <c r="LD587" s="1681" t="str">
        <f t="shared" si="284"/>
        <v/>
      </c>
      <c r="LE587" s="1681" t="str">
        <f t="shared" si="285"/>
        <v/>
      </c>
      <c r="LF587" s="1525" t="str">
        <f t="shared" si="286"/>
        <v/>
      </c>
      <c r="LG587" s="1525" t="str">
        <f t="shared" si="287"/>
        <v/>
      </c>
      <c r="LH587" s="1525" t="str">
        <f t="shared" si="288"/>
        <v/>
      </c>
      <c r="LI587" s="1525" t="str">
        <f t="shared" si="289"/>
        <v/>
      </c>
      <c r="LJ587" s="1525" t="str">
        <f t="shared" si="290"/>
        <v/>
      </c>
      <c r="LK587" s="1154" t="str">
        <f t="shared" si="291"/>
        <v/>
      </c>
      <c r="LL587" s="1154" t="str">
        <f t="shared" si="292"/>
        <v/>
      </c>
      <c r="LM587" s="1154" t="str">
        <f t="shared" si="293"/>
        <v/>
      </c>
      <c r="LN587" s="1154" t="str">
        <f t="shared" si="294"/>
        <v/>
      </c>
      <c r="LO587" s="1154" t="str">
        <f t="shared" si="295"/>
        <v/>
      </c>
      <c r="LP587" s="1154" t="str">
        <f t="shared" si="296"/>
        <v/>
      </c>
      <c r="LQ587" s="1154" t="str">
        <f t="shared" si="297"/>
        <v/>
      </c>
      <c r="LR587" s="1154" t="str">
        <f t="shared" si="298"/>
        <v/>
      </c>
      <c r="LS587" s="1154" t="str">
        <f t="shared" si="299"/>
        <v/>
      </c>
      <c r="LT587" s="1154" t="str">
        <f t="shared" si="300"/>
        <v/>
      </c>
      <c r="LU587" s="1154" t="str">
        <f t="shared" si="301"/>
        <v/>
      </c>
      <c r="LV587" s="1154" t="str">
        <f t="shared" si="302"/>
        <v/>
      </c>
      <c r="LW587" s="1154" t="str">
        <f t="shared" si="303"/>
        <v/>
      </c>
      <c r="LX587" s="1154" t="str">
        <f t="shared" si="304"/>
        <v/>
      </c>
      <c r="LY587" s="1154" t="str">
        <f t="shared" si="305"/>
        <v/>
      </c>
      <c r="LZ587" s="1154" t="str">
        <f t="shared" si="306"/>
        <v/>
      </c>
      <c r="MA587" s="1154" t="str">
        <f t="shared" si="307"/>
        <v/>
      </c>
      <c r="MB587" s="1154" t="str">
        <f t="shared" si="308"/>
        <v/>
      </c>
      <c r="MC587" s="1154" t="str">
        <f t="shared" si="309"/>
        <v/>
      </c>
      <c r="MD587" s="1154" t="str">
        <f t="shared" si="310"/>
        <v/>
      </c>
      <c r="ME587" s="1525">
        <f t="shared" si="322"/>
        <v>0</v>
      </c>
      <c r="MF587" s="1525">
        <f t="shared" si="323"/>
        <v>0</v>
      </c>
      <c r="MG587" s="1525">
        <f t="shared" si="324"/>
        <v>0</v>
      </c>
      <c r="MH587" s="1525">
        <f t="shared" si="325"/>
        <v>0</v>
      </c>
      <c r="MI587" s="1525">
        <f t="shared" si="326"/>
        <v>0</v>
      </c>
      <c r="MJ587" s="1525">
        <f t="shared" si="327"/>
        <v>0</v>
      </c>
      <c r="MK587" s="1525">
        <f t="shared" si="328"/>
        <v>0</v>
      </c>
      <c r="ML587" s="1525">
        <f t="shared" si="329"/>
        <v>0</v>
      </c>
      <c r="MM587" s="1525">
        <f t="shared" si="330"/>
        <v>0</v>
      </c>
      <c r="MN587" s="1525">
        <f t="shared" si="331"/>
        <v>0</v>
      </c>
      <c r="MO587" s="1525">
        <f t="shared" si="332"/>
        <v>0</v>
      </c>
      <c r="MP587" s="1525">
        <f t="shared" si="333"/>
        <v>0</v>
      </c>
      <c r="MQ587" s="1525">
        <f t="shared" si="334"/>
        <v>0</v>
      </c>
      <c r="MR587" s="1525">
        <f t="shared" si="335"/>
        <v>0</v>
      </c>
      <c r="MS587" s="1525">
        <f t="shared" si="336"/>
        <v>0</v>
      </c>
    </row>
    <row r="588" spans="1:357" s="1154" customFormat="1" ht="12" customHeight="1">
      <c r="A588" s="1524" t="str">
        <f t="shared" si="1"/>
        <v/>
      </c>
      <c r="B588" s="1682">
        <f>'Part VI-Revenues &amp; Expenses'!B17</f>
        <v>30</v>
      </c>
      <c r="C588" s="1673">
        <f>'Part VI-Revenues &amp; Expenses'!C17</f>
        <v>0</v>
      </c>
      <c r="D588" s="1674">
        <f>'Part VI-Revenues &amp; Expenses'!D17</f>
        <v>0</v>
      </c>
      <c r="E588" s="1675">
        <f>'Part VI-Revenues &amp; Expenses'!E17</f>
        <v>0</v>
      </c>
      <c r="F588" s="1675">
        <f>'Part VI-Revenues &amp; Expenses'!F17</f>
        <v>0</v>
      </c>
      <c r="G588" s="1675">
        <f>'Part VI-Revenues &amp; Expenses'!G17</f>
        <v>0</v>
      </c>
      <c r="H588" s="1675">
        <f>'Part VI-Revenues &amp; Expenses'!H17</f>
        <v>0</v>
      </c>
      <c r="I588" s="1675">
        <f>'Part VI-Revenues &amp; Expenses'!I17</f>
        <v>0</v>
      </c>
      <c r="J588" s="1676">
        <f>'Part VI-Revenues &amp; Expenses'!J17</f>
        <v>0</v>
      </c>
      <c r="K588" s="1677">
        <f>'Part VI-Revenues &amp; Expenses'!K17</f>
        <v>0</v>
      </c>
      <c r="L588" s="1677">
        <f>'Part VI-Revenues &amp; Expenses'!L17</f>
        <v>0</v>
      </c>
      <c r="M588" s="1678">
        <f>'Part VI-Revenues &amp; Expenses'!M17</f>
        <v>0</v>
      </c>
      <c r="N588" s="1678">
        <f>'Part VI-Revenues &amp; Expenses'!N17</f>
        <v>0</v>
      </c>
      <c r="O588" s="1678">
        <f>'Part VI-Revenues &amp; Expenses'!O17</f>
        <v>0</v>
      </c>
      <c r="P588" s="1660">
        <f>'Part VI-Revenues &amp; Expenses'!P17</f>
        <v>0</v>
      </c>
      <c r="Q588" s="1679"/>
      <c r="R588" s="1680"/>
      <c r="S588" s="1679"/>
      <c r="T588" s="1680"/>
      <c r="U588" s="1519"/>
      <c r="V588" s="1519"/>
      <c r="W588" s="1154" t="str">
        <f t="shared" si="2"/>
        <v/>
      </c>
      <c r="X588" s="1154" t="str">
        <f t="shared" si="3"/>
        <v/>
      </c>
      <c r="Y588" s="1154" t="str">
        <f t="shared" si="4"/>
        <v/>
      </c>
      <c r="Z588" s="1154" t="str">
        <f t="shared" si="5"/>
        <v/>
      </c>
      <c r="AA588" s="1154" t="str">
        <f t="shared" si="6"/>
        <v/>
      </c>
      <c r="AB588" s="1154" t="str">
        <f t="shared" si="7"/>
        <v/>
      </c>
      <c r="AC588" s="1154" t="str">
        <f t="shared" si="8"/>
        <v/>
      </c>
      <c r="AD588" s="1154" t="str">
        <f t="shared" si="9"/>
        <v/>
      </c>
      <c r="AE588" s="1154" t="str">
        <f t="shared" si="10"/>
        <v/>
      </c>
      <c r="AF588" s="1154" t="str">
        <f t="shared" si="11"/>
        <v/>
      </c>
      <c r="AG588" s="1154" t="str">
        <f t="shared" si="12"/>
        <v/>
      </c>
      <c r="AH588" s="1154" t="str">
        <f t="shared" si="13"/>
        <v/>
      </c>
      <c r="AI588" s="1154" t="str">
        <f t="shared" si="14"/>
        <v/>
      </c>
      <c r="AJ588" s="1154" t="str">
        <f t="shared" si="15"/>
        <v/>
      </c>
      <c r="AK588" s="1154" t="str">
        <f t="shared" si="16"/>
        <v/>
      </c>
      <c r="AL588" s="1154" t="str">
        <f t="shared" si="17"/>
        <v/>
      </c>
      <c r="AM588" s="1154" t="str">
        <f t="shared" si="18"/>
        <v/>
      </c>
      <c r="AN588" s="1154" t="str">
        <f t="shared" si="19"/>
        <v/>
      </c>
      <c r="AO588" s="1154" t="str">
        <f t="shared" si="20"/>
        <v/>
      </c>
      <c r="AP588" s="1154" t="str">
        <f t="shared" si="21"/>
        <v/>
      </c>
      <c r="AQ588" s="1154" t="str">
        <f t="shared" si="22"/>
        <v/>
      </c>
      <c r="AR588" s="1154" t="str">
        <f t="shared" si="23"/>
        <v/>
      </c>
      <c r="AS588" s="1154" t="str">
        <f t="shared" si="24"/>
        <v/>
      </c>
      <c r="AT588" s="1154" t="str">
        <f t="shared" si="25"/>
        <v/>
      </c>
      <c r="AU588" s="1154" t="str">
        <f t="shared" si="26"/>
        <v/>
      </c>
      <c r="AV588" s="1154" t="str">
        <f t="shared" si="27"/>
        <v/>
      </c>
      <c r="AW588" s="1154" t="str">
        <f t="shared" si="28"/>
        <v/>
      </c>
      <c r="AX588" s="1154" t="str">
        <f t="shared" si="29"/>
        <v/>
      </c>
      <c r="AY588" s="1154" t="str">
        <f t="shared" si="30"/>
        <v/>
      </c>
      <c r="AZ588" s="1154" t="str">
        <f t="shared" si="31"/>
        <v/>
      </c>
      <c r="BA588" s="1154" t="str">
        <f t="shared" si="32"/>
        <v/>
      </c>
      <c r="BB588" s="1154" t="str">
        <f t="shared" si="33"/>
        <v/>
      </c>
      <c r="BC588" s="1154" t="str">
        <f t="shared" si="34"/>
        <v/>
      </c>
      <c r="BD588" s="1154" t="str">
        <f t="shared" si="35"/>
        <v/>
      </c>
      <c r="BE588" s="1154" t="str">
        <f t="shared" si="36"/>
        <v/>
      </c>
      <c r="BF588" s="1154" t="str">
        <f t="shared" si="37"/>
        <v/>
      </c>
      <c r="BG588" s="1154" t="str">
        <f t="shared" si="38"/>
        <v/>
      </c>
      <c r="BH588" s="1154" t="str">
        <f t="shared" si="39"/>
        <v/>
      </c>
      <c r="BI588" s="1154" t="str">
        <f t="shared" si="40"/>
        <v/>
      </c>
      <c r="BJ588" s="1154" t="str">
        <f t="shared" si="41"/>
        <v/>
      </c>
      <c r="BK588" s="1154" t="str">
        <f t="shared" si="42"/>
        <v/>
      </c>
      <c r="BL588" s="1154" t="str">
        <f t="shared" si="43"/>
        <v/>
      </c>
      <c r="BM588" s="1154" t="str">
        <f t="shared" si="44"/>
        <v/>
      </c>
      <c r="BN588" s="1154" t="str">
        <f t="shared" si="45"/>
        <v/>
      </c>
      <c r="BO588" s="1154" t="str">
        <f t="shared" si="46"/>
        <v/>
      </c>
      <c r="BP588" s="1154" t="str">
        <f t="shared" si="47"/>
        <v/>
      </c>
      <c r="BQ588" s="1154" t="str">
        <f t="shared" si="48"/>
        <v/>
      </c>
      <c r="BR588" s="1154" t="str">
        <f t="shared" si="49"/>
        <v/>
      </c>
      <c r="BS588" s="1154" t="str">
        <f t="shared" si="50"/>
        <v/>
      </c>
      <c r="BT588" s="1154" t="str">
        <f t="shared" si="51"/>
        <v/>
      </c>
      <c r="BU588" s="1154" t="str">
        <f t="shared" si="52"/>
        <v/>
      </c>
      <c r="BV588" s="1154" t="str">
        <f t="shared" si="53"/>
        <v/>
      </c>
      <c r="BW588" s="1154" t="str">
        <f t="shared" si="54"/>
        <v/>
      </c>
      <c r="BX588" s="1154" t="str">
        <f t="shared" si="55"/>
        <v/>
      </c>
      <c r="BY588" s="1154" t="str">
        <f t="shared" si="56"/>
        <v/>
      </c>
      <c r="BZ588" s="1154" t="str">
        <f t="shared" si="57"/>
        <v/>
      </c>
      <c r="CA588" s="1154" t="str">
        <f t="shared" si="58"/>
        <v/>
      </c>
      <c r="CB588" s="1154" t="str">
        <f t="shared" si="59"/>
        <v/>
      </c>
      <c r="CC588" s="1154" t="str">
        <f t="shared" si="60"/>
        <v/>
      </c>
      <c r="CD588" s="1154" t="str">
        <f t="shared" si="61"/>
        <v/>
      </c>
      <c r="CE588" s="1154" t="str">
        <f t="shared" si="62"/>
        <v/>
      </c>
      <c r="CF588" s="1154" t="str">
        <f t="shared" si="63"/>
        <v/>
      </c>
      <c r="CG588" s="1154" t="str">
        <f t="shared" si="64"/>
        <v/>
      </c>
      <c r="CH588" s="1154" t="str">
        <f t="shared" si="65"/>
        <v/>
      </c>
      <c r="CI588" s="1154" t="str">
        <f t="shared" si="66"/>
        <v/>
      </c>
      <c r="CJ588" s="1154" t="str">
        <f t="shared" si="67"/>
        <v/>
      </c>
      <c r="CK588" s="1154" t="str">
        <f t="shared" si="68"/>
        <v/>
      </c>
      <c r="CL588" s="1154" t="str">
        <f t="shared" si="69"/>
        <v/>
      </c>
      <c r="CM588" s="1154" t="str">
        <f t="shared" si="70"/>
        <v/>
      </c>
      <c r="CN588" s="1154" t="str">
        <f t="shared" si="71"/>
        <v/>
      </c>
      <c r="CO588" s="1154" t="str">
        <f t="shared" si="72"/>
        <v/>
      </c>
      <c r="CP588" s="1154" t="str">
        <f t="shared" si="73"/>
        <v/>
      </c>
      <c r="CQ588" s="1154" t="str">
        <f t="shared" si="74"/>
        <v/>
      </c>
      <c r="CR588" s="1154" t="str">
        <f t="shared" si="75"/>
        <v/>
      </c>
      <c r="CS588" s="1154" t="str">
        <f t="shared" si="76"/>
        <v/>
      </c>
      <c r="CT588" s="1154" t="str">
        <f t="shared" si="77"/>
        <v/>
      </c>
      <c r="CU588" s="1154" t="str">
        <f t="shared" si="78"/>
        <v/>
      </c>
      <c r="CV588" s="1154" t="str">
        <f t="shared" si="79"/>
        <v/>
      </c>
      <c r="CW588" s="1154" t="str">
        <f t="shared" si="80"/>
        <v/>
      </c>
      <c r="CX588" s="1154" t="str">
        <f t="shared" si="81"/>
        <v/>
      </c>
      <c r="CY588" s="1154" t="str">
        <f t="shared" si="82"/>
        <v/>
      </c>
      <c r="CZ588" s="1154" t="str">
        <f t="shared" si="83"/>
        <v/>
      </c>
      <c r="DA588" s="1154" t="str">
        <f t="shared" si="84"/>
        <v/>
      </c>
      <c r="DB588" s="1154" t="str">
        <f t="shared" si="85"/>
        <v/>
      </c>
      <c r="DC588" s="1154" t="str">
        <f t="shared" si="86"/>
        <v/>
      </c>
      <c r="DD588" s="1154" t="str">
        <f t="shared" si="87"/>
        <v/>
      </c>
      <c r="DE588" s="1154" t="str">
        <f t="shared" si="88"/>
        <v/>
      </c>
      <c r="DF588" s="1154" t="str">
        <f t="shared" si="89"/>
        <v/>
      </c>
      <c r="DG588" s="1154" t="str">
        <f t="shared" si="90"/>
        <v/>
      </c>
      <c r="DH588" s="1154" t="str">
        <f t="shared" si="91"/>
        <v/>
      </c>
      <c r="DI588" s="1154" t="str">
        <f t="shared" si="92"/>
        <v/>
      </c>
      <c r="DJ588" s="1154" t="str">
        <f t="shared" si="93"/>
        <v/>
      </c>
      <c r="DK588" s="1154" t="str">
        <f t="shared" si="94"/>
        <v/>
      </c>
      <c r="DL588" s="1154" t="str">
        <f t="shared" si="95"/>
        <v/>
      </c>
      <c r="DM588" s="1154" t="str">
        <f t="shared" si="96"/>
        <v/>
      </c>
      <c r="DN588" s="1154" t="str">
        <f t="shared" si="97"/>
        <v/>
      </c>
      <c r="DO588" s="1154" t="str">
        <f t="shared" si="98"/>
        <v/>
      </c>
      <c r="DP588" s="1154" t="str">
        <f t="shared" si="99"/>
        <v/>
      </c>
      <c r="DQ588" s="1154" t="str">
        <f t="shared" si="100"/>
        <v/>
      </c>
      <c r="DR588" s="1154" t="str">
        <f t="shared" si="101"/>
        <v/>
      </c>
      <c r="DS588" s="1154" t="str">
        <f t="shared" si="102"/>
        <v/>
      </c>
      <c r="DT588" s="1154" t="str">
        <f t="shared" si="103"/>
        <v/>
      </c>
      <c r="DU588" s="1154" t="str">
        <f t="shared" si="104"/>
        <v/>
      </c>
      <c r="DV588" s="1154" t="str">
        <f t="shared" si="105"/>
        <v/>
      </c>
      <c r="DW588" s="1154" t="str">
        <f t="shared" si="106"/>
        <v/>
      </c>
      <c r="DX588" s="1154" t="str">
        <f t="shared" si="107"/>
        <v/>
      </c>
      <c r="DY588" s="1154" t="str">
        <f t="shared" si="108"/>
        <v/>
      </c>
      <c r="DZ588" s="1154" t="str">
        <f t="shared" si="109"/>
        <v/>
      </c>
      <c r="EA588" s="1154" t="str">
        <f t="shared" si="110"/>
        <v/>
      </c>
      <c r="EB588" s="1154" t="str">
        <f t="shared" si="111"/>
        <v/>
      </c>
      <c r="EC588" s="1154" t="str">
        <f t="shared" si="112"/>
        <v/>
      </c>
      <c r="ED588" s="1154" t="str">
        <f t="shared" si="113"/>
        <v/>
      </c>
      <c r="EE588" s="1154" t="str">
        <f t="shared" si="114"/>
        <v/>
      </c>
      <c r="EF588" s="1154" t="str">
        <f t="shared" si="115"/>
        <v/>
      </c>
      <c r="EG588" s="1154" t="str">
        <f t="shared" si="311"/>
        <v/>
      </c>
      <c r="EH588" s="1154" t="str">
        <f t="shared" si="116"/>
        <v/>
      </c>
      <c r="EI588" s="1154" t="str">
        <f t="shared" si="117"/>
        <v/>
      </c>
      <c r="EJ588" s="1154" t="str">
        <f t="shared" si="118"/>
        <v/>
      </c>
      <c r="EK588" s="1154" t="str">
        <f t="shared" si="119"/>
        <v/>
      </c>
      <c r="EL588" s="1154" t="str">
        <f t="shared" si="120"/>
        <v/>
      </c>
      <c r="EM588" s="1154" t="str">
        <f t="shared" si="121"/>
        <v/>
      </c>
      <c r="EN588" s="1154" t="str">
        <f t="shared" si="122"/>
        <v/>
      </c>
      <c r="EO588" s="1154" t="str">
        <f t="shared" si="123"/>
        <v/>
      </c>
      <c r="EP588" s="1154" t="str">
        <f t="shared" si="124"/>
        <v/>
      </c>
      <c r="EQ588" s="1154" t="str">
        <f t="shared" si="125"/>
        <v/>
      </c>
      <c r="ER588" s="1154" t="str">
        <f t="shared" si="126"/>
        <v/>
      </c>
      <c r="ES588" s="1154" t="str">
        <f t="shared" si="127"/>
        <v/>
      </c>
      <c r="ET588" s="1154" t="str">
        <f t="shared" si="128"/>
        <v/>
      </c>
      <c r="EU588" s="1154" t="str">
        <f t="shared" si="129"/>
        <v/>
      </c>
      <c r="EV588" s="1154" t="str">
        <f t="shared" si="130"/>
        <v/>
      </c>
      <c r="EW588" s="1154" t="str">
        <f t="shared" si="312"/>
        <v/>
      </c>
      <c r="EX588" s="1154" t="str">
        <f t="shared" si="313"/>
        <v/>
      </c>
      <c r="EY588" s="1154" t="str">
        <f t="shared" si="314"/>
        <v/>
      </c>
      <c r="EZ588" s="1154" t="str">
        <f t="shared" si="315"/>
        <v/>
      </c>
      <c r="FA588" s="1154" t="str">
        <f t="shared" si="316"/>
        <v/>
      </c>
      <c r="FB588" s="1154" t="str">
        <f t="shared" si="131"/>
        <v/>
      </c>
      <c r="FC588" s="1154" t="str">
        <f t="shared" si="132"/>
        <v/>
      </c>
      <c r="FD588" s="1154" t="str">
        <f t="shared" si="133"/>
        <v/>
      </c>
      <c r="FE588" s="1154" t="str">
        <f t="shared" si="134"/>
        <v/>
      </c>
      <c r="FF588" s="1154" t="str">
        <f t="shared" si="135"/>
        <v/>
      </c>
      <c r="FG588" s="1154" t="str">
        <f t="shared" si="317"/>
        <v/>
      </c>
      <c r="FH588" s="1154" t="str">
        <f t="shared" si="318"/>
        <v/>
      </c>
      <c r="FI588" s="1154" t="str">
        <f t="shared" si="319"/>
        <v/>
      </c>
      <c r="FJ588" s="1154" t="str">
        <f t="shared" si="320"/>
        <v/>
      </c>
      <c r="FK588" s="1154" t="str">
        <f t="shared" si="321"/>
        <v/>
      </c>
      <c r="FL588" s="1154" t="str">
        <f t="shared" si="136"/>
        <v/>
      </c>
      <c r="FM588" s="1154" t="str">
        <f t="shared" si="137"/>
        <v/>
      </c>
      <c r="FN588" s="1154" t="str">
        <f t="shared" si="138"/>
        <v/>
      </c>
      <c r="FO588" s="1154" t="str">
        <f t="shared" si="139"/>
        <v/>
      </c>
      <c r="FP588" s="1154" t="str">
        <f t="shared" si="140"/>
        <v/>
      </c>
      <c r="FQ588" s="1154" t="str">
        <f t="shared" si="141"/>
        <v/>
      </c>
      <c r="FR588" s="1154" t="str">
        <f t="shared" si="142"/>
        <v/>
      </c>
      <c r="FS588" s="1154" t="str">
        <f t="shared" si="143"/>
        <v/>
      </c>
      <c r="FT588" s="1154" t="str">
        <f t="shared" si="144"/>
        <v/>
      </c>
      <c r="FU588" s="1154" t="str">
        <f t="shared" si="145"/>
        <v/>
      </c>
      <c r="FV588" s="1154" t="str">
        <f t="shared" si="146"/>
        <v/>
      </c>
      <c r="FW588" s="1154" t="str">
        <f t="shared" si="147"/>
        <v/>
      </c>
      <c r="FX588" s="1154" t="str">
        <f t="shared" si="148"/>
        <v/>
      </c>
      <c r="FY588" s="1154" t="str">
        <f t="shared" si="149"/>
        <v/>
      </c>
      <c r="FZ588" s="1154" t="str">
        <f t="shared" si="150"/>
        <v/>
      </c>
      <c r="GA588" s="1154" t="str">
        <f t="shared" si="151"/>
        <v/>
      </c>
      <c r="GB588" s="1154" t="str">
        <f t="shared" si="152"/>
        <v/>
      </c>
      <c r="GC588" s="1154" t="str">
        <f t="shared" si="153"/>
        <v/>
      </c>
      <c r="GD588" s="1154" t="str">
        <f t="shared" si="154"/>
        <v/>
      </c>
      <c r="GE588" s="1154" t="str">
        <f t="shared" si="155"/>
        <v/>
      </c>
      <c r="GF588" s="1154" t="str">
        <f t="shared" si="156"/>
        <v/>
      </c>
      <c r="GG588" s="1154" t="str">
        <f t="shared" si="157"/>
        <v/>
      </c>
      <c r="GH588" s="1154" t="str">
        <f t="shared" si="158"/>
        <v/>
      </c>
      <c r="GI588" s="1154" t="str">
        <f t="shared" si="159"/>
        <v/>
      </c>
      <c r="GJ588" s="1154" t="str">
        <f t="shared" si="160"/>
        <v/>
      </c>
      <c r="GK588" s="1154" t="str">
        <f t="shared" si="161"/>
        <v/>
      </c>
      <c r="GL588" s="1154" t="str">
        <f t="shared" si="162"/>
        <v/>
      </c>
      <c r="GM588" s="1154" t="str">
        <f t="shared" si="163"/>
        <v/>
      </c>
      <c r="GN588" s="1154" t="str">
        <f t="shared" si="164"/>
        <v/>
      </c>
      <c r="GO588" s="1154" t="str">
        <f t="shared" si="165"/>
        <v/>
      </c>
      <c r="GP588" s="1154" t="str">
        <f t="shared" si="166"/>
        <v/>
      </c>
      <c r="GQ588" s="1154" t="str">
        <f t="shared" si="167"/>
        <v/>
      </c>
      <c r="GR588" s="1154" t="str">
        <f t="shared" si="168"/>
        <v/>
      </c>
      <c r="GS588" s="1154" t="str">
        <f t="shared" si="169"/>
        <v/>
      </c>
      <c r="GT588" s="1154" t="str">
        <f t="shared" si="170"/>
        <v/>
      </c>
      <c r="GU588" s="1154" t="str">
        <f t="shared" si="171"/>
        <v/>
      </c>
      <c r="GV588" s="1154" t="str">
        <f t="shared" si="172"/>
        <v/>
      </c>
      <c r="GW588" s="1154" t="str">
        <f t="shared" si="173"/>
        <v/>
      </c>
      <c r="GX588" s="1154" t="str">
        <f t="shared" si="174"/>
        <v/>
      </c>
      <c r="GY588" s="1154" t="str">
        <f t="shared" si="175"/>
        <v/>
      </c>
      <c r="GZ588" s="1154" t="str">
        <f t="shared" si="176"/>
        <v/>
      </c>
      <c r="HA588" s="1154" t="str">
        <f t="shared" si="177"/>
        <v/>
      </c>
      <c r="HB588" s="1154" t="str">
        <f t="shared" si="178"/>
        <v/>
      </c>
      <c r="HC588" s="1154" t="str">
        <f t="shared" si="179"/>
        <v/>
      </c>
      <c r="HD588" s="1154" t="str">
        <f t="shared" si="180"/>
        <v/>
      </c>
      <c r="HE588" s="1154" t="str">
        <f t="shared" si="181"/>
        <v/>
      </c>
      <c r="HF588" s="1154" t="str">
        <f t="shared" si="182"/>
        <v/>
      </c>
      <c r="HG588" s="1154" t="str">
        <f t="shared" si="183"/>
        <v/>
      </c>
      <c r="HH588" s="1154" t="str">
        <f t="shared" si="184"/>
        <v/>
      </c>
      <c r="HI588" s="1154" t="str">
        <f t="shared" si="185"/>
        <v/>
      </c>
      <c r="HJ588" s="1154" t="str">
        <f t="shared" si="186"/>
        <v/>
      </c>
      <c r="HK588" s="1154" t="str">
        <f t="shared" si="187"/>
        <v/>
      </c>
      <c r="HL588" s="1154" t="str">
        <f t="shared" si="188"/>
        <v/>
      </c>
      <c r="HM588" s="1154" t="str">
        <f t="shared" si="189"/>
        <v/>
      </c>
      <c r="HN588" s="1154" t="str">
        <f t="shared" si="190"/>
        <v/>
      </c>
      <c r="HO588" s="1154" t="str">
        <f t="shared" si="191"/>
        <v/>
      </c>
      <c r="HP588" s="1154" t="str">
        <f t="shared" si="192"/>
        <v/>
      </c>
      <c r="HQ588" s="1154" t="str">
        <f t="shared" si="193"/>
        <v/>
      </c>
      <c r="HR588" s="1154" t="str">
        <f t="shared" si="194"/>
        <v/>
      </c>
      <c r="HS588" s="1154" t="str">
        <f t="shared" si="195"/>
        <v/>
      </c>
      <c r="HT588" s="1154" t="str">
        <f t="shared" si="196"/>
        <v/>
      </c>
      <c r="HU588" s="1154" t="str">
        <f t="shared" si="197"/>
        <v/>
      </c>
      <c r="HV588" s="1154" t="str">
        <f t="shared" si="198"/>
        <v/>
      </c>
      <c r="HW588" s="1154" t="str">
        <f t="shared" si="199"/>
        <v/>
      </c>
      <c r="HX588" s="1154" t="str">
        <f t="shared" si="200"/>
        <v/>
      </c>
      <c r="HY588" s="1681" t="str">
        <f t="shared" si="201"/>
        <v/>
      </c>
      <c r="HZ588" s="1681" t="str">
        <f t="shared" si="202"/>
        <v/>
      </c>
      <c r="IA588" s="1681" t="str">
        <f t="shared" si="203"/>
        <v/>
      </c>
      <c r="IB588" s="1681" t="str">
        <f t="shared" si="204"/>
        <v/>
      </c>
      <c r="IC588" s="1681" t="str">
        <f t="shared" si="205"/>
        <v/>
      </c>
      <c r="ID588" s="1681" t="str">
        <f t="shared" si="206"/>
        <v/>
      </c>
      <c r="IE588" s="1681" t="str">
        <f t="shared" si="207"/>
        <v/>
      </c>
      <c r="IF588" s="1681" t="str">
        <f t="shared" si="208"/>
        <v/>
      </c>
      <c r="IG588" s="1681" t="str">
        <f t="shared" si="209"/>
        <v/>
      </c>
      <c r="IH588" s="1681" t="str">
        <f t="shared" si="210"/>
        <v/>
      </c>
      <c r="II588" s="1681" t="str">
        <f t="shared" si="211"/>
        <v/>
      </c>
      <c r="IJ588" s="1681" t="str">
        <f t="shared" si="212"/>
        <v/>
      </c>
      <c r="IK588" s="1681" t="str">
        <f t="shared" si="213"/>
        <v/>
      </c>
      <c r="IL588" s="1681" t="str">
        <f t="shared" si="214"/>
        <v/>
      </c>
      <c r="IM588" s="1681" t="str">
        <f t="shared" si="215"/>
        <v/>
      </c>
      <c r="IN588" s="1681" t="str">
        <f t="shared" si="216"/>
        <v/>
      </c>
      <c r="IO588" s="1681" t="str">
        <f t="shared" si="217"/>
        <v/>
      </c>
      <c r="IP588" s="1681" t="str">
        <f t="shared" si="218"/>
        <v/>
      </c>
      <c r="IQ588" s="1681" t="str">
        <f t="shared" si="219"/>
        <v/>
      </c>
      <c r="IR588" s="1681" t="str">
        <f t="shared" si="220"/>
        <v/>
      </c>
      <c r="IS588" s="1681" t="str">
        <f t="shared" si="221"/>
        <v/>
      </c>
      <c r="IT588" s="1681" t="str">
        <f t="shared" si="222"/>
        <v/>
      </c>
      <c r="IU588" s="1681" t="str">
        <f t="shared" si="223"/>
        <v/>
      </c>
      <c r="IV588" s="1681" t="str">
        <f t="shared" si="224"/>
        <v/>
      </c>
      <c r="IW588" s="1681" t="str">
        <f t="shared" si="225"/>
        <v/>
      </c>
      <c r="IX588" s="1681" t="str">
        <f t="shared" si="226"/>
        <v/>
      </c>
      <c r="IY588" s="1681" t="str">
        <f t="shared" si="227"/>
        <v/>
      </c>
      <c r="IZ588" s="1681" t="str">
        <f t="shared" si="228"/>
        <v/>
      </c>
      <c r="JA588" s="1681" t="str">
        <f t="shared" si="229"/>
        <v/>
      </c>
      <c r="JB588" s="1681" t="str">
        <f t="shared" si="230"/>
        <v/>
      </c>
      <c r="JC588" s="1681" t="str">
        <f t="shared" si="231"/>
        <v/>
      </c>
      <c r="JD588" s="1681" t="str">
        <f t="shared" si="232"/>
        <v/>
      </c>
      <c r="JE588" s="1681" t="str">
        <f t="shared" si="233"/>
        <v/>
      </c>
      <c r="JF588" s="1681" t="str">
        <f t="shared" si="234"/>
        <v/>
      </c>
      <c r="JG588" s="1681" t="str">
        <f t="shared" si="235"/>
        <v/>
      </c>
      <c r="JH588" s="1681" t="str">
        <f t="shared" si="236"/>
        <v/>
      </c>
      <c r="JI588" s="1681" t="str">
        <f t="shared" si="237"/>
        <v/>
      </c>
      <c r="JJ588" s="1681" t="str">
        <f t="shared" si="238"/>
        <v/>
      </c>
      <c r="JK588" s="1681" t="str">
        <f t="shared" si="239"/>
        <v/>
      </c>
      <c r="JL588" s="1681" t="str">
        <f t="shared" si="240"/>
        <v/>
      </c>
      <c r="JM588" s="1681" t="str">
        <f t="shared" si="241"/>
        <v/>
      </c>
      <c r="JN588" s="1681" t="str">
        <f t="shared" si="242"/>
        <v/>
      </c>
      <c r="JO588" s="1681" t="str">
        <f t="shared" si="243"/>
        <v/>
      </c>
      <c r="JP588" s="1681" t="str">
        <f t="shared" si="244"/>
        <v/>
      </c>
      <c r="JQ588" s="1681" t="str">
        <f t="shared" si="245"/>
        <v/>
      </c>
      <c r="JR588" s="1681" t="str">
        <f t="shared" si="246"/>
        <v/>
      </c>
      <c r="JS588" s="1681" t="str">
        <f t="shared" si="247"/>
        <v/>
      </c>
      <c r="JT588" s="1681" t="str">
        <f t="shared" si="248"/>
        <v/>
      </c>
      <c r="JU588" s="1681" t="str">
        <f t="shared" si="249"/>
        <v/>
      </c>
      <c r="JV588" s="1681" t="str">
        <f t="shared" si="250"/>
        <v/>
      </c>
      <c r="JW588" s="1681" t="str">
        <f t="shared" si="251"/>
        <v/>
      </c>
      <c r="JX588" s="1681" t="str">
        <f t="shared" si="252"/>
        <v/>
      </c>
      <c r="JY588" s="1681" t="str">
        <f t="shared" si="253"/>
        <v/>
      </c>
      <c r="JZ588" s="1681" t="str">
        <f t="shared" si="254"/>
        <v/>
      </c>
      <c r="KA588" s="1681" t="str">
        <f t="shared" si="255"/>
        <v/>
      </c>
      <c r="KB588" s="1681" t="str">
        <f t="shared" si="256"/>
        <v/>
      </c>
      <c r="KC588" s="1681" t="str">
        <f t="shared" si="257"/>
        <v/>
      </c>
      <c r="KD588" s="1681" t="str">
        <f t="shared" si="258"/>
        <v/>
      </c>
      <c r="KE588" s="1681" t="str">
        <f t="shared" si="259"/>
        <v/>
      </c>
      <c r="KF588" s="1681" t="str">
        <f t="shared" si="260"/>
        <v/>
      </c>
      <c r="KG588" s="1681" t="str">
        <f t="shared" si="261"/>
        <v/>
      </c>
      <c r="KH588" s="1681" t="str">
        <f t="shared" si="262"/>
        <v/>
      </c>
      <c r="KI588" s="1681" t="str">
        <f t="shared" si="263"/>
        <v/>
      </c>
      <c r="KJ588" s="1681" t="str">
        <f t="shared" si="264"/>
        <v/>
      </c>
      <c r="KK588" s="1681" t="str">
        <f t="shared" si="265"/>
        <v/>
      </c>
      <c r="KL588" s="1681" t="str">
        <f t="shared" si="266"/>
        <v/>
      </c>
      <c r="KM588" s="1681" t="str">
        <f t="shared" si="267"/>
        <v/>
      </c>
      <c r="KN588" s="1681" t="str">
        <f t="shared" si="268"/>
        <v/>
      </c>
      <c r="KO588" s="1681" t="str">
        <f t="shared" si="269"/>
        <v/>
      </c>
      <c r="KP588" s="1681" t="str">
        <f t="shared" si="270"/>
        <v/>
      </c>
      <c r="KQ588" s="1681" t="str">
        <f t="shared" si="271"/>
        <v/>
      </c>
      <c r="KR588" s="1681" t="str">
        <f t="shared" si="272"/>
        <v/>
      </c>
      <c r="KS588" s="1681" t="str">
        <f t="shared" si="273"/>
        <v/>
      </c>
      <c r="KT588" s="1681" t="str">
        <f t="shared" si="274"/>
        <v/>
      </c>
      <c r="KU588" s="1681" t="str">
        <f t="shared" si="275"/>
        <v/>
      </c>
      <c r="KV588" s="1681" t="str">
        <f t="shared" si="276"/>
        <v/>
      </c>
      <c r="KW588" s="1681" t="str">
        <f t="shared" si="277"/>
        <v/>
      </c>
      <c r="KX588" s="1681" t="str">
        <f t="shared" si="278"/>
        <v/>
      </c>
      <c r="KY588" s="1681" t="str">
        <f t="shared" si="279"/>
        <v/>
      </c>
      <c r="KZ588" s="1681" t="str">
        <f t="shared" si="280"/>
        <v/>
      </c>
      <c r="LA588" s="1681" t="str">
        <f t="shared" si="281"/>
        <v/>
      </c>
      <c r="LB588" s="1681" t="str">
        <f t="shared" si="282"/>
        <v/>
      </c>
      <c r="LC588" s="1681" t="str">
        <f t="shared" si="283"/>
        <v/>
      </c>
      <c r="LD588" s="1681" t="str">
        <f t="shared" si="284"/>
        <v/>
      </c>
      <c r="LE588" s="1681" t="str">
        <f t="shared" si="285"/>
        <v/>
      </c>
      <c r="LF588" s="1525" t="str">
        <f t="shared" si="286"/>
        <v/>
      </c>
      <c r="LG588" s="1525" t="str">
        <f t="shared" si="287"/>
        <v/>
      </c>
      <c r="LH588" s="1525" t="str">
        <f t="shared" si="288"/>
        <v/>
      </c>
      <c r="LI588" s="1525" t="str">
        <f t="shared" si="289"/>
        <v/>
      </c>
      <c r="LJ588" s="1525" t="str">
        <f t="shared" si="290"/>
        <v/>
      </c>
      <c r="LK588" s="1154" t="str">
        <f t="shared" si="291"/>
        <v/>
      </c>
      <c r="LL588" s="1154" t="str">
        <f t="shared" si="292"/>
        <v/>
      </c>
      <c r="LM588" s="1154" t="str">
        <f t="shared" si="293"/>
        <v/>
      </c>
      <c r="LN588" s="1154" t="str">
        <f t="shared" si="294"/>
        <v/>
      </c>
      <c r="LO588" s="1154" t="str">
        <f t="shared" si="295"/>
        <v/>
      </c>
      <c r="LP588" s="1154" t="str">
        <f t="shared" si="296"/>
        <v/>
      </c>
      <c r="LQ588" s="1154" t="str">
        <f t="shared" si="297"/>
        <v/>
      </c>
      <c r="LR588" s="1154" t="str">
        <f t="shared" si="298"/>
        <v/>
      </c>
      <c r="LS588" s="1154" t="str">
        <f t="shared" si="299"/>
        <v/>
      </c>
      <c r="LT588" s="1154" t="str">
        <f t="shared" si="300"/>
        <v/>
      </c>
      <c r="LU588" s="1154" t="str">
        <f t="shared" si="301"/>
        <v/>
      </c>
      <c r="LV588" s="1154" t="str">
        <f t="shared" si="302"/>
        <v/>
      </c>
      <c r="LW588" s="1154" t="str">
        <f t="shared" si="303"/>
        <v/>
      </c>
      <c r="LX588" s="1154" t="str">
        <f t="shared" si="304"/>
        <v/>
      </c>
      <c r="LY588" s="1154" t="str">
        <f t="shared" si="305"/>
        <v/>
      </c>
      <c r="LZ588" s="1154" t="str">
        <f t="shared" si="306"/>
        <v/>
      </c>
      <c r="MA588" s="1154" t="str">
        <f t="shared" si="307"/>
        <v/>
      </c>
      <c r="MB588" s="1154" t="str">
        <f t="shared" si="308"/>
        <v/>
      </c>
      <c r="MC588" s="1154" t="str">
        <f t="shared" si="309"/>
        <v/>
      </c>
      <c r="MD588" s="1154" t="str">
        <f t="shared" si="310"/>
        <v/>
      </c>
      <c r="ME588" s="1525">
        <f t="shared" si="322"/>
        <v>0</v>
      </c>
      <c r="MF588" s="1525">
        <f t="shared" si="323"/>
        <v>0</v>
      </c>
      <c r="MG588" s="1525">
        <f t="shared" si="324"/>
        <v>0</v>
      </c>
      <c r="MH588" s="1525">
        <f t="shared" si="325"/>
        <v>0</v>
      </c>
      <c r="MI588" s="1525">
        <f t="shared" si="326"/>
        <v>0</v>
      </c>
      <c r="MJ588" s="1525">
        <f t="shared" si="327"/>
        <v>0</v>
      </c>
      <c r="MK588" s="1525">
        <f t="shared" si="328"/>
        <v>0</v>
      </c>
      <c r="ML588" s="1525">
        <f t="shared" si="329"/>
        <v>0</v>
      </c>
      <c r="MM588" s="1525">
        <f t="shared" si="330"/>
        <v>0</v>
      </c>
      <c r="MN588" s="1525">
        <f t="shared" si="331"/>
        <v>0</v>
      </c>
      <c r="MO588" s="1525">
        <f t="shared" si="332"/>
        <v>0</v>
      </c>
      <c r="MP588" s="1525">
        <f t="shared" si="333"/>
        <v>0</v>
      </c>
      <c r="MQ588" s="1525">
        <f t="shared" si="334"/>
        <v>0</v>
      </c>
      <c r="MR588" s="1525">
        <f t="shared" si="335"/>
        <v>0</v>
      </c>
      <c r="MS588" s="1525">
        <f t="shared" si="336"/>
        <v>0</v>
      </c>
    </row>
    <row r="589" spans="1:357" s="1154" customFormat="1" ht="12" customHeight="1">
      <c r="A589" s="1524" t="str">
        <f t="shared" si="1"/>
        <v/>
      </c>
      <c r="B589" s="1682">
        <f>'Part VI-Revenues &amp; Expenses'!B18</f>
        <v>30</v>
      </c>
      <c r="C589" s="1673">
        <f>'Part VI-Revenues &amp; Expenses'!C18</f>
        <v>0</v>
      </c>
      <c r="D589" s="1674">
        <f>'Part VI-Revenues &amp; Expenses'!D18</f>
        <v>0</v>
      </c>
      <c r="E589" s="1675">
        <f>'Part VI-Revenues &amp; Expenses'!E18</f>
        <v>0</v>
      </c>
      <c r="F589" s="1675">
        <f>'Part VI-Revenues &amp; Expenses'!F18</f>
        <v>0</v>
      </c>
      <c r="G589" s="1675">
        <f>'Part VI-Revenues &amp; Expenses'!G18</f>
        <v>0</v>
      </c>
      <c r="H589" s="1675">
        <f>'Part VI-Revenues &amp; Expenses'!H18</f>
        <v>0</v>
      </c>
      <c r="I589" s="1675">
        <f>'Part VI-Revenues &amp; Expenses'!I18</f>
        <v>0</v>
      </c>
      <c r="J589" s="1676">
        <f>'Part VI-Revenues &amp; Expenses'!J18</f>
        <v>0</v>
      </c>
      <c r="K589" s="1677">
        <f>'Part VI-Revenues &amp; Expenses'!K18</f>
        <v>0</v>
      </c>
      <c r="L589" s="1677">
        <f>'Part VI-Revenues &amp; Expenses'!L18</f>
        <v>0</v>
      </c>
      <c r="M589" s="1678">
        <f>'Part VI-Revenues &amp; Expenses'!M18</f>
        <v>0</v>
      </c>
      <c r="N589" s="1678">
        <f>'Part VI-Revenues &amp; Expenses'!N18</f>
        <v>0</v>
      </c>
      <c r="O589" s="1678">
        <f>'Part VI-Revenues &amp; Expenses'!O18</f>
        <v>0</v>
      </c>
      <c r="P589" s="1660">
        <f>'Part VI-Revenues &amp; Expenses'!P18</f>
        <v>0</v>
      </c>
      <c r="Q589" s="1679"/>
      <c r="R589" s="1680"/>
      <c r="S589" s="1679"/>
      <c r="T589" s="1680"/>
      <c r="U589" s="1519"/>
      <c r="V589" s="1519"/>
      <c r="W589" s="1154" t="str">
        <f t="shared" si="2"/>
        <v/>
      </c>
      <c r="X589" s="1154" t="str">
        <f t="shared" si="3"/>
        <v/>
      </c>
      <c r="Y589" s="1154" t="str">
        <f t="shared" si="4"/>
        <v/>
      </c>
      <c r="Z589" s="1154" t="str">
        <f t="shared" si="5"/>
        <v/>
      </c>
      <c r="AA589" s="1154" t="str">
        <f t="shared" si="6"/>
        <v/>
      </c>
      <c r="AB589" s="1154" t="str">
        <f t="shared" si="7"/>
        <v/>
      </c>
      <c r="AC589" s="1154" t="str">
        <f t="shared" si="8"/>
        <v/>
      </c>
      <c r="AD589" s="1154" t="str">
        <f t="shared" si="9"/>
        <v/>
      </c>
      <c r="AE589" s="1154" t="str">
        <f t="shared" si="10"/>
        <v/>
      </c>
      <c r="AF589" s="1154" t="str">
        <f t="shared" si="11"/>
        <v/>
      </c>
      <c r="AG589" s="1154" t="str">
        <f t="shared" si="12"/>
        <v/>
      </c>
      <c r="AH589" s="1154" t="str">
        <f t="shared" si="13"/>
        <v/>
      </c>
      <c r="AI589" s="1154" t="str">
        <f t="shared" si="14"/>
        <v/>
      </c>
      <c r="AJ589" s="1154" t="str">
        <f t="shared" si="15"/>
        <v/>
      </c>
      <c r="AK589" s="1154" t="str">
        <f t="shared" si="16"/>
        <v/>
      </c>
      <c r="AL589" s="1154" t="str">
        <f t="shared" si="17"/>
        <v/>
      </c>
      <c r="AM589" s="1154" t="str">
        <f t="shared" si="18"/>
        <v/>
      </c>
      <c r="AN589" s="1154" t="str">
        <f t="shared" si="19"/>
        <v/>
      </c>
      <c r="AO589" s="1154" t="str">
        <f t="shared" si="20"/>
        <v/>
      </c>
      <c r="AP589" s="1154" t="str">
        <f t="shared" si="21"/>
        <v/>
      </c>
      <c r="AQ589" s="1154" t="str">
        <f t="shared" si="22"/>
        <v/>
      </c>
      <c r="AR589" s="1154" t="str">
        <f t="shared" si="23"/>
        <v/>
      </c>
      <c r="AS589" s="1154" t="str">
        <f t="shared" si="24"/>
        <v/>
      </c>
      <c r="AT589" s="1154" t="str">
        <f t="shared" si="25"/>
        <v/>
      </c>
      <c r="AU589" s="1154" t="str">
        <f t="shared" si="26"/>
        <v/>
      </c>
      <c r="AV589" s="1154" t="str">
        <f t="shared" si="27"/>
        <v/>
      </c>
      <c r="AW589" s="1154" t="str">
        <f t="shared" si="28"/>
        <v/>
      </c>
      <c r="AX589" s="1154" t="str">
        <f t="shared" si="29"/>
        <v/>
      </c>
      <c r="AY589" s="1154" t="str">
        <f t="shared" si="30"/>
        <v/>
      </c>
      <c r="AZ589" s="1154" t="str">
        <f t="shared" si="31"/>
        <v/>
      </c>
      <c r="BA589" s="1154" t="str">
        <f t="shared" si="32"/>
        <v/>
      </c>
      <c r="BB589" s="1154" t="str">
        <f t="shared" si="33"/>
        <v/>
      </c>
      <c r="BC589" s="1154" t="str">
        <f t="shared" si="34"/>
        <v/>
      </c>
      <c r="BD589" s="1154" t="str">
        <f t="shared" si="35"/>
        <v/>
      </c>
      <c r="BE589" s="1154" t="str">
        <f t="shared" si="36"/>
        <v/>
      </c>
      <c r="BF589" s="1154" t="str">
        <f t="shared" si="37"/>
        <v/>
      </c>
      <c r="BG589" s="1154" t="str">
        <f t="shared" si="38"/>
        <v/>
      </c>
      <c r="BH589" s="1154" t="str">
        <f t="shared" si="39"/>
        <v/>
      </c>
      <c r="BI589" s="1154" t="str">
        <f t="shared" si="40"/>
        <v/>
      </c>
      <c r="BJ589" s="1154" t="str">
        <f t="shared" si="41"/>
        <v/>
      </c>
      <c r="BK589" s="1154" t="str">
        <f t="shared" si="42"/>
        <v/>
      </c>
      <c r="BL589" s="1154" t="str">
        <f t="shared" si="43"/>
        <v/>
      </c>
      <c r="BM589" s="1154" t="str">
        <f t="shared" si="44"/>
        <v/>
      </c>
      <c r="BN589" s="1154" t="str">
        <f t="shared" si="45"/>
        <v/>
      </c>
      <c r="BO589" s="1154" t="str">
        <f t="shared" si="46"/>
        <v/>
      </c>
      <c r="BP589" s="1154" t="str">
        <f t="shared" si="47"/>
        <v/>
      </c>
      <c r="BQ589" s="1154" t="str">
        <f t="shared" si="48"/>
        <v/>
      </c>
      <c r="BR589" s="1154" t="str">
        <f t="shared" si="49"/>
        <v/>
      </c>
      <c r="BS589" s="1154" t="str">
        <f t="shared" si="50"/>
        <v/>
      </c>
      <c r="BT589" s="1154" t="str">
        <f t="shared" si="51"/>
        <v/>
      </c>
      <c r="BU589" s="1154" t="str">
        <f t="shared" si="52"/>
        <v/>
      </c>
      <c r="BV589" s="1154" t="str">
        <f t="shared" si="53"/>
        <v/>
      </c>
      <c r="BW589" s="1154" t="str">
        <f t="shared" si="54"/>
        <v/>
      </c>
      <c r="BX589" s="1154" t="str">
        <f t="shared" si="55"/>
        <v/>
      </c>
      <c r="BY589" s="1154" t="str">
        <f t="shared" si="56"/>
        <v/>
      </c>
      <c r="BZ589" s="1154" t="str">
        <f t="shared" si="57"/>
        <v/>
      </c>
      <c r="CA589" s="1154" t="str">
        <f t="shared" si="58"/>
        <v/>
      </c>
      <c r="CB589" s="1154" t="str">
        <f t="shared" si="59"/>
        <v/>
      </c>
      <c r="CC589" s="1154" t="str">
        <f t="shared" si="60"/>
        <v/>
      </c>
      <c r="CD589" s="1154" t="str">
        <f t="shared" si="61"/>
        <v/>
      </c>
      <c r="CE589" s="1154" t="str">
        <f t="shared" si="62"/>
        <v/>
      </c>
      <c r="CF589" s="1154" t="str">
        <f t="shared" si="63"/>
        <v/>
      </c>
      <c r="CG589" s="1154" t="str">
        <f t="shared" si="64"/>
        <v/>
      </c>
      <c r="CH589" s="1154" t="str">
        <f t="shared" si="65"/>
        <v/>
      </c>
      <c r="CI589" s="1154" t="str">
        <f t="shared" si="66"/>
        <v/>
      </c>
      <c r="CJ589" s="1154" t="str">
        <f t="shared" si="67"/>
        <v/>
      </c>
      <c r="CK589" s="1154" t="str">
        <f t="shared" si="68"/>
        <v/>
      </c>
      <c r="CL589" s="1154" t="str">
        <f t="shared" si="69"/>
        <v/>
      </c>
      <c r="CM589" s="1154" t="str">
        <f t="shared" si="70"/>
        <v/>
      </c>
      <c r="CN589" s="1154" t="str">
        <f t="shared" si="71"/>
        <v/>
      </c>
      <c r="CO589" s="1154" t="str">
        <f t="shared" si="72"/>
        <v/>
      </c>
      <c r="CP589" s="1154" t="str">
        <f t="shared" si="73"/>
        <v/>
      </c>
      <c r="CQ589" s="1154" t="str">
        <f t="shared" si="74"/>
        <v/>
      </c>
      <c r="CR589" s="1154" t="str">
        <f t="shared" si="75"/>
        <v/>
      </c>
      <c r="CS589" s="1154" t="str">
        <f t="shared" si="76"/>
        <v/>
      </c>
      <c r="CT589" s="1154" t="str">
        <f t="shared" si="77"/>
        <v/>
      </c>
      <c r="CU589" s="1154" t="str">
        <f t="shared" si="78"/>
        <v/>
      </c>
      <c r="CV589" s="1154" t="str">
        <f t="shared" si="79"/>
        <v/>
      </c>
      <c r="CW589" s="1154" t="str">
        <f t="shared" si="80"/>
        <v/>
      </c>
      <c r="CX589" s="1154" t="str">
        <f t="shared" si="81"/>
        <v/>
      </c>
      <c r="CY589" s="1154" t="str">
        <f t="shared" si="82"/>
        <v/>
      </c>
      <c r="CZ589" s="1154" t="str">
        <f t="shared" si="83"/>
        <v/>
      </c>
      <c r="DA589" s="1154" t="str">
        <f t="shared" si="84"/>
        <v/>
      </c>
      <c r="DB589" s="1154" t="str">
        <f t="shared" si="85"/>
        <v/>
      </c>
      <c r="DC589" s="1154" t="str">
        <f t="shared" si="86"/>
        <v/>
      </c>
      <c r="DD589" s="1154" t="str">
        <f t="shared" si="87"/>
        <v/>
      </c>
      <c r="DE589" s="1154" t="str">
        <f t="shared" si="88"/>
        <v/>
      </c>
      <c r="DF589" s="1154" t="str">
        <f t="shared" si="89"/>
        <v/>
      </c>
      <c r="DG589" s="1154" t="str">
        <f t="shared" si="90"/>
        <v/>
      </c>
      <c r="DH589" s="1154" t="str">
        <f t="shared" si="91"/>
        <v/>
      </c>
      <c r="DI589" s="1154" t="str">
        <f t="shared" si="92"/>
        <v/>
      </c>
      <c r="DJ589" s="1154" t="str">
        <f t="shared" si="93"/>
        <v/>
      </c>
      <c r="DK589" s="1154" t="str">
        <f t="shared" si="94"/>
        <v/>
      </c>
      <c r="DL589" s="1154" t="str">
        <f t="shared" si="95"/>
        <v/>
      </c>
      <c r="DM589" s="1154" t="str">
        <f t="shared" si="96"/>
        <v/>
      </c>
      <c r="DN589" s="1154" t="str">
        <f t="shared" si="97"/>
        <v/>
      </c>
      <c r="DO589" s="1154" t="str">
        <f t="shared" si="98"/>
        <v/>
      </c>
      <c r="DP589" s="1154" t="str">
        <f t="shared" si="99"/>
        <v/>
      </c>
      <c r="DQ589" s="1154" t="str">
        <f t="shared" si="100"/>
        <v/>
      </c>
      <c r="DR589" s="1154" t="str">
        <f t="shared" si="101"/>
        <v/>
      </c>
      <c r="DS589" s="1154" t="str">
        <f t="shared" si="102"/>
        <v/>
      </c>
      <c r="DT589" s="1154" t="str">
        <f t="shared" si="103"/>
        <v/>
      </c>
      <c r="DU589" s="1154" t="str">
        <f t="shared" si="104"/>
        <v/>
      </c>
      <c r="DV589" s="1154" t="str">
        <f t="shared" si="105"/>
        <v/>
      </c>
      <c r="DW589" s="1154" t="str">
        <f t="shared" si="106"/>
        <v/>
      </c>
      <c r="DX589" s="1154" t="str">
        <f t="shared" si="107"/>
        <v/>
      </c>
      <c r="DY589" s="1154" t="str">
        <f t="shared" si="108"/>
        <v/>
      </c>
      <c r="DZ589" s="1154" t="str">
        <f t="shared" si="109"/>
        <v/>
      </c>
      <c r="EA589" s="1154" t="str">
        <f t="shared" si="110"/>
        <v/>
      </c>
      <c r="EB589" s="1154" t="str">
        <f t="shared" si="111"/>
        <v/>
      </c>
      <c r="EC589" s="1154" t="str">
        <f t="shared" si="112"/>
        <v/>
      </c>
      <c r="ED589" s="1154" t="str">
        <f t="shared" si="113"/>
        <v/>
      </c>
      <c r="EE589" s="1154" t="str">
        <f t="shared" si="114"/>
        <v/>
      </c>
      <c r="EF589" s="1154" t="str">
        <f t="shared" si="115"/>
        <v/>
      </c>
      <c r="EG589" s="1154" t="str">
        <f t="shared" si="311"/>
        <v/>
      </c>
      <c r="EH589" s="1154" t="str">
        <f t="shared" si="116"/>
        <v/>
      </c>
      <c r="EI589" s="1154" t="str">
        <f t="shared" si="117"/>
        <v/>
      </c>
      <c r="EJ589" s="1154" t="str">
        <f t="shared" si="118"/>
        <v/>
      </c>
      <c r="EK589" s="1154" t="str">
        <f t="shared" si="119"/>
        <v/>
      </c>
      <c r="EL589" s="1154" t="str">
        <f t="shared" si="120"/>
        <v/>
      </c>
      <c r="EM589" s="1154" t="str">
        <f t="shared" si="121"/>
        <v/>
      </c>
      <c r="EN589" s="1154" t="str">
        <f t="shared" si="122"/>
        <v/>
      </c>
      <c r="EO589" s="1154" t="str">
        <f t="shared" si="123"/>
        <v/>
      </c>
      <c r="EP589" s="1154" t="str">
        <f t="shared" si="124"/>
        <v/>
      </c>
      <c r="EQ589" s="1154" t="str">
        <f t="shared" si="125"/>
        <v/>
      </c>
      <c r="ER589" s="1154" t="str">
        <f t="shared" si="126"/>
        <v/>
      </c>
      <c r="ES589" s="1154" t="str">
        <f t="shared" si="127"/>
        <v/>
      </c>
      <c r="ET589" s="1154" t="str">
        <f t="shared" si="128"/>
        <v/>
      </c>
      <c r="EU589" s="1154" t="str">
        <f t="shared" si="129"/>
        <v/>
      </c>
      <c r="EV589" s="1154" t="str">
        <f t="shared" si="130"/>
        <v/>
      </c>
      <c r="EW589" s="1154" t="str">
        <f t="shared" si="312"/>
        <v/>
      </c>
      <c r="EX589" s="1154" t="str">
        <f t="shared" si="313"/>
        <v/>
      </c>
      <c r="EY589" s="1154" t="str">
        <f t="shared" si="314"/>
        <v/>
      </c>
      <c r="EZ589" s="1154" t="str">
        <f t="shared" si="315"/>
        <v/>
      </c>
      <c r="FA589" s="1154" t="str">
        <f t="shared" si="316"/>
        <v/>
      </c>
      <c r="FB589" s="1154" t="str">
        <f t="shared" si="131"/>
        <v/>
      </c>
      <c r="FC589" s="1154" t="str">
        <f t="shared" si="132"/>
        <v/>
      </c>
      <c r="FD589" s="1154" t="str">
        <f t="shared" si="133"/>
        <v/>
      </c>
      <c r="FE589" s="1154" t="str">
        <f t="shared" si="134"/>
        <v/>
      </c>
      <c r="FF589" s="1154" t="str">
        <f t="shared" si="135"/>
        <v/>
      </c>
      <c r="FG589" s="1154" t="str">
        <f t="shared" si="317"/>
        <v/>
      </c>
      <c r="FH589" s="1154" t="str">
        <f t="shared" si="318"/>
        <v/>
      </c>
      <c r="FI589" s="1154" t="str">
        <f t="shared" si="319"/>
        <v/>
      </c>
      <c r="FJ589" s="1154" t="str">
        <f t="shared" si="320"/>
        <v/>
      </c>
      <c r="FK589" s="1154" t="str">
        <f t="shared" si="321"/>
        <v/>
      </c>
      <c r="FL589" s="1154" t="str">
        <f t="shared" si="136"/>
        <v/>
      </c>
      <c r="FM589" s="1154" t="str">
        <f t="shared" si="137"/>
        <v/>
      </c>
      <c r="FN589" s="1154" t="str">
        <f t="shared" si="138"/>
        <v/>
      </c>
      <c r="FO589" s="1154" t="str">
        <f t="shared" si="139"/>
        <v/>
      </c>
      <c r="FP589" s="1154" t="str">
        <f t="shared" si="140"/>
        <v/>
      </c>
      <c r="FQ589" s="1154" t="str">
        <f t="shared" si="141"/>
        <v/>
      </c>
      <c r="FR589" s="1154" t="str">
        <f t="shared" si="142"/>
        <v/>
      </c>
      <c r="FS589" s="1154" t="str">
        <f t="shared" si="143"/>
        <v/>
      </c>
      <c r="FT589" s="1154" t="str">
        <f t="shared" si="144"/>
        <v/>
      </c>
      <c r="FU589" s="1154" t="str">
        <f t="shared" si="145"/>
        <v/>
      </c>
      <c r="FV589" s="1154" t="str">
        <f t="shared" si="146"/>
        <v/>
      </c>
      <c r="FW589" s="1154" t="str">
        <f t="shared" si="147"/>
        <v/>
      </c>
      <c r="FX589" s="1154" t="str">
        <f t="shared" si="148"/>
        <v/>
      </c>
      <c r="FY589" s="1154" t="str">
        <f t="shared" si="149"/>
        <v/>
      </c>
      <c r="FZ589" s="1154" t="str">
        <f t="shared" si="150"/>
        <v/>
      </c>
      <c r="GA589" s="1154" t="str">
        <f t="shared" si="151"/>
        <v/>
      </c>
      <c r="GB589" s="1154" t="str">
        <f t="shared" si="152"/>
        <v/>
      </c>
      <c r="GC589" s="1154" t="str">
        <f t="shared" si="153"/>
        <v/>
      </c>
      <c r="GD589" s="1154" t="str">
        <f t="shared" si="154"/>
        <v/>
      </c>
      <c r="GE589" s="1154" t="str">
        <f t="shared" si="155"/>
        <v/>
      </c>
      <c r="GF589" s="1154" t="str">
        <f t="shared" si="156"/>
        <v/>
      </c>
      <c r="GG589" s="1154" t="str">
        <f t="shared" si="157"/>
        <v/>
      </c>
      <c r="GH589" s="1154" t="str">
        <f t="shared" si="158"/>
        <v/>
      </c>
      <c r="GI589" s="1154" t="str">
        <f t="shared" si="159"/>
        <v/>
      </c>
      <c r="GJ589" s="1154" t="str">
        <f t="shared" si="160"/>
        <v/>
      </c>
      <c r="GK589" s="1154" t="str">
        <f t="shared" si="161"/>
        <v/>
      </c>
      <c r="GL589" s="1154" t="str">
        <f t="shared" si="162"/>
        <v/>
      </c>
      <c r="GM589" s="1154" t="str">
        <f t="shared" si="163"/>
        <v/>
      </c>
      <c r="GN589" s="1154" t="str">
        <f t="shared" si="164"/>
        <v/>
      </c>
      <c r="GO589" s="1154" t="str">
        <f t="shared" si="165"/>
        <v/>
      </c>
      <c r="GP589" s="1154" t="str">
        <f t="shared" si="166"/>
        <v/>
      </c>
      <c r="GQ589" s="1154" t="str">
        <f t="shared" si="167"/>
        <v/>
      </c>
      <c r="GR589" s="1154" t="str">
        <f t="shared" si="168"/>
        <v/>
      </c>
      <c r="GS589" s="1154" t="str">
        <f t="shared" si="169"/>
        <v/>
      </c>
      <c r="GT589" s="1154" t="str">
        <f t="shared" si="170"/>
        <v/>
      </c>
      <c r="GU589" s="1154" t="str">
        <f t="shared" si="171"/>
        <v/>
      </c>
      <c r="GV589" s="1154" t="str">
        <f t="shared" si="172"/>
        <v/>
      </c>
      <c r="GW589" s="1154" t="str">
        <f t="shared" si="173"/>
        <v/>
      </c>
      <c r="GX589" s="1154" t="str">
        <f t="shared" si="174"/>
        <v/>
      </c>
      <c r="GY589" s="1154" t="str">
        <f t="shared" si="175"/>
        <v/>
      </c>
      <c r="GZ589" s="1154" t="str">
        <f t="shared" si="176"/>
        <v/>
      </c>
      <c r="HA589" s="1154" t="str">
        <f t="shared" si="177"/>
        <v/>
      </c>
      <c r="HB589" s="1154" t="str">
        <f t="shared" si="178"/>
        <v/>
      </c>
      <c r="HC589" s="1154" t="str">
        <f t="shared" si="179"/>
        <v/>
      </c>
      <c r="HD589" s="1154" t="str">
        <f t="shared" si="180"/>
        <v/>
      </c>
      <c r="HE589" s="1154" t="str">
        <f t="shared" si="181"/>
        <v/>
      </c>
      <c r="HF589" s="1154" t="str">
        <f t="shared" si="182"/>
        <v/>
      </c>
      <c r="HG589" s="1154" t="str">
        <f t="shared" si="183"/>
        <v/>
      </c>
      <c r="HH589" s="1154" t="str">
        <f t="shared" si="184"/>
        <v/>
      </c>
      <c r="HI589" s="1154" t="str">
        <f t="shared" si="185"/>
        <v/>
      </c>
      <c r="HJ589" s="1154" t="str">
        <f t="shared" si="186"/>
        <v/>
      </c>
      <c r="HK589" s="1154" t="str">
        <f t="shared" si="187"/>
        <v/>
      </c>
      <c r="HL589" s="1154" t="str">
        <f t="shared" si="188"/>
        <v/>
      </c>
      <c r="HM589" s="1154" t="str">
        <f t="shared" si="189"/>
        <v/>
      </c>
      <c r="HN589" s="1154" t="str">
        <f t="shared" si="190"/>
        <v/>
      </c>
      <c r="HO589" s="1154" t="str">
        <f t="shared" si="191"/>
        <v/>
      </c>
      <c r="HP589" s="1154" t="str">
        <f t="shared" si="192"/>
        <v/>
      </c>
      <c r="HQ589" s="1154" t="str">
        <f t="shared" si="193"/>
        <v/>
      </c>
      <c r="HR589" s="1154" t="str">
        <f t="shared" si="194"/>
        <v/>
      </c>
      <c r="HS589" s="1154" t="str">
        <f t="shared" si="195"/>
        <v/>
      </c>
      <c r="HT589" s="1154" t="str">
        <f t="shared" si="196"/>
        <v/>
      </c>
      <c r="HU589" s="1154" t="str">
        <f t="shared" si="197"/>
        <v/>
      </c>
      <c r="HV589" s="1154" t="str">
        <f t="shared" si="198"/>
        <v/>
      </c>
      <c r="HW589" s="1154" t="str">
        <f t="shared" si="199"/>
        <v/>
      </c>
      <c r="HX589" s="1154" t="str">
        <f t="shared" si="200"/>
        <v/>
      </c>
      <c r="HY589" s="1681" t="str">
        <f t="shared" si="201"/>
        <v/>
      </c>
      <c r="HZ589" s="1681" t="str">
        <f t="shared" si="202"/>
        <v/>
      </c>
      <c r="IA589" s="1681" t="str">
        <f t="shared" si="203"/>
        <v/>
      </c>
      <c r="IB589" s="1681" t="str">
        <f t="shared" si="204"/>
        <v/>
      </c>
      <c r="IC589" s="1681" t="str">
        <f t="shared" si="205"/>
        <v/>
      </c>
      <c r="ID589" s="1681" t="str">
        <f t="shared" si="206"/>
        <v/>
      </c>
      <c r="IE589" s="1681" t="str">
        <f t="shared" si="207"/>
        <v/>
      </c>
      <c r="IF589" s="1681" t="str">
        <f t="shared" si="208"/>
        <v/>
      </c>
      <c r="IG589" s="1681" t="str">
        <f t="shared" si="209"/>
        <v/>
      </c>
      <c r="IH589" s="1681" t="str">
        <f t="shared" si="210"/>
        <v/>
      </c>
      <c r="II589" s="1681" t="str">
        <f t="shared" si="211"/>
        <v/>
      </c>
      <c r="IJ589" s="1681" t="str">
        <f t="shared" si="212"/>
        <v/>
      </c>
      <c r="IK589" s="1681" t="str">
        <f t="shared" si="213"/>
        <v/>
      </c>
      <c r="IL589" s="1681" t="str">
        <f t="shared" si="214"/>
        <v/>
      </c>
      <c r="IM589" s="1681" t="str">
        <f t="shared" si="215"/>
        <v/>
      </c>
      <c r="IN589" s="1681" t="str">
        <f t="shared" si="216"/>
        <v/>
      </c>
      <c r="IO589" s="1681" t="str">
        <f t="shared" si="217"/>
        <v/>
      </c>
      <c r="IP589" s="1681" t="str">
        <f t="shared" si="218"/>
        <v/>
      </c>
      <c r="IQ589" s="1681" t="str">
        <f t="shared" si="219"/>
        <v/>
      </c>
      <c r="IR589" s="1681" t="str">
        <f t="shared" si="220"/>
        <v/>
      </c>
      <c r="IS589" s="1681" t="str">
        <f t="shared" si="221"/>
        <v/>
      </c>
      <c r="IT589" s="1681" t="str">
        <f t="shared" si="222"/>
        <v/>
      </c>
      <c r="IU589" s="1681" t="str">
        <f t="shared" si="223"/>
        <v/>
      </c>
      <c r="IV589" s="1681" t="str">
        <f t="shared" si="224"/>
        <v/>
      </c>
      <c r="IW589" s="1681" t="str">
        <f t="shared" si="225"/>
        <v/>
      </c>
      <c r="IX589" s="1681" t="str">
        <f t="shared" si="226"/>
        <v/>
      </c>
      <c r="IY589" s="1681" t="str">
        <f t="shared" si="227"/>
        <v/>
      </c>
      <c r="IZ589" s="1681" t="str">
        <f t="shared" si="228"/>
        <v/>
      </c>
      <c r="JA589" s="1681" t="str">
        <f t="shared" si="229"/>
        <v/>
      </c>
      <c r="JB589" s="1681" t="str">
        <f t="shared" si="230"/>
        <v/>
      </c>
      <c r="JC589" s="1681" t="str">
        <f t="shared" si="231"/>
        <v/>
      </c>
      <c r="JD589" s="1681" t="str">
        <f t="shared" si="232"/>
        <v/>
      </c>
      <c r="JE589" s="1681" t="str">
        <f t="shared" si="233"/>
        <v/>
      </c>
      <c r="JF589" s="1681" t="str">
        <f t="shared" si="234"/>
        <v/>
      </c>
      <c r="JG589" s="1681" t="str">
        <f t="shared" si="235"/>
        <v/>
      </c>
      <c r="JH589" s="1681" t="str">
        <f t="shared" si="236"/>
        <v/>
      </c>
      <c r="JI589" s="1681" t="str">
        <f t="shared" si="237"/>
        <v/>
      </c>
      <c r="JJ589" s="1681" t="str">
        <f t="shared" si="238"/>
        <v/>
      </c>
      <c r="JK589" s="1681" t="str">
        <f t="shared" si="239"/>
        <v/>
      </c>
      <c r="JL589" s="1681" t="str">
        <f t="shared" si="240"/>
        <v/>
      </c>
      <c r="JM589" s="1681" t="str">
        <f t="shared" si="241"/>
        <v/>
      </c>
      <c r="JN589" s="1681" t="str">
        <f t="shared" si="242"/>
        <v/>
      </c>
      <c r="JO589" s="1681" t="str">
        <f t="shared" si="243"/>
        <v/>
      </c>
      <c r="JP589" s="1681" t="str">
        <f t="shared" si="244"/>
        <v/>
      </c>
      <c r="JQ589" s="1681" t="str">
        <f t="shared" si="245"/>
        <v/>
      </c>
      <c r="JR589" s="1681" t="str">
        <f t="shared" si="246"/>
        <v/>
      </c>
      <c r="JS589" s="1681" t="str">
        <f t="shared" si="247"/>
        <v/>
      </c>
      <c r="JT589" s="1681" t="str">
        <f t="shared" si="248"/>
        <v/>
      </c>
      <c r="JU589" s="1681" t="str">
        <f t="shared" si="249"/>
        <v/>
      </c>
      <c r="JV589" s="1681" t="str">
        <f t="shared" si="250"/>
        <v/>
      </c>
      <c r="JW589" s="1681" t="str">
        <f t="shared" si="251"/>
        <v/>
      </c>
      <c r="JX589" s="1681" t="str">
        <f t="shared" si="252"/>
        <v/>
      </c>
      <c r="JY589" s="1681" t="str">
        <f t="shared" si="253"/>
        <v/>
      </c>
      <c r="JZ589" s="1681" t="str">
        <f t="shared" si="254"/>
        <v/>
      </c>
      <c r="KA589" s="1681" t="str">
        <f t="shared" si="255"/>
        <v/>
      </c>
      <c r="KB589" s="1681" t="str">
        <f t="shared" si="256"/>
        <v/>
      </c>
      <c r="KC589" s="1681" t="str">
        <f t="shared" si="257"/>
        <v/>
      </c>
      <c r="KD589" s="1681" t="str">
        <f t="shared" si="258"/>
        <v/>
      </c>
      <c r="KE589" s="1681" t="str">
        <f t="shared" si="259"/>
        <v/>
      </c>
      <c r="KF589" s="1681" t="str">
        <f t="shared" si="260"/>
        <v/>
      </c>
      <c r="KG589" s="1681" t="str">
        <f t="shared" si="261"/>
        <v/>
      </c>
      <c r="KH589" s="1681" t="str">
        <f t="shared" si="262"/>
        <v/>
      </c>
      <c r="KI589" s="1681" t="str">
        <f t="shared" si="263"/>
        <v/>
      </c>
      <c r="KJ589" s="1681" t="str">
        <f t="shared" si="264"/>
        <v/>
      </c>
      <c r="KK589" s="1681" t="str">
        <f t="shared" si="265"/>
        <v/>
      </c>
      <c r="KL589" s="1681" t="str">
        <f t="shared" si="266"/>
        <v/>
      </c>
      <c r="KM589" s="1681" t="str">
        <f t="shared" si="267"/>
        <v/>
      </c>
      <c r="KN589" s="1681" t="str">
        <f t="shared" si="268"/>
        <v/>
      </c>
      <c r="KO589" s="1681" t="str">
        <f t="shared" si="269"/>
        <v/>
      </c>
      <c r="KP589" s="1681" t="str">
        <f t="shared" si="270"/>
        <v/>
      </c>
      <c r="KQ589" s="1681" t="str">
        <f t="shared" si="271"/>
        <v/>
      </c>
      <c r="KR589" s="1681" t="str">
        <f t="shared" si="272"/>
        <v/>
      </c>
      <c r="KS589" s="1681" t="str">
        <f t="shared" si="273"/>
        <v/>
      </c>
      <c r="KT589" s="1681" t="str">
        <f t="shared" si="274"/>
        <v/>
      </c>
      <c r="KU589" s="1681" t="str">
        <f t="shared" si="275"/>
        <v/>
      </c>
      <c r="KV589" s="1681" t="str">
        <f t="shared" si="276"/>
        <v/>
      </c>
      <c r="KW589" s="1681" t="str">
        <f t="shared" si="277"/>
        <v/>
      </c>
      <c r="KX589" s="1681" t="str">
        <f t="shared" si="278"/>
        <v/>
      </c>
      <c r="KY589" s="1681" t="str">
        <f t="shared" si="279"/>
        <v/>
      </c>
      <c r="KZ589" s="1681" t="str">
        <f t="shared" si="280"/>
        <v/>
      </c>
      <c r="LA589" s="1681" t="str">
        <f t="shared" si="281"/>
        <v/>
      </c>
      <c r="LB589" s="1681" t="str">
        <f t="shared" si="282"/>
        <v/>
      </c>
      <c r="LC589" s="1681" t="str">
        <f t="shared" si="283"/>
        <v/>
      </c>
      <c r="LD589" s="1681" t="str">
        <f t="shared" si="284"/>
        <v/>
      </c>
      <c r="LE589" s="1681" t="str">
        <f t="shared" si="285"/>
        <v/>
      </c>
      <c r="LF589" s="1525" t="str">
        <f t="shared" si="286"/>
        <v/>
      </c>
      <c r="LG589" s="1525" t="str">
        <f t="shared" si="287"/>
        <v/>
      </c>
      <c r="LH589" s="1525" t="str">
        <f t="shared" si="288"/>
        <v/>
      </c>
      <c r="LI589" s="1525" t="str">
        <f t="shared" si="289"/>
        <v/>
      </c>
      <c r="LJ589" s="1525" t="str">
        <f t="shared" si="290"/>
        <v/>
      </c>
      <c r="LK589" s="1154" t="str">
        <f t="shared" si="291"/>
        <v/>
      </c>
      <c r="LL589" s="1154" t="str">
        <f t="shared" si="292"/>
        <v/>
      </c>
      <c r="LM589" s="1154" t="str">
        <f t="shared" si="293"/>
        <v/>
      </c>
      <c r="LN589" s="1154" t="str">
        <f t="shared" si="294"/>
        <v/>
      </c>
      <c r="LO589" s="1154" t="str">
        <f t="shared" si="295"/>
        <v/>
      </c>
      <c r="LP589" s="1154" t="str">
        <f t="shared" si="296"/>
        <v/>
      </c>
      <c r="LQ589" s="1154" t="str">
        <f t="shared" si="297"/>
        <v/>
      </c>
      <c r="LR589" s="1154" t="str">
        <f t="shared" si="298"/>
        <v/>
      </c>
      <c r="LS589" s="1154" t="str">
        <f t="shared" si="299"/>
        <v/>
      </c>
      <c r="LT589" s="1154" t="str">
        <f t="shared" si="300"/>
        <v/>
      </c>
      <c r="LU589" s="1154" t="str">
        <f t="shared" si="301"/>
        <v/>
      </c>
      <c r="LV589" s="1154" t="str">
        <f t="shared" si="302"/>
        <v/>
      </c>
      <c r="LW589" s="1154" t="str">
        <f t="shared" si="303"/>
        <v/>
      </c>
      <c r="LX589" s="1154" t="str">
        <f t="shared" si="304"/>
        <v/>
      </c>
      <c r="LY589" s="1154" t="str">
        <f t="shared" si="305"/>
        <v/>
      </c>
      <c r="LZ589" s="1154" t="str">
        <f t="shared" si="306"/>
        <v/>
      </c>
      <c r="MA589" s="1154" t="str">
        <f t="shared" si="307"/>
        <v/>
      </c>
      <c r="MB589" s="1154" t="str">
        <f t="shared" si="308"/>
        <v/>
      </c>
      <c r="MC589" s="1154" t="str">
        <f t="shared" si="309"/>
        <v/>
      </c>
      <c r="MD589" s="1154" t="str">
        <f t="shared" si="310"/>
        <v/>
      </c>
      <c r="ME589" s="1525">
        <f t="shared" si="322"/>
        <v>0</v>
      </c>
      <c r="MF589" s="1525">
        <f t="shared" si="323"/>
        <v>0</v>
      </c>
      <c r="MG589" s="1525">
        <f t="shared" si="324"/>
        <v>0</v>
      </c>
      <c r="MH589" s="1525">
        <f t="shared" si="325"/>
        <v>0</v>
      </c>
      <c r="MI589" s="1525">
        <f t="shared" si="326"/>
        <v>0</v>
      </c>
      <c r="MJ589" s="1525">
        <f t="shared" si="327"/>
        <v>0</v>
      </c>
      <c r="MK589" s="1525">
        <f t="shared" si="328"/>
        <v>0</v>
      </c>
      <c r="ML589" s="1525">
        <f t="shared" si="329"/>
        <v>0</v>
      </c>
      <c r="MM589" s="1525">
        <f t="shared" si="330"/>
        <v>0</v>
      </c>
      <c r="MN589" s="1525">
        <f t="shared" si="331"/>
        <v>0</v>
      </c>
      <c r="MO589" s="1525">
        <f t="shared" si="332"/>
        <v>0</v>
      </c>
      <c r="MP589" s="1525">
        <f t="shared" si="333"/>
        <v>0</v>
      </c>
      <c r="MQ589" s="1525">
        <f t="shared" si="334"/>
        <v>0</v>
      </c>
      <c r="MR589" s="1525">
        <f t="shared" si="335"/>
        <v>0</v>
      </c>
      <c r="MS589" s="1525">
        <f t="shared" si="336"/>
        <v>0</v>
      </c>
    </row>
    <row r="590" spans="1:357" s="1154" customFormat="1" ht="12" customHeight="1">
      <c r="A590" s="1524" t="str">
        <f t="shared" si="1"/>
        <v/>
      </c>
      <c r="B590" s="1682">
        <f>'Part VI-Revenues &amp; Expenses'!B19</f>
        <v>30</v>
      </c>
      <c r="C590" s="1673">
        <f>'Part VI-Revenues &amp; Expenses'!C19</f>
        <v>0</v>
      </c>
      <c r="D590" s="1674">
        <f>'Part VI-Revenues &amp; Expenses'!D19</f>
        <v>0</v>
      </c>
      <c r="E590" s="1675">
        <f>'Part VI-Revenues &amp; Expenses'!E19</f>
        <v>0</v>
      </c>
      <c r="F590" s="1675">
        <f>'Part VI-Revenues &amp; Expenses'!F19</f>
        <v>0</v>
      </c>
      <c r="G590" s="1675">
        <f>'Part VI-Revenues &amp; Expenses'!G19</f>
        <v>0</v>
      </c>
      <c r="H590" s="1675">
        <f>'Part VI-Revenues &amp; Expenses'!H19</f>
        <v>0</v>
      </c>
      <c r="I590" s="1675">
        <f>'Part VI-Revenues &amp; Expenses'!I19</f>
        <v>0</v>
      </c>
      <c r="J590" s="1676">
        <f>'Part VI-Revenues &amp; Expenses'!J19</f>
        <v>0</v>
      </c>
      <c r="K590" s="1677">
        <f>'Part VI-Revenues &amp; Expenses'!K19</f>
        <v>0</v>
      </c>
      <c r="L590" s="1677">
        <f>'Part VI-Revenues &amp; Expenses'!L19</f>
        <v>0</v>
      </c>
      <c r="M590" s="1678">
        <f>'Part VI-Revenues &amp; Expenses'!M19</f>
        <v>0</v>
      </c>
      <c r="N590" s="1678">
        <f>'Part VI-Revenues &amp; Expenses'!N19</f>
        <v>0</v>
      </c>
      <c r="O590" s="1678">
        <f>'Part VI-Revenues &amp; Expenses'!O19</f>
        <v>0</v>
      </c>
      <c r="P590" s="1660">
        <f>'Part VI-Revenues &amp; Expenses'!P19</f>
        <v>0</v>
      </c>
      <c r="Q590" s="1679"/>
      <c r="R590" s="1680"/>
      <c r="S590" s="1679"/>
      <c r="T590" s="1680"/>
      <c r="U590" s="1519"/>
      <c r="V590" s="1519"/>
      <c r="W590" s="1154" t="str">
        <f t="shared" si="2"/>
        <v/>
      </c>
      <c r="X590" s="1154" t="str">
        <f t="shared" si="3"/>
        <v/>
      </c>
      <c r="Y590" s="1154" t="str">
        <f t="shared" si="4"/>
        <v/>
      </c>
      <c r="Z590" s="1154" t="str">
        <f t="shared" si="5"/>
        <v/>
      </c>
      <c r="AA590" s="1154" t="str">
        <f t="shared" si="6"/>
        <v/>
      </c>
      <c r="AB590" s="1154" t="str">
        <f t="shared" si="7"/>
        <v/>
      </c>
      <c r="AC590" s="1154" t="str">
        <f t="shared" si="8"/>
        <v/>
      </c>
      <c r="AD590" s="1154" t="str">
        <f t="shared" si="9"/>
        <v/>
      </c>
      <c r="AE590" s="1154" t="str">
        <f t="shared" si="10"/>
        <v/>
      </c>
      <c r="AF590" s="1154" t="str">
        <f t="shared" si="11"/>
        <v/>
      </c>
      <c r="AG590" s="1154" t="str">
        <f t="shared" si="12"/>
        <v/>
      </c>
      <c r="AH590" s="1154" t="str">
        <f t="shared" si="13"/>
        <v/>
      </c>
      <c r="AI590" s="1154" t="str">
        <f t="shared" si="14"/>
        <v/>
      </c>
      <c r="AJ590" s="1154" t="str">
        <f t="shared" si="15"/>
        <v/>
      </c>
      <c r="AK590" s="1154" t="str">
        <f t="shared" si="16"/>
        <v/>
      </c>
      <c r="AL590" s="1154" t="str">
        <f t="shared" si="17"/>
        <v/>
      </c>
      <c r="AM590" s="1154" t="str">
        <f t="shared" si="18"/>
        <v/>
      </c>
      <c r="AN590" s="1154" t="str">
        <f t="shared" si="19"/>
        <v/>
      </c>
      <c r="AO590" s="1154" t="str">
        <f t="shared" si="20"/>
        <v/>
      </c>
      <c r="AP590" s="1154" t="str">
        <f t="shared" si="21"/>
        <v/>
      </c>
      <c r="AQ590" s="1154" t="str">
        <f t="shared" si="22"/>
        <v/>
      </c>
      <c r="AR590" s="1154" t="str">
        <f t="shared" si="23"/>
        <v/>
      </c>
      <c r="AS590" s="1154" t="str">
        <f t="shared" si="24"/>
        <v/>
      </c>
      <c r="AT590" s="1154" t="str">
        <f t="shared" si="25"/>
        <v/>
      </c>
      <c r="AU590" s="1154" t="str">
        <f t="shared" si="26"/>
        <v/>
      </c>
      <c r="AV590" s="1154" t="str">
        <f t="shared" si="27"/>
        <v/>
      </c>
      <c r="AW590" s="1154" t="str">
        <f t="shared" si="28"/>
        <v/>
      </c>
      <c r="AX590" s="1154" t="str">
        <f t="shared" si="29"/>
        <v/>
      </c>
      <c r="AY590" s="1154" t="str">
        <f t="shared" si="30"/>
        <v/>
      </c>
      <c r="AZ590" s="1154" t="str">
        <f t="shared" si="31"/>
        <v/>
      </c>
      <c r="BA590" s="1154" t="str">
        <f t="shared" si="32"/>
        <v/>
      </c>
      <c r="BB590" s="1154" t="str">
        <f t="shared" si="33"/>
        <v/>
      </c>
      <c r="BC590" s="1154" t="str">
        <f t="shared" si="34"/>
        <v/>
      </c>
      <c r="BD590" s="1154" t="str">
        <f t="shared" si="35"/>
        <v/>
      </c>
      <c r="BE590" s="1154" t="str">
        <f t="shared" si="36"/>
        <v/>
      </c>
      <c r="BF590" s="1154" t="str">
        <f t="shared" si="37"/>
        <v/>
      </c>
      <c r="BG590" s="1154" t="str">
        <f t="shared" si="38"/>
        <v/>
      </c>
      <c r="BH590" s="1154" t="str">
        <f t="shared" si="39"/>
        <v/>
      </c>
      <c r="BI590" s="1154" t="str">
        <f t="shared" si="40"/>
        <v/>
      </c>
      <c r="BJ590" s="1154" t="str">
        <f t="shared" si="41"/>
        <v/>
      </c>
      <c r="BK590" s="1154" t="str">
        <f t="shared" si="42"/>
        <v/>
      </c>
      <c r="BL590" s="1154" t="str">
        <f t="shared" si="43"/>
        <v/>
      </c>
      <c r="BM590" s="1154" t="str">
        <f t="shared" si="44"/>
        <v/>
      </c>
      <c r="BN590" s="1154" t="str">
        <f t="shared" si="45"/>
        <v/>
      </c>
      <c r="BO590" s="1154" t="str">
        <f t="shared" si="46"/>
        <v/>
      </c>
      <c r="BP590" s="1154" t="str">
        <f t="shared" si="47"/>
        <v/>
      </c>
      <c r="BQ590" s="1154" t="str">
        <f t="shared" si="48"/>
        <v/>
      </c>
      <c r="BR590" s="1154" t="str">
        <f t="shared" si="49"/>
        <v/>
      </c>
      <c r="BS590" s="1154" t="str">
        <f t="shared" si="50"/>
        <v/>
      </c>
      <c r="BT590" s="1154" t="str">
        <f t="shared" si="51"/>
        <v/>
      </c>
      <c r="BU590" s="1154" t="str">
        <f t="shared" si="52"/>
        <v/>
      </c>
      <c r="BV590" s="1154" t="str">
        <f t="shared" si="53"/>
        <v/>
      </c>
      <c r="BW590" s="1154" t="str">
        <f t="shared" si="54"/>
        <v/>
      </c>
      <c r="BX590" s="1154" t="str">
        <f t="shared" si="55"/>
        <v/>
      </c>
      <c r="BY590" s="1154" t="str">
        <f t="shared" si="56"/>
        <v/>
      </c>
      <c r="BZ590" s="1154" t="str">
        <f t="shared" si="57"/>
        <v/>
      </c>
      <c r="CA590" s="1154" t="str">
        <f t="shared" si="58"/>
        <v/>
      </c>
      <c r="CB590" s="1154" t="str">
        <f t="shared" si="59"/>
        <v/>
      </c>
      <c r="CC590" s="1154" t="str">
        <f t="shared" si="60"/>
        <v/>
      </c>
      <c r="CD590" s="1154" t="str">
        <f t="shared" si="61"/>
        <v/>
      </c>
      <c r="CE590" s="1154" t="str">
        <f t="shared" si="62"/>
        <v/>
      </c>
      <c r="CF590" s="1154" t="str">
        <f t="shared" si="63"/>
        <v/>
      </c>
      <c r="CG590" s="1154" t="str">
        <f t="shared" si="64"/>
        <v/>
      </c>
      <c r="CH590" s="1154" t="str">
        <f t="shared" si="65"/>
        <v/>
      </c>
      <c r="CI590" s="1154" t="str">
        <f t="shared" si="66"/>
        <v/>
      </c>
      <c r="CJ590" s="1154" t="str">
        <f t="shared" si="67"/>
        <v/>
      </c>
      <c r="CK590" s="1154" t="str">
        <f t="shared" si="68"/>
        <v/>
      </c>
      <c r="CL590" s="1154" t="str">
        <f t="shared" si="69"/>
        <v/>
      </c>
      <c r="CM590" s="1154" t="str">
        <f t="shared" si="70"/>
        <v/>
      </c>
      <c r="CN590" s="1154" t="str">
        <f t="shared" si="71"/>
        <v/>
      </c>
      <c r="CO590" s="1154" t="str">
        <f t="shared" si="72"/>
        <v/>
      </c>
      <c r="CP590" s="1154" t="str">
        <f t="shared" si="73"/>
        <v/>
      </c>
      <c r="CQ590" s="1154" t="str">
        <f t="shared" si="74"/>
        <v/>
      </c>
      <c r="CR590" s="1154" t="str">
        <f t="shared" si="75"/>
        <v/>
      </c>
      <c r="CS590" s="1154" t="str">
        <f t="shared" si="76"/>
        <v/>
      </c>
      <c r="CT590" s="1154" t="str">
        <f t="shared" si="77"/>
        <v/>
      </c>
      <c r="CU590" s="1154" t="str">
        <f t="shared" si="78"/>
        <v/>
      </c>
      <c r="CV590" s="1154" t="str">
        <f t="shared" si="79"/>
        <v/>
      </c>
      <c r="CW590" s="1154" t="str">
        <f t="shared" si="80"/>
        <v/>
      </c>
      <c r="CX590" s="1154" t="str">
        <f t="shared" si="81"/>
        <v/>
      </c>
      <c r="CY590" s="1154" t="str">
        <f t="shared" si="82"/>
        <v/>
      </c>
      <c r="CZ590" s="1154" t="str">
        <f t="shared" si="83"/>
        <v/>
      </c>
      <c r="DA590" s="1154" t="str">
        <f t="shared" si="84"/>
        <v/>
      </c>
      <c r="DB590" s="1154" t="str">
        <f t="shared" si="85"/>
        <v/>
      </c>
      <c r="DC590" s="1154" t="str">
        <f t="shared" si="86"/>
        <v/>
      </c>
      <c r="DD590" s="1154" t="str">
        <f t="shared" si="87"/>
        <v/>
      </c>
      <c r="DE590" s="1154" t="str">
        <f t="shared" si="88"/>
        <v/>
      </c>
      <c r="DF590" s="1154" t="str">
        <f t="shared" si="89"/>
        <v/>
      </c>
      <c r="DG590" s="1154" t="str">
        <f t="shared" si="90"/>
        <v/>
      </c>
      <c r="DH590" s="1154" t="str">
        <f t="shared" si="91"/>
        <v/>
      </c>
      <c r="DI590" s="1154" t="str">
        <f t="shared" si="92"/>
        <v/>
      </c>
      <c r="DJ590" s="1154" t="str">
        <f t="shared" si="93"/>
        <v/>
      </c>
      <c r="DK590" s="1154" t="str">
        <f t="shared" si="94"/>
        <v/>
      </c>
      <c r="DL590" s="1154" t="str">
        <f t="shared" si="95"/>
        <v/>
      </c>
      <c r="DM590" s="1154" t="str">
        <f t="shared" si="96"/>
        <v/>
      </c>
      <c r="DN590" s="1154" t="str">
        <f t="shared" si="97"/>
        <v/>
      </c>
      <c r="DO590" s="1154" t="str">
        <f t="shared" si="98"/>
        <v/>
      </c>
      <c r="DP590" s="1154" t="str">
        <f t="shared" si="99"/>
        <v/>
      </c>
      <c r="DQ590" s="1154" t="str">
        <f t="shared" si="100"/>
        <v/>
      </c>
      <c r="DR590" s="1154" t="str">
        <f t="shared" si="101"/>
        <v/>
      </c>
      <c r="DS590" s="1154" t="str">
        <f t="shared" si="102"/>
        <v/>
      </c>
      <c r="DT590" s="1154" t="str">
        <f t="shared" si="103"/>
        <v/>
      </c>
      <c r="DU590" s="1154" t="str">
        <f t="shared" si="104"/>
        <v/>
      </c>
      <c r="DV590" s="1154" t="str">
        <f t="shared" si="105"/>
        <v/>
      </c>
      <c r="DW590" s="1154" t="str">
        <f t="shared" si="106"/>
        <v/>
      </c>
      <c r="DX590" s="1154" t="str">
        <f t="shared" si="107"/>
        <v/>
      </c>
      <c r="DY590" s="1154" t="str">
        <f t="shared" si="108"/>
        <v/>
      </c>
      <c r="DZ590" s="1154" t="str">
        <f t="shared" si="109"/>
        <v/>
      </c>
      <c r="EA590" s="1154" t="str">
        <f t="shared" si="110"/>
        <v/>
      </c>
      <c r="EB590" s="1154" t="str">
        <f t="shared" si="111"/>
        <v/>
      </c>
      <c r="EC590" s="1154" t="str">
        <f t="shared" si="112"/>
        <v/>
      </c>
      <c r="ED590" s="1154" t="str">
        <f t="shared" si="113"/>
        <v/>
      </c>
      <c r="EE590" s="1154" t="str">
        <f t="shared" si="114"/>
        <v/>
      </c>
      <c r="EF590" s="1154" t="str">
        <f t="shared" si="115"/>
        <v/>
      </c>
      <c r="EG590" s="1154" t="str">
        <f t="shared" si="311"/>
        <v/>
      </c>
      <c r="EH590" s="1154" t="str">
        <f t="shared" si="116"/>
        <v/>
      </c>
      <c r="EI590" s="1154" t="str">
        <f t="shared" si="117"/>
        <v/>
      </c>
      <c r="EJ590" s="1154" t="str">
        <f t="shared" si="118"/>
        <v/>
      </c>
      <c r="EK590" s="1154" t="str">
        <f t="shared" si="119"/>
        <v/>
      </c>
      <c r="EL590" s="1154" t="str">
        <f t="shared" si="120"/>
        <v/>
      </c>
      <c r="EM590" s="1154" t="str">
        <f t="shared" si="121"/>
        <v/>
      </c>
      <c r="EN590" s="1154" t="str">
        <f t="shared" si="122"/>
        <v/>
      </c>
      <c r="EO590" s="1154" t="str">
        <f t="shared" si="123"/>
        <v/>
      </c>
      <c r="EP590" s="1154" t="str">
        <f t="shared" si="124"/>
        <v/>
      </c>
      <c r="EQ590" s="1154" t="str">
        <f t="shared" si="125"/>
        <v/>
      </c>
      <c r="ER590" s="1154" t="str">
        <f t="shared" si="126"/>
        <v/>
      </c>
      <c r="ES590" s="1154" t="str">
        <f t="shared" si="127"/>
        <v/>
      </c>
      <c r="ET590" s="1154" t="str">
        <f t="shared" si="128"/>
        <v/>
      </c>
      <c r="EU590" s="1154" t="str">
        <f t="shared" si="129"/>
        <v/>
      </c>
      <c r="EV590" s="1154" t="str">
        <f t="shared" si="130"/>
        <v/>
      </c>
      <c r="EW590" s="1154" t="str">
        <f t="shared" si="312"/>
        <v/>
      </c>
      <c r="EX590" s="1154" t="str">
        <f t="shared" si="313"/>
        <v/>
      </c>
      <c r="EY590" s="1154" t="str">
        <f t="shared" si="314"/>
        <v/>
      </c>
      <c r="EZ590" s="1154" t="str">
        <f t="shared" si="315"/>
        <v/>
      </c>
      <c r="FA590" s="1154" t="str">
        <f t="shared" si="316"/>
        <v/>
      </c>
      <c r="FB590" s="1154" t="str">
        <f t="shared" si="131"/>
        <v/>
      </c>
      <c r="FC590" s="1154" t="str">
        <f t="shared" si="132"/>
        <v/>
      </c>
      <c r="FD590" s="1154" t="str">
        <f t="shared" si="133"/>
        <v/>
      </c>
      <c r="FE590" s="1154" t="str">
        <f t="shared" si="134"/>
        <v/>
      </c>
      <c r="FF590" s="1154" t="str">
        <f t="shared" si="135"/>
        <v/>
      </c>
      <c r="FG590" s="1154" t="str">
        <f t="shared" si="317"/>
        <v/>
      </c>
      <c r="FH590" s="1154" t="str">
        <f t="shared" si="318"/>
        <v/>
      </c>
      <c r="FI590" s="1154" t="str">
        <f t="shared" si="319"/>
        <v/>
      </c>
      <c r="FJ590" s="1154" t="str">
        <f t="shared" si="320"/>
        <v/>
      </c>
      <c r="FK590" s="1154" t="str">
        <f t="shared" si="321"/>
        <v/>
      </c>
      <c r="FL590" s="1154" t="str">
        <f t="shared" si="136"/>
        <v/>
      </c>
      <c r="FM590" s="1154" t="str">
        <f t="shared" si="137"/>
        <v/>
      </c>
      <c r="FN590" s="1154" t="str">
        <f t="shared" si="138"/>
        <v/>
      </c>
      <c r="FO590" s="1154" t="str">
        <f t="shared" si="139"/>
        <v/>
      </c>
      <c r="FP590" s="1154" t="str">
        <f t="shared" si="140"/>
        <v/>
      </c>
      <c r="FQ590" s="1154" t="str">
        <f t="shared" si="141"/>
        <v/>
      </c>
      <c r="FR590" s="1154" t="str">
        <f t="shared" si="142"/>
        <v/>
      </c>
      <c r="FS590" s="1154" t="str">
        <f t="shared" si="143"/>
        <v/>
      </c>
      <c r="FT590" s="1154" t="str">
        <f t="shared" si="144"/>
        <v/>
      </c>
      <c r="FU590" s="1154" t="str">
        <f t="shared" si="145"/>
        <v/>
      </c>
      <c r="FV590" s="1154" t="str">
        <f t="shared" si="146"/>
        <v/>
      </c>
      <c r="FW590" s="1154" t="str">
        <f t="shared" si="147"/>
        <v/>
      </c>
      <c r="FX590" s="1154" t="str">
        <f t="shared" si="148"/>
        <v/>
      </c>
      <c r="FY590" s="1154" t="str">
        <f t="shared" si="149"/>
        <v/>
      </c>
      <c r="FZ590" s="1154" t="str">
        <f t="shared" si="150"/>
        <v/>
      </c>
      <c r="GA590" s="1154" t="str">
        <f t="shared" si="151"/>
        <v/>
      </c>
      <c r="GB590" s="1154" t="str">
        <f t="shared" si="152"/>
        <v/>
      </c>
      <c r="GC590" s="1154" t="str">
        <f t="shared" si="153"/>
        <v/>
      </c>
      <c r="GD590" s="1154" t="str">
        <f t="shared" si="154"/>
        <v/>
      </c>
      <c r="GE590" s="1154" t="str">
        <f t="shared" si="155"/>
        <v/>
      </c>
      <c r="GF590" s="1154" t="str">
        <f t="shared" si="156"/>
        <v/>
      </c>
      <c r="GG590" s="1154" t="str">
        <f t="shared" si="157"/>
        <v/>
      </c>
      <c r="GH590" s="1154" t="str">
        <f t="shared" si="158"/>
        <v/>
      </c>
      <c r="GI590" s="1154" t="str">
        <f t="shared" si="159"/>
        <v/>
      </c>
      <c r="GJ590" s="1154" t="str">
        <f t="shared" si="160"/>
        <v/>
      </c>
      <c r="GK590" s="1154" t="str">
        <f t="shared" si="161"/>
        <v/>
      </c>
      <c r="GL590" s="1154" t="str">
        <f t="shared" si="162"/>
        <v/>
      </c>
      <c r="GM590" s="1154" t="str">
        <f t="shared" si="163"/>
        <v/>
      </c>
      <c r="GN590" s="1154" t="str">
        <f t="shared" si="164"/>
        <v/>
      </c>
      <c r="GO590" s="1154" t="str">
        <f t="shared" si="165"/>
        <v/>
      </c>
      <c r="GP590" s="1154" t="str">
        <f t="shared" si="166"/>
        <v/>
      </c>
      <c r="GQ590" s="1154" t="str">
        <f t="shared" si="167"/>
        <v/>
      </c>
      <c r="GR590" s="1154" t="str">
        <f t="shared" si="168"/>
        <v/>
      </c>
      <c r="GS590" s="1154" t="str">
        <f t="shared" si="169"/>
        <v/>
      </c>
      <c r="GT590" s="1154" t="str">
        <f t="shared" si="170"/>
        <v/>
      </c>
      <c r="GU590" s="1154" t="str">
        <f t="shared" si="171"/>
        <v/>
      </c>
      <c r="GV590" s="1154" t="str">
        <f t="shared" si="172"/>
        <v/>
      </c>
      <c r="GW590" s="1154" t="str">
        <f t="shared" si="173"/>
        <v/>
      </c>
      <c r="GX590" s="1154" t="str">
        <f t="shared" si="174"/>
        <v/>
      </c>
      <c r="GY590" s="1154" t="str">
        <f t="shared" si="175"/>
        <v/>
      </c>
      <c r="GZ590" s="1154" t="str">
        <f t="shared" si="176"/>
        <v/>
      </c>
      <c r="HA590" s="1154" t="str">
        <f t="shared" si="177"/>
        <v/>
      </c>
      <c r="HB590" s="1154" t="str">
        <f t="shared" si="178"/>
        <v/>
      </c>
      <c r="HC590" s="1154" t="str">
        <f t="shared" si="179"/>
        <v/>
      </c>
      <c r="HD590" s="1154" t="str">
        <f t="shared" si="180"/>
        <v/>
      </c>
      <c r="HE590" s="1154" t="str">
        <f t="shared" si="181"/>
        <v/>
      </c>
      <c r="HF590" s="1154" t="str">
        <f t="shared" si="182"/>
        <v/>
      </c>
      <c r="HG590" s="1154" t="str">
        <f t="shared" si="183"/>
        <v/>
      </c>
      <c r="HH590" s="1154" t="str">
        <f t="shared" si="184"/>
        <v/>
      </c>
      <c r="HI590" s="1154" t="str">
        <f t="shared" si="185"/>
        <v/>
      </c>
      <c r="HJ590" s="1154" t="str">
        <f t="shared" si="186"/>
        <v/>
      </c>
      <c r="HK590" s="1154" t="str">
        <f t="shared" si="187"/>
        <v/>
      </c>
      <c r="HL590" s="1154" t="str">
        <f t="shared" si="188"/>
        <v/>
      </c>
      <c r="HM590" s="1154" t="str">
        <f t="shared" si="189"/>
        <v/>
      </c>
      <c r="HN590" s="1154" t="str">
        <f t="shared" si="190"/>
        <v/>
      </c>
      <c r="HO590" s="1154" t="str">
        <f t="shared" si="191"/>
        <v/>
      </c>
      <c r="HP590" s="1154" t="str">
        <f t="shared" si="192"/>
        <v/>
      </c>
      <c r="HQ590" s="1154" t="str">
        <f t="shared" si="193"/>
        <v/>
      </c>
      <c r="HR590" s="1154" t="str">
        <f t="shared" si="194"/>
        <v/>
      </c>
      <c r="HS590" s="1154" t="str">
        <f t="shared" si="195"/>
        <v/>
      </c>
      <c r="HT590" s="1154" t="str">
        <f t="shared" si="196"/>
        <v/>
      </c>
      <c r="HU590" s="1154" t="str">
        <f t="shared" si="197"/>
        <v/>
      </c>
      <c r="HV590" s="1154" t="str">
        <f t="shared" si="198"/>
        <v/>
      </c>
      <c r="HW590" s="1154" t="str">
        <f t="shared" si="199"/>
        <v/>
      </c>
      <c r="HX590" s="1154" t="str">
        <f t="shared" si="200"/>
        <v/>
      </c>
      <c r="HY590" s="1681" t="str">
        <f t="shared" si="201"/>
        <v/>
      </c>
      <c r="HZ590" s="1681" t="str">
        <f t="shared" si="202"/>
        <v/>
      </c>
      <c r="IA590" s="1681" t="str">
        <f t="shared" si="203"/>
        <v/>
      </c>
      <c r="IB590" s="1681" t="str">
        <f t="shared" si="204"/>
        <v/>
      </c>
      <c r="IC590" s="1681" t="str">
        <f t="shared" si="205"/>
        <v/>
      </c>
      <c r="ID590" s="1681" t="str">
        <f t="shared" si="206"/>
        <v/>
      </c>
      <c r="IE590" s="1681" t="str">
        <f t="shared" si="207"/>
        <v/>
      </c>
      <c r="IF590" s="1681" t="str">
        <f t="shared" si="208"/>
        <v/>
      </c>
      <c r="IG590" s="1681" t="str">
        <f t="shared" si="209"/>
        <v/>
      </c>
      <c r="IH590" s="1681" t="str">
        <f t="shared" si="210"/>
        <v/>
      </c>
      <c r="II590" s="1681" t="str">
        <f t="shared" si="211"/>
        <v/>
      </c>
      <c r="IJ590" s="1681" t="str">
        <f t="shared" si="212"/>
        <v/>
      </c>
      <c r="IK590" s="1681" t="str">
        <f t="shared" si="213"/>
        <v/>
      </c>
      <c r="IL590" s="1681" t="str">
        <f t="shared" si="214"/>
        <v/>
      </c>
      <c r="IM590" s="1681" t="str">
        <f t="shared" si="215"/>
        <v/>
      </c>
      <c r="IN590" s="1681" t="str">
        <f t="shared" si="216"/>
        <v/>
      </c>
      <c r="IO590" s="1681" t="str">
        <f t="shared" si="217"/>
        <v/>
      </c>
      <c r="IP590" s="1681" t="str">
        <f t="shared" si="218"/>
        <v/>
      </c>
      <c r="IQ590" s="1681" t="str">
        <f t="shared" si="219"/>
        <v/>
      </c>
      <c r="IR590" s="1681" t="str">
        <f t="shared" si="220"/>
        <v/>
      </c>
      <c r="IS590" s="1681" t="str">
        <f t="shared" si="221"/>
        <v/>
      </c>
      <c r="IT590" s="1681" t="str">
        <f t="shared" si="222"/>
        <v/>
      </c>
      <c r="IU590" s="1681" t="str">
        <f t="shared" si="223"/>
        <v/>
      </c>
      <c r="IV590" s="1681" t="str">
        <f t="shared" si="224"/>
        <v/>
      </c>
      <c r="IW590" s="1681" t="str">
        <f t="shared" si="225"/>
        <v/>
      </c>
      <c r="IX590" s="1681" t="str">
        <f t="shared" si="226"/>
        <v/>
      </c>
      <c r="IY590" s="1681" t="str">
        <f t="shared" si="227"/>
        <v/>
      </c>
      <c r="IZ590" s="1681" t="str">
        <f t="shared" si="228"/>
        <v/>
      </c>
      <c r="JA590" s="1681" t="str">
        <f t="shared" si="229"/>
        <v/>
      </c>
      <c r="JB590" s="1681" t="str">
        <f t="shared" si="230"/>
        <v/>
      </c>
      <c r="JC590" s="1681" t="str">
        <f t="shared" si="231"/>
        <v/>
      </c>
      <c r="JD590" s="1681" t="str">
        <f t="shared" si="232"/>
        <v/>
      </c>
      <c r="JE590" s="1681" t="str">
        <f t="shared" si="233"/>
        <v/>
      </c>
      <c r="JF590" s="1681" t="str">
        <f t="shared" si="234"/>
        <v/>
      </c>
      <c r="JG590" s="1681" t="str">
        <f t="shared" si="235"/>
        <v/>
      </c>
      <c r="JH590" s="1681" t="str">
        <f t="shared" si="236"/>
        <v/>
      </c>
      <c r="JI590" s="1681" t="str">
        <f t="shared" si="237"/>
        <v/>
      </c>
      <c r="JJ590" s="1681" t="str">
        <f t="shared" si="238"/>
        <v/>
      </c>
      <c r="JK590" s="1681" t="str">
        <f t="shared" si="239"/>
        <v/>
      </c>
      <c r="JL590" s="1681" t="str">
        <f t="shared" si="240"/>
        <v/>
      </c>
      <c r="JM590" s="1681" t="str">
        <f t="shared" si="241"/>
        <v/>
      </c>
      <c r="JN590" s="1681" t="str">
        <f t="shared" si="242"/>
        <v/>
      </c>
      <c r="JO590" s="1681" t="str">
        <f t="shared" si="243"/>
        <v/>
      </c>
      <c r="JP590" s="1681" t="str">
        <f t="shared" si="244"/>
        <v/>
      </c>
      <c r="JQ590" s="1681" t="str">
        <f t="shared" si="245"/>
        <v/>
      </c>
      <c r="JR590" s="1681" t="str">
        <f t="shared" si="246"/>
        <v/>
      </c>
      <c r="JS590" s="1681" t="str">
        <f t="shared" si="247"/>
        <v/>
      </c>
      <c r="JT590" s="1681" t="str">
        <f t="shared" si="248"/>
        <v/>
      </c>
      <c r="JU590" s="1681" t="str">
        <f t="shared" si="249"/>
        <v/>
      </c>
      <c r="JV590" s="1681" t="str">
        <f t="shared" si="250"/>
        <v/>
      </c>
      <c r="JW590" s="1681" t="str">
        <f t="shared" si="251"/>
        <v/>
      </c>
      <c r="JX590" s="1681" t="str">
        <f t="shared" si="252"/>
        <v/>
      </c>
      <c r="JY590" s="1681" t="str">
        <f t="shared" si="253"/>
        <v/>
      </c>
      <c r="JZ590" s="1681" t="str">
        <f t="shared" si="254"/>
        <v/>
      </c>
      <c r="KA590" s="1681" t="str">
        <f t="shared" si="255"/>
        <v/>
      </c>
      <c r="KB590" s="1681" t="str">
        <f t="shared" si="256"/>
        <v/>
      </c>
      <c r="KC590" s="1681" t="str">
        <f t="shared" si="257"/>
        <v/>
      </c>
      <c r="KD590" s="1681" t="str">
        <f t="shared" si="258"/>
        <v/>
      </c>
      <c r="KE590" s="1681" t="str">
        <f t="shared" si="259"/>
        <v/>
      </c>
      <c r="KF590" s="1681" t="str">
        <f t="shared" si="260"/>
        <v/>
      </c>
      <c r="KG590" s="1681" t="str">
        <f t="shared" si="261"/>
        <v/>
      </c>
      <c r="KH590" s="1681" t="str">
        <f t="shared" si="262"/>
        <v/>
      </c>
      <c r="KI590" s="1681" t="str">
        <f t="shared" si="263"/>
        <v/>
      </c>
      <c r="KJ590" s="1681" t="str">
        <f t="shared" si="264"/>
        <v/>
      </c>
      <c r="KK590" s="1681" t="str">
        <f t="shared" si="265"/>
        <v/>
      </c>
      <c r="KL590" s="1681" t="str">
        <f t="shared" si="266"/>
        <v/>
      </c>
      <c r="KM590" s="1681" t="str">
        <f t="shared" si="267"/>
        <v/>
      </c>
      <c r="KN590" s="1681" t="str">
        <f t="shared" si="268"/>
        <v/>
      </c>
      <c r="KO590" s="1681" t="str">
        <f t="shared" si="269"/>
        <v/>
      </c>
      <c r="KP590" s="1681" t="str">
        <f t="shared" si="270"/>
        <v/>
      </c>
      <c r="KQ590" s="1681" t="str">
        <f t="shared" si="271"/>
        <v/>
      </c>
      <c r="KR590" s="1681" t="str">
        <f t="shared" si="272"/>
        <v/>
      </c>
      <c r="KS590" s="1681" t="str">
        <f t="shared" si="273"/>
        <v/>
      </c>
      <c r="KT590" s="1681" t="str">
        <f t="shared" si="274"/>
        <v/>
      </c>
      <c r="KU590" s="1681" t="str">
        <f t="shared" si="275"/>
        <v/>
      </c>
      <c r="KV590" s="1681" t="str">
        <f t="shared" si="276"/>
        <v/>
      </c>
      <c r="KW590" s="1681" t="str">
        <f t="shared" si="277"/>
        <v/>
      </c>
      <c r="KX590" s="1681" t="str">
        <f t="shared" si="278"/>
        <v/>
      </c>
      <c r="KY590" s="1681" t="str">
        <f t="shared" si="279"/>
        <v/>
      </c>
      <c r="KZ590" s="1681" t="str">
        <f t="shared" si="280"/>
        <v/>
      </c>
      <c r="LA590" s="1681" t="str">
        <f t="shared" si="281"/>
        <v/>
      </c>
      <c r="LB590" s="1681" t="str">
        <f t="shared" si="282"/>
        <v/>
      </c>
      <c r="LC590" s="1681" t="str">
        <f t="shared" si="283"/>
        <v/>
      </c>
      <c r="LD590" s="1681" t="str">
        <f t="shared" si="284"/>
        <v/>
      </c>
      <c r="LE590" s="1681" t="str">
        <f t="shared" si="285"/>
        <v/>
      </c>
      <c r="LF590" s="1525" t="str">
        <f t="shared" si="286"/>
        <v/>
      </c>
      <c r="LG590" s="1525" t="str">
        <f t="shared" si="287"/>
        <v/>
      </c>
      <c r="LH590" s="1525" t="str">
        <f t="shared" si="288"/>
        <v/>
      </c>
      <c r="LI590" s="1525" t="str">
        <f t="shared" si="289"/>
        <v/>
      </c>
      <c r="LJ590" s="1525" t="str">
        <f t="shared" si="290"/>
        <v/>
      </c>
      <c r="LK590" s="1154" t="str">
        <f t="shared" si="291"/>
        <v/>
      </c>
      <c r="LL590" s="1154" t="str">
        <f t="shared" si="292"/>
        <v/>
      </c>
      <c r="LM590" s="1154" t="str">
        <f t="shared" si="293"/>
        <v/>
      </c>
      <c r="LN590" s="1154" t="str">
        <f t="shared" si="294"/>
        <v/>
      </c>
      <c r="LO590" s="1154" t="str">
        <f t="shared" si="295"/>
        <v/>
      </c>
      <c r="LP590" s="1154" t="str">
        <f t="shared" si="296"/>
        <v/>
      </c>
      <c r="LQ590" s="1154" t="str">
        <f t="shared" si="297"/>
        <v/>
      </c>
      <c r="LR590" s="1154" t="str">
        <f t="shared" si="298"/>
        <v/>
      </c>
      <c r="LS590" s="1154" t="str">
        <f t="shared" si="299"/>
        <v/>
      </c>
      <c r="LT590" s="1154" t="str">
        <f t="shared" si="300"/>
        <v/>
      </c>
      <c r="LU590" s="1154" t="str">
        <f t="shared" si="301"/>
        <v/>
      </c>
      <c r="LV590" s="1154" t="str">
        <f t="shared" si="302"/>
        <v/>
      </c>
      <c r="LW590" s="1154" t="str">
        <f t="shared" si="303"/>
        <v/>
      </c>
      <c r="LX590" s="1154" t="str">
        <f t="shared" si="304"/>
        <v/>
      </c>
      <c r="LY590" s="1154" t="str">
        <f t="shared" si="305"/>
        <v/>
      </c>
      <c r="LZ590" s="1154" t="str">
        <f t="shared" si="306"/>
        <v/>
      </c>
      <c r="MA590" s="1154" t="str">
        <f t="shared" si="307"/>
        <v/>
      </c>
      <c r="MB590" s="1154" t="str">
        <f t="shared" si="308"/>
        <v/>
      </c>
      <c r="MC590" s="1154" t="str">
        <f t="shared" si="309"/>
        <v/>
      </c>
      <c r="MD590" s="1154" t="str">
        <f t="shared" si="310"/>
        <v/>
      </c>
      <c r="ME590" s="1525">
        <f t="shared" si="322"/>
        <v>0</v>
      </c>
      <c r="MF590" s="1525">
        <f t="shared" si="323"/>
        <v>0</v>
      </c>
      <c r="MG590" s="1525">
        <f t="shared" si="324"/>
        <v>0</v>
      </c>
      <c r="MH590" s="1525">
        <f t="shared" si="325"/>
        <v>0</v>
      </c>
      <c r="MI590" s="1525">
        <f t="shared" si="326"/>
        <v>0</v>
      </c>
      <c r="MJ590" s="1525">
        <f t="shared" si="327"/>
        <v>0</v>
      </c>
      <c r="MK590" s="1525">
        <f t="shared" si="328"/>
        <v>0</v>
      </c>
      <c r="ML590" s="1525">
        <f t="shared" si="329"/>
        <v>0</v>
      </c>
      <c r="MM590" s="1525">
        <f t="shared" si="330"/>
        <v>0</v>
      </c>
      <c r="MN590" s="1525">
        <f t="shared" si="331"/>
        <v>0</v>
      </c>
      <c r="MO590" s="1525">
        <f t="shared" si="332"/>
        <v>0</v>
      </c>
      <c r="MP590" s="1525">
        <f t="shared" si="333"/>
        <v>0</v>
      </c>
      <c r="MQ590" s="1525">
        <f t="shared" si="334"/>
        <v>0</v>
      </c>
      <c r="MR590" s="1525">
        <f t="shared" si="335"/>
        <v>0</v>
      </c>
      <c r="MS590" s="1525">
        <f t="shared" si="336"/>
        <v>0</v>
      </c>
    </row>
    <row r="591" spans="1:357" s="1154" customFormat="1" ht="12" customHeight="1">
      <c r="A591" s="1524" t="str">
        <f t="shared" si="1"/>
        <v/>
      </c>
      <c r="B591" s="1682">
        <f>'Part VI-Revenues &amp; Expenses'!B20</f>
        <v>60</v>
      </c>
      <c r="C591" s="1673">
        <f>'Part VI-Revenues &amp; Expenses'!C20</f>
        <v>0</v>
      </c>
      <c r="D591" s="1674">
        <f>'Part VI-Revenues &amp; Expenses'!D20</f>
        <v>0</v>
      </c>
      <c r="E591" s="1675">
        <f>'Part VI-Revenues &amp; Expenses'!E20</f>
        <v>0</v>
      </c>
      <c r="F591" s="1675">
        <f>'Part VI-Revenues &amp; Expenses'!F20</f>
        <v>0</v>
      </c>
      <c r="G591" s="1675">
        <f>'Part VI-Revenues &amp; Expenses'!G20</f>
        <v>0</v>
      </c>
      <c r="H591" s="1675">
        <f>'Part VI-Revenues &amp; Expenses'!H20</f>
        <v>0</v>
      </c>
      <c r="I591" s="1675">
        <f>'Part VI-Revenues &amp; Expenses'!I20</f>
        <v>0</v>
      </c>
      <c r="J591" s="1676">
        <f>'Part VI-Revenues &amp; Expenses'!J20</f>
        <v>0</v>
      </c>
      <c r="K591" s="1677">
        <f>'Part VI-Revenues &amp; Expenses'!K20</f>
        <v>0</v>
      </c>
      <c r="L591" s="1677">
        <f>'Part VI-Revenues &amp; Expenses'!L20</f>
        <v>0</v>
      </c>
      <c r="M591" s="1678">
        <f>'Part VI-Revenues &amp; Expenses'!M20</f>
        <v>0</v>
      </c>
      <c r="N591" s="1678">
        <f>'Part VI-Revenues &amp; Expenses'!N20</f>
        <v>0</v>
      </c>
      <c r="O591" s="1678">
        <f>'Part VI-Revenues &amp; Expenses'!O20</f>
        <v>0</v>
      </c>
      <c r="P591" s="1660">
        <f>'Part VI-Revenues &amp; Expenses'!P20</f>
        <v>0</v>
      </c>
      <c r="Q591" s="1679"/>
      <c r="R591" s="1680"/>
      <c r="S591" s="1679"/>
      <c r="T591" s="1680"/>
      <c r="U591" s="1519"/>
      <c r="V591" s="1519"/>
      <c r="W591" s="1154" t="str">
        <f t="shared" si="2"/>
        <v/>
      </c>
      <c r="X591" s="1154" t="str">
        <f t="shared" si="3"/>
        <v/>
      </c>
      <c r="Y591" s="1154" t="str">
        <f t="shared" si="4"/>
        <v/>
      </c>
      <c r="Z591" s="1154" t="str">
        <f t="shared" si="5"/>
        <v/>
      </c>
      <c r="AA591" s="1154" t="str">
        <f t="shared" si="6"/>
        <v/>
      </c>
      <c r="AB591" s="1154" t="str">
        <f t="shared" si="7"/>
        <v/>
      </c>
      <c r="AC591" s="1154" t="str">
        <f t="shared" si="8"/>
        <v/>
      </c>
      <c r="AD591" s="1154" t="str">
        <f t="shared" si="9"/>
        <v/>
      </c>
      <c r="AE591" s="1154" t="str">
        <f t="shared" si="10"/>
        <v/>
      </c>
      <c r="AF591" s="1154" t="str">
        <f t="shared" si="11"/>
        <v/>
      </c>
      <c r="AG591" s="1154" t="str">
        <f t="shared" si="12"/>
        <v/>
      </c>
      <c r="AH591" s="1154" t="str">
        <f t="shared" si="13"/>
        <v/>
      </c>
      <c r="AI591" s="1154" t="str">
        <f t="shared" si="14"/>
        <v/>
      </c>
      <c r="AJ591" s="1154" t="str">
        <f t="shared" si="15"/>
        <v/>
      </c>
      <c r="AK591" s="1154" t="str">
        <f t="shared" si="16"/>
        <v/>
      </c>
      <c r="AL591" s="1154" t="str">
        <f t="shared" si="17"/>
        <v/>
      </c>
      <c r="AM591" s="1154" t="str">
        <f t="shared" si="18"/>
        <v/>
      </c>
      <c r="AN591" s="1154" t="str">
        <f t="shared" si="19"/>
        <v/>
      </c>
      <c r="AO591" s="1154" t="str">
        <f t="shared" si="20"/>
        <v/>
      </c>
      <c r="AP591" s="1154" t="str">
        <f t="shared" si="21"/>
        <v/>
      </c>
      <c r="AQ591" s="1154" t="str">
        <f t="shared" si="22"/>
        <v/>
      </c>
      <c r="AR591" s="1154" t="str">
        <f t="shared" si="23"/>
        <v/>
      </c>
      <c r="AS591" s="1154" t="str">
        <f t="shared" si="24"/>
        <v/>
      </c>
      <c r="AT591" s="1154" t="str">
        <f t="shared" si="25"/>
        <v/>
      </c>
      <c r="AU591" s="1154" t="str">
        <f t="shared" si="26"/>
        <v/>
      </c>
      <c r="AV591" s="1154" t="str">
        <f t="shared" si="27"/>
        <v/>
      </c>
      <c r="AW591" s="1154" t="str">
        <f t="shared" si="28"/>
        <v/>
      </c>
      <c r="AX591" s="1154" t="str">
        <f t="shared" si="29"/>
        <v/>
      </c>
      <c r="AY591" s="1154" t="str">
        <f t="shared" si="30"/>
        <v/>
      </c>
      <c r="AZ591" s="1154" t="str">
        <f t="shared" si="31"/>
        <v/>
      </c>
      <c r="BA591" s="1154" t="str">
        <f t="shared" si="32"/>
        <v/>
      </c>
      <c r="BB591" s="1154" t="str">
        <f t="shared" si="33"/>
        <v/>
      </c>
      <c r="BC591" s="1154" t="str">
        <f t="shared" si="34"/>
        <v/>
      </c>
      <c r="BD591" s="1154" t="str">
        <f t="shared" si="35"/>
        <v/>
      </c>
      <c r="BE591" s="1154" t="str">
        <f t="shared" si="36"/>
        <v/>
      </c>
      <c r="BF591" s="1154" t="str">
        <f t="shared" si="37"/>
        <v/>
      </c>
      <c r="BG591" s="1154" t="str">
        <f t="shared" si="38"/>
        <v/>
      </c>
      <c r="BH591" s="1154" t="str">
        <f t="shared" si="39"/>
        <v/>
      </c>
      <c r="BI591" s="1154" t="str">
        <f t="shared" si="40"/>
        <v/>
      </c>
      <c r="BJ591" s="1154" t="str">
        <f t="shared" si="41"/>
        <v/>
      </c>
      <c r="BK591" s="1154" t="str">
        <f t="shared" si="42"/>
        <v/>
      </c>
      <c r="BL591" s="1154" t="str">
        <f t="shared" si="43"/>
        <v/>
      </c>
      <c r="BM591" s="1154" t="str">
        <f t="shared" si="44"/>
        <v/>
      </c>
      <c r="BN591" s="1154" t="str">
        <f t="shared" si="45"/>
        <v/>
      </c>
      <c r="BO591" s="1154" t="str">
        <f t="shared" si="46"/>
        <v/>
      </c>
      <c r="BP591" s="1154" t="str">
        <f t="shared" si="47"/>
        <v/>
      </c>
      <c r="BQ591" s="1154" t="str">
        <f t="shared" si="48"/>
        <v/>
      </c>
      <c r="BR591" s="1154" t="str">
        <f t="shared" si="49"/>
        <v/>
      </c>
      <c r="BS591" s="1154" t="str">
        <f t="shared" si="50"/>
        <v/>
      </c>
      <c r="BT591" s="1154" t="str">
        <f t="shared" si="51"/>
        <v/>
      </c>
      <c r="BU591" s="1154" t="str">
        <f t="shared" si="52"/>
        <v/>
      </c>
      <c r="BV591" s="1154" t="str">
        <f t="shared" si="53"/>
        <v/>
      </c>
      <c r="BW591" s="1154" t="str">
        <f t="shared" si="54"/>
        <v/>
      </c>
      <c r="BX591" s="1154" t="str">
        <f t="shared" si="55"/>
        <v/>
      </c>
      <c r="BY591" s="1154" t="str">
        <f t="shared" si="56"/>
        <v/>
      </c>
      <c r="BZ591" s="1154" t="str">
        <f t="shared" si="57"/>
        <v/>
      </c>
      <c r="CA591" s="1154" t="str">
        <f t="shared" si="58"/>
        <v/>
      </c>
      <c r="CB591" s="1154" t="str">
        <f t="shared" si="59"/>
        <v/>
      </c>
      <c r="CC591" s="1154" t="str">
        <f t="shared" si="60"/>
        <v/>
      </c>
      <c r="CD591" s="1154" t="str">
        <f t="shared" si="61"/>
        <v/>
      </c>
      <c r="CE591" s="1154" t="str">
        <f t="shared" si="62"/>
        <v/>
      </c>
      <c r="CF591" s="1154" t="str">
        <f t="shared" si="63"/>
        <v/>
      </c>
      <c r="CG591" s="1154" t="str">
        <f t="shared" si="64"/>
        <v/>
      </c>
      <c r="CH591" s="1154" t="str">
        <f t="shared" si="65"/>
        <v/>
      </c>
      <c r="CI591" s="1154" t="str">
        <f t="shared" si="66"/>
        <v/>
      </c>
      <c r="CJ591" s="1154" t="str">
        <f t="shared" si="67"/>
        <v/>
      </c>
      <c r="CK591" s="1154" t="str">
        <f t="shared" si="68"/>
        <v/>
      </c>
      <c r="CL591" s="1154" t="str">
        <f t="shared" si="69"/>
        <v/>
      </c>
      <c r="CM591" s="1154" t="str">
        <f t="shared" si="70"/>
        <v/>
      </c>
      <c r="CN591" s="1154" t="str">
        <f t="shared" si="71"/>
        <v/>
      </c>
      <c r="CO591" s="1154" t="str">
        <f t="shared" si="72"/>
        <v/>
      </c>
      <c r="CP591" s="1154" t="str">
        <f t="shared" si="73"/>
        <v/>
      </c>
      <c r="CQ591" s="1154" t="str">
        <f t="shared" si="74"/>
        <v/>
      </c>
      <c r="CR591" s="1154" t="str">
        <f t="shared" si="75"/>
        <v/>
      </c>
      <c r="CS591" s="1154" t="str">
        <f t="shared" si="76"/>
        <v/>
      </c>
      <c r="CT591" s="1154" t="str">
        <f t="shared" si="77"/>
        <v/>
      </c>
      <c r="CU591" s="1154" t="str">
        <f t="shared" si="78"/>
        <v/>
      </c>
      <c r="CV591" s="1154" t="str">
        <f t="shared" si="79"/>
        <v/>
      </c>
      <c r="CW591" s="1154" t="str">
        <f t="shared" si="80"/>
        <v/>
      </c>
      <c r="CX591" s="1154" t="str">
        <f t="shared" si="81"/>
        <v/>
      </c>
      <c r="CY591" s="1154" t="str">
        <f t="shared" si="82"/>
        <v/>
      </c>
      <c r="CZ591" s="1154" t="str">
        <f t="shared" si="83"/>
        <v/>
      </c>
      <c r="DA591" s="1154" t="str">
        <f t="shared" si="84"/>
        <v/>
      </c>
      <c r="DB591" s="1154" t="str">
        <f t="shared" si="85"/>
        <v/>
      </c>
      <c r="DC591" s="1154" t="str">
        <f t="shared" si="86"/>
        <v/>
      </c>
      <c r="DD591" s="1154" t="str">
        <f t="shared" si="87"/>
        <v/>
      </c>
      <c r="DE591" s="1154" t="str">
        <f t="shared" si="88"/>
        <v/>
      </c>
      <c r="DF591" s="1154" t="str">
        <f t="shared" si="89"/>
        <v/>
      </c>
      <c r="DG591" s="1154" t="str">
        <f t="shared" si="90"/>
        <v/>
      </c>
      <c r="DH591" s="1154" t="str">
        <f t="shared" si="91"/>
        <v/>
      </c>
      <c r="DI591" s="1154" t="str">
        <f t="shared" si="92"/>
        <v/>
      </c>
      <c r="DJ591" s="1154" t="str">
        <f t="shared" si="93"/>
        <v/>
      </c>
      <c r="DK591" s="1154" t="str">
        <f t="shared" si="94"/>
        <v/>
      </c>
      <c r="DL591" s="1154" t="str">
        <f t="shared" si="95"/>
        <v/>
      </c>
      <c r="DM591" s="1154" t="str">
        <f t="shared" si="96"/>
        <v/>
      </c>
      <c r="DN591" s="1154" t="str">
        <f t="shared" si="97"/>
        <v/>
      </c>
      <c r="DO591" s="1154" t="str">
        <f t="shared" si="98"/>
        <v/>
      </c>
      <c r="DP591" s="1154" t="str">
        <f t="shared" si="99"/>
        <v/>
      </c>
      <c r="DQ591" s="1154" t="str">
        <f t="shared" si="100"/>
        <v/>
      </c>
      <c r="DR591" s="1154" t="str">
        <f t="shared" si="101"/>
        <v/>
      </c>
      <c r="DS591" s="1154" t="str">
        <f t="shared" si="102"/>
        <v/>
      </c>
      <c r="DT591" s="1154" t="str">
        <f t="shared" si="103"/>
        <v/>
      </c>
      <c r="DU591" s="1154" t="str">
        <f t="shared" si="104"/>
        <v/>
      </c>
      <c r="DV591" s="1154" t="str">
        <f t="shared" si="105"/>
        <v/>
      </c>
      <c r="DW591" s="1154" t="str">
        <f t="shared" si="106"/>
        <v/>
      </c>
      <c r="DX591" s="1154" t="str">
        <f t="shared" si="107"/>
        <v/>
      </c>
      <c r="DY591" s="1154" t="str">
        <f t="shared" si="108"/>
        <v/>
      </c>
      <c r="DZ591" s="1154" t="str">
        <f t="shared" si="109"/>
        <v/>
      </c>
      <c r="EA591" s="1154" t="str">
        <f t="shared" si="110"/>
        <v/>
      </c>
      <c r="EB591" s="1154" t="str">
        <f t="shared" si="111"/>
        <v/>
      </c>
      <c r="EC591" s="1154" t="str">
        <f t="shared" si="112"/>
        <v/>
      </c>
      <c r="ED591" s="1154" t="str">
        <f t="shared" si="113"/>
        <v/>
      </c>
      <c r="EE591" s="1154" t="str">
        <f t="shared" si="114"/>
        <v/>
      </c>
      <c r="EF591" s="1154" t="str">
        <f t="shared" si="115"/>
        <v/>
      </c>
      <c r="EG591" s="1154" t="str">
        <f t="shared" si="311"/>
        <v/>
      </c>
      <c r="EH591" s="1154" t="str">
        <f t="shared" si="116"/>
        <v/>
      </c>
      <c r="EI591" s="1154" t="str">
        <f t="shared" si="117"/>
        <v/>
      </c>
      <c r="EJ591" s="1154" t="str">
        <f t="shared" si="118"/>
        <v/>
      </c>
      <c r="EK591" s="1154" t="str">
        <f t="shared" si="119"/>
        <v/>
      </c>
      <c r="EL591" s="1154" t="str">
        <f t="shared" si="120"/>
        <v/>
      </c>
      <c r="EM591" s="1154" t="str">
        <f t="shared" si="121"/>
        <v/>
      </c>
      <c r="EN591" s="1154" t="str">
        <f t="shared" si="122"/>
        <v/>
      </c>
      <c r="EO591" s="1154" t="str">
        <f t="shared" si="123"/>
        <v/>
      </c>
      <c r="EP591" s="1154" t="str">
        <f t="shared" si="124"/>
        <v/>
      </c>
      <c r="EQ591" s="1154" t="str">
        <f t="shared" si="125"/>
        <v/>
      </c>
      <c r="ER591" s="1154" t="str">
        <f t="shared" si="126"/>
        <v/>
      </c>
      <c r="ES591" s="1154" t="str">
        <f t="shared" si="127"/>
        <v/>
      </c>
      <c r="ET591" s="1154" t="str">
        <f t="shared" si="128"/>
        <v/>
      </c>
      <c r="EU591" s="1154" t="str">
        <f t="shared" si="129"/>
        <v/>
      </c>
      <c r="EV591" s="1154" t="str">
        <f t="shared" si="130"/>
        <v/>
      </c>
      <c r="EW591" s="1154" t="str">
        <f t="shared" si="312"/>
        <v/>
      </c>
      <c r="EX591" s="1154" t="str">
        <f t="shared" si="313"/>
        <v/>
      </c>
      <c r="EY591" s="1154" t="str">
        <f t="shared" si="314"/>
        <v/>
      </c>
      <c r="EZ591" s="1154" t="str">
        <f t="shared" si="315"/>
        <v/>
      </c>
      <c r="FA591" s="1154" t="str">
        <f t="shared" si="316"/>
        <v/>
      </c>
      <c r="FB591" s="1154" t="str">
        <f t="shared" si="131"/>
        <v/>
      </c>
      <c r="FC591" s="1154" t="str">
        <f t="shared" si="132"/>
        <v/>
      </c>
      <c r="FD591" s="1154" t="str">
        <f t="shared" si="133"/>
        <v/>
      </c>
      <c r="FE591" s="1154" t="str">
        <f t="shared" si="134"/>
        <v/>
      </c>
      <c r="FF591" s="1154" t="str">
        <f t="shared" si="135"/>
        <v/>
      </c>
      <c r="FG591" s="1154" t="str">
        <f t="shared" si="317"/>
        <v/>
      </c>
      <c r="FH591" s="1154" t="str">
        <f t="shared" si="318"/>
        <v/>
      </c>
      <c r="FI591" s="1154" t="str">
        <f t="shared" si="319"/>
        <v/>
      </c>
      <c r="FJ591" s="1154" t="str">
        <f t="shared" si="320"/>
        <v/>
      </c>
      <c r="FK591" s="1154" t="str">
        <f t="shared" si="321"/>
        <v/>
      </c>
      <c r="FL591" s="1154" t="str">
        <f t="shared" si="136"/>
        <v/>
      </c>
      <c r="FM591" s="1154" t="str">
        <f t="shared" si="137"/>
        <v/>
      </c>
      <c r="FN591" s="1154" t="str">
        <f t="shared" si="138"/>
        <v/>
      </c>
      <c r="FO591" s="1154" t="str">
        <f t="shared" si="139"/>
        <v/>
      </c>
      <c r="FP591" s="1154" t="str">
        <f t="shared" si="140"/>
        <v/>
      </c>
      <c r="FQ591" s="1154" t="str">
        <f t="shared" si="141"/>
        <v/>
      </c>
      <c r="FR591" s="1154" t="str">
        <f t="shared" si="142"/>
        <v/>
      </c>
      <c r="FS591" s="1154" t="str">
        <f t="shared" si="143"/>
        <v/>
      </c>
      <c r="FT591" s="1154" t="str">
        <f t="shared" si="144"/>
        <v/>
      </c>
      <c r="FU591" s="1154" t="str">
        <f t="shared" si="145"/>
        <v/>
      </c>
      <c r="FV591" s="1154" t="str">
        <f t="shared" si="146"/>
        <v/>
      </c>
      <c r="FW591" s="1154" t="str">
        <f t="shared" si="147"/>
        <v/>
      </c>
      <c r="FX591" s="1154" t="str">
        <f t="shared" si="148"/>
        <v/>
      </c>
      <c r="FY591" s="1154" t="str">
        <f t="shared" si="149"/>
        <v/>
      </c>
      <c r="FZ591" s="1154" t="str">
        <f t="shared" si="150"/>
        <v/>
      </c>
      <c r="GA591" s="1154" t="str">
        <f t="shared" si="151"/>
        <v/>
      </c>
      <c r="GB591" s="1154" t="str">
        <f t="shared" si="152"/>
        <v/>
      </c>
      <c r="GC591" s="1154" t="str">
        <f t="shared" si="153"/>
        <v/>
      </c>
      <c r="GD591" s="1154" t="str">
        <f t="shared" si="154"/>
        <v/>
      </c>
      <c r="GE591" s="1154" t="str">
        <f t="shared" si="155"/>
        <v/>
      </c>
      <c r="GF591" s="1154" t="str">
        <f t="shared" si="156"/>
        <v/>
      </c>
      <c r="GG591" s="1154" t="str">
        <f t="shared" si="157"/>
        <v/>
      </c>
      <c r="GH591" s="1154" t="str">
        <f t="shared" si="158"/>
        <v/>
      </c>
      <c r="GI591" s="1154" t="str">
        <f t="shared" si="159"/>
        <v/>
      </c>
      <c r="GJ591" s="1154" t="str">
        <f t="shared" si="160"/>
        <v/>
      </c>
      <c r="GK591" s="1154" t="str">
        <f t="shared" si="161"/>
        <v/>
      </c>
      <c r="GL591" s="1154" t="str">
        <f t="shared" si="162"/>
        <v/>
      </c>
      <c r="GM591" s="1154" t="str">
        <f t="shared" si="163"/>
        <v/>
      </c>
      <c r="GN591" s="1154" t="str">
        <f t="shared" si="164"/>
        <v/>
      </c>
      <c r="GO591" s="1154" t="str">
        <f t="shared" si="165"/>
        <v/>
      </c>
      <c r="GP591" s="1154" t="str">
        <f t="shared" si="166"/>
        <v/>
      </c>
      <c r="GQ591" s="1154" t="str">
        <f t="shared" si="167"/>
        <v/>
      </c>
      <c r="GR591" s="1154" t="str">
        <f t="shared" si="168"/>
        <v/>
      </c>
      <c r="GS591" s="1154" t="str">
        <f t="shared" si="169"/>
        <v/>
      </c>
      <c r="GT591" s="1154" t="str">
        <f t="shared" si="170"/>
        <v/>
      </c>
      <c r="GU591" s="1154" t="str">
        <f t="shared" si="171"/>
        <v/>
      </c>
      <c r="GV591" s="1154" t="str">
        <f t="shared" si="172"/>
        <v/>
      </c>
      <c r="GW591" s="1154" t="str">
        <f t="shared" si="173"/>
        <v/>
      </c>
      <c r="GX591" s="1154" t="str">
        <f t="shared" si="174"/>
        <v/>
      </c>
      <c r="GY591" s="1154" t="str">
        <f t="shared" si="175"/>
        <v/>
      </c>
      <c r="GZ591" s="1154" t="str">
        <f t="shared" si="176"/>
        <v/>
      </c>
      <c r="HA591" s="1154" t="str">
        <f t="shared" si="177"/>
        <v/>
      </c>
      <c r="HB591" s="1154" t="str">
        <f t="shared" si="178"/>
        <v/>
      </c>
      <c r="HC591" s="1154" t="str">
        <f t="shared" si="179"/>
        <v/>
      </c>
      <c r="HD591" s="1154" t="str">
        <f t="shared" si="180"/>
        <v/>
      </c>
      <c r="HE591" s="1154" t="str">
        <f t="shared" si="181"/>
        <v/>
      </c>
      <c r="HF591" s="1154" t="str">
        <f t="shared" si="182"/>
        <v/>
      </c>
      <c r="HG591" s="1154" t="str">
        <f t="shared" si="183"/>
        <v/>
      </c>
      <c r="HH591" s="1154" t="str">
        <f t="shared" si="184"/>
        <v/>
      </c>
      <c r="HI591" s="1154" t="str">
        <f t="shared" si="185"/>
        <v/>
      </c>
      <c r="HJ591" s="1154" t="str">
        <f t="shared" si="186"/>
        <v/>
      </c>
      <c r="HK591" s="1154" t="str">
        <f t="shared" si="187"/>
        <v/>
      </c>
      <c r="HL591" s="1154" t="str">
        <f t="shared" si="188"/>
        <v/>
      </c>
      <c r="HM591" s="1154" t="str">
        <f t="shared" si="189"/>
        <v/>
      </c>
      <c r="HN591" s="1154" t="str">
        <f t="shared" si="190"/>
        <v/>
      </c>
      <c r="HO591" s="1154" t="str">
        <f t="shared" si="191"/>
        <v/>
      </c>
      <c r="HP591" s="1154" t="str">
        <f t="shared" si="192"/>
        <v/>
      </c>
      <c r="HQ591" s="1154" t="str">
        <f t="shared" si="193"/>
        <v/>
      </c>
      <c r="HR591" s="1154" t="str">
        <f t="shared" si="194"/>
        <v/>
      </c>
      <c r="HS591" s="1154" t="str">
        <f t="shared" si="195"/>
        <v/>
      </c>
      <c r="HT591" s="1154" t="str">
        <f t="shared" si="196"/>
        <v/>
      </c>
      <c r="HU591" s="1154" t="str">
        <f t="shared" si="197"/>
        <v/>
      </c>
      <c r="HV591" s="1154" t="str">
        <f t="shared" si="198"/>
        <v/>
      </c>
      <c r="HW591" s="1154" t="str">
        <f t="shared" si="199"/>
        <v/>
      </c>
      <c r="HX591" s="1154" t="str">
        <f t="shared" si="200"/>
        <v/>
      </c>
      <c r="HY591" s="1681" t="str">
        <f t="shared" si="201"/>
        <v/>
      </c>
      <c r="HZ591" s="1681" t="str">
        <f t="shared" si="202"/>
        <v/>
      </c>
      <c r="IA591" s="1681" t="str">
        <f t="shared" si="203"/>
        <v/>
      </c>
      <c r="IB591" s="1681" t="str">
        <f t="shared" si="204"/>
        <v/>
      </c>
      <c r="IC591" s="1681" t="str">
        <f t="shared" si="205"/>
        <v/>
      </c>
      <c r="ID591" s="1681" t="str">
        <f t="shared" si="206"/>
        <v/>
      </c>
      <c r="IE591" s="1681" t="str">
        <f t="shared" si="207"/>
        <v/>
      </c>
      <c r="IF591" s="1681" t="str">
        <f t="shared" si="208"/>
        <v/>
      </c>
      <c r="IG591" s="1681" t="str">
        <f t="shared" si="209"/>
        <v/>
      </c>
      <c r="IH591" s="1681" t="str">
        <f t="shared" si="210"/>
        <v/>
      </c>
      <c r="II591" s="1681" t="str">
        <f t="shared" si="211"/>
        <v/>
      </c>
      <c r="IJ591" s="1681" t="str">
        <f t="shared" si="212"/>
        <v/>
      </c>
      <c r="IK591" s="1681" t="str">
        <f t="shared" si="213"/>
        <v/>
      </c>
      <c r="IL591" s="1681" t="str">
        <f t="shared" si="214"/>
        <v/>
      </c>
      <c r="IM591" s="1681" t="str">
        <f t="shared" si="215"/>
        <v/>
      </c>
      <c r="IN591" s="1681" t="str">
        <f t="shared" si="216"/>
        <v/>
      </c>
      <c r="IO591" s="1681" t="str">
        <f t="shared" si="217"/>
        <v/>
      </c>
      <c r="IP591" s="1681" t="str">
        <f t="shared" si="218"/>
        <v/>
      </c>
      <c r="IQ591" s="1681" t="str">
        <f t="shared" si="219"/>
        <v/>
      </c>
      <c r="IR591" s="1681" t="str">
        <f t="shared" si="220"/>
        <v/>
      </c>
      <c r="IS591" s="1681" t="str">
        <f t="shared" si="221"/>
        <v/>
      </c>
      <c r="IT591" s="1681" t="str">
        <f t="shared" si="222"/>
        <v/>
      </c>
      <c r="IU591" s="1681" t="str">
        <f t="shared" si="223"/>
        <v/>
      </c>
      <c r="IV591" s="1681" t="str">
        <f t="shared" si="224"/>
        <v/>
      </c>
      <c r="IW591" s="1681" t="str">
        <f t="shared" si="225"/>
        <v/>
      </c>
      <c r="IX591" s="1681" t="str">
        <f t="shared" si="226"/>
        <v/>
      </c>
      <c r="IY591" s="1681" t="str">
        <f t="shared" si="227"/>
        <v/>
      </c>
      <c r="IZ591" s="1681" t="str">
        <f t="shared" si="228"/>
        <v/>
      </c>
      <c r="JA591" s="1681" t="str">
        <f t="shared" si="229"/>
        <v/>
      </c>
      <c r="JB591" s="1681" t="str">
        <f t="shared" si="230"/>
        <v/>
      </c>
      <c r="JC591" s="1681" t="str">
        <f t="shared" si="231"/>
        <v/>
      </c>
      <c r="JD591" s="1681" t="str">
        <f t="shared" si="232"/>
        <v/>
      </c>
      <c r="JE591" s="1681" t="str">
        <f t="shared" si="233"/>
        <v/>
      </c>
      <c r="JF591" s="1681" t="str">
        <f t="shared" si="234"/>
        <v/>
      </c>
      <c r="JG591" s="1681" t="str">
        <f t="shared" si="235"/>
        <v/>
      </c>
      <c r="JH591" s="1681" t="str">
        <f t="shared" si="236"/>
        <v/>
      </c>
      <c r="JI591" s="1681" t="str">
        <f t="shared" si="237"/>
        <v/>
      </c>
      <c r="JJ591" s="1681" t="str">
        <f t="shared" si="238"/>
        <v/>
      </c>
      <c r="JK591" s="1681" t="str">
        <f t="shared" si="239"/>
        <v/>
      </c>
      <c r="JL591" s="1681" t="str">
        <f t="shared" si="240"/>
        <v/>
      </c>
      <c r="JM591" s="1681" t="str">
        <f t="shared" si="241"/>
        <v/>
      </c>
      <c r="JN591" s="1681" t="str">
        <f t="shared" si="242"/>
        <v/>
      </c>
      <c r="JO591" s="1681" t="str">
        <f t="shared" si="243"/>
        <v/>
      </c>
      <c r="JP591" s="1681" t="str">
        <f t="shared" si="244"/>
        <v/>
      </c>
      <c r="JQ591" s="1681" t="str">
        <f t="shared" si="245"/>
        <v/>
      </c>
      <c r="JR591" s="1681" t="str">
        <f t="shared" si="246"/>
        <v/>
      </c>
      <c r="JS591" s="1681" t="str">
        <f t="shared" si="247"/>
        <v/>
      </c>
      <c r="JT591" s="1681" t="str">
        <f t="shared" si="248"/>
        <v/>
      </c>
      <c r="JU591" s="1681" t="str">
        <f t="shared" si="249"/>
        <v/>
      </c>
      <c r="JV591" s="1681" t="str">
        <f t="shared" si="250"/>
        <v/>
      </c>
      <c r="JW591" s="1681" t="str">
        <f t="shared" si="251"/>
        <v/>
      </c>
      <c r="JX591" s="1681" t="str">
        <f t="shared" si="252"/>
        <v/>
      </c>
      <c r="JY591" s="1681" t="str">
        <f t="shared" si="253"/>
        <v/>
      </c>
      <c r="JZ591" s="1681" t="str">
        <f t="shared" si="254"/>
        <v/>
      </c>
      <c r="KA591" s="1681" t="str">
        <f t="shared" si="255"/>
        <v/>
      </c>
      <c r="KB591" s="1681" t="str">
        <f t="shared" si="256"/>
        <v/>
      </c>
      <c r="KC591" s="1681" t="str">
        <f t="shared" si="257"/>
        <v/>
      </c>
      <c r="KD591" s="1681" t="str">
        <f t="shared" si="258"/>
        <v/>
      </c>
      <c r="KE591" s="1681" t="str">
        <f t="shared" si="259"/>
        <v/>
      </c>
      <c r="KF591" s="1681" t="str">
        <f t="shared" si="260"/>
        <v/>
      </c>
      <c r="KG591" s="1681" t="str">
        <f t="shared" si="261"/>
        <v/>
      </c>
      <c r="KH591" s="1681" t="str">
        <f t="shared" si="262"/>
        <v/>
      </c>
      <c r="KI591" s="1681" t="str">
        <f t="shared" si="263"/>
        <v/>
      </c>
      <c r="KJ591" s="1681" t="str">
        <f t="shared" si="264"/>
        <v/>
      </c>
      <c r="KK591" s="1681" t="str">
        <f t="shared" si="265"/>
        <v/>
      </c>
      <c r="KL591" s="1681" t="str">
        <f t="shared" si="266"/>
        <v/>
      </c>
      <c r="KM591" s="1681" t="str">
        <f t="shared" si="267"/>
        <v/>
      </c>
      <c r="KN591" s="1681" t="str">
        <f t="shared" si="268"/>
        <v/>
      </c>
      <c r="KO591" s="1681" t="str">
        <f t="shared" si="269"/>
        <v/>
      </c>
      <c r="KP591" s="1681" t="str">
        <f t="shared" si="270"/>
        <v/>
      </c>
      <c r="KQ591" s="1681" t="str">
        <f t="shared" si="271"/>
        <v/>
      </c>
      <c r="KR591" s="1681" t="str">
        <f t="shared" si="272"/>
        <v/>
      </c>
      <c r="KS591" s="1681" t="str">
        <f t="shared" si="273"/>
        <v/>
      </c>
      <c r="KT591" s="1681" t="str">
        <f t="shared" si="274"/>
        <v/>
      </c>
      <c r="KU591" s="1681" t="str">
        <f t="shared" si="275"/>
        <v/>
      </c>
      <c r="KV591" s="1681" t="str">
        <f t="shared" si="276"/>
        <v/>
      </c>
      <c r="KW591" s="1681" t="str">
        <f t="shared" si="277"/>
        <v/>
      </c>
      <c r="KX591" s="1681" t="str">
        <f t="shared" si="278"/>
        <v/>
      </c>
      <c r="KY591" s="1681" t="str">
        <f t="shared" si="279"/>
        <v/>
      </c>
      <c r="KZ591" s="1681" t="str">
        <f t="shared" si="280"/>
        <v/>
      </c>
      <c r="LA591" s="1681" t="str">
        <f t="shared" si="281"/>
        <v/>
      </c>
      <c r="LB591" s="1681" t="str">
        <f t="shared" si="282"/>
        <v/>
      </c>
      <c r="LC591" s="1681" t="str">
        <f t="shared" si="283"/>
        <v/>
      </c>
      <c r="LD591" s="1681" t="str">
        <f t="shared" si="284"/>
        <v/>
      </c>
      <c r="LE591" s="1681" t="str">
        <f t="shared" si="285"/>
        <v/>
      </c>
      <c r="LF591" s="1525" t="str">
        <f t="shared" si="286"/>
        <v/>
      </c>
      <c r="LG591" s="1525" t="str">
        <f t="shared" si="287"/>
        <v/>
      </c>
      <c r="LH591" s="1525" t="str">
        <f t="shared" si="288"/>
        <v/>
      </c>
      <c r="LI591" s="1525" t="str">
        <f t="shared" si="289"/>
        <v/>
      </c>
      <c r="LJ591" s="1525" t="str">
        <f t="shared" si="290"/>
        <v/>
      </c>
      <c r="LK591" s="1154" t="str">
        <f t="shared" si="291"/>
        <v/>
      </c>
      <c r="LL591" s="1154" t="str">
        <f t="shared" si="292"/>
        <v/>
      </c>
      <c r="LM591" s="1154" t="str">
        <f t="shared" si="293"/>
        <v/>
      </c>
      <c r="LN591" s="1154" t="str">
        <f t="shared" si="294"/>
        <v/>
      </c>
      <c r="LO591" s="1154" t="str">
        <f t="shared" si="295"/>
        <v/>
      </c>
      <c r="LP591" s="1154" t="str">
        <f t="shared" si="296"/>
        <v/>
      </c>
      <c r="LQ591" s="1154" t="str">
        <f t="shared" si="297"/>
        <v/>
      </c>
      <c r="LR591" s="1154" t="str">
        <f t="shared" si="298"/>
        <v/>
      </c>
      <c r="LS591" s="1154" t="str">
        <f t="shared" si="299"/>
        <v/>
      </c>
      <c r="LT591" s="1154" t="str">
        <f t="shared" si="300"/>
        <v/>
      </c>
      <c r="LU591" s="1154" t="str">
        <f t="shared" si="301"/>
        <v/>
      </c>
      <c r="LV591" s="1154" t="str">
        <f t="shared" si="302"/>
        <v/>
      </c>
      <c r="LW591" s="1154" t="str">
        <f t="shared" si="303"/>
        <v/>
      </c>
      <c r="LX591" s="1154" t="str">
        <f t="shared" si="304"/>
        <v/>
      </c>
      <c r="LY591" s="1154" t="str">
        <f t="shared" si="305"/>
        <v/>
      </c>
      <c r="LZ591" s="1154" t="str">
        <f t="shared" si="306"/>
        <v/>
      </c>
      <c r="MA591" s="1154" t="str">
        <f t="shared" si="307"/>
        <v/>
      </c>
      <c r="MB591" s="1154" t="str">
        <f t="shared" si="308"/>
        <v/>
      </c>
      <c r="MC591" s="1154" t="str">
        <f t="shared" si="309"/>
        <v/>
      </c>
      <c r="MD591" s="1154" t="str">
        <f t="shared" si="310"/>
        <v/>
      </c>
      <c r="ME591" s="1525">
        <f t="shared" si="322"/>
        <v>0</v>
      </c>
      <c r="MF591" s="1525">
        <f t="shared" si="323"/>
        <v>0</v>
      </c>
      <c r="MG591" s="1525">
        <f t="shared" si="324"/>
        <v>0</v>
      </c>
      <c r="MH591" s="1525">
        <f t="shared" si="325"/>
        <v>0</v>
      </c>
      <c r="MI591" s="1525">
        <f t="shared" si="326"/>
        <v>0</v>
      </c>
      <c r="MJ591" s="1525">
        <f t="shared" si="327"/>
        <v>0</v>
      </c>
      <c r="MK591" s="1525">
        <f t="shared" si="328"/>
        <v>0</v>
      </c>
      <c r="ML591" s="1525">
        <f t="shared" si="329"/>
        <v>0</v>
      </c>
      <c r="MM591" s="1525">
        <f t="shared" si="330"/>
        <v>0</v>
      </c>
      <c r="MN591" s="1525">
        <f t="shared" si="331"/>
        <v>0</v>
      </c>
      <c r="MO591" s="1525">
        <f t="shared" si="332"/>
        <v>0</v>
      </c>
      <c r="MP591" s="1525">
        <f t="shared" si="333"/>
        <v>0</v>
      </c>
      <c r="MQ591" s="1525">
        <f t="shared" si="334"/>
        <v>0</v>
      </c>
      <c r="MR591" s="1525">
        <f t="shared" si="335"/>
        <v>0</v>
      </c>
      <c r="MS591" s="1525">
        <f t="shared" si="336"/>
        <v>0</v>
      </c>
    </row>
    <row r="592" spans="1:357" s="1154" customFormat="1" ht="12" customHeight="1">
      <c r="A592" s="1524" t="str">
        <f t="shared" si="1"/>
        <v/>
      </c>
      <c r="B592" s="1682">
        <f>'Part VI-Revenues &amp; Expenses'!B21</f>
        <v>60</v>
      </c>
      <c r="C592" s="1673">
        <f>'Part VI-Revenues &amp; Expenses'!C21</f>
        <v>0</v>
      </c>
      <c r="D592" s="1674">
        <f>'Part VI-Revenues &amp; Expenses'!D21</f>
        <v>0</v>
      </c>
      <c r="E592" s="1675">
        <f>'Part VI-Revenues &amp; Expenses'!E21</f>
        <v>0</v>
      </c>
      <c r="F592" s="1675">
        <f>'Part VI-Revenues &amp; Expenses'!F21</f>
        <v>0</v>
      </c>
      <c r="G592" s="1675">
        <f>'Part VI-Revenues &amp; Expenses'!G21</f>
        <v>0</v>
      </c>
      <c r="H592" s="1675">
        <f>'Part VI-Revenues &amp; Expenses'!H21</f>
        <v>0</v>
      </c>
      <c r="I592" s="1675">
        <f>'Part VI-Revenues &amp; Expenses'!I21</f>
        <v>0</v>
      </c>
      <c r="J592" s="1676">
        <f>'Part VI-Revenues &amp; Expenses'!J21</f>
        <v>0</v>
      </c>
      <c r="K592" s="1677">
        <f>'Part VI-Revenues &amp; Expenses'!K21</f>
        <v>0</v>
      </c>
      <c r="L592" s="1677">
        <f>'Part VI-Revenues &amp; Expenses'!L21</f>
        <v>0</v>
      </c>
      <c r="M592" s="1678">
        <f>'Part VI-Revenues &amp; Expenses'!M21</f>
        <v>0</v>
      </c>
      <c r="N592" s="1678">
        <f>'Part VI-Revenues &amp; Expenses'!N21</f>
        <v>0</v>
      </c>
      <c r="O592" s="1678">
        <f>'Part VI-Revenues &amp; Expenses'!O21</f>
        <v>0</v>
      </c>
      <c r="P592" s="1660">
        <f>'Part VI-Revenues &amp; Expenses'!P21</f>
        <v>0</v>
      </c>
      <c r="Q592" s="1679"/>
      <c r="R592" s="1680"/>
      <c r="S592" s="1679"/>
      <c r="T592" s="1680"/>
      <c r="U592" s="1519"/>
      <c r="V592" s="1519"/>
      <c r="W592" s="1154" t="str">
        <f t="shared" si="2"/>
        <v/>
      </c>
      <c r="X592" s="1154" t="str">
        <f t="shared" si="3"/>
        <v/>
      </c>
      <c r="Y592" s="1154" t="str">
        <f t="shared" si="4"/>
        <v/>
      </c>
      <c r="Z592" s="1154" t="str">
        <f t="shared" si="5"/>
        <v/>
      </c>
      <c r="AA592" s="1154" t="str">
        <f t="shared" si="6"/>
        <v/>
      </c>
      <c r="AB592" s="1154" t="str">
        <f t="shared" si="7"/>
        <v/>
      </c>
      <c r="AC592" s="1154" t="str">
        <f t="shared" si="8"/>
        <v/>
      </c>
      <c r="AD592" s="1154" t="str">
        <f t="shared" si="9"/>
        <v/>
      </c>
      <c r="AE592" s="1154" t="str">
        <f t="shared" si="10"/>
        <v/>
      </c>
      <c r="AF592" s="1154" t="str">
        <f t="shared" si="11"/>
        <v/>
      </c>
      <c r="AG592" s="1154" t="str">
        <f t="shared" si="12"/>
        <v/>
      </c>
      <c r="AH592" s="1154" t="str">
        <f t="shared" si="13"/>
        <v/>
      </c>
      <c r="AI592" s="1154" t="str">
        <f t="shared" si="14"/>
        <v/>
      </c>
      <c r="AJ592" s="1154" t="str">
        <f t="shared" si="15"/>
        <v/>
      </c>
      <c r="AK592" s="1154" t="str">
        <f t="shared" si="16"/>
        <v/>
      </c>
      <c r="AL592" s="1154" t="str">
        <f t="shared" si="17"/>
        <v/>
      </c>
      <c r="AM592" s="1154" t="str">
        <f t="shared" si="18"/>
        <v/>
      </c>
      <c r="AN592" s="1154" t="str">
        <f t="shared" si="19"/>
        <v/>
      </c>
      <c r="AO592" s="1154" t="str">
        <f t="shared" si="20"/>
        <v/>
      </c>
      <c r="AP592" s="1154" t="str">
        <f t="shared" si="21"/>
        <v/>
      </c>
      <c r="AQ592" s="1154" t="str">
        <f t="shared" si="22"/>
        <v/>
      </c>
      <c r="AR592" s="1154" t="str">
        <f t="shared" si="23"/>
        <v/>
      </c>
      <c r="AS592" s="1154" t="str">
        <f t="shared" si="24"/>
        <v/>
      </c>
      <c r="AT592" s="1154" t="str">
        <f t="shared" si="25"/>
        <v/>
      </c>
      <c r="AU592" s="1154" t="str">
        <f t="shared" si="26"/>
        <v/>
      </c>
      <c r="AV592" s="1154" t="str">
        <f t="shared" si="27"/>
        <v/>
      </c>
      <c r="AW592" s="1154" t="str">
        <f t="shared" si="28"/>
        <v/>
      </c>
      <c r="AX592" s="1154" t="str">
        <f t="shared" si="29"/>
        <v/>
      </c>
      <c r="AY592" s="1154" t="str">
        <f t="shared" si="30"/>
        <v/>
      </c>
      <c r="AZ592" s="1154" t="str">
        <f t="shared" si="31"/>
        <v/>
      </c>
      <c r="BA592" s="1154" t="str">
        <f t="shared" si="32"/>
        <v/>
      </c>
      <c r="BB592" s="1154" t="str">
        <f t="shared" si="33"/>
        <v/>
      </c>
      <c r="BC592" s="1154" t="str">
        <f t="shared" si="34"/>
        <v/>
      </c>
      <c r="BD592" s="1154" t="str">
        <f t="shared" si="35"/>
        <v/>
      </c>
      <c r="BE592" s="1154" t="str">
        <f t="shared" si="36"/>
        <v/>
      </c>
      <c r="BF592" s="1154" t="str">
        <f t="shared" si="37"/>
        <v/>
      </c>
      <c r="BG592" s="1154" t="str">
        <f t="shared" si="38"/>
        <v/>
      </c>
      <c r="BH592" s="1154" t="str">
        <f t="shared" si="39"/>
        <v/>
      </c>
      <c r="BI592" s="1154" t="str">
        <f t="shared" si="40"/>
        <v/>
      </c>
      <c r="BJ592" s="1154" t="str">
        <f t="shared" si="41"/>
        <v/>
      </c>
      <c r="BK592" s="1154" t="str">
        <f t="shared" si="42"/>
        <v/>
      </c>
      <c r="BL592" s="1154" t="str">
        <f t="shared" si="43"/>
        <v/>
      </c>
      <c r="BM592" s="1154" t="str">
        <f t="shared" si="44"/>
        <v/>
      </c>
      <c r="BN592" s="1154" t="str">
        <f t="shared" si="45"/>
        <v/>
      </c>
      <c r="BO592" s="1154" t="str">
        <f t="shared" si="46"/>
        <v/>
      </c>
      <c r="BP592" s="1154" t="str">
        <f t="shared" si="47"/>
        <v/>
      </c>
      <c r="BQ592" s="1154" t="str">
        <f t="shared" si="48"/>
        <v/>
      </c>
      <c r="BR592" s="1154" t="str">
        <f t="shared" si="49"/>
        <v/>
      </c>
      <c r="BS592" s="1154" t="str">
        <f t="shared" si="50"/>
        <v/>
      </c>
      <c r="BT592" s="1154" t="str">
        <f t="shared" si="51"/>
        <v/>
      </c>
      <c r="BU592" s="1154" t="str">
        <f t="shared" si="52"/>
        <v/>
      </c>
      <c r="BV592" s="1154" t="str">
        <f t="shared" si="53"/>
        <v/>
      </c>
      <c r="BW592" s="1154" t="str">
        <f t="shared" si="54"/>
        <v/>
      </c>
      <c r="BX592" s="1154" t="str">
        <f t="shared" si="55"/>
        <v/>
      </c>
      <c r="BY592" s="1154" t="str">
        <f t="shared" si="56"/>
        <v/>
      </c>
      <c r="BZ592" s="1154" t="str">
        <f t="shared" si="57"/>
        <v/>
      </c>
      <c r="CA592" s="1154" t="str">
        <f t="shared" si="58"/>
        <v/>
      </c>
      <c r="CB592" s="1154" t="str">
        <f t="shared" si="59"/>
        <v/>
      </c>
      <c r="CC592" s="1154" t="str">
        <f t="shared" si="60"/>
        <v/>
      </c>
      <c r="CD592" s="1154" t="str">
        <f t="shared" si="61"/>
        <v/>
      </c>
      <c r="CE592" s="1154" t="str">
        <f t="shared" si="62"/>
        <v/>
      </c>
      <c r="CF592" s="1154" t="str">
        <f t="shared" si="63"/>
        <v/>
      </c>
      <c r="CG592" s="1154" t="str">
        <f t="shared" si="64"/>
        <v/>
      </c>
      <c r="CH592" s="1154" t="str">
        <f t="shared" si="65"/>
        <v/>
      </c>
      <c r="CI592" s="1154" t="str">
        <f t="shared" si="66"/>
        <v/>
      </c>
      <c r="CJ592" s="1154" t="str">
        <f t="shared" si="67"/>
        <v/>
      </c>
      <c r="CK592" s="1154" t="str">
        <f t="shared" si="68"/>
        <v/>
      </c>
      <c r="CL592" s="1154" t="str">
        <f t="shared" si="69"/>
        <v/>
      </c>
      <c r="CM592" s="1154" t="str">
        <f t="shared" si="70"/>
        <v/>
      </c>
      <c r="CN592" s="1154" t="str">
        <f t="shared" si="71"/>
        <v/>
      </c>
      <c r="CO592" s="1154" t="str">
        <f t="shared" si="72"/>
        <v/>
      </c>
      <c r="CP592" s="1154" t="str">
        <f t="shared" si="73"/>
        <v/>
      </c>
      <c r="CQ592" s="1154" t="str">
        <f t="shared" si="74"/>
        <v/>
      </c>
      <c r="CR592" s="1154" t="str">
        <f t="shared" si="75"/>
        <v/>
      </c>
      <c r="CS592" s="1154" t="str">
        <f t="shared" si="76"/>
        <v/>
      </c>
      <c r="CT592" s="1154" t="str">
        <f t="shared" si="77"/>
        <v/>
      </c>
      <c r="CU592" s="1154" t="str">
        <f t="shared" si="78"/>
        <v/>
      </c>
      <c r="CV592" s="1154" t="str">
        <f t="shared" si="79"/>
        <v/>
      </c>
      <c r="CW592" s="1154" t="str">
        <f t="shared" si="80"/>
        <v/>
      </c>
      <c r="CX592" s="1154" t="str">
        <f t="shared" si="81"/>
        <v/>
      </c>
      <c r="CY592" s="1154" t="str">
        <f t="shared" si="82"/>
        <v/>
      </c>
      <c r="CZ592" s="1154" t="str">
        <f t="shared" si="83"/>
        <v/>
      </c>
      <c r="DA592" s="1154" t="str">
        <f t="shared" si="84"/>
        <v/>
      </c>
      <c r="DB592" s="1154" t="str">
        <f t="shared" si="85"/>
        <v/>
      </c>
      <c r="DC592" s="1154" t="str">
        <f t="shared" si="86"/>
        <v/>
      </c>
      <c r="DD592" s="1154" t="str">
        <f t="shared" si="87"/>
        <v/>
      </c>
      <c r="DE592" s="1154" t="str">
        <f t="shared" si="88"/>
        <v/>
      </c>
      <c r="DF592" s="1154" t="str">
        <f t="shared" si="89"/>
        <v/>
      </c>
      <c r="DG592" s="1154" t="str">
        <f t="shared" si="90"/>
        <v/>
      </c>
      <c r="DH592" s="1154" t="str">
        <f t="shared" si="91"/>
        <v/>
      </c>
      <c r="DI592" s="1154" t="str">
        <f t="shared" si="92"/>
        <v/>
      </c>
      <c r="DJ592" s="1154" t="str">
        <f t="shared" si="93"/>
        <v/>
      </c>
      <c r="DK592" s="1154" t="str">
        <f t="shared" si="94"/>
        <v/>
      </c>
      <c r="DL592" s="1154" t="str">
        <f t="shared" si="95"/>
        <v/>
      </c>
      <c r="DM592" s="1154" t="str">
        <f t="shared" si="96"/>
        <v/>
      </c>
      <c r="DN592" s="1154" t="str">
        <f t="shared" si="97"/>
        <v/>
      </c>
      <c r="DO592" s="1154" t="str">
        <f t="shared" si="98"/>
        <v/>
      </c>
      <c r="DP592" s="1154" t="str">
        <f t="shared" si="99"/>
        <v/>
      </c>
      <c r="DQ592" s="1154" t="str">
        <f t="shared" si="100"/>
        <v/>
      </c>
      <c r="DR592" s="1154" t="str">
        <f t="shared" si="101"/>
        <v/>
      </c>
      <c r="DS592" s="1154" t="str">
        <f t="shared" si="102"/>
        <v/>
      </c>
      <c r="DT592" s="1154" t="str">
        <f t="shared" si="103"/>
        <v/>
      </c>
      <c r="DU592" s="1154" t="str">
        <f t="shared" si="104"/>
        <v/>
      </c>
      <c r="DV592" s="1154" t="str">
        <f t="shared" si="105"/>
        <v/>
      </c>
      <c r="DW592" s="1154" t="str">
        <f t="shared" si="106"/>
        <v/>
      </c>
      <c r="DX592" s="1154" t="str">
        <f t="shared" si="107"/>
        <v/>
      </c>
      <c r="DY592" s="1154" t="str">
        <f t="shared" si="108"/>
        <v/>
      </c>
      <c r="DZ592" s="1154" t="str">
        <f t="shared" si="109"/>
        <v/>
      </c>
      <c r="EA592" s="1154" t="str">
        <f t="shared" si="110"/>
        <v/>
      </c>
      <c r="EB592" s="1154" t="str">
        <f t="shared" si="111"/>
        <v/>
      </c>
      <c r="EC592" s="1154" t="str">
        <f t="shared" si="112"/>
        <v/>
      </c>
      <c r="ED592" s="1154" t="str">
        <f t="shared" si="113"/>
        <v/>
      </c>
      <c r="EE592" s="1154" t="str">
        <f t="shared" si="114"/>
        <v/>
      </c>
      <c r="EF592" s="1154" t="str">
        <f t="shared" si="115"/>
        <v/>
      </c>
      <c r="EG592" s="1154" t="str">
        <f t="shared" si="311"/>
        <v/>
      </c>
      <c r="EH592" s="1154" t="str">
        <f t="shared" si="116"/>
        <v/>
      </c>
      <c r="EI592" s="1154" t="str">
        <f t="shared" si="117"/>
        <v/>
      </c>
      <c r="EJ592" s="1154" t="str">
        <f t="shared" si="118"/>
        <v/>
      </c>
      <c r="EK592" s="1154" t="str">
        <f t="shared" si="119"/>
        <v/>
      </c>
      <c r="EL592" s="1154" t="str">
        <f t="shared" si="120"/>
        <v/>
      </c>
      <c r="EM592" s="1154" t="str">
        <f t="shared" si="121"/>
        <v/>
      </c>
      <c r="EN592" s="1154" t="str">
        <f t="shared" si="122"/>
        <v/>
      </c>
      <c r="EO592" s="1154" t="str">
        <f t="shared" si="123"/>
        <v/>
      </c>
      <c r="EP592" s="1154" t="str">
        <f t="shared" si="124"/>
        <v/>
      </c>
      <c r="EQ592" s="1154" t="str">
        <f t="shared" si="125"/>
        <v/>
      </c>
      <c r="ER592" s="1154" t="str">
        <f t="shared" si="126"/>
        <v/>
      </c>
      <c r="ES592" s="1154" t="str">
        <f t="shared" si="127"/>
        <v/>
      </c>
      <c r="ET592" s="1154" t="str">
        <f t="shared" si="128"/>
        <v/>
      </c>
      <c r="EU592" s="1154" t="str">
        <f t="shared" si="129"/>
        <v/>
      </c>
      <c r="EV592" s="1154" t="str">
        <f t="shared" si="130"/>
        <v/>
      </c>
      <c r="EW592" s="1154" t="str">
        <f t="shared" si="312"/>
        <v/>
      </c>
      <c r="EX592" s="1154" t="str">
        <f t="shared" si="313"/>
        <v/>
      </c>
      <c r="EY592" s="1154" t="str">
        <f t="shared" si="314"/>
        <v/>
      </c>
      <c r="EZ592" s="1154" t="str">
        <f t="shared" si="315"/>
        <v/>
      </c>
      <c r="FA592" s="1154" t="str">
        <f t="shared" si="316"/>
        <v/>
      </c>
      <c r="FB592" s="1154" t="str">
        <f t="shared" si="131"/>
        <v/>
      </c>
      <c r="FC592" s="1154" t="str">
        <f t="shared" si="132"/>
        <v/>
      </c>
      <c r="FD592" s="1154" t="str">
        <f t="shared" si="133"/>
        <v/>
      </c>
      <c r="FE592" s="1154" t="str">
        <f t="shared" si="134"/>
        <v/>
      </c>
      <c r="FF592" s="1154" t="str">
        <f t="shared" si="135"/>
        <v/>
      </c>
      <c r="FG592" s="1154" t="str">
        <f t="shared" si="317"/>
        <v/>
      </c>
      <c r="FH592" s="1154" t="str">
        <f t="shared" si="318"/>
        <v/>
      </c>
      <c r="FI592" s="1154" t="str">
        <f t="shared" si="319"/>
        <v/>
      </c>
      <c r="FJ592" s="1154" t="str">
        <f t="shared" si="320"/>
        <v/>
      </c>
      <c r="FK592" s="1154" t="str">
        <f t="shared" si="321"/>
        <v/>
      </c>
      <c r="FL592" s="1154" t="str">
        <f t="shared" si="136"/>
        <v/>
      </c>
      <c r="FM592" s="1154" t="str">
        <f t="shared" si="137"/>
        <v/>
      </c>
      <c r="FN592" s="1154" t="str">
        <f t="shared" si="138"/>
        <v/>
      </c>
      <c r="FO592" s="1154" t="str">
        <f t="shared" si="139"/>
        <v/>
      </c>
      <c r="FP592" s="1154" t="str">
        <f t="shared" si="140"/>
        <v/>
      </c>
      <c r="FQ592" s="1154" t="str">
        <f t="shared" si="141"/>
        <v/>
      </c>
      <c r="FR592" s="1154" t="str">
        <f t="shared" si="142"/>
        <v/>
      </c>
      <c r="FS592" s="1154" t="str">
        <f t="shared" si="143"/>
        <v/>
      </c>
      <c r="FT592" s="1154" t="str">
        <f t="shared" si="144"/>
        <v/>
      </c>
      <c r="FU592" s="1154" t="str">
        <f t="shared" si="145"/>
        <v/>
      </c>
      <c r="FV592" s="1154" t="str">
        <f t="shared" si="146"/>
        <v/>
      </c>
      <c r="FW592" s="1154" t="str">
        <f t="shared" si="147"/>
        <v/>
      </c>
      <c r="FX592" s="1154" t="str">
        <f t="shared" si="148"/>
        <v/>
      </c>
      <c r="FY592" s="1154" t="str">
        <f t="shared" si="149"/>
        <v/>
      </c>
      <c r="FZ592" s="1154" t="str">
        <f t="shared" si="150"/>
        <v/>
      </c>
      <c r="GA592" s="1154" t="str">
        <f t="shared" si="151"/>
        <v/>
      </c>
      <c r="GB592" s="1154" t="str">
        <f t="shared" si="152"/>
        <v/>
      </c>
      <c r="GC592" s="1154" t="str">
        <f t="shared" si="153"/>
        <v/>
      </c>
      <c r="GD592" s="1154" t="str">
        <f t="shared" si="154"/>
        <v/>
      </c>
      <c r="GE592" s="1154" t="str">
        <f t="shared" si="155"/>
        <v/>
      </c>
      <c r="GF592" s="1154" t="str">
        <f t="shared" si="156"/>
        <v/>
      </c>
      <c r="GG592" s="1154" t="str">
        <f t="shared" si="157"/>
        <v/>
      </c>
      <c r="GH592" s="1154" t="str">
        <f t="shared" si="158"/>
        <v/>
      </c>
      <c r="GI592" s="1154" t="str">
        <f t="shared" si="159"/>
        <v/>
      </c>
      <c r="GJ592" s="1154" t="str">
        <f t="shared" si="160"/>
        <v/>
      </c>
      <c r="GK592" s="1154" t="str">
        <f t="shared" si="161"/>
        <v/>
      </c>
      <c r="GL592" s="1154" t="str">
        <f t="shared" si="162"/>
        <v/>
      </c>
      <c r="GM592" s="1154" t="str">
        <f t="shared" si="163"/>
        <v/>
      </c>
      <c r="GN592" s="1154" t="str">
        <f t="shared" si="164"/>
        <v/>
      </c>
      <c r="GO592" s="1154" t="str">
        <f t="shared" si="165"/>
        <v/>
      </c>
      <c r="GP592" s="1154" t="str">
        <f t="shared" si="166"/>
        <v/>
      </c>
      <c r="GQ592" s="1154" t="str">
        <f t="shared" si="167"/>
        <v/>
      </c>
      <c r="GR592" s="1154" t="str">
        <f t="shared" si="168"/>
        <v/>
      </c>
      <c r="GS592" s="1154" t="str">
        <f t="shared" si="169"/>
        <v/>
      </c>
      <c r="GT592" s="1154" t="str">
        <f t="shared" si="170"/>
        <v/>
      </c>
      <c r="GU592" s="1154" t="str">
        <f t="shared" si="171"/>
        <v/>
      </c>
      <c r="GV592" s="1154" t="str">
        <f t="shared" si="172"/>
        <v/>
      </c>
      <c r="GW592" s="1154" t="str">
        <f t="shared" si="173"/>
        <v/>
      </c>
      <c r="GX592" s="1154" t="str">
        <f t="shared" si="174"/>
        <v/>
      </c>
      <c r="GY592" s="1154" t="str">
        <f t="shared" si="175"/>
        <v/>
      </c>
      <c r="GZ592" s="1154" t="str">
        <f t="shared" si="176"/>
        <v/>
      </c>
      <c r="HA592" s="1154" t="str">
        <f t="shared" si="177"/>
        <v/>
      </c>
      <c r="HB592" s="1154" t="str">
        <f t="shared" si="178"/>
        <v/>
      </c>
      <c r="HC592" s="1154" t="str">
        <f t="shared" si="179"/>
        <v/>
      </c>
      <c r="HD592" s="1154" t="str">
        <f t="shared" si="180"/>
        <v/>
      </c>
      <c r="HE592" s="1154" t="str">
        <f t="shared" si="181"/>
        <v/>
      </c>
      <c r="HF592" s="1154" t="str">
        <f t="shared" si="182"/>
        <v/>
      </c>
      <c r="HG592" s="1154" t="str">
        <f t="shared" si="183"/>
        <v/>
      </c>
      <c r="HH592" s="1154" t="str">
        <f t="shared" si="184"/>
        <v/>
      </c>
      <c r="HI592" s="1154" t="str">
        <f t="shared" si="185"/>
        <v/>
      </c>
      <c r="HJ592" s="1154" t="str">
        <f t="shared" si="186"/>
        <v/>
      </c>
      <c r="HK592" s="1154" t="str">
        <f t="shared" si="187"/>
        <v/>
      </c>
      <c r="HL592" s="1154" t="str">
        <f t="shared" si="188"/>
        <v/>
      </c>
      <c r="HM592" s="1154" t="str">
        <f t="shared" si="189"/>
        <v/>
      </c>
      <c r="HN592" s="1154" t="str">
        <f t="shared" si="190"/>
        <v/>
      </c>
      <c r="HO592" s="1154" t="str">
        <f t="shared" si="191"/>
        <v/>
      </c>
      <c r="HP592" s="1154" t="str">
        <f t="shared" si="192"/>
        <v/>
      </c>
      <c r="HQ592" s="1154" t="str">
        <f t="shared" si="193"/>
        <v/>
      </c>
      <c r="HR592" s="1154" t="str">
        <f t="shared" si="194"/>
        <v/>
      </c>
      <c r="HS592" s="1154" t="str">
        <f t="shared" si="195"/>
        <v/>
      </c>
      <c r="HT592" s="1154" t="str">
        <f t="shared" si="196"/>
        <v/>
      </c>
      <c r="HU592" s="1154" t="str">
        <f t="shared" si="197"/>
        <v/>
      </c>
      <c r="HV592" s="1154" t="str">
        <f t="shared" si="198"/>
        <v/>
      </c>
      <c r="HW592" s="1154" t="str">
        <f t="shared" si="199"/>
        <v/>
      </c>
      <c r="HX592" s="1154" t="str">
        <f t="shared" si="200"/>
        <v/>
      </c>
      <c r="HY592" s="1681" t="str">
        <f t="shared" si="201"/>
        <v/>
      </c>
      <c r="HZ592" s="1681" t="str">
        <f t="shared" si="202"/>
        <v/>
      </c>
      <c r="IA592" s="1681" t="str">
        <f t="shared" si="203"/>
        <v/>
      </c>
      <c r="IB592" s="1681" t="str">
        <f t="shared" si="204"/>
        <v/>
      </c>
      <c r="IC592" s="1681" t="str">
        <f t="shared" si="205"/>
        <v/>
      </c>
      <c r="ID592" s="1681" t="str">
        <f t="shared" si="206"/>
        <v/>
      </c>
      <c r="IE592" s="1681" t="str">
        <f t="shared" si="207"/>
        <v/>
      </c>
      <c r="IF592" s="1681" t="str">
        <f t="shared" si="208"/>
        <v/>
      </c>
      <c r="IG592" s="1681" t="str">
        <f t="shared" si="209"/>
        <v/>
      </c>
      <c r="IH592" s="1681" t="str">
        <f t="shared" si="210"/>
        <v/>
      </c>
      <c r="II592" s="1681" t="str">
        <f t="shared" si="211"/>
        <v/>
      </c>
      <c r="IJ592" s="1681" t="str">
        <f t="shared" si="212"/>
        <v/>
      </c>
      <c r="IK592" s="1681" t="str">
        <f t="shared" si="213"/>
        <v/>
      </c>
      <c r="IL592" s="1681" t="str">
        <f t="shared" si="214"/>
        <v/>
      </c>
      <c r="IM592" s="1681" t="str">
        <f t="shared" si="215"/>
        <v/>
      </c>
      <c r="IN592" s="1681" t="str">
        <f t="shared" si="216"/>
        <v/>
      </c>
      <c r="IO592" s="1681" t="str">
        <f t="shared" si="217"/>
        <v/>
      </c>
      <c r="IP592" s="1681" t="str">
        <f t="shared" si="218"/>
        <v/>
      </c>
      <c r="IQ592" s="1681" t="str">
        <f t="shared" si="219"/>
        <v/>
      </c>
      <c r="IR592" s="1681" t="str">
        <f t="shared" si="220"/>
        <v/>
      </c>
      <c r="IS592" s="1681" t="str">
        <f t="shared" si="221"/>
        <v/>
      </c>
      <c r="IT592" s="1681" t="str">
        <f t="shared" si="222"/>
        <v/>
      </c>
      <c r="IU592" s="1681" t="str">
        <f t="shared" si="223"/>
        <v/>
      </c>
      <c r="IV592" s="1681" t="str">
        <f t="shared" si="224"/>
        <v/>
      </c>
      <c r="IW592" s="1681" t="str">
        <f t="shared" si="225"/>
        <v/>
      </c>
      <c r="IX592" s="1681" t="str">
        <f t="shared" si="226"/>
        <v/>
      </c>
      <c r="IY592" s="1681" t="str">
        <f t="shared" si="227"/>
        <v/>
      </c>
      <c r="IZ592" s="1681" t="str">
        <f t="shared" si="228"/>
        <v/>
      </c>
      <c r="JA592" s="1681" t="str">
        <f t="shared" si="229"/>
        <v/>
      </c>
      <c r="JB592" s="1681" t="str">
        <f t="shared" si="230"/>
        <v/>
      </c>
      <c r="JC592" s="1681" t="str">
        <f t="shared" si="231"/>
        <v/>
      </c>
      <c r="JD592" s="1681" t="str">
        <f t="shared" si="232"/>
        <v/>
      </c>
      <c r="JE592" s="1681" t="str">
        <f t="shared" si="233"/>
        <v/>
      </c>
      <c r="JF592" s="1681" t="str">
        <f t="shared" si="234"/>
        <v/>
      </c>
      <c r="JG592" s="1681" t="str">
        <f t="shared" si="235"/>
        <v/>
      </c>
      <c r="JH592" s="1681" t="str">
        <f t="shared" si="236"/>
        <v/>
      </c>
      <c r="JI592" s="1681" t="str">
        <f t="shared" si="237"/>
        <v/>
      </c>
      <c r="JJ592" s="1681" t="str">
        <f t="shared" si="238"/>
        <v/>
      </c>
      <c r="JK592" s="1681" t="str">
        <f t="shared" si="239"/>
        <v/>
      </c>
      <c r="JL592" s="1681" t="str">
        <f t="shared" si="240"/>
        <v/>
      </c>
      <c r="JM592" s="1681" t="str">
        <f t="shared" si="241"/>
        <v/>
      </c>
      <c r="JN592" s="1681" t="str">
        <f t="shared" si="242"/>
        <v/>
      </c>
      <c r="JO592" s="1681" t="str">
        <f t="shared" si="243"/>
        <v/>
      </c>
      <c r="JP592" s="1681" t="str">
        <f t="shared" si="244"/>
        <v/>
      </c>
      <c r="JQ592" s="1681" t="str">
        <f t="shared" si="245"/>
        <v/>
      </c>
      <c r="JR592" s="1681" t="str">
        <f t="shared" si="246"/>
        <v/>
      </c>
      <c r="JS592" s="1681" t="str">
        <f t="shared" si="247"/>
        <v/>
      </c>
      <c r="JT592" s="1681" t="str">
        <f t="shared" si="248"/>
        <v/>
      </c>
      <c r="JU592" s="1681" t="str">
        <f t="shared" si="249"/>
        <v/>
      </c>
      <c r="JV592" s="1681" t="str">
        <f t="shared" si="250"/>
        <v/>
      </c>
      <c r="JW592" s="1681" t="str">
        <f t="shared" si="251"/>
        <v/>
      </c>
      <c r="JX592" s="1681" t="str">
        <f t="shared" si="252"/>
        <v/>
      </c>
      <c r="JY592" s="1681" t="str">
        <f t="shared" si="253"/>
        <v/>
      </c>
      <c r="JZ592" s="1681" t="str">
        <f t="shared" si="254"/>
        <v/>
      </c>
      <c r="KA592" s="1681" t="str">
        <f t="shared" si="255"/>
        <v/>
      </c>
      <c r="KB592" s="1681" t="str">
        <f t="shared" si="256"/>
        <v/>
      </c>
      <c r="KC592" s="1681" t="str">
        <f t="shared" si="257"/>
        <v/>
      </c>
      <c r="KD592" s="1681" t="str">
        <f t="shared" si="258"/>
        <v/>
      </c>
      <c r="KE592" s="1681" t="str">
        <f t="shared" si="259"/>
        <v/>
      </c>
      <c r="KF592" s="1681" t="str">
        <f t="shared" si="260"/>
        <v/>
      </c>
      <c r="KG592" s="1681" t="str">
        <f t="shared" si="261"/>
        <v/>
      </c>
      <c r="KH592" s="1681" t="str">
        <f t="shared" si="262"/>
        <v/>
      </c>
      <c r="KI592" s="1681" t="str">
        <f t="shared" si="263"/>
        <v/>
      </c>
      <c r="KJ592" s="1681" t="str">
        <f t="shared" si="264"/>
        <v/>
      </c>
      <c r="KK592" s="1681" t="str">
        <f t="shared" si="265"/>
        <v/>
      </c>
      <c r="KL592" s="1681" t="str">
        <f t="shared" si="266"/>
        <v/>
      </c>
      <c r="KM592" s="1681" t="str">
        <f t="shared" si="267"/>
        <v/>
      </c>
      <c r="KN592" s="1681" t="str">
        <f t="shared" si="268"/>
        <v/>
      </c>
      <c r="KO592" s="1681" t="str">
        <f t="shared" si="269"/>
        <v/>
      </c>
      <c r="KP592" s="1681" t="str">
        <f t="shared" si="270"/>
        <v/>
      </c>
      <c r="KQ592" s="1681" t="str">
        <f t="shared" si="271"/>
        <v/>
      </c>
      <c r="KR592" s="1681" t="str">
        <f t="shared" si="272"/>
        <v/>
      </c>
      <c r="KS592" s="1681" t="str">
        <f t="shared" si="273"/>
        <v/>
      </c>
      <c r="KT592" s="1681" t="str">
        <f t="shared" si="274"/>
        <v/>
      </c>
      <c r="KU592" s="1681" t="str">
        <f t="shared" si="275"/>
        <v/>
      </c>
      <c r="KV592" s="1681" t="str">
        <f t="shared" si="276"/>
        <v/>
      </c>
      <c r="KW592" s="1681" t="str">
        <f t="shared" si="277"/>
        <v/>
      </c>
      <c r="KX592" s="1681" t="str">
        <f t="shared" si="278"/>
        <v/>
      </c>
      <c r="KY592" s="1681" t="str">
        <f t="shared" si="279"/>
        <v/>
      </c>
      <c r="KZ592" s="1681" t="str">
        <f t="shared" si="280"/>
        <v/>
      </c>
      <c r="LA592" s="1681" t="str">
        <f t="shared" si="281"/>
        <v/>
      </c>
      <c r="LB592" s="1681" t="str">
        <f t="shared" si="282"/>
        <v/>
      </c>
      <c r="LC592" s="1681" t="str">
        <f t="shared" si="283"/>
        <v/>
      </c>
      <c r="LD592" s="1681" t="str">
        <f t="shared" si="284"/>
        <v/>
      </c>
      <c r="LE592" s="1681" t="str">
        <f t="shared" si="285"/>
        <v/>
      </c>
      <c r="LF592" s="1525" t="str">
        <f t="shared" si="286"/>
        <v/>
      </c>
      <c r="LG592" s="1525" t="str">
        <f t="shared" si="287"/>
        <v/>
      </c>
      <c r="LH592" s="1525" t="str">
        <f t="shared" si="288"/>
        <v/>
      </c>
      <c r="LI592" s="1525" t="str">
        <f t="shared" si="289"/>
        <v/>
      </c>
      <c r="LJ592" s="1525" t="str">
        <f t="shared" si="290"/>
        <v/>
      </c>
      <c r="LK592" s="1154" t="str">
        <f t="shared" si="291"/>
        <v/>
      </c>
      <c r="LL592" s="1154" t="str">
        <f t="shared" si="292"/>
        <v/>
      </c>
      <c r="LM592" s="1154" t="str">
        <f t="shared" si="293"/>
        <v/>
      </c>
      <c r="LN592" s="1154" t="str">
        <f t="shared" si="294"/>
        <v/>
      </c>
      <c r="LO592" s="1154" t="str">
        <f t="shared" si="295"/>
        <v/>
      </c>
      <c r="LP592" s="1154" t="str">
        <f t="shared" si="296"/>
        <v/>
      </c>
      <c r="LQ592" s="1154" t="str">
        <f t="shared" si="297"/>
        <v/>
      </c>
      <c r="LR592" s="1154" t="str">
        <f t="shared" si="298"/>
        <v/>
      </c>
      <c r="LS592" s="1154" t="str">
        <f t="shared" si="299"/>
        <v/>
      </c>
      <c r="LT592" s="1154" t="str">
        <f t="shared" si="300"/>
        <v/>
      </c>
      <c r="LU592" s="1154" t="str">
        <f t="shared" si="301"/>
        <v/>
      </c>
      <c r="LV592" s="1154" t="str">
        <f t="shared" si="302"/>
        <v/>
      </c>
      <c r="LW592" s="1154" t="str">
        <f t="shared" si="303"/>
        <v/>
      </c>
      <c r="LX592" s="1154" t="str">
        <f t="shared" si="304"/>
        <v/>
      </c>
      <c r="LY592" s="1154" t="str">
        <f t="shared" si="305"/>
        <v/>
      </c>
      <c r="LZ592" s="1154" t="str">
        <f t="shared" si="306"/>
        <v/>
      </c>
      <c r="MA592" s="1154" t="str">
        <f t="shared" si="307"/>
        <v/>
      </c>
      <c r="MB592" s="1154" t="str">
        <f t="shared" si="308"/>
        <v/>
      </c>
      <c r="MC592" s="1154" t="str">
        <f t="shared" si="309"/>
        <v/>
      </c>
      <c r="MD592" s="1154" t="str">
        <f t="shared" si="310"/>
        <v/>
      </c>
      <c r="ME592" s="1525">
        <f t="shared" si="322"/>
        <v>0</v>
      </c>
      <c r="MF592" s="1525">
        <f t="shared" si="323"/>
        <v>0</v>
      </c>
      <c r="MG592" s="1525">
        <f t="shared" si="324"/>
        <v>0</v>
      </c>
      <c r="MH592" s="1525">
        <f t="shared" si="325"/>
        <v>0</v>
      </c>
      <c r="MI592" s="1525">
        <f t="shared" si="326"/>
        <v>0</v>
      </c>
      <c r="MJ592" s="1525">
        <f t="shared" si="327"/>
        <v>0</v>
      </c>
      <c r="MK592" s="1525">
        <f t="shared" si="328"/>
        <v>0</v>
      </c>
      <c r="ML592" s="1525">
        <f t="shared" si="329"/>
        <v>0</v>
      </c>
      <c r="MM592" s="1525">
        <f t="shared" si="330"/>
        <v>0</v>
      </c>
      <c r="MN592" s="1525">
        <f t="shared" si="331"/>
        <v>0</v>
      </c>
      <c r="MO592" s="1525">
        <f t="shared" si="332"/>
        <v>0</v>
      </c>
      <c r="MP592" s="1525">
        <f t="shared" si="333"/>
        <v>0</v>
      </c>
      <c r="MQ592" s="1525">
        <f t="shared" si="334"/>
        <v>0</v>
      </c>
      <c r="MR592" s="1525">
        <f t="shared" si="335"/>
        <v>0</v>
      </c>
      <c r="MS592" s="1525">
        <f t="shared" si="336"/>
        <v>0</v>
      </c>
    </row>
    <row r="593" spans="1:357" s="1154" customFormat="1" ht="12" customHeight="1">
      <c r="A593" s="1524" t="str">
        <f t="shared" si="1"/>
        <v/>
      </c>
      <c r="B593" s="1682">
        <f>'Part VI-Revenues &amp; Expenses'!B22</f>
        <v>70</v>
      </c>
      <c r="C593" s="1673">
        <f>'Part VI-Revenues &amp; Expenses'!C22</f>
        <v>0</v>
      </c>
      <c r="D593" s="1674">
        <f>'Part VI-Revenues &amp; Expenses'!D22</f>
        <v>0</v>
      </c>
      <c r="E593" s="1675">
        <f>'Part VI-Revenues &amp; Expenses'!E22</f>
        <v>0</v>
      </c>
      <c r="F593" s="1675">
        <f>'Part VI-Revenues &amp; Expenses'!F22</f>
        <v>0</v>
      </c>
      <c r="G593" s="1675">
        <f>'Part VI-Revenues &amp; Expenses'!G22</f>
        <v>0</v>
      </c>
      <c r="H593" s="1675">
        <f>'Part VI-Revenues &amp; Expenses'!H22</f>
        <v>0</v>
      </c>
      <c r="I593" s="1675">
        <f>'Part VI-Revenues &amp; Expenses'!I22</f>
        <v>0</v>
      </c>
      <c r="J593" s="1676">
        <f>'Part VI-Revenues &amp; Expenses'!J22</f>
        <v>0</v>
      </c>
      <c r="K593" s="1677">
        <f>'Part VI-Revenues &amp; Expenses'!K22</f>
        <v>0</v>
      </c>
      <c r="L593" s="1677">
        <f>'Part VI-Revenues &amp; Expenses'!L22</f>
        <v>0</v>
      </c>
      <c r="M593" s="1678">
        <f>'Part VI-Revenues &amp; Expenses'!M22</f>
        <v>0</v>
      </c>
      <c r="N593" s="1678">
        <f>'Part VI-Revenues &amp; Expenses'!N22</f>
        <v>0</v>
      </c>
      <c r="O593" s="1678">
        <f>'Part VI-Revenues &amp; Expenses'!O22</f>
        <v>0</v>
      </c>
      <c r="P593" s="1660">
        <f>'Part VI-Revenues &amp; Expenses'!P22</f>
        <v>0</v>
      </c>
      <c r="Q593" s="1679"/>
      <c r="R593" s="1680"/>
      <c r="S593" s="1679"/>
      <c r="T593" s="1680"/>
      <c r="U593" s="1519"/>
      <c r="V593" s="1519"/>
      <c r="W593" s="1154" t="str">
        <f t="shared" si="2"/>
        <v/>
      </c>
      <c r="X593" s="1154" t="str">
        <f t="shared" si="3"/>
        <v/>
      </c>
      <c r="Y593" s="1154" t="str">
        <f t="shared" si="4"/>
        <v/>
      </c>
      <c r="Z593" s="1154" t="str">
        <f t="shared" si="5"/>
        <v/>
      </c>
      <c r="AA593" s="1154" t="str">
        <f t="shared" si="6"/>
        <v/>
      </c>
      <c r="AB593" s="1154" t="str">
        <f t="shared" si="7"/>
        <v/>
      </c>
      <c r="AC593" s="1154" t="str">
        <f t="shared" si="8"/>
        <v/>
      </c>
      <c r="AD593" s="1154" t="str">
        <f t="shared" si="9"/>
        <v/>
      </c>
      <c r="AE593" s="1154" t="str">
        <f t="shared" si="10"/>
        <v/>
      </c>
      <c r="AF593" s="1154" t="str">
        <f t="shared" si="11"/>
        <v/>
      </c>
      <c r="AG593" s="1154" t="str">
        <f t="shared" si="12"/>
        <v/>
      </c>
      <c r="AH593" s="1154" t="str">
        <f t="shared" si="13"/>
        <v/>
      </c>
      <c r="AI593" s="1154" t="str">
        <f t="shared" si="14"/>
        <v/>
      </c>
      <c r="AJ593" s="1154" t="str">
        <f t="shared" si="15"/>
        <v/>
      </c>
      <c r="AK593" s="1154" t="str">
        <f t="shared" si="16"/>
        <v/>
      </c>
      <c r="AL593" s="1154" t="str">
        <f t="shared" si="17"/>
        <v/>
      </c>
      <c r="AM593" s="1154" t="str">
        <f t="shared" si="18"/>
        <v/>
      </c>
      <c r="AN593" s="1154" t="str">
        <f t="shared" si="19"/>
        <v/>
      </c>
      <c r="AO593" s="1154" t="str">
        <f t="shared" si="20"/>
        <v/>
      </c>
      <c r="AP593" s="1154" t="str">
        <f t="shared" si="21"/>
        <v/>
      </c>
      <c r="AQ593" s="1154" t="str">
        <f t="shared" si="22"/>
        <v/>
      </c>
      <c r="AR593" s="1154" t="str">
        <f t="shared" si="23"/>
        <v/>
      </c>
      <c r="AS593" s="1154" t="str">
        <f t="shared" si="24"/>
        <v/>
      </c>
      <c r="AT593" s="1154" t="str">
        <f t="shared" si="25"/>
        <v/>
      </c>
      <c r="AU593" s="1154" t="str">
        <f t="shared" si="26"/>
        <v/>
      </c>
      <c r="AV593" s="1154" t="str">
        <f t="shared" si="27"/>
        <v/>
      </c>
      <c r="AW593" s="1154" t="str">
        <f t="shared" si="28"/>
        <v/>
      </c>
      <c r="AX593" s="1154" t="str">
        <f t="shared" si="29"/>
        <v/>
      </c>
      <c r="AY593" s="1154" t="str">
        <f t="shared" si="30"/>
        <v/>
      </c>
      <c r="AZ593" s="1154" t="str">
        <f t="shared" si="31"/>
        <v/>
      </c>
      <c r="BA593" s="1154" t="str">
        <f t="shared" si="32"/>
        <v/>
      </c>
      <c r="BB593" s="1154" t="str">
        <f t="shared" si="33"/>
        <v/>
      </c>
      <c r="BC593" s="1154" t="str">
        <f t="shared" si="34"/>
        <v/>
      </c>
      <c r="BD593" s="1154" t="str">
        <f t="shared" si="35"/>
        <v/>
      </c>
      <c r="BE593" s="1154" t="str">
        <f t="shared" si="36"/>
        <v/>
      </c>
      <c r="BF593" s="1154" t="str">
        <f t="shared" si="37"/>
        <v/>
      </c>
      <c r="BG593" s="1154" t="str">
        <f t="shared" si="38"/>
        <v/>
      </c>
      <c r="BH593" s="1154" t="str">
        <f t="shared" si="39"/>
        <v/>
      </c>
      <c r="BI593" s="1154" t="str">
        <f t="shared" si="40"/>
        <v/>
      </c>
      <c r="BJ593" s="1154" t="str">
        <f t="shared" si="41"/>
        <v/>
      </c>
      <c r="BK593" s="1154" t="str">
        <f t="shared" si="42"/>
        <v/>
      </c>
      <c r="BL593" s="1154" t="str">
        <f t="shared" si="43"/>
        <v/>
      </c>
      <c r="BM593" s="1154" t="str">
        <f t="shared" si="44"/>
        <v/>
      </c>
      <c r="BN593" s="1154" t="str">
        <f t="shared" si="45"/>
        <v/>
      </c>
      <c r="BO593" s="1154" t="str">
        <f t="shared" si="46"/>
        <v/>
      </c>
      <c r="BP593" s="1154" t="str">
        <f t="shared" si="47"/>
        <v/>
      </c>
      <c r="BQ593" s="1154" t="str">
        <f t="shared" si="48"/>
        <v/>
      </c>
      <c r="BR593" s="1154" t="str">
        <f t="shared" si="49"/>
        <v/>
      </c>
      <c r="BS593" s="1154" t="str">
        <f t="shared" si="50"/>
        <v/>
      </c>
      <c r="BT593" s="1154" t="str">
        <f t="shared" si="51"/>
        <v/>
      </c>
      <c r="BU593" s="1154" t="str">
        <f t="shared" si="52"/>
        <v/>
      </c>
      <c r="BV593" s="1154" t="str">
        <f t="shared" si="53"/>
        <v/>
      </c>
      <c r="BW593" s="1154" t="str">
        <f t="shared" si="54"/>
        <v/>
      </c>
      <c r="BX593" s="1154" t="str">
        <f t="shared" si="55"/>
        <v/>
      </c>
      <c r="BY593" s="1154" t="str">
        <f t="shared" si="56"/>
        <v/>
      </c>
      <c r="BZ593" s="1154" t="str">
        <f t="shared" si="57"/>
        <v/>
      </c>
      <c r="CA593" s="1154" t="str">
        <f t="shared" si="58"/>
        <v/>
      </c>
      <c r="CB593" s="1154" t="str">
        <f t="shared" si="59"/>
        <v/>
      </c>
      <c r="CC593" s="1154" t="str">
        <f t="shared" si="60"/>
        <v/>
      </c>
      <c r="CD593" s="1154" t="str">
        <f t="shared" si="61"/>
        <v/>
      </c>
      <c r="CE593" s="1154" t="str">
        <f t="shared" si="62"/>
        <v/>
      </c>
      <c r="CF593" s="1154" t="str">
        <f t="shared" si="63"/>
        <v/>
      </c>
      <c r="CG593" s="1154" t="str">
        <f t="shared" si="64"/>
        <v/>
      </c>
      <c r="CH593" s="1154" t="str">
        <f t="shared" si="65"/>
        <v/>
      </c>
      <c r="CI593" s="1154" t="str">
        <f t="shared" si="66"/>
        <v/>
      </c>
      <c r="CJ593" s="1154" t="str">
        <f t="shared" si="67"/>
        <v/>
      </c>
      <c r="CK593" s="1154" t="str">
        <f t="shared" si="68"/>
        <v/>
      </c>
      <c r="CL593" s="1154" t="str">
        <f t="shared" si="69"/>
        <v/>
      </c>
      <c r="CM593" s="1154" t="str">
        <f t="shared" si="70"/>
        <v/>
      </c>
      <c r="CN593" s="1154" t="str">
        <f t="shared" si="71"/>
        <v/>
      </c>
      <c r="CO593" s="1154" t="str">
        <f t="shared" si="72"/>
        <v/>
      </c>
      <c r="CP593" s="1154" t="str">
        <f t="shared" si="73"/>
        <v/>
      </c>
      <c r="CQ593" s="1154" t="str">
        <f t="shared" si="74"/>
        <v/>
      </c>
      <c r="CR593" s="1154" t="str">
        <f t="shared" si="75"/>
        <v/>
      </c>
      <c r="CS593" s="1154" t="str">
        <f t="shared" si="76"/>
        <v/>
      </c>
      <c r="CT593" s="1154" t="str">
        <f t="shared" si="77"/>
        <v/>
      </c>
      <c r="CU593" s="1154" t="str">
        <f t="shared" si="78"/>
        <v/>
      </c>
      <c r="CV593" s="1154" t="str">
        <f t="shared" si="79"/>
        <v/>
      </c>
      <c r="CW593" s="1154" t="str">
        <f t="shared" si="80"/>
        <v/>
      </c>
      <c r="CX593" s="1154" t="str">
        <f t="shared" si="81"/>
        <v/>
      </c>
      <c r="CY593" s="1154" t="str">
        <f t="shared" si="82"/>
        <v/>
      </c>
      <c r="CZ593" s="1154" t="str">
        <f t="shared" si="83"/>
        <v/>
      </c>
      <c r="DA593" s="1154" t="str">
        <f t="shared" si="84"/>
        <v/>
      </c>
      <c r="DB593" s="1154" t="str">
        <f t="shared" si="85"/>
        <v/>
      </c>
      <c r="DC593" s="1154" t="str">
        <f t="shared" si="86"/>
        <v/>
      </c>
      <c r="DD593" s="1154" t="str">
        <f t="shared" si="87"/>
        <v/>
      </c>
      <c r="DE593" s="1154" t="str">
        <f t="shared" si="88"/>
        <v/>
      </c>
      <c r="DF593" s="1154" t="str">
        <f t="shared" si="89"/>
        <v/>
      </c>
      <c r="DG593" s="1154" t="str">
        <f t="shared" si="90"/>
        <v/>
      </c>
      <c r="DH593" s="1154" t="str">
        <f t="shared" si="91"/>
        <v/>
      </c>
      <c r="DI593" s="1154" t="str">
        <f t="shared" si="92"/>
        <v/>
      </c>
      <c r="DJ593" s="1154" t="str">
        <f t="shared" si="93"/>
        <v/>
      </c>
      <c r="DK593" s="1154" t="str">
        <f t="shared" si="94"/>
        <v/>
      </c>
      <c r="DL593" s="1154" t="str">
        <f t="shared" si="95"/>
        <v/>
      </c>
      <c r="DM593" s="1154" t="str">
        <f t="shared" si="96"/>
        <v/>
      </c>
      <c r="DN593" s="1154" t="str">
        <f t="shared" si="97"/>
        <v/>
      </c>
      <c r="DO593" s="1154" t="str">
        <f t="shared" si="98"/>
        <v/>
      </c>
      <c r="DP593" s="1154" t="str">
        <f t="shared" si="99"/>
        <v/>
      </c>
      <c r="DQ593" s="1154" t="str">
        <f t="shared" si="100"/>
        <v/>
      </c>
      <c r="DR593" s="1154" t="str">
        <f t="shared" si="101"/>
        <v/>
      </c>
      <c r="DS593" s="1154" t="str">
        <f t="shared" si="102"/>
        <v/>
      </c>
      <c r="DT593" s="1154" t="str">
        <f t="shared" si="103"/>
        <v/>
      </c>
      <c r="DU593" s="1154" t="str">
        <f t="shared" si="104"/>
        <v/>
      </c>
      <c r="DV593" s="1154" t="str">
        <f t="shared" si="105"/>
        <v/>
      </c>
      <c r="DW593" s="1154" t="str">
        <f t="shared" si="106"/>
        <v/>
      </c>
      <c r="DX593" s="1154" t="str">
        <f t="shared" si="107"/>
        <v/>
      </c>
      <c r="DY593" s="1154" t="str">
        <f t="shared" si="108"/>
        <v/>
      </c>
      <c r="DZ593" s="1154" t="str">
        <f t="shared" si="109"/>
        <v/>
      </c>
      <c r="EA593" s="1154" t="str">
        <f t="shared" si="110"/>
        <v/>
      </c>
      <c r="EB593" s="1154" t="str">
        <f t="shared" si="111"/>
        <v/>
      </c>
      <c r="EC593" s="1154" t="str">
        <f t="shared" si="112"/>
        <v/>
      </c>
      <c r="ED593" s="1154" t="str">
        <f t="shared" si="113"/>
        <v/>
      </c>
      <c r="EE593" s="1154" t="str">
        <f t="shared" si="114"/>
        <v/>
      </c>
      <c r="EF593" s="1154" t="str">
        <f t="shared" si="115"/>
        <v/>
      </c>
      <c r="EG593" s="1154" t="str">
        <f t="shared" si="311"/>
        <v/>
      </c>
      <c r="EH593" s="1154" t="str">
        <f t="shared" si="116"/>
        <v/>
      </c>
      <c r="EI593" s="1154" t="str">
        <f t="shared" si="117"/>
        <v/>
      </c>
      <c r="EJ593" s="1154" t="str">
        <f t="shared" si="118"/>
        <v/>
      </c>
      <c r="EK593" s="1154" t="str">
        <f t="shared" si="119"/>
        <v/>
      </c>
      <c r="EL593" s="1154" t="str">
        <f t="shared" si="120"/>
        <v/>
      </c>
      <c r="EM593" s="1154" t="str">
        <f t="shared" si="121"/>
        <v/>
      </c>
      <c r="EN593" s="1154" t="str">
        <f t="shared" si="122"/>
        <v/>
      </c>
      <c r="EO593" s="1154" t="str">
        <f t="shared" si="123"/>
        <v/>
      </c>
      <c r="EP593" s="1154" t="str">
        <f t="shared" si="124"/>
        <v/>
      </c>
      <c r="EQ593" s="1154" t="str">
        <f t="shared" si="125"/>
        <v/>
      </c>
      <c r="ER593" s="1154" t="str">
        <f t="shared" si="126"/>
        <v/>
      </c>
      <c r="ES593" s="1154" t="str">
        <f t="shared" si="127"/>
        <v/>
      </c>
      <c r="ET593" s="1154" t="str">
        <f t="shared" si="128"/>
        <v/>
      </c>
      <c r="EU593" s="1154" t="str">
        <f t="shared" si="129"/>
        <v/>
      </c>
      <c r="EV593" s="1154" t="str">
        <f t="shared" si="130"/>
        <v/>
      </c>
      <c r="EW593" s="1154" t="str">
        <f t="shared" si="312"/>
        <v/>
      </c>
      <c r="EX593" s="1154" t="str">
        <f t="shared" si="313"/>
        <v/>
      </c>
      <c r="EY593" s="1154" t="str">
        <f t="shared" si="314"/>
        <v/>
      </c>
      <c r="EZ593" s="1154" t="str">
        <f t="shared" si="315"/>
        <v/>
      </c>
      <c r="FA593" s="1154" t="str">
        <f t="shared" si="316"/>
        <v/>
      </c>
      <c r="FB593" s="1154" t="str">
        <f t="shared" si="131"/>
        <v/>
      </c>
      <c r="FC593" s="1154" t="str">
        <f t="shared" si="132"/>
        <v/>
      </c>
      <c r="FD593" s="1154" t="str">
        <f t="shared" si="133"/>
        <v/>
      </c>
      <c r="FE593" s="1154" t="str">
        <f t="shared" si="134"/>
        <v/>
      </c>
      <c r="FF593" s="1154" t="str">
        <f t="shared" si="135"/>
        <v/>
      </c>
      <c r="FG593" s="1154" t="str">
        <f t="shared" si="317"/>
        <v/>
      </c>
      <c r="FH593" s="1154" t="str">
        <f t="shared" si="318"/>
        <v/>
      </c>
      <c r="FI593" s="1154" t="str">
        <f t="shared" si="319"/>
        <v/>
      </c>
      <c r="FJ593" s="1154" t="str">
        <f t="shared" si="320"/>
        <v/>
      </c>
      <c r="FK593" s="1154" t="str">
        <f t="shared" si="321"/>
        <v/>
      </c>
      <c r="FL593" s="1154" t="str">
        <f t="shared" si="136"/>
        <v/>
      </c>
      <c r="FM593" s="1154" t="str">
        <f t="shared" si="137"/>
        <v/>
      </c>
      <c r="FN593" s="1154" t="str">
        <f t="shared" si="138"/>
        <v/>
      </c>
      <c r="FO593" s="1154" t="str">
        <f t="shared" si="139"/>
        <v/>
      </c>
      <c r="FP593" s="1154" t="str">
        <f t="shared" si="140"/>
        <v/>
      </c>
      <c r="FQ593" s="1154" t="str">
        <f t="shared" si="141"/>
        <v/>
      </c>
      <c r="FR593" s="1154" t="str">
        <f t="shared" si="142"/>
        <v/>
      </c>
      <c r="FS593" s="1154" t="str">
        <f t="shared" si="143"/>
        <v/>
      </c>
      <c r="FT593" s="1154" t="str">
        <f t="shared" si="144"/>
        <v/>
      </c>
      <c r="FU593" s="1154" t="str">
        <f t="shared" si="145"/>
        <v/>
      </c>
      <c r="FV593" s="1154" t="str">
        <f t="shared" si="146"/>
        <v/>
      </c>
      <c r="FW593" s="1154" t="str">
        <f t="shared" si="147"/>
        <v/>
      </c>
      <c r="FX593" s="1154" t="str">
        <f t="shared" si="148"/>
        <v/>
      </c>
      <c r="FY593" s="1154" t="str">
        <f t="shared" si="149"/>
        <v/>
      </c>
      <c r="FZ593" s="1154" t="str">
        <f t="shared" si="150"/>
        <v/>
      </c>
      <c r="GA593" s="1154" t="str">
        <f t="shared" si="151"/>
        <v/>
      </c>
      <c r="GB593" s="1154" t="str">
        <f t="shared" si="152"/>
        <v/>
      </c>
      <c r="GC593" s="1154" t="str">
        <f t="shared" si="153"/>
        <v/>
      </c>
      <c r="GD593" s="1154" t="str">
        <f t="shared" si="154"/>
        <v/>
      </c>
      <c r="GE593" s="1154" t="str">
        <f t="shared" si="155"/>
        <v/>
      </c>
      <c r="GF593" s="1154" t="str">
        <f t="shared" si="156"/>
        <v/>
      </c>
      <c r="GG593" s="1154" t="str">
        <f t="shared" si="157"/>
        <v/>
      </c>
      <c r="GH593" s="1154" t="str">
        <f t="shared" si="158"/>
        <v/>
      </c>
      <c r="GI593" s="1154" t="str">
        <f t="shared" si="159"/>
        <v/>
      </c>
      <c r="GJ593" s="1154" t="str">
        <f t="shared" si="160"/>
        <v/>
      </c>
      <c r="GK593" s="1154" t="str">
        <f t="shared" si="161"/>
        <v/>
      </c>
      <c r="GL593" s="1154" t="str">
        <f t="shared" si="162"/>
        <v/>
      </c>
      <c r="GM593" s="1154" t="str">
        <f t="shared" si="163"/>
        <v/>
      </c>
      <c r="GN593" s="1154" t="str">
        <f t="shared" si="164"/>
        <v/>
      </c>
      <c r="GO593" s="1154" t="str">
        <f t="shared" si="165"/>
        <v/>
      </c>
      <c r="GP593" s="1154" t="str">
        <f t="shared" si="166"/>
        <v/>
      </c>
      <c r="GQ593" s="1154" t="str">
        <f t="shared" si="167"/>
        <v/>
      </c>
      <c r="GR593" s="1154" t="str">
        <f t="shared" si="168"/>
        <v/>
      </c>
      <c r="GS593" s="1154" t="str">
        <f t="shared" si="169"/>
        <v/>
      </c>
      <c r="GT593" s="1154" t="str">
        <f t="shared" si="170"/>
        <v/>
      </c>
      <c r="GU593" s="1154" t="str">
        <f t="shared" si="171"/>
        <v/>
      </c>
      <c r="GV593" s="1154" t="str">
        <f t="shared" si="172"/>
        <v/>
      </c>
      <c r="GW593" s="1154" t="str">
        <f t="shared" si="173"/>
        <v/>
      </c>
      <c r="GX593" s="1154" t="str">
        <f t="shared" si="174"/>
        <v/>
      </c>
      <c r="GY593" s="1154" t="str">
        <f t="shared" si="175"/>
        <v/>
      </c>
      <c r="GZ593" s="1154" t="str">
        <f t="shared" si="176"/>
        <v/>
      </c>
      <c r="HA593" s="1154" t="str">
        <f t="shared" si="177"/>
        <v/>
      </c>
      <c r="HB593" s="1154" t="str">
        <f t="shared" si="178"/>
        <v/>
      </c>
      <c r="HC593" s="1154" t="str">
        <f t="shared" si="179"/>
        <v/>
      </c>
      <c r="HD593" s="1154" t="str">
        <f t="shared" si="180"/>
        <v/>
      </c>
      <c r="HE593" s="1154" t="str">
        <f t="shared" si="181"/>
        <v/>
      </c>
      <c r="HF593" s="1154" t="str">
        <f t="shared" si="182"/>
        <v/>
      </c>
      <c r="HG593" s="1154" t="str">
        <f t="shared" si="183"/>
        <v/>
      </c>
      <c r="HH593" s="1154" t="str">
        <f t="shared" si="184"/>
        <v/>
      </c>
      <c r="HI593" s="1154" t="str">
        <f t="shared" si="185"/>
        <v/>
      </c>
      <c r="HJ593" s="1154" t="str">
        <f t="shared" si="186"/>
        <v/>
      </c>
      <c r="HK593" s="1154" t="str">
        <f t="shared" si="187"/>
        <v/>
      </c>
      <c r="HL593" s="1154" t="str">
        <f t="shared" si="188"/>
        <v/>
      </c>
      <c r="HM593" s="1154" t="str">
        <f t="shared" si="189"/>
        <v/>
      </c>
      <c r="HN593" s="1154" t="str">
        <f t="shared" si="190"/>
        <v/>
      </c>
      <c r="HO593" s="1154" t="str">
        <f t="shared" si="191"/>
        <v/>
      </c>
      <c r="HP593" s="1154" t="str">
        <f t="shared" si="192"/>
        <v/>
      </c>
      <c r="HQ593" s="1154" t="str">
        <f t="shared" si="193"/>
        <v/>
      </c>
      <c r="HR593" s="1154" t="str">
        <f t="shared" si="194"/>
        <v/>
      </c>
      <c r="HS593" s="1154" t="str">
        <f t="shared" si="195"/>
        <v/>
      </c>
      <c r="HT593" s="1154" t="str">
        <f t="shared" si="196"/>
        <v/>
      </c>
      <c r="HU593" s="1154" t="str">
        <f t="shared" si="197"/>
        <v/>
      </c>
      <c r="HV593" s="1154" t="str">
        <f t="shared" si="198"/>
        <v/>
      </c>
      <c r="HW593" s="1154" t="str">
        <f t="shared" si="199"/>
        <v/>
      </c>
      <c r="HX593" s="1154" t="str">
        <f t="shared" si="200"/>
        <v/>
      </c>
      <c r="HY593" s="1681" t="str">
        <f t="shared" si="201"/>
        <v/>
      </c>
      <c r="HZ593" s="1681" t="str">
        <f t="shared" si="202"/>
        <v/>
      </c>
      <c r="IA593" s="1681" t="str">
        <f t="shared" si="203"/>
        <v/>
      </c>
      <c r="IB593" s="1681" t="str">
        <f t="shared" si="204"/>
        <v/>
      </c>
      <c r="IC593" s="1681" t="str">
        <f t="shared" si="205"/>
        <v/>
      </c>
      <c r="ID593" s="1681" t="str">
        <f t="shared" si="206"/>
        <v/>
      </c>
      <c r="IE593" s="1681" t="str">
        <f t="shared" si="207"/>
        <v/>
      </c>
      <c r="IF593" s="1681" t="str">
        <f t="shared" si="208"/>
        <v/>
      </c>
      <c r="IG593" s="1681" t="str">
        <f t="shared" si="209"/>
        <v/>
      </c>
      <c r="IH593" s="1681" t="str">
        <f t="shared" si="210"/>
        <v/>
      </c>
      <c r="II593" s="1681" t="str">
        <f t="shared" si="211"/>
        <v/>
      </c>
      <c r="IJ593" s="1681" t="str">
        <f t="shared" si="212"/>
        <v/>
      </c>
      <c r="IK593" s="1681" t="str">
        <f t="shared" si="213"/>
        <v/>
      </c>
      <c r="IL593" s="1681" t="str">
        <f t="shared" si="214"/>
        <v/>
      </c>
      <c r="IM593" s="1681" t="str">
        <f t="shared" si="215"/>
        <v/>
      </c>
      <c r="IN593" s="1681" t="str">
        <f t="shared" si="216"/>
        <v/>
      </c>
      <c r="IO593" s="1681" t="str">
        <f t="shared" si="217"/>
        <v/>
      </c>
      <c r="IP593" s="1681" t="str">
        <f t="shared" si="218"/>
        <v/>
      </c>
      <c r="IQ593" s="1681" t="str">
        <f t="shared" si="219"/>
        <v/>
      </c>
      <c r="IR593" s="1681" t="str">
        <f t="shared" si="220"/>
        <v/>
      </c>
      <c r="IS593" s="1681" t="str">
        <f t="shared" si="221"/>
        <v/>
      </c>
      <c r="IT593" s="1681" t="str">
        <f t="shared" si="222"/>
        <v/>
      </c>
      <c r="IU593" s="1681" t="str">
        <f t="shared" si="223"/>
        <v/>
      </c>
      <c r="IV593" s="1681" t="str">
        <f t="shared" si="224"/>
        <v/>
      </c>
      <c r="IW593" s="1681" t="str">
        <f t="shared" si="225"/>
        <v/>
      </c>
      <c r="IX593" s="1681" t="str">
        <f t="shared" si="226"/>
        <v/>
      </c>
      <c r="IY593" s="1681" t="str">
        <f t="shared" si="227"/>
        <v/>
      </c>
      <c r="IZ593" s="1681" t="str">
        <f t="shared" si="228"/>
        <v/>
      </c>
      <c r="JA593" s="1681" t="str">
        <f t="shared" si="229"/>
        <v/>
      </c>
      <c r="JB593" s="1681" t="str">
        <f t="shared" si="230"/>
        <v/>
      </c>
      <c r="JC593" s="1681" t="str">
        <f t="shared" si="231"/>
        <v/>
      </c>
      <c r="JD593" s="1681" t="str">
        <f t="shared" si="232"/>
        <v/>
      </c>
      <c r="JE593" s="1681" t="str">
        <f t="shared" si="233"/>
        <v/>
      </c>
      <c r="JF593" s="1681" t="str">
        <f t="shared" si="234"/>
        <v/>
      </c>
      <c r="JG593" s="1681" t="str">
        <f t="shared" si="235"/>
        <v/>
      </c>
      <c r="JH593" s="1681" t="str">
        <f t="shared" si="236"/>
        <v/>
      </c>
      <c r="JI593" s="1681" t="str">
        <f t="shared" si="237"/>
        <v/>
      </c>
      <c r="JJ593" s="1681" t="str">
        <f t="shared" si="238"/>
        <v/>
      </c>
      <c r="JK593" s="1681" t="str">
        <f t="shared" si="239"/>
        <v/>
      </c>
      <c r="JL593" s="1681" t="str">
        <f t="shared" si="240"/>
        <v/>
      </c>
      <c r="JM593" s="1681" t="str">
        <f t="shared" si="241"/>
        <v/>
      </c>
      <c r="JN593" s="1681" t="str">
        <f t="shared" si="242"/>
        <v/>
      </c>
      <c r="JO593" s="1681" t="str">
        <f t="shared" si="243"/>
        <v/>
      </c>
      <c r="JP593" s="1681" t="str">
        <f t="shared" si="244"/>
        <v/>
      </c>
      <c r="JQ593" s="1681" t="str">
        <f t="shared" si="245"/>
        <v/>
      </c>
      <c r="JR593" s="1681" t="str">
        <f t="shared" si="246"/>
        <v/>
      </c>
      <c r="JS593" s="1681" t="str">
        <f t="shared" si="247"/>
        <v/>
      </c>
      <c r="JT593" s="1681" t="str">
        <f t="shared" si="248"/>
        <v/>
      </c>
      <c r="JU593" s="1681" t="str">
        <f t="shared" si="249"/>
        <v/>
      </c>
      <c r="JV593" s="1681" t="str">
        <f t="shared" si="250"/>
        <v/>
      </c>
      <c r="JW593" s="1681" t="str">
        <f t="shared" si="251"/>
        <v/>
      </c>
      <c r="JX593" s="1681" t="str">
        <f t="shared" si="252"/>
        <v/>
      </c>
      <c r="JY593" s="1681" t="str">
        <f t="shared" si="253"/>
        <v/>
      </c>
      <c r="JZ593" s="1681" t="str">
        <f t="shared" si="254"/>
        <v/>
      </c>
      <c r="KA593" s="1681" t="str">
        <f t="shared" si="255"/>
        <v/>
      </c>
      <c r="KB593" s="1681" t="str">
        <f t="shared" si="256"/>
        <v/>
      </c>
      <c r="KC593" s="1681" t="str">
        <f t="shared" si="257"/>
        <v/>
      </c>
      <c r="KD593" s="1681" t="str">
        <f t="shared" si="258"/>
        <v/>
      </c>
      <c r="KE593" s="1681" t="str">
        <f t="shared" si="259"/>
        <v/>
      </c>
      <c r="KF593" s="1681" t="str">
        <f t="shared" si="260"/>
        <v/>
      </c>
      <c r="KG593" s="1681" t="str">
        <f t="shared" si="261"/>
        <v/>
      </c>
      <c r="KH593" s="1681" t="str">
        <f t="shared" si="262"/>
        <v/>
      </c>
      <c r="KI593" s="1681" t="str">
        <f t="shared" si="263"/>
        <v/>
      </c>
      <c r="KJ593" s="1681" t="str">
        <f t="shared" si="264"/>
        <v/>
      </c>
      <c r="KK593" s="1681" t="str">
        <f t="shared" si="265"/>
        <v/>
      </c>
      <c r="KL593" s="1681" t="str">
        <f t="shared" si="266"/>
        <v/>
      </c>
      <c r="KM593" s="1681" t="str">
        <f t="shared" si="267"/>
        <v/>
      </c>
      <c r="KN593" s="1681" t="str">
        <f t="shared" si="268"/>
        <v/>
      </c>
      <c r="KO593" s="1681" t="str">
        <f t="shared" si="269"/>
        <v/>
      </c>
      <c r="KP593" s="1681" t="str">
        <f t="shared" si="270"/>
        <v/>
      </c>
      <c r="KQ593" s="1681" t="str">
        <f t="shared" si="271"/>
        <v/>
      </c>
      <c r="KR593" s="1681" t="str">
        <f t="shared" si="272"/>
        <v/>
      </c>
      <c r="KS593" s="1681" t="str">
        <f t="shared" si="273"/>
        <v/>
      </c>
      <c r="KT593" s="1681" t="str">
        <f t="shared" si="274"/>
        <v/>
      </c>
      <c r="KU593" s="1681" t="str">
        <f t="shared" si="275"/>
        <v/>
      </c>
      <c r="KV593" s="1681" t="str">
        <f t="shared" si="276"/>
        <v/>
      </c>
      <c r="KW593" s="1681" t="str">
        <f t="shared" si="277"/>
        <v/>
      </c>
      <c r="KX593" s="1681" t="str">
        <f t="shared" si="278"/>
        <v/>
      </c>
      <c r="KY593" s="1681" t="str">
        <f t="shared" si="279"/>
        <v/>
      </c>
      <c r="KZ593" s="1681" t="str">
        <f t="shared" si="280"/>
        <v/>
      </c>
      <c r="LA593" s="1681" t="str">
        <f t="shared" si="281"/>
        <v/>
      </c>
      <c r="LB593" s="1681" t="str">
        <f t="shared" si="282"/>
        <v/>
      </c>
      <c r="LC593" s="1681" t="str">
        <f t="shared" si="283"/>
        <v/>
      </c>
      <c r="LD593" s="1681" t="str">
        <f t="shared" si="284"/>
        <v/>
      </c>
      <c r="LE593" s="1681" t="str">
        <f t="shared" si="285"/>
        <v/>
      </c>
      <c r="LF593" s="1525" t="str">
        <f t="shared" si="286"/>
        <v/>
      </c>
      <c r="LG593" s="1525" t="str">
        <f t="shared" si="287"/>
        <v/>
      </c>
      <c r="LH593" s="1525" t="str">
        <f t="shared" si="288"/>
        <v/>
      </c>
      <c r="LI593" s="1525" t="str">
        <f t="shared" si="289"/>
        <v/>
      </c>
      <c r="LJ593" s="1525" t="str">
        <f t="shared" si="290"/>
        <v/>
      </c>
      <c r="LK593" s="1154" t="str">
        <f t="shared" si="291"/>
        <v/>
      </c>
      <c r="LL593" s="1154" t="str">
        <f t="shared" si="292"/>
        <v/>
      </c>
      <c r="LM593" s="1154" t="str">
        <f t="shared" si="293"/>
        <v/>
      </c>
      <c r="LN593" s="1154" t="str">
        <f t="shared" si="294"/>
        <v/>
      </c>
      <c r="LO593" s="1154" t="str">
        <f t="shared" si="295"/>
        <v/>
      </c>
      <c r="LP593" s="1154" t="str">
        <f t="shared" si="296"/>
        <v/>
      </c>
      <c r="LQ593" s="1154" t="str">
        <f t="shared" si="297"/>
        <v/>
      </c>
      <c r="LR593" s="1154" t="str">
        <f t="shared" si="298"/>
        <v/>
      </c>
      <c r="LS593" s="1154" t="str">
        <f t="shared" si="299"/>
        <v/>
      </c>
      <c r="LT593" s="1154" t="str">
        <f t="shared" si="300"/>
        <v/>
      </c>
      <c r="LU593" s="1154" t="str">
        <f t="shared" si="301"/>
        <v/>
      </c>
      <c r="LV593" s="1154" t="str">
        <f t="shared" si="302"/>
        <v/>
      </c>
      <c r="LW593" s="1154" t="str">
        <f t="shared" si="303"/>
        <v/>
      </c>
      <c r="LX593" s="1154" t="str">
        <f t="shared" si="304"/>
        <v/>
      </c>
      <c r="LY593" s="1154" t="str">
        <f t="shared" si="305"/>
        <v/>
      </c>
      <c r="LZ593" s="1154" t="str">
        <f t="shared" si="306"/>
        <v/>
      </c>
      <c r="MA593" s="1154" t="str">
        <f t="shared" si="307"/>
        <v/>
      </c>
      <c r="MB593" s="1154" t="str">
        <f t="shared" si="308"/>
        <v/>
      </c>
      <c r="MC593" s="1154" t="str">
        <f t="shared" si="309"/>
        <v/>
      </c>
      <c r="MD593" s="1154" t="str">
        <f t="shared" si="310"/>
        <v/>
      </c>
      <c r="ME593" s="1525">
        <f t="shared" si="322"/>
        <v>0</v>
      </c>
      <c r="MF593" s="1525">
        <f t="shared" si="323"/>
        <v>0</v>
      </c>
      <c r="MG593" s="1525">
        <f t="shared" si="324"/>
        <v>0</v>
      </c>
      <c r="MH593" s="1525">
        <f t="shared" si="325"/>
        <v>0</v>
      </c>
      <c r="MI593" s="1525">
        <f t="shared" si="326"/>
        <v>0</v>
      </c>
      <c r="MJ593" s="1525">
        <f t="shared" si="327"/>
        <v>0</v>
      </c>
      <c r="MK593" s="1525">
        <f t="shared" si="328"/>
        <v>0</v>
      </c>
      <c r="ML593" s="1525">
        <f t="shared" si="329"/>
        <v>0</v>
      </c>
      <c r="MM593" s="1525">
        <f t="shared" si="330"/>
        <v>0</v>
      </c>
      <c r="MN593" s="1525">
        <f t="shared" si="331"/>
        <v>0</v>
      </c>
      <c r="MO593" s="1525">
        <f t="shared" si="332"/>
        <v>0</v>
      </c>
      <c r="MP593" s="1525">
        <f t="shared" si="333"/>
        <v>0</v>
      </c>
      <c r="MQ593" s="1525">
        <f t="shared" si="334"/>
        <v>0</v>
      </c>
      <c r="MR593" s="1525">
        <f t="shared" si="335"/>
        <v>0</v>
      </c>
      <c r="MS593" s="1525">
        <f t="shared" si="336"/>
        <v>0</v>
      </c>
    </row>
    <row r="594" spans="1:357" s="1154" customFormat="1" ht="12" customHeight="1">
      <c r="A594" s="1524" t="str">
        <f t="shared" si="1"/>
        <v/>
      </c>
      <c r="B594" s="1682">
        <f>'Part VI-Revenues &amp; Expenses'!B23</f>
        <v>80</v>
      </c>
      <c r="C594" s="1673">
        <f>'Part VI-Revenues &amp; Expenses'!C23</f>
        <v>0</v>
      </c>
      <c r="D594" s="1674">
        <f>'Part VI-Revenues &amp; Expenses'!D23</f>
        <v>0</v>
      </c>
      <c r="E594" s="1675">
        <f>'Part VI-Revenues &amp; Expenses'!E23</f>
        <v>0</v>
      </c>
      <c r="F594" s="1675">
        <f>'Part VI-Revenues &amp; Expenses'!F23</f>
        <v>0</v>
      </c>
      <c r="G594" s="1675">
        <f>'Part VI-Revenues &amp; Expenses'!G23</f>
        <v>0</v>
      </c>
      <c r="H594" s="1675">
        <f>'Part VI-Revenues &amp; Expenses'!H23</f>
        <v>0</v>
      </c>
      <c r="I594" s="1675">
        <f>'Part VI-Revenues &amp; Expenses'!I23</f>
        <v>0</v>
      </c>
      <c r="J594" s="1676">
        <f>'Part VI-Revenues &amp; Expenses'!J23</f>
        <v>0</v>
      </c>
      <c r="K594" s="1677">
        <f>'Part VI-Revenues &amp; Expenses'!K23</f>
        <v>0</v>
      </c>
      <c r="L594" s="1677">
        <f>'Part VI-Revenues &amp; Expenses'!L23</f>
        <v>0</v>
      </c>
      <c r="M594" s="1678">
        <f>'Part VI-Revenues &amp; Expenses'!M23</f>
        <v>0</v>
      </c>
      <c r="N594" s="1678">
        <f>'Part VI-Revenues &amp; Expenses'!N23</f>
        <v>0</v>
      </c>
      <c r="O594" s="1678">
        <f>'Part VI-Revenues &amp; Expenses'!O23</f>
        <v>0</v>
      </c>
      <c r="P594" s="1660">
        <f>'Part VI-Revenues &amp; Expenses'!P23</f>
        <v>0</v>
      </c>
      <c r="Q594" s="1679"/>
      <c r="R594" s="1680"/>
      <c r="S594" s="1679"/>
      <c r="T594" s="1680"/>
      <c r="U594" s="1519"/>
      <c r="V594" s="1519"/>
      <c r="W594" s="1154" t="str">
        <f t="shared" si="2"/>
        <v/>
      </c>
      <c r="X594" s="1154" t="str">
        <f t="shared" si="3"/>
        <v/>
      </c>
      <c r="Y594" s="1154" t="str">
        <f t="shared" si="4"/>
        <v/>
      </c>
      <c r="Z594" s="1154" t="str">
        <f t="shared" si="5"/>
        <v/>
      </c>
      <c r="AA594" s="1154" t="str">
        <f t="shared" si="6"/>
        <v/>
      </c>
      <c r="AB594" s="1154" t="str">
        <f t="shared" si="7"/>
        <v/>
      </c>
      <c r="AC594" s="1154" t="str">
        <f t="shared" si="8"/>
        <v/>
      </c>
      <c r="AD594" s="1154" t="str">
        <f t="shared" si="9"/>
        <v/>
      </c>
      <c r="AE594" s="1154" t="str">
        <f t="shared" si="10"/>
        <v/>
      </c>
      <c r="AF594" s="1154" t="str">
        <f t="shared" si="11"/>
        <v/>
      </c>
      <c r="AG594" s="1154" t="str">
        <f t="shared" si="12"/>
        <v/>
      </c>
      <c r="AH594" s="1154" t="str">
        <f t="shared" si="13"/>
        <v/>
      </c>
      <c r="AI594" s="1154" t="str">
        <f t="shared" si="14"/>
        <v/>
      </c>
      <c r="AJ594" s="1154" t="str">
        <f t="shared" si="15"/>
        <v/>
      </c>
      <c r="AK594" s="1154" t="str">
        <f t="shared" si="16"/>
        <v/>
      </c>
      <c r="AL594" s="1154" t="str">
        <f t="shared" si="17"/>
        <v/>
      </c>
      <c r="AM594" s="1154" t="str">
        <f t="shared" si="18"/>
        <v/>
      </c>
      <c r="AN594" s="1154" t="str">
        <f t="shared" si="19"/>
        <v/>
      </c>
      <c r="AO594" s="1154" t="str">
        <f t="shared" si="20"/>
        <v/>
      </c>
      <c r="AP594" s="1154" t="str">
        <f t="shared" si="21"/>
        <v/>
      </c>
      <c r="AQ594" s="1154" t="str">
        <f t="shared" si="22"/>
        <v/>
      </c>
      <c r="AR594" s="1154" t="str">
        <f t="shared" si="23"/>
        <v/>
      </c>
      <c r="AS594" s="1154" t="str">
        <f t="shared" si="24"/>
        <v/>
      </c>
      <c r="AT594" s="1154" t="str">
        <f t="shared" si="25"/>
        <v/>
      </c>
      <c r="AU594" s="1154" t="str">
        <f t="shared" si="26"/>
        <v/>
      </c>
      <c r="AV594" s="1154" t="str">
        <f t="shared" si="27"/>
        <v/>
      </c>
      <c r="AW594" s="1154" t="str">
        <f t="shared" si="28"/>
        <v/>
      </c>
      <c r="AX594" s="1154" t="str">
        <f t="shared" si="29"/>
        <v/>
      </c>
      <c r="AY594" s="1154" t="str">
        <f t="shared" si="30"/>
        <v/>
      </c>
      <c r="AZ594" s="1154" t="str">
        <f t="shared" si="31"/>
        <v/>
      </c>
      <c r="BA594" s="1154" t="str">
        <f t="shared" si="32"/>
        <v/>
      </c>
      <c r="BB594" s="1154" t="str">
        <f t="shared" si="33"/>
        <v/>
      </c>
      <c r="BC594" s="1154" t="str">
        <f t="shared" si="34"/>
        <v/>
      </c>
      <c r="BD594" s="1154" t="str">
        <f t="shared" si="35"/>
        <v/>
      </c>
      <c r="BE594" s="1154" t="str">
        <f t="shared" si="36"/>
        <v/>
      </c>
      <c r="BF594" s="1154" t="str">
        <f t="shared" si="37"/>
        <v/>
      </c>
      <c r="BG594" s="1154" t="str">
        <f t="shared" si="38"/>
        <v/>
      </c>
      <c r="BH594" s="1154" t="str">
        <f t="shared" si="39"/>
        <v/>
      </c>
      <c r="BI594" s="1154" t="str">
        <f t="shared" si="40"/>
        <v/>
      </c>
      <c r="BJ594" s="1154" t="str">
        <f t="shared" si="41"/>
        <v/>
      </c>
      <c r="BK594" s="1154" t="str">
        <f t="shared" si="42"/>
        <v/>
      </c>
      <c r="BL594" s="1154" t="str">
        <f t="shared" si="43"/>
        <v/>
      </c>
      <c r="BM594" s="1154" t="str">
        <f t="shared" si="44"/>
        <v/>
      </c>
      <c r="BN594" s="1154" t="str">
        <f t="shared" si="45"/>
        <v/>
      </c>
      <c r="BO594" s="1154" t="str">
        <f t="shared" si="46"/>
        <v/>
      </c>
      <c r="BP594" s="1154" t="str">
        <f t="shared" si="47"/>
        <v/>
      </c>
      <c r="BQ594" s="1154" t="str">
        <f t="shared" si="48"/>
        <v/>
      </c>
      <c r="BR594" s="1154" t="str">
        <f t="shared" si="49"/>
        <v/>
      </c>
      <c r="BS594" s="1154" t="str">
        <f t="shared" si="50"/>
        <v/>
      </c>
      <c r="BT594" s="1154" t="str">
        <f t="shared" si="51"/>
        <v/>
      </c>
      <c r="BU594" s="1154" t="str">
        <f t="shared" si="52"/>
        <v/>
      </c>
      <c r="BV594" s="1154" t="str">
        <f t="shared" si="53"/>
        <v/>
      </c>
      <c r="BW594" s="1154" t="str">
        <f t="shared" si="54"/>
        <v/>
      </c>
      <c r="BX594" s="1154" t="str">
        <f t="shared" si="55"/>
        <v/>
      </c>
      <c r="BY594" s="1154" t="str">
        <f t="shared" si="56"/>
        <v/>
      </c>
      <c r="BZ594" s="1154" t="str">
        <f t="shared" si="57"/>
        <v/>
      </c>
      <c r="CA594" s="1154" t="str">
        <f t="shared" si="58"/>
        <v/>
      </c>
      <c r="CB594" s="1154" t="str">
        <f t="shared" si="59"/>
        <v/>
      </c>
      <c r="CC594" s="1154" t="str">
        <f t="shared" si="60"/>
        <v/>
      </c>
      <c r="CD594" s="1154" t="str">
        <f t="shared" si="61"/>
        <v/>
      </c>
      <c r="CE594" s="1154" t="str">
        <f t="shared" si="62"/>
        <v/>
      </c>
      <c r="CF594" s="1154" t="str">
        <f t="shared" si="63"/>
        <v/>
      </c>
      <c r="CG594" s="1154" t="str">
        <f t="shared" si="64"/>
        <v/>
      </c>
      <c r="CH594" s="1154" t="str">
        <f t="shared" si="65"/>
        <v/>
      </c>
      <c r="CI594" s="1154" t="str">
        <f t="shared" si="66"/>
        <v/>
      </c>
      <c r="CJ594" s="1154" t="str">
        <f t="shared" si="67"/>
        <v/>
      </c>
      <c r="CK594" s="1154" t="str">
        <f t="shared" si="68"/>
        <v/>
      </c>
      <c r="CL594" s="1154" t="str">
        <f t="shared" si="69"/>
        <v/>
      </c>
      <c r="CM594" s="1154" t="str">
        <f t="shared" si="70"/>
        <v/>
      </c>
      <c r="CN594" s="1154" t="str">
        <f t="shared" si="71"/>
        <v/>
      </c>
      <c r="CO594" s="1154" t="str">
        <f t="shared" si="72"/>
        <v/>
      </c>
      <c r="CP594" s="1154" t="str">
        <f t="shared" si="73"/>
        <v/>
      </c>
      <c r="CQ594" s="1154" t="str">
        <f t="shared" si="74"/>
        <v/>
      </c>
      <c r="CR594" s="1154" t="str">
        <f t="shared" si="75"/>
        <v/>
      </c>
      <c r="CS594" s="1154" t="str">
        <f t="shared" si="76"/>
        <v/>
      </c>
      <c r="CT594" s="1154" t="str">
        <f t="shared" si="77"/>
        <v/>
      </c>
      <c r="CU594" s="1154" t="str">
        <f t="shared" si="78"/>
        <v/>
      </c>
      <c r="CV594" s="1154" t="str">
        <f t="shared" si="79"/>
        <v/>
      </c>
      <c r="CW594" s="1154" t="str">
        <f t="shared" si="80"/>
        <v/>
      </c>
      <c r="CX594" s="1154" t="str">
        <f t="shared" si="81"/>
        <v/>
      </c>
      <c r="CY594" s="1154" t="str">
        <f t="shared" si="82"/>
        <v/>
      </c>
      <c r="CZ594" s="1154" t="str">
        <f t="shared" si="83"/>
        <v/>
      </c>
      <c r="DA594" s="1154" t="str">
        <f t="shared" si="84"/>
        <v/>
      </c>
      <c r="DB594" s="1154" t="str">
        <f t="shared" si="85"/>
        <v/>
      </c>
      <c r="DC594" s="1154" t="str">
        <f t="shared" si="86"/>
        <v/>
      </c>
      <c r="DD594" s="1154" t="str">
        <f t="shared" si="87"/>
        <v/>
      </c>
      <c r="DE594" s="1154" t="str">
        <f t="shared" si="88"/>
        <v/>
      </c>
      <c r="DF594" s="1154" t="str">
        <f t="shared" si="89"/>
        <v/>
      </c>
      <c r="DG594" s="1154" t="str">
        <f t="shared" si="90"/>
        <v/>
      </c>
      <c r="DH594" s="1154" t="str">
        <f t="shared" si="91"/>
        <v/>
      </c>
      <c r="DI594" s="1154" t="str">
        <f t="shared" si="92"/>
        <v/>
      </c>
      <c r="DJ594" s="1154" t="str">
        <f t="shared" si="93"/>
        <v/>
      </c>
      <c r="DK594" s="1154" t="str">
        <f t="shared" si="94"/>
        <v/>
      </c>
      <c r="DL594" s="1154" t="str">
        <f t="shared" si="95"/>
        <v/>
      </c>
      <c r="DM594" s="1154" t="str">
        <f t="shared" si="96"/>
        <v/>
      </c>
      <c r="DN594" s="1154" t="str">
        <f t="shared" si="97"/>
        <v/>
      </c>
      <c r="DO594" s="1154" t="str">
        <f t="shared" si="98"/>
        <v/>
      </c>
      <c r="DP594" s="1154" t="str">
        <f t="shared" si="99"/>
        <v/>
      </c>
      <c r="DQ594" s="1154" t="str">
        <f t="shared" si="100"/>
        <v/>
      </c>
      <c r="DR594" s="1154" t="str">
        <f t="shared" si="101"/>
        <v/>
      </c>
      <c r="DS594" s="1154" t="str">
        <f t="shared" si="102"/>
        <v/>
      </c>
      <c r="DT594" s="1154" t="str">
        <f t="shared" si="103"/>
        <v/>
      </c>
      <c r="DU594" s="1154" t="str">
        <f t="shared" si="104"/>
        <v/>
      </c>
      <c r="DV594" s="1154" t="str">
        <f t="shared" si="105"/>
        <v/>
      </c>
      <c r="DW594" s="1154" t="str">
        <f t="shared" si="106"/>
        <v/>
      </c>
      <c r="DX594" s="1154" t="str">
        <f t="shared" si="107"/>
        <v/>
      </c>
      <c r="DY594" s="1154" t="str">
        <f t="shared" si="108"/>
        <v/>
      </c>
      <c r="DZ594" s="1154" t="str">
        <f t="shared" si="109"/>
        <v/>
      </c>
      <c r="EA594" s="1154" t="str">
        <f t="shared" si="110"/>
        <v/>
      </c>
      <c r="EB594" s="1154" t="str">
        <f t="shared" si="111"/>
        <v/>
      </c>
      <c r="EC594" s="1154" t="str">
        <f t="shared" si="112"/>
        <v/>
      </c>
      <c r="ED594" s="1154" t="str">
        <f t="shared" si="113"/>
        <v/>
      </c>
      <c r="EE594" s="1154" t="str">
        <f t="shared" si="114"/>
        <v/>
      </c>
      <c r="EF594" s="1154" t="str">
        <f t="shared" si="115"/>
        <v/>
      </c>
      <c r="EG594" s="1154" t="str">
        <f t="shared" si="311"/>
        <v/>
      </c>
      <c r="EH594" s="1154" t="str">
        <f t="shared" si="116"/>
        <v/>
      </c>
      <c r="EI594" s="1154" t="str">
        <f t="shared" si="117"/>
        <v/>
      </c>
      <c r="EJ594" s="1154" t="str">
        <f t="shared" si="118"/>
        <v/>
      </c>
      <c r="EK594" s="1154" t="str">
        <f t="shared" si="119"/>
        <v/>
      </c>
      <c r="EL594" s="1154" t="str">
        <f t="shared" si="120"/>
        <v/>
      </c>
      <c r="EM594" s="1154" t="str">
        <f t="shared" si="121"/>
        <v/>
      </c>
      <c r="EN594" s="1154" t="str">
        <f t="shared" si="122"/>
        <v/>
      </c>
      <c r="EO594" s="1154" t="str">
        <f t="shared" si="123"/>
        <v/>
      </c>
      <c r="EP594" s="1154" t="str">
        <f t="shared" si="124"/>
        <v/>
      </c>
      <c r="EQ594" s="1154" t="str">
        <f t="shared" si="125"/>
        <v/>
      </c>
      <c r="ER594" s="1154" t="str">
        <f t="shared" si="126"/>
        <v/>
      </c>
      <c r="ES594" s="1154" t="str">
        <f t="shared" si="127"/>
        <v/>
      </c>
      <c r="ET594" s="1154" t="str">
        <f t="shared" si="128"/>
        <v/>
      </c>
      <c r="EU594" s="1154" t="str">
        <f t="shared" si="129"/>
        <v/>
      </c>
      <c r="EV594" s="1154" t="str">
        <f t="shared" si="130"/>
        <v/>
      </c>
      <c r="EW594" s="1154" t="str">
        <f t="shared" si="312"/>
        <v/>
      </c>
      <c r="EX594" s="1154" t="str">
        <f t="shared" si="313"/>
        <v/>
      </c>
      <c r="EY594" s="1154" t="str">
        <f t="shared" si="314"/>
        <v/>
      </c>
      <c r="EZ594" s="1154" t="str">
        <f t="shared" si="315"/>
        <v/>
      </c>
      <c r="FA594" s="1154" t="str">
        <f t="shared" si="316"/>
        <v/>
      </c>
      <c r="FB594" s="1154" t="str">
        <f t="shared" si="131"/>
        <v/>
      </c>
      <c r="FC594" s="1154" t="str">
        <f t="shared" si="132"/>
        <v/>
      </c>
      <c r="FD594" s="1154" t="str">
        <f t="shared" si="133"/>
        <v/>
      </c>
      <c r="FE594" s="1154" t="str">
        <f t="shared" si="134"/>
        <v/>
      </c>
      <c r="FF594" s="1154" t="str">
        <f t="shared" si="135"/>
        <v/>
      </c>
      <c r="FG594" s="1154" t="str">
        <f t="shared" si="317"/>
        <v/>
      </c>
      <c r="FH594" s="1154" t="str">
        <f t="shared" si="318"/>
        <v/>
      </c>
      <c r="FI594" s="1154" t="str">
        <f t="shared" si="319"/>
        <v/>
      </c>
      <c r="FJ594" s="1154" t="str">
        <f t="shared" si="320"/>
        <v/>
      </c>
      <c r="FK594" s="1154" t="str">
        <f t="shared" si="321"/>
        <v/>
      </c>
      <c r="FL594" s="1154" t="str">
        <f t="shared" si="136"/>
        <v/>
      </c>
      <c r="FM594" s="1154" t="str">
        <f t="shared" si="137"/>
        <v/>
      </c>
      <c r="FN594" s="1154" t="str">
        <f t="shared" si="138"/>
        <v/>
      </c>
      <c r="FO594" s="1154" t="str">
        <f t="shared" si="139"/>
        <v/>
      </c>
      <c r="FP594" s="1154" t="str">
        <f t="shared" si="140"/>
        <v/>
      </c>
      <c r="FQ594" s="1154" t="str">
        <f t="shared" si="141"/>
        <v/>
      </c>
      <c r="FR594" s="1154" t="str">
        <f t="shared" si="142"/>
        <v/>
      </c>
      <c r="FS594" s="1154" t="str">
        <f t="shared" si="143"/>
        <v/>
      </c>
      <c r="FT594" s="1154" t="str">
        <f t="shared" si="144"/>
        <v/>
      </c>
      <c r="FU594" s="1154" t="str">
        <f t="shared" si="145"/>
        <v/>
      </c>
      <c r="FV594" s="1154" t="str">
        <f t="shared" si="146"/>
        <v/>
      </c>
      <c r="FW594" s="1154" t="str">
        <f t="shared" si="147"/>
        <v/>
      </c>
      <c r="FX594" s="1154" t="str">
        <f t="shared" si="148"/>
        <v/>
      </c>
      <c r="FY594" s="1154" t="str">
        <f t="shared" si="149"/>
        <v/>
      </c>
      <c r="FZ594" s="1154" t="str">
        <f t="shared" si="150"/>
        <v/>
      </c>
      <c r="GA594" s="1154" t="str">
        <f t="shared" si="151"/>
        <v/>
      </c>
      <c r="GB594" s="1154" t="str">
        <f t="shared" si="152"/>
        <v/>
      </c>
      <c r="GC594" s="1154" t="str">
        <f t="shared" si="153"/>
        <v/>
      </c>
      <c r="GD594" s="1154" t="str">
        <f t="shared" si="154"/>
        <v/>
      </c>
      <c r="GE594" s="1154" t="str">
        <f t="shared" si="155"/>
        <v/>
      </c>
      <c r="GF594" s="1154" t="str">
        <f t="shared" si="156"/>
        <v/>
      </c>
      <c r="GG594" s="1154" t="str">
        <f t="shared" si="157"/>
        <v/>
      </c>
      <c r="GH594" s="1154" t="str">
        <f t="shared" si="158"/>
        <v/>
      </c>
      <c r="GI594" s="1154" t="str">
        <f t="shared" si="159"/>
        <v/>
      </c>
      <c r="GJ594" s="1154" t="str">
        <f t="shared" si="160"/>
        <v/>
      </c>
      <c r="GK594" s="1154" t="str">
        <f t="shared" si="161"/>
        <v/>
      </c>
      <c r="GL594" s="1154" t="str">
        <f t="shared" si="162"/>
        <v/>
      </c>
      <c r="GM594" s="1154" t="str">
        <f t="shared" si="163"/>
        <v/>
      </c>
      <c r="GN594" s="1154" t="str">
        <f t="shared" si="164"/>
        <v/>
      </c>
      <c r="GO594" s="1154" t="str">
        <f t="shared" si="165"/>
        <v/>
      </c>
      <c r="GP594" s="1154" t="str">
        <f t="shared" si="166"/>
        <v/>
      </c>
      <c r="GQ594" s="1154" t="str">
        <f t="shared" si="167"/>
        <v/>
      </c>
      <c r="GR594" s="1154" t="str">
        <f t="shared" si="168"/>
        <v/>
      </c>
      <c r="GS594" s="1154" t="str">
        <f t="shared" si="169"/>
        <v/>
      </c>
      <c r="GT594" s="1154" t="str">
        <f t="shared" si="170"/>
        <v/>
      </c>
      <c r="GU594" s="1154" t="str">
        <f t="shared" si="171"/>
        <v/>
      </c>
      <c r="GV594" s="1154" t="str">
        <f t="shared" si="172"/>
        <v/>
      </c>
      <c r="GW594" s="1154" t="str">
        <f t="shared" si="173"/>
        <v/>
      </c>
      <c r="GX594" s="1154" t="str">
        <f t="shared" si="174"/>
        <v/>
      </c>
      <c r="GY594" s="1154" t="str">
        <f t="shared" si="175"/>
        <v/>
      </c>
      <c r="GZ594" s="1154" t="str">
        <f t="shared" si="176"/>
        <v/>
      </c>
      <c r="HA594" s="1154" t="str">
        <f t="shared" si="177"/>
        <v/>
      </c>
      <c r="HB594" s="1154" t="str">
        <f t="shared" si="178"/>
        <v/>
      </c>
      <c r="HC594" s="1154" t="str">
        <f t="shared" si="179"/>
        <v/>
      </c>
      <c r="HD594" s="1154" t="str">
        <f t="shared" si="180"/>
        <v/>
      </c>
      <c r="HE594" s="1154" t="str">
        <f t="shared" si="181"/>
        <v/>
      </c>
      <c r="HF594" s="1154" t="str">
        <f t="shared" si="182"/>
        <v/>
      </c>
      <c r="HG594" s="1154" t="str">
        <f t="shared" si="183"/>
        <v/>
      </c>
      <c r="HH594" s="1154" t="str">
        <f t="shared" si="184"/>
        <v/>
      </c>
      <c r="HI594" s="1154" t="str">
        <f t="shared" si="185"/>
        <v/>
      </c>
      <c r="HJ594" s="1154" t="str">
        <f t="shared" si="186"/>
        <v/>
      </c>
      <c r="HK594" s="1154" t="str">
        <f t="shared" si="187"/>
        <v/>
      </c>
      <c r="HL594" s="1154" t="str">
        <f t="shared" si="188"/>
        <v/>
      </c>
      <c r="HM594" s="1154" t="str">
        <f t="shared" si="189"/>
        <v/>
      </c>
      <c r="HN594" s="1154" t="str">
        <f t="shared" si="190"/>
        <v/>
      </c>
      <c r="HO594" s="1154" t="str">
        <f t="shared" si="191"/>
        <v/>
      </c>
      <c r="HP594" s="1154" t="str">
        <f t="shared" si="192"/>
        <v/>
      </c>
      <c r="HQ594" s="1154" t="str">
        <f t="shared" si="193"/>
        <v/>
      </c>
      <c r="HR594" s="1154" t="str">
        <f t="shared" si="194"/>
        <v/>
      </c>
      <c r="HS594" s="1154" t="str">
        <f t="shared" si="195"/>
        <v/>
      </c>
      <c r="HT594" s="1154" t="str">
        <f t="shared" si="196"/>
        <v/>
      </c>
      <c r="HU594" s="1154" t="str">
        <f t="shared" si="197"/>
        <v/>
      </c>
      <c r="HV594" s="1154" t="str">
        <f t="shared" si="198"/>
        <v/>
      </c>
      <c r="HW594" s="1154" t="str">
        <f t="shared" si="199"/>
        <v/>
      </c>
      <c r="HX594" s="1154" t="str">
        <f t="shared" si="200"/>
        <v/>
      </c>
      <c r="HY594" s="1681" t="str">
        <f t="shared" si="201"/>
        <v/>
      </c>
      <c r="HZ594" s="1681" t="str">
        <f t="shared" si="202"/>
        <v/>
      </c>
      <c r="IA594" s="1681" t="str">
        <f t="shared" si="203"/>
        <v/>
      </c>
      <c r="IB594" s="1681" t="str">
        <f t="shared" si="204"/>
        <v/>
      </c>
      <c r="IC594" s="1681" t="str">
        <f t="shared" si="205"/>
        <v/>
      </c>
      <c r="ID594" s="1681" t="str">
        <f t="shared" si="206"/>
        <v/>
      </c>
      <c r="IE594" s="1681" t="str">
        <f t="shared" si="207"/>
        <v/>
      </c>
      <c r="IF594" s="1681" t="str">
        <f t="shared" si="208"/>
        <v/>
      </c>
      <c r="IG594" s="1681" t="str">
        <f t="shared" si="209"/>
        <v/>
      </c>
      <c r="IH594" s="1681" t="str">
        <f t="shared" si="210"/>
        <v/>
      </c>
      <c r="II594" s="1681" t="str">
        <f t="shared" si="211"/>
        <v/>
      </c>
      <c r="IJ594" s="1681" t="str">
        <f t="shared" si="212"/>
        <v/>
      </c>
      <c r="IK594" s="1681" t="str">
        <f t="shared" si="213"/>
        <v/>
      </c>
      <c r="IL594" s="1681" t="str">
        <f t="shared" si="214"/>
        <v/>
      </c>
      <c r="IM594" s="1681" t="str">
        <f t="shared" si="215"/>
        <v/>
      </c>
      <c r="IN594" s="1681" t="str">
        <f t="shared" si="216"/>
        <v/>
      </c>
      <c r="IO594" s="1681" t="str">
        <f t="shared" si="217"/>
        <v/>
      </c>
      <c r="IP594" s="1681" t="str">
        <f t="shared" si="218"/>
        <v/>
      </c>
      <c r="IQ594" s="1681" t="str">
        <f t="shared" si="219"/>
        <v/>
      </c>
      <c r="IR594" s="1681" t="str">
        <f t="shared" si="220"/>
        <v/>
      </c>
      <c r="IS594" s="1681" t="str">
        <f t="shared" si="221"/>
        <v/>
      </c>
      <c r="IT594" s="1681" t="str">
        <f t="shared" si="222"/>
        <v/>
      </c>
      <c r="IU594" s="1681" t="str">
        <f t="shared" si="223"/>
        <v/>
      </c>
      <c r="IV594" s="1681" t="str">
        <f t="shared" si="224"/>
        <v/>
      </c>
      <c r="IW594" s="1681" t="str">
        <f t="shared" si="225"/>
        <v/>
      </c>
      <c r="IX594" s="1681" t="str">
        <f t="shared" si="226"/>
        <v/>
      </c>
      <c r="IY594" s="1681" t="str">
        <f t="shared" si="227"/>
        <v/>
      </c>
      <c r="IZ594" s="1681" t="str">
        <f t="shared" si="228"/>
        <v/>
      </c>
      <c r="JA594" s="1681" t="str">
        <f t="shared" si="229"/>
        <v/>
      </c>
      <c r="JB594" s="1681" t="str">
        <f t="shared" si="230"/>
        <v/>
      </c>
      <c r="JC594" s="1681" t="str">
        <f t="shared" si="231"/>
        <v/>
      </c>
      <c r="JD594" s="1681" t="str">
        <f t="shared" si="232"/>
        <v/>
      </c>
      <c r="JE594" s="1681" t="str">
        <f t="shared" si="233"/>
        <v/>
      </c>
      <c r="JF594" s="1681" t="str">
        <f t="shared" si="234"/>
        <v/>
      </c>
      <c r="JG594" s="1681" t="str">
        <f t="shared" si="235"/>
        <v/>
      </c>
      <c r="JH594" s="1681" t="str">
        <f t="shared" si="236"/>
        <v/>
      </c>
      <c r="JI594" s="1681" t="str">
        <f t="shared" si="237"/>
        <v/>
      </c>
      <c r="JJ594" s="1681" t="str">
        <f t="shared" si="238"/>
        <v/>
      </c>
      <c r="JK594" s="1681" t="str">
        <f t="shared" si="239"/>
        <v/>
      </c>
      <c r="JL594" s="1681" t="str">
        <f t="shared" si="240"/>
        <v/>
      </c>
      <c r="JM594" s="1681" t="str">
        <f t="shared" si="241"/>
        <v/>
      </c>
      <c r="JN594" s="1681" t="str">
        <f t="shared" si="242"/>
        <v/>
      </c>
      <c r="JO594" s="1681" t="str">
        <f t="shared" si="243"/>
        <v/>
      </c>
      <c r="JP594" s="1681" t="str">
        <f t="shared" si="244"/>
        <v/>
      </c>
      <c r="JQ594" s="1681" t="str">
        <f t="shared" si="245"/>
        <v/>
      </c>
      <c r="JR594" s="1681" t="str">
        <f t="shared" si="246"/>
        <v/>
      </c>
      <c r="JS594" s="1681" t="str">
        <f t="shared" si="247"/>
        <v/>
      </c>
      <c r="JT594" s="1681" t="str">
        <f t="shared" si="248"/>
        <v/>
      </c>
      <c r="JU594" s="1681" t="str">
        <f t="shared" si="249"/>
        <v/>
      </c>
      <c r="JV594" s="1681" t="str">
        <f t="shared" si="250"/>
        <v/>
      </c>
      <c r="JW594" s="1681" t="str">
        <f t="shared" si="251"/>
        <v/>
      </c>
      <c r="JX594" s="1681" t="str">
        <f t="shared" si="252"/>
        <v/>
      </c>
      <c r="JY594" s="1681" t="str">
        <f t="shared" si="253"/>
        <v/>
      </c>
      <c r="JZ594" s="1681" t="str">
        <f t="shared" si="254"/>
        <v/>
      </c>
      <c r="KA594" s="1681" t="str">
        <f t="shared" si="255"/>
        <v/>
      </c>
      <c r="KB594" s="1681" t="str">
        <f t="shared" si="256"/>
        <v/>
      </c>
      <c r="KC594" s="1681" t="str">
        <f t="shared" si="257"/>
        <v/>
      </c>
      <c r="KD594" s="1681" t="str">
        <f t="shared" si="258"/>
        <v/>
      </c>
      <c r="KE594" s="1681" t="str">
        <f t="shared" si="259"/>
        <v/>
      </c>
      <c r="KF594" s="1681" t="str">
        <f t="shared" si="260"/>
        <v/>
      </c>
      <c r="KG594" s="1681" t="str">
        <f t="shared" si="261"/>
        <v/>
      </c>
      <c r="KH594" s="1681" t="str">
        <f t="shared" si="262"/>
        <v/>
      </c>
      <c r="KI594" s="1681" t="str">
        <f t="shared" si="263"/>
        <v/>
      </c>
      <c r="KJ594" s="1681" t="str">
        <f t="shared" si="264"/>
        <v/>
      </c>
      <c r="KK594" s="1681" t="str">
        <f t="shared" si="265"/>
        <v/>
      </c>
      <c r="KL594" s="1681" t="str">
        <f t="shared" si="266"/>
        <v/>
      </c>
      <c r="KM594" s="1681" t="str">
        <f t="shared" si="267"/>
        <v/>
      </c>
      <c r="KN594" s="1681" t="str">
        <f t="shared" si="268"/>
        <v/>
      </c>
      <c r="KO594" s="1681" t="str">
        <f t="shared" si="269"/>
        <v/>
      </c>
      <c r="KP594" s="1681" t="str">
        <f t="shared" si="270"/>
        <v/>
      </c>
      <c r="KQ594" s="1681" t="str">
        <f t="shared" si="271"/>
        <v/>
      </c>
      <c r="KR594" s="1681" t="str">
        <f t="shared" si="272"/>
        <v/>
      </c>
      <c r="KS594" s="1681" t="str">
        <f t="shared" si="273"/>
        <v/>
      </c>
      <c r="KT594" s="1681" t="str">
        <f t="shared" si="274"/>
        <v/>
      </c>
      <c r="KU594" s="1681" t="str">
        <f t="shared" si="275"/>
        <v/>
      </c>
      <c r="KV594" s="1681" t="str">
        <f t="shared" si="276"/>
        <v/>
      </c>
      <c r="KW594" s="1681" t="str">
        <f t="shared" si="277"/>
        <v/>
      </c>
      <c r="KX594" s="1681" t="str">
        <f t="shared" si="278"/>
        <v/>
      </c>
      <c r="KY594" s="1681" t="str">
        <f t="shared" si="279"/>
        <v/>
      </c>
      <c r="KZ594" s="1681" t="str">
        <f t="shared" si="280"/>
        <v/>
      </c>
      <c r="LA594" s="1681" t="str">
        <f t="shared" si="281"/>
        <v/>
      </c>
      <c r="LB594" s="1681" t="str">
        <f t="shared" si="282"/>
        <v/>
      </c>
      <c r="LC594" s="1681" t="str">
        <f t="shared" si="283"/>
        <v/>
      </c>
      <c r="LD594" s="1681" t="str">
        <f t="shared" si="284"/>
        <v/>
      </c>
      <c r="LE594" s="1681" t="str">
        <f t="shared" si="285"/>
        <v/>
      </c>
      <c r="LF594" s="1525" t="str">
        <f t="shared" si="286"/>
        <v/>
      </c>
      <c r="LG594" s="1525" t="str">
        <f t="shared" si="287"/>
        <v/>
      </c>
      <c r="LH594" s="1525" t="str">
        <f t="shared" si="288"/>
        <v/>
      </c>
      <c r="LI594" s="1525" t="str">
        <f t="shared" si="289"/>
        <v/>
      </c>
      <c r="LJ594" s="1525" t="str">
        <f t="shared" si="290"/>
        <v/>
      </c>
      <c r="LK594" s="1154" t="str">
        <f t="shared" si="291"/>
        <v/>
      </c>
      <c r="LL594" s="1154" t="str">
        <f t="shared" si="292"/>
        <v/>
      </c>
      <c r="LM594" s="1154" t="str">
        <f t="shared" si="293"/>
        <v/>
      </c>
      <c r="LN594" s="1154" t="str">
        <f t="shared" si="294"/>
        <v/>
      </c>
      <c r="LO594" s="1154" t="str">
        <f t="shared" si="295"/>
        <v/>
      </c>
      <c r="LP594" s="1154" t="str">
        <f t="shared" si="296"/>
        <v/>
      </c>
      <c r="LQ594" s="1154" t="str">
        <f t="shared" si="297"/>
        <v/>
      </c>
      <c r="LR594" s="1154" t="str">
        <f t="shared" si="298"/>
        <v/>
      </c>
      <c r="LS594" s="1154" t="str">
        <f t="shared" si="299"/>
        <v/>
      </c>
      <c r="LT594" s="1154" t="str">
        <f t="shared" si="300"/>
        <v/>
      </c>
      <c r="LU594" s="1154" t="str">
        <f t="shared" si="301"/>
        <v/>
      </c>
      <c r="LV594" s="1154" t="str">
        <f t="shared" si="302"/>
        <v/>
      </c>
      <c r="LW594" s="1154" t="str">
        <f t="shared" si="303"/>
        <v/>
      </c>
      <c r="LX594" s="1154" t="str">
        <f t="shared" si="304"/>
        <v/>
      </c>
      <c r="LY594" s="1154" t="str">
        <f t="shared" si="305"/>
        <v/>
      </c>
      <c r="LZ594" s="1154" t="str">
        <f t="shared" si="306"/>
        <v/>
      </c>
      <c r="MA594" s="1154" t="str">
        <f t="shared" si="307"/>
        <v/>
      </c>
      <c r="MB594" s="1154" t="str">
        <f t="shared" si="308"/>
        <v/>
      </c>
      <c r="MC594" s="1154" t="str">
        <f t="shared" si="309"/>
        <v/>
      </c>
      <c r="MD594" s="1154" t="str">
        <f t="shared" si="310"/>
        <v/>
      </c>
      <c r="ME594" s="1525">
        <f t="shared" si="322"/>
        <v>0</v>
      </c>
      <c r="MF594" s="1525">
        <f t="shared" si="323"/>
        <v>0</v>
      </c>
      <c r="MG594" s="1525">
        <f t="shared" si="324"/>
        <v>0</v>
      </c>
      <c r="MH594" s="1525">
        <f t="shared" si="325"/>
        <v>0</v>
      </c>
      <c r="MI594" s="1525">
        <f t="shared" si="326"/>
        <v>0</v>
      </c>
      <c r="MJ594" s="1525">
        <f t="shared" si="327"/>
        <v>0</v>
      </c>
      <c r="MK594" s="1525">
        <f t="shared" si="328"/>
        <v>0</v>
      </c>
      <c r="ML594" s="1525">
        <f t="shared" si="329"/>
        <v>0</v>
      </c>
      <c r="MM594" s="1525">
        <f t="shared" si="330"/>
        <v>0</v>
      </c>
      <c r="MN594" s="1525">
        <f t="shared" si="331"/>
        <v>0</v>
      </c>
      <c r="MO594" s="1525">
        <f t="shared" si="332"/>
        <v>0</v>
      </c>
      <c r="MP594" s="1525">
        <f t="shared" si="333"/>
        <v>0</v>
      </c>
      <c r="MQ594" s="1525">
        <f t="shared" si="334"/>
        <v>0</v>
      </c>
      <c r="MR594" s="1525">
        <f t="shared" si="335"/>
        <v>0</v>
      </c>
      <c r="MS594" s="1525">
        <f t="shared" si="336"/>
        <v>0</v>
      </c>
    </row>
    <row r="595" spans="1:357" s="1154" customFormat="1" ht="12" customHeight="1">
      <c r="A595" s="1524" t="str">
        <f t="shared" si="1"/>
        <v/>
      </c>
      <c r="B595" s="1682">
        <f>'Part VI-Revenues &amp; Expenses'!B24</f>
        <v>80</v>
      </c>
      <c r="C595" s="1673">
        <f>'Part VI-Revenues &amp; Expenses'!C24</f>
        <v>0</v>
      </c>
      <c r="D595" s="1674">
        <f>'Part VI-Revenues &amp; Expenses'!D24</f>
        <v>0</v>
      </c>
      <c r="E595" s="1675">
        <f>'Part VI-Revenues &amp; Expenses'!E24</f>
        <v>0</v>
      </c>
      <c r="F595" s="1675">
        <f>'Part VI-Revenues &amp; Expenses'!F24</f>
        <v>0</v>
      </c>
      <c r="G595" s="1675">
        <f>'Part VI-Revenues &amp; Expenses'!G24</f>
        <v>0</v>
      </c>
      <c r="H595" s="1675">
        <f>'Part VI-Revenues &amp; Expenses'!H24</f>
        <v>0</v>
      </c>
      <c r="I595" s="1675">
        <f>'Part VI-Revenues &amp; Expenses'!I24</f>
        <v>0</v>
      </c>
      <c r="J595" s="1676">
        <f>'Part VI-Revenues &amp; Expenses'!J24</f>
        <v>0</v>
      </c>
      <c r="K595" s="1677">
        <f>'Part VI-Revenues &amp; Expenses'!K24</f>
        <v>0</v>
      </c>
      <c r="L595" s="1677">
        <f>'Part VI-Revenues &amp; Expenses'!L24</f>
        <v>0</v>
      </c>
      <c r="M595" s="1678">
        <f>'Part VI-Revenues &amp; Expenses'!M24</f>
        <v>0</v>
      </c>
      <c r="N595" s="1678">
        <f>'Part VI-Revenues &amp; Expenses'!N24</f>
        <v>0</v>
      </c>
      <c r="O595" s="1678">
        <f>'Part VI-Revenues &amp; Expenses'!O24</f>
        <v>0</v>
      </c>
      <c r="P595" s="1660">
        <f>'Part VI-Revenues &amp; Expenses'!P24</f>
        <v>0</v>
      </c>
      <c r="Q595" s="1679"/>
      <c r="R595" s="1680"/>
      <c r="S595" s="1679"/>
      <c r="T595" s="1680"/>
      <c r="U595" s="1519"/>
      <c r="V595" s="1519"/>
      <c r="W595" s="1154" t="str">
        <f t="shared" si="2"/>
        <v/>
      </c>
      <c r="X595" s="1154" t="str">
        <f t="shared" si="3"/>
        <v/>
      </c>
      <c r="Y595" s="1154" t="str">
        <f t="shared" si="4"/>
        <v/>
      </c>
      <c r="Z595" s="1154" t="str">
        <f t="shared" si="5"/>
        <v/>
      </c>
      <c r="AA595" s="1154" t="str">
        <f t="shared" si="6"/>
        <v/>
      </c>
      <c r="AB595" s="1154" t="str">
        <f t="shared" si="7"/>
        <v/>
      </c>
      <c r="AC595" s="1154" t="str">
        <f t="shared" si="8"/>
        <v/>
      </c>
      <c r="AD595" s="1154" t="str">
        <f t="shared" si="9"/>
        <v/>
      </c>
      <c r="AE595" s="1154" t="str">
        <f t="shared" si="10"/>
        <v/>
      </c>
      <c r="AF595" s="1154" t="str">
        <f t="shared" si="11"/>
        <v/>
      </c>
      <c r="AG595" s="1154" t="str">
        <f t="shared" si="12"/>
        <v/>
      </c>
      <c r="AH595" s="1154" t="str">
        <f t="shared" si="13"/>
        <v/>
      </c>
      <c r="AI595" s="1154" t="str">
        <f t="shared" si="14"/>
        <v/>
      </c>
      <c r="AJ595" s="1154" t="str">
        <f t="shared" si="15"/>
        <v/>
      </c>
      <c r="AK595" s="1154" t="str">
        <f t="shared" si="16"/>
        <v/>
      </c>
      <c r="AL595" s="1154" t="str">
        <f t="shared" si="17"/>
        <v/>
      </c>
      <c r="AM595" s="1154" t="str">
        <f t="shared" si="18"/>
        <v/>
      </c>
      <c r="AN595" s="1154" t="str">
        <f t="shared" si="19"/>
        <v/>
      </c>
      <c r="AO595" s="1154" t="str">
        <f t="shared" si="20"/>
        <v/>
      </c>
      <c r="AP595" s="1154" t="str">
        <f t="shared" si="21"/>
        <v/>
      </c>
      <c r="AQ595" s="1154" t="str">
        <f t="shared" si="22"/>
        <v/>
      </c>
      <c r="AR595" s="1154" t="str">
        <f t="shared" si="23"/>
        <v/>
      </c>
      <c r="AS595" s="1154" t="str">
        <f t="shared" si="24"/>
        <v/>
      </c>
      <c r="AT595" s="1154" t="str">
        <f t="shared" si="25"/>
        <v/>
      </c>
      <c r="AU595" s="1154" t="str">
        <f t="shared" si="26"/>
        <v/>
      </c>
      <c r="AV595" s="1154" t="str">
        <f t="shared" si="27"/>
        <v/>
      </c>
      <c r="AW595" s="1154" t="str">
        <f t="shared" si="28"/>
        <v/>
      </c>
      <c r="AX595" s="1154" t="str">
        <f t="shared" si="29"/>
        <v/>
      </c>
      <c r="AY595" s="1154" t="str">
        <f t="shared" si="30"/>
        <v/>
      </c>
      <c r="AZ595" s="1154" t="str">
        <f t="shared" si="31"/>
        <v/>
      </c>
      <c r="BA595" s="1154" t="str">
        <f t="shared" si="32"/>
        <v/>
      </c>
      <c r="BB595" s="1154" t="str">
        <f t="shared" si="33"/>
        <v/>
      </c>
      <c r="BC595" s="1154" t="str">
        <f t="shared" si="34"/>
        <v/>
      </c>
      <c r="BD595" s="1154" t="str">
        <f t="shared" si="35"/>
        <v/>
      </c>
      <c r="BE595" s="1154" t="str">
        <f t="shared" si="36"/>
        <v/>
      </c>
      <c r="BF595" s="1154" t="str">
        <f t="shared" si="37"/>
        <v/>
      </c>
      <c r="BG595" s="1154" t="str">
        <f t="shared" si="38"/>
        <v/>
      </c>
      <c r="BH595" s="1154" t="str">
        <f t="shared" si="39"/>
        <v/>
      </c>
      <c r="BI595" s="1154" t="str">
        <f t="shared" si="40"/>
        <v/>
      </c>
      <c r="BJ595" s="1154" t="str">
        <f t="shared" si="41"/>
        <v/>
      </c>
      <c r="BK595" s="1154" t="str">
        <f t="shared" si="42"/>
        <v/>
      </c>
      <c r="BL595" s="1154" t="str">
        <f t="shared" si="43"/>
        <v/>
      </c>
      <c r="BM595" s="1154" t="str">
        <f t="shared" si="44"/>
        <v/>
      </c>
      <c r="BN595" s="1154" t="str">
        <f t="shared" si="45"/>
        <v/>
      </c>
      <c r="BO595" s="1154" t="str">
        <f t="shared" si="46"/>
        <v/>
      </c>
      <c r="BP595" s="1154" t="str">
        <f t="shared" si="47"/>
        <v/>
      </c>
      <c r="BQ595" s="1154" t="str">
        <f t="shared" si="48"/>
        <v/>
      </c>
      <c r="BR595" s="1154" t="str">
        <f t="shared" si="49"/>
        <v/>
      </c>
      <c r="BS595" s="1154" t="str">
        <f t="shared" si="50"/>
        <v/>
      </c>
      <c r="BT595" s="1154" t="str">
        <f t="shared" si="51"/>
        <v/>
      </c>
      <c r="BU595" s="1154" t="str">
        <f t="shared" si="52"/>
        <v/>
      </c>
      <c r="BV595" s="1154" t="str">
        <f t="shared" si="53"/>
        <v/>
      </c>
      <c r="BW595" s="1154" t="str">
        <f t="shared" si="54"/>
        <v/>
      </c>
      <c r="BX595" s="1154" t="str">
        <f t="shared" si="55"/>
        <v/>
      </c>
      <c r="BY595" s="1154" t="str">
        <f t="shared" si="56"/>
        <v/>
      </c>
      <c r="BZ595" s="1154" t="str">
        <f t="shared" si="57"/>
        <v/>
      </c>
      <c r="CA595" s="1154" t="str">
        <f t="shared" si="58"/>
        <v/>
      </c>
      <c r="CB595" s="1154" t="str">
        <f t="shared" si="59"/>
        <v/>
      </c>
      <c r="CC595" s="1154" t="str">
        <f t="shared" si="60"/>
        <v/>
      </c>
      <c r="CD595" s="1154" t="str">
        <f t="shared" si="61"/>
        <v/>
      </c>
      <c r="CE595" s="1154" t="str">
        <f t="shared" si="62"/>
        <v/>
      </c>
      <c r="CF595" s="1154" t="str">
        <f t="shared" si="63"/>
        <v/>
      </c>
      <c r="CG595" s="1154" t="str">
        <f t="shared" si="64"/>
        <v/>
      </c>
      <c r="CH595" s="1154" t="str">
        <f t="shared" si="65"/>
        <v/>
      </c>
      <c r="CI595" s="1154" t="str">
        <f t="shared" si="66"/>
        <v/>
      </c>
      <c r="CJ595" s="1154" t="str">
        <f t="shared" si="67"/>
        <v/>
      </c>
      <c r="CK595" s="1154" t="str">
        <f t="shared" si="68"/>
        <v/>
      </c>
      <c r="CL595" s="1154" t="str">
        <f t="shared" si="69"/>
        <v/>
      </c>
      <c r="CM595" s="1154" t="str">
        <f t="shared" si="70"/>
        <v/>
      </c>
      <c r="CN595" s="1154" t="str">
        <f t="shared" si="71"/>
        <v/>
      </c>
      <c r="CO595" s="1154" t="str">
        <f t="shared" si="72"/>
        <v/>
      </c>
      <c r="CP595" s="1154" t="str">
        <f t="shared" si="73"/>
        <v/>
      </c>
      <c r="CQ595" s="1154" t="str">
        <f t="shared" si="74"/>
        <v/>
      </c>
      <c r="CR595" s="1154" t="str">
        <f t="shared" si="75"/>
        <v/>
      </c>
      <c r="CS595" s="1154" t="str">
        <f t="shared" si="76"/>
        <v/>
      </c>
      <c r="CT595" s="1154" t="str">
        <f t="shared" si="77"/>
        <v/>
      </c>
      <c r="CU595" s="1154" t="str">
        <f t="shared" si="78"/>
        <v/>
      </c>
      <c r="CV595" s="1154" t="str">
        <f t="shared" si="79"/>
        <v/>
      </c>
      <c r="CW595" s="1154" t="str">
        <f t="shared" si="80"/>
        <v/>
      </c>
      <c r="CX595" s="1154" t="str">
        <f t="shared" si="81"/>
        <v/>
      </c>
      <c r="CY595" s="1154" t="str">
        <f t="shared" si="82"/>
        <v/>
      </c>
      <c r="CZ595" s="1154" t="str">
        <f t="shared" si="83"/>
        <v/>
      </c>
      <c r="DA595" s="1154" t="str">
        <f t="shared" si="84"/>
        <v/>
      </c>
      <c r="DB595" s="1154" t="str">
        <f t="shared" si="85"/>
        <v/>
      </c>
      <c r="DC595" s="1154" t="str">
        <f t="shared" si="86"/>
        <v/>
      </c>
      <c r="DD595" s="1154" t="str">
        <f t="shared" si="87"/>
        <v/>
      </c>
      <c r="DE595" s="1154" t="str">
        <f t="shared" si="88"/>
        <v/>
      </c>
      <c r="DF595" s="1154" t="str">
        <f t="shared" si="89"/>
        <v/>
      </c>
      <c r="DG595" s="1154" t="str">
        <f t="shared" si="90"/>
        <v/>
      </c>
      <c r="DH595" s="1154" t="str">
        <f t="shared" si="91"/>
        <v/>
      </c>
      <c r="DI595" s="1154" t="str">
        <f t="shared" si="92"/>
        <v/>
      </c>
      <c r="DJ595" s="1154" t="str">
        <f t="shared" si="93"/>
        <v/>
      </c>
      <c r="DK595" s="1154" t="str">
        <f t="shared" si="94"/>
        <v/>
      </c>
      <c r="DL595" s="1154" t="str">
        <f t="shared" si="95"/>
        <v/>
      </c>
      <c r="DM595" s="1154" t="str">
        <f t="shared" si="96"/>
        <v/>
      </c>
      <c r="DN595" s="1154" t="str">
        <f t="shared" si="97"/>
        <v/>
      </c>
      <c r="DO595" s="1154" t="str">
        <f t="shared" si="98"/>
        <v/>
      </c>
      <c r="DP595" s="1154" t="str">
        <f t="shared" si="99"/>
        <v/>
      </c>
      <c r="DQ595" s="1154" t="str">
        <f t="shared" si="100"/>
        <v/>
      </c>
      <c r="DR595" s="1154" t="str">
        <f t="shared" si="101"/>
        <v/>
      </c>
      <c r="DS595" s="1154" t="str">
        <f t="shared" si="102"/>
        <v/>
      </c>
      <c r="DT595" s="1154" t="str">
        <f t="shared" si="103"/>
        <v/>
      </c>
      <c r="DU595" s="1154" t="str">
        <f t="shared" si="104"/>
        <v/>
      </c>
      <c r="DV595" s="1154" t="str">
        <f t="shared" si="105"/>
        <v/>
      </c>
      <c r="DW595" s="1154" t="str">
        <f t="shared" si="106"/>
        <v/>
      </c>
      <c r="DX595" s="1154" t="str">
        <f t="shared" si="107"/>
        <v/>
      </c>
      <c r="DY595" s="1154" t="str">
        <f t="shared" si="108"/>
        <v/>
      </c>
      <c r="DZ595" s="1154" t="str">
        <f t="shared" si="109"/>
        <v/>
      </c>
      <c r="EA595" s="1154" t="str">
        <f t="shared" si="110"/>
        <v/>
      </c>
      <c r="EB595" s="1154" t="str">
        <f t="shared" si="111"/>
        <v/>
      </c>
      <c r="EC595" s="1154" t="str">
        <f t="shared" si="112"/>
        <v/>
      </c>
      <c r="ED595" s="1154" t="str">
        <f t="shared" si="113"/>
        <v/>
      </c>
      <c r="EE595" s="1154" t="str">
        <f t="shared" si="114"/>
        <v/>
      </c>
      <c r="EF595" s="1154" t="str">
        <f t="shared" si="115"/>
        <v/>
      </c>
      <c r="EG595" s="1154" t="str">
        <f t="shared" si="311"/>
        <v/>
      </c>
      <c r="EH595" s="1154" t="str">
        <f t="shared" si="116"/>
        <v/>
      </c>
      <c r="EI595" s="1154" t="str">
        <f t="shared" si="117"/>
        <v/>
      </c>
      <c r="EJ595" s="1154" t="str">
        <f t="shared" si="118"/>
        <v/>
      </c>
      <c r="EK595" s="1154" t="str">
        <f t="shared" si="119"/>
        <v/>
      </c>
      <c r="EL595" s="1154" t="str">
        <f t="shared" si="120"/>
        <v/>
      </c>
      <c r="EM595" s="1154" t="str">
        <f t="shared" si="121"/>
        <v/>
      </c>
      <c r="EN595" s="1154" t="str">
        <f t="shared" si="122"/>
        <v/>
      </c>
      <c r="EO595" s="1154" t="str">
        <f t="shared" si="123"/>
        <v/>
      </c>
      <c r="EP595" s="1154" t="str">
        <f t="shared" si="124"/>
        <v/>
      </c>
      <c r="EQ595" s="1154" t="str">
        <f t="shared" si="125"/>
        <v/>
      </c>
      <c r="ER595" s="1154" t="str">
        <f t="shared" si="126"/>
        <v/>
      </c>
      <c r="ES595" s="1154" t="str">
        <f t="shared" si="127"/>
        <v/>
      </c>
      <c r="ET595" s="1154" t="str">
        <f t="shared" si="128"/>
        <v/>
      </c>
      <c r="EU595" s="1154" t="str">
        <f t="shared" si="129"/>
        <v/>
      </c>
      <c r="EV595" s="1154" t="str">
        <f t="shared" si="130"/>
        <v/>
      </c>
      <c r="EW595" s="1154" t="str">
        <f t="shared" si="312"/>
        <v/>
      </c>
      <c r="EX595" s="1154" t="str">
        <f t="shared" si="313"/>
        <v/>
      </c>
      <c r="EY595" s="1154" t="str">
        <f t="shared" si="314"/>
        <v/>
      </c>
      <c r="EZ595" s="1154" t="str">
        <f t="shared" si="315"/>
        <v/>
      </c>
      <c r="FA595" s="1154" t="str">
        <f t="shared" si="316"/>
        <v/>
      </c>
      <c r="FB595" s="1154" t="str">
        <f t="shared" si="131"/>
        <v/>
      </c>
      <c r="FC595" s="1154" t="str">
        <f t="shared" si="132"/>
        <v/>
      </c>
      <c r="FD595" s="1154" t="str">
        <f t="shared" si="133"/>
        <v/>
      </c>
      <c r="FE595" s="1154" t="str">
        <f t="shared" si="134"/>
        <v/>
      </c>
      <c r="FF595" s="1154" t="str">
        <f t="shared" si="135"/>
        <v/>
      </c>
      <c r="FG595" s="1154" t="str">
        <f t="shared" si="317"/>
        <v/>
      </c>
      <c r="FH595" s="1154" t="str">
        <f t="shared" si="318"/>
        <v/>
      </c>
      <c r="FI595" s="1154" t="str">
        <f t="shared" si="319"/>
        <v/>
      </c>
      <c r="FJ595" s="1154" t="str">
        <f t="shared" si="320"/>
        <v/>
      </c>
      <c r="FK595" s="1154" t="str">
        <f t="shared" si="321"/>
        <v/>
      </c>
      <c r="FL595" s="1154" t="str">
        <f t="shared" si="136"/>
        <v/>
      </c>
      <c r="FM595" s="1154" t="str">
        <f t="shared" si="137"/>
        <v/>
      </c>
      <c r="FN595" s="1154" t="str">
        <f t="shared" si="138"/>
        <v/>
      </c>
      <c r="FO595" s="1154" t="str">
        <f t="shared" si="139"/>
        <v/>
      </c>
      <c r="FP595" s="1154" t="str">
        <f t="shared" si="140"/>
        <v/>
      </c>
      <c r="FQ595" s="1154" t="str">
        <f t="shared" si="141"/>
        <v/>
      </c>
      <c r="FR595" s="1154" t="str">
        <f t="shared" si="142"/>
        <v/>
      </c>
      <c r="FS595" s="1154" t="str">
        <f t="shared" si="143"/>
        <v/>
      </c>
      <c r="FT595" s="1154" t="str">
        <f t="shared" si="144"/>
        <v/>
      </c>
      <c r="FU595" s="1154" t="str">
        <f t="shared" si="145"/>
        <v/>
      </c>
      <c r="FV595" s="1154" t="str">
        <f t="shared" si="146"/>
        <v/>
      </c>
      <c r="FW595" s="1154" t="str">
        <f t="shared" si="147"/>
        <v/>
      </c>
      <c r="FX595" s="1154" t="str">
        <f t="shared" si="148"/>
        <v/>
      </c>
      <c r="FY595" s="1154" t="str">
        <f t="shared" si="149"/>
        <v/>
      </c>
      <c r="FZ595" s="1154" t="str">
        <f t="shared" si="150"/>
        <v/>
      </c>
      <c r="GA595" s="1154" t="str">
        <f t="shared" si="151"/>
        <v/>
      </c>
      <c r="GB595" s="1154" t="str">
        <f t="shared" si="152"/>
        <v/>
      </c>
      <c r="GC595" s="1154" t="str">
        <f t="shared" si="153"/>
        <v/>
      </c>
      <c r="GD595" s="1154" t="str">
        <f t="shared" si="154"/>
        <v/>
      </c>
      <c r="GE595" s="1154" t="str">
        <f t="shared" si="155"/>
        <v/>
      </c>
      <c r="GF595" s="1154" t="str">
        <f t="shared" si="156"/>
        <v/>
      </c>
      <c r="GG595" s="1154" t="str">
        <f t="shared" si="157"/>
        <v/>
      </c>
      <c r="GH595" s="1154" t="str">
        <f t="shared" si="158"/>
        <v/>
      </c>
      <c r="GI595" s="1154" t="str">
        <f t="shared" si="159"/>
        <v/>
      </c>
      <c r="GJ595" s="1154" t="str">
        <f t="shared" si="160"/>
        <v/>
      </c>
      <c r="GK595" s="1154" t="str">
        <f t="shared" si="161"/>
        <v/>
      </c>
      <c r="GL595" s="1154" t="str">
        <f t="shared" si="162"/>
        <v/>
      </c>
      <c r="GM595" s="1154" t="str">
        <f t="shared" si="163"/>
        <v/>
      </c>
      <c r="GN595" s="1154" t="str">
        <f t="shared" si="164"/>
        <v/>
      </c>
      <c r="GO595" s="1154" t="str">
        <f t="shared" si="165"/>
        <v/>
      </c>
      <c r="GP595" s="1154" t="str">
        <f t="shared" si="166"/>
        <v/>
      </c>
      <c r="GQ595" s="1154" t="str">
        <f t="shared" si="167"/>
        <v/>
      </c>
      <c r="GR595" s="1154" t="str">
        <f t="shared" si="168"/>
        <v/>
      </c>
      <c r="GS595" s="1154" t="str">
        <f t="shared" si="169"/>
        <v/>
      </c>
      <c r="GT595" s="1154" t="str">
        <f t="shared" si="170"/>
        <v/>
      </c>
      <c r="GU595" s="1154" t="str">
        <f t="shared" si="171"/>
        <v/>
      </c>
      <c r="GV595" s="1154" t="str">
        <f t="shared" si="172"/>
        <v/>
      </c>
      <c r="GW595" s="1154" t="str">
        <f t="shared" si="173"/>
        <v/>
      </c>
      <c r="GX595" s="1154" t="str">
        <f t="shared" si="174"/>
        <v/>
      </c>
      <c r="GY595" s="1154" t="str">
        <f t="shared" si="175"/>
        <v/>
      </c>
      <c r="GZ595" s="1154" t="str">
        <f t="shared" si="176"/>
        <v/>
      </c>
      <c r="HA595" s="1154" t="str">
        <f t="shared" si="177"/>
        <v/>
      </c>
      <c r="HB595" s="1154" t="str">
        <f t="shared" si="178"/>
        <v/>
      </c>
      <c r="HC595" s="1154" t="str">
        <f t="shared" si="179"/>
        <v/>
      </c>
      <c r="HD595" s="1154" t="str">
        <f t="shared" si="180"/>
        <v/>
      </c>
      <c r="HE595" s="1154" t="str">
        <f t="shared" si="181"/>
        <v/>
      </c>
      <c r="HF595" s="1154" t="str">
        <f t="shared" si="182"/>
        <v/>
      </c>
      <c r="HG595" s="1154" t="str">
        <f t="shared" si="183"/>
        <v/>
      </c>
      <c r="HH595" s="1154" t="str">
        <f t="shared" si="184"/>
        <v/>
      </c>
      <c r="HI595" s="1154" t="str">
        <f t="shared" si="185"/>
        <v/>
      </c>
      <c r="HJ595" s="1154" t="str">
        <f t="shared" si="186"/>
        <v/>
      </c>
      <c r="HK595" s="1154" t="str">
        <f t="shared" si="187"/>
        <v/>
      </c>
      <c r="HL595" s="1154" t="str">
        <f t="shared" si="188"/>
        <v/>
      </c>
      <c r="HM595" s="1154" t="str">
        <f t="shared" si="189"/>
        <v/>
      </c>
      <c r="HN595" s="1154" t="str">
        <f t="shared" si="190"/>
        <v/>
      </c>
      <c r="HO595" s="1154" t="str">
        <f t="shared" si="191"/>
        <v/>
      </c>
      <c r="HP595" s="1154" t="str">
        <f t="shared" si="192"/>
        <v/>
      </c>
      <c r="HQ595" s="1154" t="str">
        <f t="shared" si="193"/>
        <v/>
      </c>
      <c r="HR595" s="1154" t="str">
        <f t="shared" si="194"/>
        <v/>
      </c>
      <c r="HS595" s="1154" t="str">
        <f t="shared" si="195"/>
        <v/>
      </c>
      <c r="HT595" s="1154" t="str">
        <f t="shared" si="196"/>
        <v/>
      </c>
      <c r="HU595" s="1154" t="str">
        <f t="shared" si="197"/>
        <v/>
      </c>
      <c r="HV595" s="1154" t="str">
        <f t="shared" si="198"/>
        <v/>
      </c>
      <c r="HW595" s="1154" t="str">
        <f t="shared" si="199"/>
        <v/>
      </c>
      <c r="HX595" s="1154" t="str">
        <f t="shared" si="200"/>
        <v/>
      </c>
      <c r="HY595" s="1681" t="str">
        <f t="shared" si="201"/>
        <v/>
      </c>
      <c r="HZ595" s="1681" t="str">
        <f t="shared" si="202"/>
        <v/>
      </c>
      <c r="IA595" s="1681" t="str">
        <f t="shared" si="203"/>
        <v/>
      </c>
      <c r="IB595" s="1681" t="str">
        <f t="shared" si="204"/>
        <v/>
      </c>
      <c r="IC595" s="1681" t="str">
        <f t="shared" si="205"/>
        <v/>
      </c>
      <c r="ID595" s="1681" t="str">
        <f t="shared" si="206"/>
        <v/>
      </c>
      <c r="IE595" s="1681" t="str">
        <f t="shared" si="207"/>
        <v/>
      </c>
      <c r="IF595" s="1681" t="str">
        <f t="shared" si="208"/>
        <v/>
      </c>
      <c r="IG595" s="1681" t="str">
        <f t="shared" si="209"/>
        <v/>
      </c>
      <c r="IH595" s="1681" t="str">
        <f t="shared" si="210"/>
        <v/>
      </c>
      <c r="II595" s="1681" t="str">
        <f t="shared" si="211"/>
        <v/>
      </c>
      <c r="IJ595" s="1681" t="str">
        <f t="shared" si="212"/>
        <v/>
      </c>
      <c r="IK595" s="1681" t="str">
        <f t="shared" si="213"/>
        <v/>
      </c>
      <c r="IL595" s="1681" t="str">
        <f t="shared" si="214"/>
        <v/>
      </c>
      <c r="IM595" s="1681" t="str">
        <f t="shared" si="215"/>
        <v/>
      </c>
      <c r="IN595" s="1681" t="str">
        <f t="shared" si="216"/>
        <v/>
      </c>
      <c r="IO595" s="1681" t="str">
        <f t="shared" si="217"/>
        <v/>
      </c>
      <c r="IP595" s="1681" t="str">
        <f t="shared" si="218"/>
        <v/>
      </c>
      <c r="IQ595" s="1681" t="str">
        <f t="shared" si="219"/>
        <v/>
      </c>
      <c r="IR595" s="1681" t="str">
        <f t="shared" si="220"/>
        <v/>
      </c>
      <c r="IS595" s="1681" t="str">
        <f t="shared" si="221"/>
        <v/>
      </c>
      <c r="IT595" s="1681" t="str">
        <f t="shared" si="222"/>
        <v/>
      </c>
      <c r="IU595" s="1681" t="str">
        <f t="shared" si="223"/>
        <v/>
      </c>
      <c r="IV595" s="1681" t="str">
        <f t="shared" si="224"/>
        <v/>
      </c>
      <c r="IW595" s="1681" t="str">
        <f t="shared" si="225"/>
        <v/>
      </c>
      <c r="IX595" s="1681" t="str">
        <f t="shared" si="226"/>
        <v/>
      </c>
      <c r="IY595" s="1681" t="str">
        <f t="shared" si="227"/>
        <v/>
      </c>
      <c r="IZ595" s="1681" t="str">
        <f t="shared" si="228"/>
        <v/>
      </c>
      <c r="JA595" s="1681" t="str">
        <f t="shared" si="229"/>
        <v/>
      </c>
      <c r="JB595" s="1681" t="str">
        <f t="shared" si="230"/>
        <v/>
      </c>
      <c r="JC595" s="1681" t="str">
        <f t="shared" si="231"/>
        <v/>
      </c>
      <c r="JD595" s="1681" t="str">
        <f t="shared" si="232"/>
        <v/>
      </c>
      <c r="JE595" s="1681" t="str">
        <f t="shared" si="233"/>
        <v/>
      </c>
      <c r="JF595" s="1681" t="str">
        <f t="shared" si="234"/>
        <v/>
      </c>
      <c r="JG595" s="1681" t="str">
        <f t="shared" si="235"/>
        <v/>
      </c>
      <c r="JH595" s="1681" t="str">
        <f t="shared" si="236"/>
        <v/>
      </c>
      <c r="JI595" s="1681" t="str">
        <f t="shared" si="237"/>
        <v/>
      </c>
      <c r="JJ595" s="1681" t="str">
        <f t="shared" si="238"/>
        <v/>
      </c>
      <c r="JK595" s="1681" t="str">
        <f t="shared" si="239"/>
        <v/>
      </c>
      <c r="JL595" s="1681" t="str">
        <f t="shared" si="240"/>
        <v/>
      </c>
      <c r="JM595" s="1681" t="str">
        <f t="shared" si="241"/>
        <v/>
      </c>
      <c r="JN595" s="1681" t="str">
        <f t="shared" si="242"/>
        <v/>
      </c>
      <c r="JO595" s="1681" t="str">
        <f t="shared" si="243"/>
        <v/>
      </c>
      <c r="JP595" s="1681" t="str">
        <f t="shared" si="244"/>
        <v/>
      </c>
      <c r="JQ595" s="1681" t="str">
        <f t="shared" si="245"/>
        <v/>
      </c>
      <c r="JR595" s="1681" t="str">
        <f t="shared" si="246"/>
        <v/>
      </c>
      <c r="JS595" s="1681" t="str">
        <f t="shared" si="247"/>
        <v/>
      </c>
      <c r="JT595" s="1681" t="str">
        <f t="shared" si="248"/>
        <v/>
      </c>
      <c r="JU595" s="1681" t="str">
        <f t="shared" si="249"/>
        <v/>
      </c>
      <c r="JV595" s="1681" t="str">
        <f t="shared" si="250"/>
        <v/>
      </c>
      <c r="JW595" s="1681" t="str">
        <f t="shared" si="251"/>
        <v/>
      </c>
      <c r="JX595" s="1681" t="str">
        <f t="shared" si="252"/>
        <v/>
      </c>
      <c r="JY595" s="1681" t="str">
        <f t="shared" si="253"/>
        <v/>
      </c>
      <c r="JZ595" s="1681" t="str">
        <f t="shared" si="254"/>
        <v/>
      </c>
      <c r="KA595" s="1681" t="str">
        <f t="shared" si="255"/>
        <v/>
      </c>
      <c r="KB595" s="1681" t="str">
        <f t="shared" si="256"/>
        <v/>
      </c>
      <c r="KC595" s="1681" t="str">
        <f t="shared" si="257"/>
        <v/>
      </c>
      <c r="KD595" s="1681" t="str">
        <f t="shared" si="258"/>
        <v/>
      </c>
      <c r="KE595" s="1681" t="str">
        <f t="shared" si="259"/>
        <v/>
      </c>
      <c r="KF595" s="1681" t="str">
        <f t="shared" si="260"/>
        <v/>
      </c>
      <c r="KG595" s="1681" t="str">
        <f t="shared" si="261"/>
        <v/>
      </c>
      <c r="KH595" s="1681" t="str">
        <f t="shared" si="262"/>
        <v/>
      </c>
      <c r="KI595" s="1681" t="str">
        <f t="shared" si="263"/>
        <v/>
      </c>
      <c r="KJ595" s="1681" t="str">
        <f t="shared" si="264"/>
        <v/>
      </c>
      <c r="KK595" s="1681" t="str">
        <f t="shared" si="265"/>
        <v/>
      </c>
      <c r="KL595" s="1681" t="str">
        <f t="shared" si="266"/>
        <v/>
      </c>
      <c r="KM595" s="1681" t="str">
        <f t="shared" si="267"/>
        <v/>
      </c>
      <c r="KN595" s="1681" t="str">
        <f t="shared" si="268"/>
        <v/>
      </c>
      <c r="KO595" s="1681" t="str">
        <f t="shared" si="269"/>
        <v/>
      </c>
      <c r="KP595" s="1681" t="str">
        <f t="shared" si="270"/>
        <v/>
      </c>
      <c r="KQ595" s="1681" t="str">
        <f t="shared" si="271"/>
        <v/>
      </c>
      <c r="KR595" s="1681" t="str">
        <f t="shared" si="272"/>
        <v/>
      </c>
      <c r="KS595" s="1681" t="str">
        <f t="shared" si="273"/>
        <v/>
      </c>
      <c r="KT595" s="1681" t="str">
        <f t="shared" si="274"/>
        <v/>
      </c>
      <c r="KU595" s="1681" t="str">
        <f t="shared" si="275"/>
        <v/>
      </c>
      <c r="KV595" s="1681" t="str">
        <f t="shared" si="276"/>
        <v/>
      </c>
      <c r="KW595" s="1681" t="str">
        <f t="shared" si="277"/>
        <v/>
      </c>
      <c r="KX595" s="1681" t="str">
        <f t="shared" si="278"/>
        <v/>
      </c>
      <c r="KY595" s="1681" t="str">
        <f t="shared" si="279"/>
        <v/>
      </c>
      <c r="KZ595" s="1681" t="str">
        <f t="shared" si="280"/>
        <v/>
      </c>
      <c r="LA595" s="1681" t="str">
        <f t="shared" si="281"/>
        <v/>
      </c>
      <c r="LB595" s="1681" t="str">
        <f t="shared" si="282"/>
        <v/>
      </c>
      <c r="LC595" s="1681" t="str">
        <f t="shared" si="283"/>
        <v/>
      </c>
      <c r="LD595" s="1681" t="str">
        <f t="shared" si="284"/>
        <v/>
      </c>
      <c r="LE595" s="1681" t="str">
        <f t="shared" si="285"/>
        <v/>
      </c>
      <c r="LF595" s="1525" t="str">
        <f t="shared" si="286"/>
        <v/>
      </c>
      <c r="LG595" s="1525" t="str">
        <f t="shared" si="287"/>
        <v/>
      </c>
      <c r="LH595" s="1525" t="str">
        <f t="shared" si="288"/>
        <v/>
      </c>
      <c r="LI595" s="1525" t="str">
        <f t="shared" si="289"/>
        <v/>
      </c>
      <c r="LJ595" s="1525" t="str">
        <f t="shared" si="290"/>
        <v/>
      </c>
      <c r="LK595" s="1154" t="str">
        <f t="shared" si="291"/>
        <v/>
      </c>
      <c r="LL595" s="1154" t="str">
        <f t="shared" si="292"/>
        <v/>
      </c>
      <c r="LM595" s="1154" t="str">
        <f t="shared" si="293"/>
        <v/>
      </c>
      <c r="LN595" s="1154" t="str">
        <f t="shared" si="294"/>
        <v/>
      </c>
      <c r="LO595" s="1154" t="str">
        <f t="shared" si="295"/>
        <v/>
      </c>
      <c r="LP595" s="1154" t="str">
        <f t="shared" si="296"/>
        <v/>
      </c>
      <c r="LQ595" s="1154" t="str">
        <f t="shared" si="297"/>
        <v/>
      </c>
      <c r="LR595" s="1154" t="str">
        <f t="shared" si="298"/>
        <v/>
      </c>
      <c r="LS595" s="1154" t="str">
        <f t="shared" si="299"/>
        <v/>
      </c>
      <c r="LT595" s="1154" t="str">
        <f t="shared" si="300"/>
        <v/>
      </c>
      <c r="LU595" s="1154" t="str">
        <f t="shared" si="301"/>
        <v/>
      </c>
      <c r="LV595" s="1154" t="str">
        <f t="shared" si="302"/>
        <v/>
      </c>
      <c r="LW595" s="1154" t="str">
        <f t="shared" si="303"/>
        <v/>
      </c>
      <c r="LX595" s="1154" t="str">
        <f t="shared" si="304"/>
        <v/>
      </c>
      <c r="LY595" s="1154" t="str">
        <f t="shared" si="305"/>
        <v/>
      </c>
      <c r="LZ595" s="1154" t="str">
        <f t="shared" si="306"/>
        <v/>
      </c>
      <c r="MA595" s="1154" t="str">
        <f t="shared" si="307"/>
        <v/>
      </c>
      <c r="MB595" s="1154" t="str">
        <f t="shared" si="308"/>
        <v/>
      </c>
      <c r="MC595" s="1154" t="str">
        <f t="shared" si="309"/>
        <v/>
      </c>
      <c r="MD595" s="1154" t="str">
        <f t="shared" si="310"/>
        <v/>
      </c>
      <c r="ME595" s="1525">
        <f t="shared" si="322"/>
        <v>0</v>
      </c>
      <c r="MF595" s="1525">
        <f t="shared" si="323"/>
        <v>0</v>
      </c>
      <c r="MG595" s="1525">
        <f t="shared" si="324"/>
        <v>0</v>
      </c>
      <c r="MH595" s="1525">
        <f t="shared" si="325"/>
        <v>0</v>
      </c>
      <c r="MI595" s="1525">
        <f t="shared" si="326"/>
        <v>0</v>
      </c>
      <c r="MJ595" s="1525">
        <f t="shared" si="327"/>
        <v>0</v>
      </c>
      <c r="MK595" s="1525">
        <f t="shared" si="328"/>
        <v>0</v>
      </c>
      <c r="ML595" s="1525">
        <f t="shared" si="329"/>
        <v>0</v>
      </c>
      <c r="MM595" s="1525">
        <f t="shared" si="330"/>
        <v>0</v>
      </c>
      <c r="MN595" s="1525">
        <f t="shared" si="331"/>
        <v>0</v>
      </c>
      <c r="MO595" s="1525">
        <f t="shared" si="332"/>
        <v>0</v>
      </c>
      <c r="MP595" s="1525">
        <f t="shared" si="333"/>
        <v>0</v>
      </c>
      <c r="MQ595" s="1525">
        <f t="shared" si="334"/>
        <v>0</v>
      </c>
      <c r="MR595" s="1525">
        <f t="shared" si="335"/>
        <v>0</v>
      </c>
      <c r="MS595" s="1525">
        <f t="shared" si="336"/>
        <v>0</v>
      </c>
    </row>
    <row r="596" spans="1:357" s="1154" customFormat="1" ht="12" customHeight="1">
      <c r="A596" s="1524" t="str">
        <f t="shared" si="1"/>
        <v/>
      </c>
      <c r="B596" s="1682">
        <f>'Part VI-Revenues &amp; Expenses'!B25</f>
        <v>0</v>
      </c>
      <c r="C596" s="1673">
        <f>'Part VI-Revenues &amp; Expenses'!C25</f>
        <v>0</v>
      </c>
      <c r="D596" s="1674">
        <f>'Part VI-Revenues &amp; Expenses'!D25</f>
        <v>0</v>
      </c>
      <c r="E596" s="1675">
        <f>'Part VI-Revenues &amp; Expenses'!E25</f>
        <v>0</v>
      </c>
      <c r="F596" s="1675">
        <f>'Part VI-Revenues &amp; Expenses'!F25</f>
        <v>0</v>
      </c>
      <c r="G596" s="1675">
        <f>'Part VI-Revenues &amp; Expenses'!G25</f>
        <v>0</v>
      </c>
      <c r="H596" s="1675">
        <f>'Part VI-Revenues &amp; Expenses'!H25</f>
        <v>0</v>
      </c>
      <c r="I596" s="1675">
        <f>'Part VI-Revenues &amp; Expenses'!I25</f>
        <v>0</v>
      </c>
      <c r="J596" s="1676">
        <f>'Part VI-Revenues &amp; Expenses'!J25</f>
        <v>0</v>
      </c>
      <c r="K596" s="1677">
        <f>'Part VI-Revenues &amp; Expenses'!K25</f>
        <v>0</v>
      </c>
      <c r="L596" s="1677">
        <f>'Part VI-Revenues &amp; Expenses'!L25</f>
        <v>0</v>
      </c>
      <c r="M596" s="1678">
        <f>'Part VI-Revenues &amp; Expenses'!M25</f>
        <v>0</v>
      </c>
      <c r="N596" s="1678">
        <f>'Part VI-Revenues &amp; Expenses'!N25</f>
        <v>0</v>
      </c>
      <c r="O596" s="1678">
        <f>'Part VI-Revenues &amp; Expenses'!O25</f>
        <v>0</v>
      </c>
      <c r="P596" s="1660">
        <f>'Part VI-Revenues &amp; Expenses'!P25</f>
        <v>0</v>
      </c>
      <c r="Q596" s="1679"/>
      <c r="R596" s="1680"/>
      <c r="S596" s="1679"/>
      <c r="T596" s="1680"/>
      <c r="U596" s="1519"/>
      <c r="V596" s="1519"/>
      <c r="W596" s="1154" t="str">
        <f t="shared" si="2"/>
        <v/>
      </c>
      <c r="X596" s="1154" t="str">
        <f t="shared" si="3"/>
        <v/>
      </c>
      <c r="Y596" s="1154" t="str">
        <f t="shared" si="4"/>
        <v/>
      </c>
      <c r="Z596" s="1154" t="str">
        <f t="shared" si="5"/>
        <v/>
      </c>
      <c r="AA596" s="1154" t="str">
        <f t="shared" si="6"/>
        <v/>
      </c>
      <c r="AB596" s="1154" t="str">
        <f t="shared" si="7"/>
        <v/>
      </c>
      <c r="AC596" s="1154" t="str">
        <f t="shared" si="8"/>
        <v/>
      </c>
      <c r="AD596" s="1154" t="str">
        <f t="shared" si="9"/>
        <v/>
      </c>
      <c r="AE596" s="1154" t="str">
        <f t="shared" si="10"/>
        <v/>
      </c>
      <c r="AF596" s="1154" t="str">
        <f t="shared" si="11"/>
        <v/>
      </c>
      <c r="AG596" s="1154" t="str">
        <f t="shared" si="12"/>
        <v/>
      </c>
      <c r="AH596" s="1154" t="str">
        <f t="shared" si="13"/>
        <v/>
      </c>
      <c r="AI596" s="1154" t="str">
        <f t="shared" si="14"/>
        <v/>
      </c>
      <c r="AJ596" s="1154" t="str">
        <f t="shared" si="15"/>
        <v/>
      </c>
      <c r="AK596" s="1154" t="str">
        <f t="shared" si="16"/>
        <v/>
      </c>
      <c r="AL596" s="1154" t="str">
        <f t="shared" si="17"/>
        <v/>
      </c>
      <c r="AM596" s="1154" t="str">
        <f t="shared" si="18"/>
        <v/>
      </c>
      <c r="AN596" s="1154" t="str">
        <f t="shared" si="19"/>
        <v/>
      </c>
      <c r="AO596" s="1154" t="str">
        <f t="shared" si="20"/>
        <v/>
      </c>
      <c r="AP596" s="1154" t="str">
        <f t="shared" si="21"/>
        <v/>
      </c>
      <c r="AQ596" s="1154" t="str">
        <f t="shared" si="22"/>
        <v/>
      </c>
      <c r="AR596" s="1154" t="str">
        <f t="shared" si="23"/>
        <v/>
      </c>
      <c r="AS596" s="1154" t="str">
        <f t="shared" si="24"/>
        <v/>
      </c>
      <c r="AT596" s="1154" t="str">
        <f t="shared" si="25"/>
        <v/>
      </c>
      <c r="AU596" s="1154" t="str">
        <f t="shared" si="26"/>
        <v/>
      </c>
      <c r="AV596" s="1154" t="str">
        <f t="shared" si="27"/>
        <v/>
      </c>
      <c r="AW596" s="1154" t="str">
        <f t="shared" si="28"/>
        <v/>
      </c>
      <c r="AX596" s="1154" t="str">
        <f t="shared" si="29"/>
        <v/>
      </c>
      <c r="AY596" s="1154" t="str">
        <f t="shared" si="30"/>
        <v/>
      </c>
      <c r="AZ596" s="1154" t="str">
        <f t="shared" si="31"/>
        <v/>
      </c>
      <c r="BA596" s="1154" t="str">
        <f t="shared" si="32"/>
        <v/>
      </c>
      <c r="BB596" s="1154" t="str">
        <f t="shared" si="33"/>
        <v/>
      </c>
      <c r="BC596" s="1154" t="str">
        <f t="shared" si="34"/>
        <v/>
      </c>
      <c r="BD596" s="1154" t="str">
        <f t="shared" si="35"/>
        <v/>
      </c>
      <c r="BE596" s="1154" t="str">
        <f t="shared" si="36"/>
        <v/>
      </c>
      <c r="BF596" s="1154" t="str">
        <f t="shared" si="37"/>
        <v/>
      </c>
      <c r="BG596" s="1154" t="str">
        <f t="shared" si="38"/>
        <v/>
      </c>
      <c r="BH596" s="1154" t="str">
        <f t="shared" si="39"/>
        <v/>
      </c>
      <c r="BI596" s="1154" t="str">
        <f t="shared" si="40"/>
        <v/>
      </c>
      <c r="BJ596" s="1154" t="str">
        <f t="shared" si="41"/>
        <v/>
      </c>
      <c r="BK596" s="1154" t="str">
        <f t="shared" si="42"/>
        <v/>
      </c>
      <c r="BL596" s="1154" t="str">
        <f t="shared" si="43"/>
        <v/>
      </c>
      <c r="BM596" s="1154" t="str">
        <f t="shared" si="44"/>
        <v/>
      </c>
      <c r="BN596" s="1154" t="str">
        <f t="shared" si="45"/>
        <v/>
      </c>
      <c r="BO596" s="1154" t="str">
        <f t="shared" si="46"/>
        <v/>
      </c>
      <c r="BP596" s="1154" t="str">
        <f t="shared" si="47"/>
        <v/>
      </c>
      <c r="BQ596" s="1154" t="str">
        <f t="shared" si="48"/>
        <v/>
      </c>
      <c r="BR596" s="1154" t="str">
        <f t="shared" si="49"/>
        <v/>
      </c>
      <c r="BS596" s="1154" t="str">
        <f t="shared" si="50"/>
        <v/>
      </c>
      <c r="BT596" s="1154" t="str">
        <f t="shared" si="51"/>
        <v/>
      </c>
      <c r="BU596" s="1154" t="str">
        <f t="shared" si="52"/>
        <v/>
      </c>
      <c r="BV596" s="1154" t="str">
        <f t="shared" si="53"/>
        <v/>
      </c>
      <c r="BW596" s="1154" t="str">
        <f t="shared" si="54"/>
        <v/>
      </c>
      <c r="BX596" s="1154" t="str">
        <f t="shared" si="55"/>
        <v/>
      </c>
      <c r="BY596" s="1154" t="str">
        <f t="shared" si="56"/>
        <v/>
      </c>
      <c r="BZ596" s="1154" t="str">
        <f t="shared" si="57"/>
        <v/>
      </c>
      <c r="CA596" s="1154" t="str">
        <f t="shared" si="58"/>
        <v/>
      </c>
      <c r="CB596" s="1154" t="str">
        <f t="shared" si="59"/>
        <v/>
      </c>
      <c r="CC596" s="1154" t="str">
        <f t="shared" si="60"/>
        <v/>
      </c>
      <c r="CD596" s="1154" t="str">
        <f t="shared" si="61"/>
        <v/>
      </c>
      <c r="CE596" s="1154" t="str">
        <f t="shared" si="62"/>
        <v/>
      </c>
      <c r="CF596" s="1154" t="str">
        <f t="shared" si="63"/>
        <v/>
      </c>
      <c r="CG596" s="1154" t="str">
        <f t="shared" si="64"/>
        <v/>
      </c>
      <c r="CH596" s="1154" t="str">
        <f t="shared" si="65"/>
        <v/>
      </c>
      <c r="CI596" s="1154" t="str">
        <f t="shared" si="66"/>
        <v/>
      </c>
      <c r="CJ596" s="1154" t="str">
        <f t="shared" si="67"/>
        <v/>
      </c>
      <c r="CK596" s="1154" t="str">
        <f t="shared" si="68"/>
        <v/>
      </c>
      <c r="CL596" s="1154" t="str">
        <f t="shared" si="69"/>
        <v/>
      </c>
      <c r="CM596" s="1154" t="str">
        <f t="shared" si="70"/>
        <v/>
      </c>
      <c r="CN596" s="1154" t="str">
        <f t="shared" si="71"/>
        <v/>
      </c>
      <c r="CO596" s="1154" t="str">
        <f t="shared" si="72"/>
        <v/>
      </c>
      <c r="CP596" s="1154" t="str">
        <f t="shared" si="73"/>
        <v/>
      </c>
      <c r="CQ596" s="1154" t="str">
        <f t="shared" si="74"/>
        <v/>
      </c>
      <c r="CR596" s="1154" t="str">
        <f t="shared" si="75"/>
        <v/>
      </c>
      <c r="CS596" s="1154" t="str">
        <f t="shared" si="76"/>
        <v/>
      </c>
      <c r="CT596" s="1154" t="str">
        <f t="shared" si="77"/>
        <v/>
      </c>
      <c r="CU596" s="1154" t="str">
        <f t="shared" si="78"/>
        <v/>
      </c>
      <c r="CV596" s="1154" t="str">
        <f t="shared" si="79"/>
        <v/>
      </c>
      <c r="CW596" s="1154" t="str">
        <f t="shared" si="80"/>
        <v/>
      </c>
      <c r="CX596" s="1154" t="str">
        <f t="shared" si="81"/>
        <v/>
      </c>
      <c r="CY596" s="1154" t="str">
        <f t="shared" si="82"/>
        <v/>
      </c>
      <c r="CZ596" s="1154" t="str">
        <f t="shared" si="83"/>
        <v/>
      </c>
      <c r="DA596" s="1154" t="str">
        <f t="shared" si="84"/>
        <v/>
      </c>
      <c r="DB596" s="1154" t="str">
        <f t="shared" si="85"/>
        <v/>
      </c>
      <c r="DC596" s="1154" t="str">
        <f t="shared" si="86"/>
        <v/>
      </c>
      <c r="DD596" s="1154" t="str">
        <f t="shared" si="87"/>
        <v/>
      </c>
      <c r="DE596" s="1154" t="str">
        <f t="shared" si="88"/>
        <v/>
      </c>
      <c r="DF596" s="1154" t="str">
        <f t="shared" si="89"/>
        <v/>
      </c>
      <c r="DG596" s="1154" t="str">
        <f t="shared" si="90"/>
        <v/>
      </c>
      <c r="DH596" s="1154" t="str">
        <f t="shared" si="91"/>
        <v/>
      </c>
      <c r="DI596" s="1154" t="str">
        <f t="shared" si="92"/>
        <v/>
      </c>
      <c r="DJ596" s="1154" t="str">
        <f t="shared" si="93"/>
        <v/>
      </c>
      <c r="DK596" s="1154" t="str">
        <f t="shared" si="94"/>
        <v/>
      </c>
      <c r="DL596" s="1154" t="str">
        <f t="shared" si="95"/>
        <v/>
      </c>
      <c r="DM596" s="1154" t="str">
        <f t="shared" si="96"/>
        <v/>
      </c>
      <c r="DN596" s="1154" t="str">
        <f t="shared" si="97"/>
        <v/>
      </c>
      <c r="DO596" s="1154" t="str">
        <f t="shared" si="98"/>
        <v/>
      </c>
      <c r="DP596" s="1154" t="str">
        <f t="shared" si="99"/>
        <v/>
      </c>
      <c r="DQ596" s="1154" t="str">
        <f t="shared" si="100"/>
        <v/>
      </c>
      <c r="DR596" s="1154" t="str">
        <f t="shared" si="101"/>
        <v/>
      </c>
      <c r="DS596" s="1154" t="str">
        <f t="shared" si="102"/>
        <v/>
      </c>
      <c r="DT596" s="1154" t="str">
        <f t="shared" si="103"/>
        <v/>
      </c>
      <c r="DU596" s="1154" t="str">
        <f t="shared" si="104"/>
        <v/>
      </c>
      <c r="DV596" s="1154" t="str">
        <f t="shared" si="105"/>
        <v/>
      </c>
      <c r="DW596" s="1154" t="str">
        <f t="shared" si="106"/>
        <v/>
      </c>
      <c r="DX596" s="1154" t="str">
        <f t="shared" si="107"/>
        <v/>
      </c>
      <c r="DY596" s="1154" t="str">
        <f t="shared" si="108"/>
        <v/>
      </c>
      <c r="DZ596" s="1154" t="str">
        <f t="shared" si="109"/>
        <v/>
      </c>
      <c r="EA596" s="1154" t="str">
        <f t="shared" si="110"/>
        <v/>
      </c>
      <c r="EB596" s="1154" t="str">
        <f t="shared" si="111"/>
        <v/>
      </c>
      <c r="EC596" s="1154" t="str">
        <f t="shared" si="112"/>
        <v/>
      </c>
      <c r="ED596" s="1154" t="str">
        <f t="shared" si="113"/>
        <v/>
      </c>
      <c r="EE596" s="1154" t="str">
        <f t="shared" si="114"/>
        <v/>
      </c>
      <c r="EF596" s="1154" t="str">
        <f t="shared" si="115"/>
        <v/>
      </c>
      <c r="EG596" s="1154" t="str">
        <f t="shared" si="311"/>
        <v/>
      </c>
      <c r="EH596" s="1154" t="str">
        <f t="shared" si="116"/>
        <v/>
      </c>
      <c r="EI596" s="1154" t="str">
        <f t="shared" si="117"/>
        <v/>
      </c>
      <c r="EJ596" s="1154" t="str">
        <f t="shared" si="118"/>
        <v/>
      </c>
      <c r="EK596" s="1154" t="str">
        <f t="shared" si="119"/>
        <v/>
      </c>
      <c r="EL596" s="1154" t="str">
        <f t="shared" si="120"/>
        <v/>
      </c>
      <c r="EM596" s="1154" t="str">
        <f t="shared" si="121"/>
        <v/>
      </c>
      <c r="EN596" s="1154" t="str">
        <f t="shared" si="122"/>
        <v/>
      </c>
      <c r="EO596" s="1154" t="str">
        <f t="shared" si="123"/>
        <v/>
      </c>
      <c r="EP596" s="1154" t="str">
        <f t="shared" si="124"/>
        <v/>
      </c>
      <c r="EQ596" s="1154" t="str">
        <f t="shared" si="125"/>
        <v/>
      </c>
      <c r="ER596" s="1154" t="str">
        <f t="shared" si="126"/>
        <v/>
      </c>
      <c r="ES596" s="1154" t="str">
        <f t="shared" si="127"/>
        <v/>
      </c>
      <c r="ET596" s="1154" t="str">
        <f t="shared" si="128"/>
        <v/>
      </c>
      <c r="EU596" s="1154" t="str">
        <f t="shared" si="129"/>
        <v/>
      </c>
      <c r="EV596" s="1154" t="str">
        <f t="shared" si="130"/>
        <v/>
      </c>
      <c r="EW596" s="1154" t="str">
        <f t="shared" si="312"/>
        <v/>
      </c>
      <c r="EX596" s="1154" t="str">
        <f t="shared" si="313"/>
        <v/>
      </c>
      <c r="EY596" s="1154" t="str">
        <f t="shared" si="314"/>
        <v/>
      </c>
      <c r="EZ596" s="1154" t="str">
        <f t="shared" si="315"/>
        <v/>
      </c>
      <c r="FA596" s="1154" t="str">
        <f t="shared" si="316"/>
        <v/>
      </c>
      <c r="FB596" s="1154" t="str">
        <f t="shared" si="131"/>
        <v/>
      </c>
      <c r="FC596" s="1154" t="str">
        <f t="shared" si="132"/>
        <v/>
      </c>
      <c r="FD596" s="1154" t="str">
        <f t="shared" si="133"/>
        <v/>
      </c>
      <c r="FE596" s="1154" t="str">
        <f t="shared" si="134"/>
        <v/>
      </c>
      <c r="FF596" s="1154" t="str">
        <f t="shared" si="135"/>
        <v/>
      </c>
      <c r="FG596" s="1154" t="str">
        <f t="shared" si="317"/>
        <v/>
      </c>
      <c r="FH596" s="1154" t="str">
        <f t="shared" si="318"/>
        <v/>
      </c>
      <c r="FI596" s="1154" t="str">
        <f t="shared" si="319"/>
        <v/>
      </c>
      <c r="FJ596" s="1154" t="str">
        <f t="shared" si="320"/>
        <v/>
      </c>
      <c r="FK596" s="1154" t="str">
        <f t="shared" si="321"/>
        <v/>
      </c>
      <c r="FL596" s="1154" t="str">
        <f t="shared" si="136"/>
        <v/>
      </c>
      <c r="FM596" s="1154" t="str">
        <f t="shared" si="137"/>
        <v/>
      </c>
      <c r="FN596" s="1154" t="str">
        <f t="shared" si="138"/>
        <v/>
      </c>
      <c r="FO596" s="1154" t="str">
        <f t="shared" si="139"/>
        <v/>
      </c>
      <c r="FP596" s="1154" t="str">
        <f t="shared" si="140"/>
        <v/>
      </c>
      <c r="FQ596" s="1154" t="str">
        <f t="shared" si="141"/>
        <v/>
      </c>
      <c r="FR596" s="1154" t="str">
        <f t="shared" si="142"/>
        <v/>
      </c>
      <c r="FS596" s="1154" t="str">
        <f t="shared" si="143"/>
        <v/>
      </c>
      <c r="FT596" s="1154" t="str">
        <f t="shared" si="144"/>
        <v/>
      </c>
      <c r="FU596" s="1154" t="str">
        <f t="shared" si="145"/>
        <v/>
      </c>
      <c r="FV596" s="1154" t="str">
        <f t="shared" si="146"/>
        <v/>
      </c>
      <c r="FW596" s="1154" t="str">
        <f t="shared" si="147"/>
        <v/>
      </c>
      <c r="FX596" s="1154" t="str">
        <f t="shared" si="148"/>
        <v/>
      </c>
      <c r="FY596" s="1154" t="str">
        <f t="shared" si="149"/>
        <v/>
      </c>
      <c r="FZ596" s="1154" t="str">
        <f t="shared" si="150"/>
        <v/>
      </c>
      <c r="GA596" s="1154" t="str">
        <f t="shared" si="151"/>
        <v/>
      </c>
      <c r="GB596" s="1154" t="str">
        <f t="shared" si="152"/>
        <v/>
      </c>
      <c r="GC596" s="1154" t="str">
        <f t="shared" si="153"/>
        <v/>
      </c>
      <c r="GD596" s="1154" t="str">
        <f t="shared" si="154"/>
        <v/>
      </c>
      <c r="GE596" s="1154" t="str">
        <f t="shared" si="155"/>
        <v/>
      </c>
      <c r="GF596" s="1154" t="str">
        <f t="shared" si="156"/>
        <v/>
      </c>
      <c r="GG596" s="1154" t="str">
        <f t="shared" si="157"/>
        <v/>
      </c>
      <c r="GH596" s="1154" t="str">
        <f t="shared" si="158"/>
        <v/>
      </c>
      <c r="GI596" s="1154" t="str">
        <f t="shared" si="159"/>
        <v/>
      </c>
      <c r="GJ596" s="1154" t="str">
        <f t="shared" si="160"/>
        <v/>
      </c>
      <c r="GK596" s="1154" t="str">
        <f t="shared" si="161"/>
        <v/>
      </c>
      <c r="GL596" s="1154" t="str">
        <f t="shared" si="162"/>
        <v/>
      </c>
      <c r="GM596" s="1154" t="str">
        <f t="shared" si="163"/>
        <v/>
      </c>
      <c r="GN596" s="1154" t="str">
        <f t="shared" si="164"/>
        <v/>
      </c>
      <c r="GO596" s="1154" t="str">
        <f t="shared" si="165"/>
        <v/>
      </c>
      <c r="GP596" s="1154" t="str">
        <f t="shared" si="166"/>
        <v/>
      </c>
      <c r="GQ596" s="1154" t="str">
        <f t="shared" si="167"/>
        <v/>
      </c>
      <c r="GR596" s="1154" t="str">
        <f t="shared" si="168"/>
        <v/>
      </c>
      <c r="GS596" s="1154" t="str">
        <f t="shared" si="169"/>
        <v/>
      </c>
      <c r="GT596" s="1154" t="str">
        <f t="shared" si="170"/>
        <v/>
      </c>
      <c r="GU596" s="1154" t="str">
        <f t="shared" si="171"/>
        <v/>
      </c>
      <c r="GV596" s="1154" t="str">
        <f t="shared" si="172"/>
        <v/>
      </c>
      <c r="GW596" s="1154" t="str">
        <f t="shared" si="173"/>
        <v/>
      </c>
      <c r="GX596" s="1154" t="str">
        <f t="shared" si="174"/>
        <v/>
      </c>
      <c r="GY596" s="1154" t="str">
        <f t="shared" si="175"/>
        <v/>
      </c>
      <c r="GZ596" s="1154" t="str">
        <f t="shared" si="176"/>
        <v/>
      </c>
      <c r="HA596" s="1154" t="str">
        <f t="shared" si="177"/>
        <v/>
      </c>
      <c r="HB596" s="1154" t="str">
        <f t="shared" si="178"/>
        <v/>
      </c>
      <c r="HC596" s="1154" t="str">
        <f t="shared" si="179"/>
        <v/>
      </c>
      <c r="HD596" s="1154" t="str">
        <f t="shared" si="180"/>
        <v/>
      </c>
      <c r="HE596" s="1154" t="str">
        <f t="shared" si="181"/>
        <v/>
      </c>
      <c r="HF596" s="1154" t="str">
        <f t="shared" si="182"/>
        <v/>
      </c>
      <c r="HG596" s="1154" t="str">
        <f t="shared" si="183"/>
        <v/>
      </c>
      <c r="HH596" s="1154" t="str">
        <f t="shared" si="184"/>
        <v/>
      </c>
      <c r="HI596" s="1154" t="str">
        <f t="shared" si="185"/>
        <v/>
      </c>
      <c r="HJ596" s="1154" t="str">
        <f t="shared" si="186"/>
        <v/>
      </c>
      <c r="HK596" s="1154" t="str">
        <f t="shared" si="187"/>
        <v/>
      </c>
      <c r="HL596" s="1154" t="str">
        <f t="shared" si="188"/>
        <v/>
      </c>
      <c r="HM596" s="1154" t="str">
        <f t="shared" si="189"/>
        <v/>
      </c>
      <c r="HN596" s="1154" t="str">
        <f t="shared" si="190"/>
        <v/>
      </c>
      <c r="HO596" s="1154" t="str">
        <f t="shared" si="191"/>
        <v/>
      </c>
      <c r="HP596" s="1154" t="str">
        <f t="shared" si="192"/>
        <v/>
      </c>
      <c r="HQ596" s="1154" t="str">
        <f t="shared" si="193"/>
        <v/>
      </c>
      <c r="HR596" s="1154" t="str">
        <f t="shared" si="194"/>
        <v/>
      </c>
      <c r="HS596" s="1154" t="str">
        <f t="shared" si="195"/>
        <v/>
      </c>
      <c r="HT596" s="1154" t="str">
        <f t="shared" si="196"/>
        <v/>
      </c>
      <c r="HU596" s="1154" t="str">
        <f t="shared" si="197"/>
        <v/>
      </c>
      <c r="HV596" s="1154" t="str">
        <f t="shared" si="198"/>
        <v/>
      </c>
      <c r="HW596" s="1154" t="str">
        <f t="shared" si="199"/>
        <v/>
      </c>
      <c r="HX596" s="1154" t="str">
        <f t="shared" si="200"/>
        <v/>
      </c>
      <c r="HY596" s="1681" t="str">
        <f t="shared" si="201"/>
        <v/>
      </c>
      <c r="HZ596" s="1681" t="str">
        <f t="shared" si="202"/>
        <v/>
      </c>
      <c r="IA596" s="1681" t="str">
        <f t="shared" si="203"/>
        <v/>
      </c>
      <c r="IB596" s="1681" t="str">
        <f t="shared" si="204"/>
        <v/>
      </c>
      <c r="IC596" s="1681" t="str">
        <f t="shared" si="205"/>
        <v/>
      </c>
      <c r="ID596" s="1681" t="str">
        <f t="shared" si="206"/>
        <v/>
      </c>
      <c r="IE596" s="1681" t="str">
        <f t="shared" si="207"/>
        <v/>
      </c>
      <c r="IF596" s="1681" t="str">
        <f t="shared" si="208"/>
        <v/>
      </c>
      <c r="IG596" s="1681" t="str">
        <f t="shared" si="209"/>
        <v/>
      </c>
      <c r="IH596" s="1681" t="str">
        <f t="shared" si="210"/>
        <v/>
      </c>
      <c r="II596" s="1681" t="str">
        <f t="shared" si="211"/>
        <v/>
      </c>
      <c r="IJ596" s="1681" t="str">
        <f t="shared" si="212"/>
        <v/>
      </c>
      <c r="IK596" s="1681" t="str">
        <f t="shared" si="213"/>
        <v/>
      </c>
      <c r="IL596" s="1681" t="str">
        <f t="shared" si="214"/>
        <v/>
      </c>
      <c r="IM596" s="1681" t="str">
        <f t="shared" si="215"/>
        <v/>
      </c>
      <c r="IN596" s="1681" t="str">
        <f t="shared" si="216"/>
        <v/>
      </c>
      <c r="IO596" s="1681" t="str">
        <f t="shared" si="217"/>
        <v/>
      </c>
      <c r="IP596" s="1681" t="str">
        <f t="shared" si="218"/>
        <v/>
      </c>
      <c r="IQ596" s="1681" t="str">
        <f t="shared" si="219"/>
        <v/>
      </c>
      <c r="IR596" s="1681" t="str">
        <f t="shared" si="220"/>
        <v/>
      </c>
      <c r="IS596" s="1681" t="str">
        <f t="shared" si="221"/>
        <v/>
      </c>
      <c r="IT596" s="1681" t="str">
        <f t="shared" si="222"/>
        <v/>
      </c>
      <c r="IU596" s="1681" t="str">
        <f t="shared" si="223"/>
        <v/>
      </c>
      <c r="IV596" s="1681" t="str">
        <f t="shared" si="224"/>
        <v/>
      </c>
      <c r="IW596" s="1681" t="str">
        <f t="shared" si="225"/>
        <v/>
      </c>
      <c r="IX596" s="1681" t="str">
        <f t="shared" si="226"/>
        <v/>
      </c>
      <c r="IY596" s="1681" t="str">
        <f t="shared" si="227"/>
        <v/>
      </c>
      <c r="IZ596" s="1681" t="str">
        <f t="shared" si="228"/>
        <v/>
      </c>
      <c r="JA596" s="1681" t="str">
        <f t="shared" si="229"/>
        <v/>
      </c>
      <c r="JB596" s="1681" t="str">
        <f t="shared" si="230"/>
        <v/>
      </c>
      <c r="JC596" s="1681" t="str">
        <f t="shared" si="231"/>
        <v/>
      </c>
      <c r="JD596" s="1681" t="str">
        <f t="shared" si="232"/>
        <v/>
      </c>
      <c r="JE596" s="1681" t="str">
        <f t="shared" si="233"/>
        <v/>
      </c>
      <c r="JF596" s="1681" t="str">
        <f t="shared" si="234"/>
        <v/>
      </c>
      <c r="JG596" s="1681" t="str">
        <f t="shared" si="235"/>
        <v/>
      </c>
      <c r="JH596" s="1681" t="str">
        <f t="shared" si="236"/>
        <v/>
      </c>
      <c r="JI596" s="1681" t="str">
        <f t="shared" si="237"/>
        <v/>
      </c>
      <c r="JJ596" s="1681" t="str">
        <f t="shared" si="238"/>
        <v/>
      </c>
      <c r="JK596" s="1681" t="str">
        <f t="shared" si="239"/>
        <v/>
      </c>
      <c r="JL596" s="1681" t="str">
        <f t="shared" si="240"/>
        <v/>
      </c>
      <c r="JM596" s="1681" t="str">
        <f t="shared" si="241"/>
        <v/>
      </c>
      <c r="JN596" s="1681" t="str">
        <f t="shared" si="242"/>
        <v/>
      </c>
      <c r="JO596" s="1681" t="str">
        <f t="shared" si="243"/>
        <v/>
      </c>
      <c r="JP596" s="1681" t="str">
        <f t="shared" si="244"/>
        <v/>
      </c>
      <c r="JQ596" s="1681" t="str">
        <f t="shared" si="245"/>
        <v/>
      </c>
      <c r="JR596" s="1681" t="str">
        <f t="shared" si="246"/>
        <v/>
      </c>
      <c r="JS596" s="1681" t="str">
        <f t="shared" si="247"/>
        <v/>
      </c>
      <c r="JT596" s="1681" t="str">
        <f t="shared" si="248"/>
        <v/>
      </c>
      <c r="JU596" s="1681" t="str">
        <f t="shared" si="249"/>
        <v/>
      </c>
      <c r="JV596" s="1681" t="str">
        <f t="shared" si="250"/>
        <v/>
      </c>
      <c r="JW596" s="1681" t="str">
        <f t="shared" si="251"/>
        <v/>
      </c>
      <c r="JX596" s="1681" t="str">
        <f t="shared" si="252"/>
        <v/>
      </c>
      <c r="JY596" s="1681" t="str">
        <f t="shared" si="253"/>
        <v/>
      </c>
      <c r="JZ596" s="1681" t="str">
        <f t="shared" si="254"/>
        <v/>
      </c>
      <c r="KA596" s="1681" t="str">
        <f t="shared" si="255"/>
        <v/>
      </c>
      <c r="KB596" s="1681" t="str">
        <f t="shared" si="256"/>
        <v/>
      </c>
      <c r="KC596" s="1681" t="str">
        <f t="shared" si="257"/>
        <v/>
      </c>
      <c r="KD596" s="1681" t="str">
        <f t="shared" si="258"/>
        <v/>
      </c>
      <c r="KE596" s="1681" t="str">
        <f t="shared" si="259"/>
        <v/>
      </c>
      <c r="KF596" s="1681" t="str">
        <f t="shared" si="260"/>
        <v/>
      </c>
      <c r="KG596" s="1681" t="str">
        <f t="shared" si="261"/>
        <v/>
      </c>
      <c r="KH596" s="1681" t="str">
        <f t="shared" si="262"/>
        <v/>
      </c>
      <c r="KI596" s="1681" t="str">
        <f t="shared" si="263"/>
        <v/>
      </c>
      <c r="KJ596" s="1681" t="str">
        <f t="shared" si="264"/>
        <v/>
      </c>
      <c r="KK596" s="1681" t="str">
        <f t="shared" si="265"/>
        <v/>
      </c>
      <c r="KL596" s="1681" t="str">
        <f t="shared" si="266"/>
        <v/>
      </c>
      <c r="KM596" s="1681" t="str">
        <f t="shared" si="267"/>
        <v/>
      </c>
      <c r="KN596" s="1681" t="str">
        <f t="shared" si="268"/>
        <v/>
      </c>
      <c r="KO596" s="1681" t="str">
        <f t="shared" si="269"/>
        <v/>
      </c>
      <c r="KP596" s="1681" t="str">
        <f t="shared" si="270"/>
        <v/>
      </c>
      <c r="KQ596" s="1681" t="str">
        <f t="shared" si="271"/>
        <v/>
      </c>
      <c r="KR596" s="1681" t="str">
        <f t="shared" si="272"/>
        <v/>
      </c>
      <c r="KS596" s="1681" t="str">
        <f t="shared" si="273"/>
        <v/>
      </c>
      <c r="KT596" s="1681" t="str">
        <f t="shared" si="274"/>
        <v/>
      </c>
      <c r="KU596" s="1681" t="str">
        <f t="shared" si="275"/>
        <v/>
      </c>
      <c r="KV596" s="1681" t="str">
        <f t="shared" si="276"/>
        <v/>
      </c>
      <c r="KW596" s="1681" t="str">
        <f t="shared" si="277"/>
        <v/>
      </c>
      <c r="KX596" s="1681" t="str">
        <f t="shared" si="278"/>
        <v/>
      </c>
      <c r="KY596" s="1681" t="str">
        <f t="shared" si="279"/>
        <v/>
      </c>
      <c r="KZ596" s="1681" t="str">
        <f t="shared" si="280"/>
        <v/>
      </c>
      <c r="LA596" s="1681" t="str">
        <f t="shared" si="281"/>
        <v/>
      </c>
      <c r="LB596" s="1681" t="str">
        <f t="shared" si="282"/>
        <v/>
      </c>
      <c r="LC596" s="1681" t="str">
        <f t="shared" si="283"/>
        <v/>
      </c>
      <c r="LD596" s="1681" t="str">
        <f t="shared" si="284"/>
        <v/>
      </c>
      <c r="LE596" s="1681" t="str">
        <f t="shared" si="285"/>
        <v/>
      </c>
      <c r="LF596" s="1525" t="str">
        <f t="shared" si="286"/>
        <v/>
      </c>
      <c r="LG596" s="1525" t="str">
        <f t="shared" si="287"/>
        <v/>
      </c>
      <c r="LH596" s="1525" t="str">
        <f t="shared" si="288"/>
        <v/>
      </c>
      <c r="LI596" s="1525" t="str">
        <f t="shared" si="289"/>
        <v/>
      </c>
      <c r="LJ596" s="1525" t="str">
        <f t="shared" si="290"/>
        <v/>
      </c>
      <c r="LK596" s="1154" t="str">
        <f t="shared" si="291"/>
        <v/>
      </c>
      <c r="LL596" s="1154" t="str">
        <f t="shared" si="292"/>
        <v/>
      </c>
      <c r="LM596" s="1154" t="str">
        <f t="shared" si="293"/>
        <v/>
      </c>
      <c r="LN596" s="1154" t="str">
        <f t="shared" si="294"/>
        <v/>
      </c>
      <c r="LO596" s="1154" t="str">
        <f t="shared" si="295"/>
        <v/>
      </c>
      <c r="LP596" s="1154" t="str">
        <f t="shared" si="296"/>
        <v/>
      </c>
      <c r="LQ596" s="1154" t="str">
        <f t="shared" si="297"/>
        <v/>
      </c>
      <c r="LR596" s="1154" t="str">
        <f t="shared" si="298"/>
        <v/>
      </c>
      <c r="LS596" s="1154" t="str">
        <f t="shared" si="299"/>
        <v/>
      </c>
      <c r="LT596" s="1154" t="str">
        <f t="shared" si="300"/>
        <v/>
      </c>
      <c r="LU596" s="1154" t="str">
        <f t="shared" si="301"/>
        <v/>
      </c>
      <c r="LV596" s="1154" t="str">
        <f t="shared" si="302"/>
        <v/>
      </c>
      <c r="LW596" s="1154" t="str">
        <f t="shared" si="303"/>
        <v/>
      </c>
      <c r="LX596" s="1154" t="str">
        <f t="shared" si="304"/>
        <v/>
      </c>
      <c r="LY596" s="1154" t="str">
        <f t="shared" si="305"/>
        <v/>
      </c>
      <c r="LZ596" s="1154" t="str">
        <f t="shared" si="306"/>
        <v/>
      </c>
      <c r="MA596" s="1154" t="str">
        <f t="shared" si="307"/>
        <v/>
      </c>
      <c r="MB596" s="1154" t="str">
        <f t="shared" si="308"/>
        <v/>
      </c>
      <c r="MC596" s="1154" t="str">
        <f t="shared" si="309"/>
        <v/>
      </c>
      <c r="MD596" s="1154" t="str">
        <f t="shared" si="310"/>
        <v/>
      </c>
      <c r="ME596" s="1525">
        <f t="shared" si="322"/>
        <v>0</v>
      </c>
      <c r="MF596" s="1525">
        <f t="shared" si="323"/>
        <v>0</v>
      </c>
      <c r="MG596" s="1525">
        <f t="shared" si="324"/>
        <v>0</v>
      </c>
      <c r="MH596" s="1525">
        <f t="shared" si="325"/>
        <v>0</v>
      </c>
      <c r="MI596" s="1525">
        <f t="shared" si="326"/>
        <v>0</v>
      </c>
      <c r="MJ596" s="1525">
        <f t="shared" si="327"/>
        <v>0</v>
      </c>
      <c r="MK596" s="1525">
        <f t="shared" si="328"/>
        <v>0</v>
      </c>
      <c r="ML596" s="1525">
        <f t="shared" si="329"/>
        <v>0</v>
      </c>
      <c r="MM596" s="1525">
        <f t="shared" si="330"/>
        <v>0</v>
      </c>
      <c r="MN596" s="1525">
        <f t="shared" si="331"/>
        <v>0</v>
      </c>
      <c r="MO596" s="1525">
        <f t="shared" si="332"/>
        <v>0</v>
      </c>
      <c r="MP596" s="1525">
        <f t="shared" si="333"/>
        <v>0</v>
      </c>
      <c r="MQ596" s="1525">
        <f t="shared" si="334"/>
        <v>0</v>
      </c>
      <c r="MR596" s="1525">
        <f t="shared" si="335"/>
        <v>0</v>
      </c>
      <c r="MS596" s="1525">
        <f t="shared" si="336"/>
        <v>0</v>
      </c>
    </row>
    <row r="597" spans="1:357" s="1154" customFormat="1" ht="12" customHeight="1">
      <c r="A597" s="1524" t="str">
        <f t="shared" si="1"/>
        <v/>
      </c>
      <c r="B597" s="1682">
        <f>'Part VI-Revenues &amp; Expenses'!B26</f>
        <v>0</v>
      </c>
      <c r="C597" s="1673">
        <f>'Part VI-Revenues &amp; Expenses'!C26</f>
        <v>0</v>
      </c>
      <c r="D597" s="1674">
        <f>'Part VI-Revenues &amp; Expenses'!D26</f>
        <v>0</v>
      </c>
      <c r="E597" s="1675">
        <f>'Part VI-Revenues &amp; Expenses'!E26</f>
        <v>0</v>
      </c>
      <c r="F597" s="1675">
        <f>'Part VI-Revenues &amp; Expenses'!F26</f>
        <v>0</v>
      </c>
      <c r="G597" s="1675">
        <f>'Part VI-Revenues &amp; Expenses'!G26</f>
        <v>0</v>
      </c>
      <c r="H597" s="1675">
        <f>'Part VI-Revenues &amp; Expenses'!H26</f>
        <v>0</v>
      </c>
      <c r="I597" s="1675">
        <f>'Part VI-Revenues &amp; Expenses'!I26</f>
        <v>0</v>
      </c>
      <c r="J597" s="1676">
        <f>'Part VI-Revenues &amp; Expenses'!J26</f>
        <v>0</v>
      </c>
      <c r="K597" s="1677">
        <f>'Part VI-Revenues &amp; Expenses'!K26</f>
        <v>0</v>
      </c>
      <c r="L597" s="1677">
        <f>'Part VI-Revenues &amp; Expenses'!L26</f>
        <v>0</v>
      </c>
      <c r="M597" s="1678">
        <f>'Part VI-Revenues &amp; Expenses'!M26</f>
        <v>0</v>
      </c>
      <c r="N597" s="1678">
        <f>'Part VI-Revenues &amp; Expenses'!N26</f>
        <v>0</v>
      </c>
      <c r="O597" s="1678">
        <f>'Part VI-Revenues &amp; Expenses'!O26</f>
        <v>0</v>
      </c>
      <c r="P597" s="1660">
        <f>'Part VI-Revenues &amp; Expenses'!P26</f>
        <v>0</v>
      </c>
      <c r="Q597" s="1679"/>
      <c r="R597" s="1680"/>
      <c r="S597" s="1679"/>
      <c r="T597" s="1680"/>
      <c r="U597" s="1519"/>
      <c r="V597" s="1519"/>
      <c r="W597" s="1154" t="str">
        <f t="shared" si="2"/>
        <v/>
      </c>
      <c r="X597" s="1154" t="str">
        <f t="shared" si="3"/>
        <v/>
      </c>
      <c r="Y597" s="1154" t="str">
        <f t="shared" si="4"/>
        <v/>
      </c>
      <c r="Z597" s="1154" t="str">
        <f t="shared" si="5"/>
        <v/>
      </c>
      <c r="AA597" s="1154" t="str">
        <f t="shared" si="6"/>
        <v/>
      </c>
      <c r="AB597" s="1154" t="str">
        <f t="shared" si="7"/>
        <v/>
      </c>
      <c r="AC597" s="1154" t="str">
        <f t="shared" si="8"/>
        <v/>
      </c>
      <c r="AD597" s="1154" t="str">
        <f t="shared" si="9"/>
        <v/>
      </c>
      <c r="AE597" s="1154" t="str">
        <f t="shared" si="10"/>
        <v/>
      </c>
      <c r="AF597" s="1154" t="str">
        <f t="shared" si="11"/>
        <v/>
      </c>
      <c r="AG597" s="1154" t="str">
        <f t="shared" si="12"/>
        <v/>
      </c>
      <c r="AH597" s="1154" t="str">
        <f t="shared" si="13"/>
        <v/>
      </c>
      <c r="AI597" s="1154" t="str">
        <f t="shared" si="14"/>
        <v/>
      </c>
      <c r="AJ597" s="1154" t="str">
        <f t="shared" si="15"/>
        <v/>
      </c>
      <c r="AK597" s="1154" t="str">
        <f t="shared" si="16"/>
        <v/>
      </c>
      <c r="AL597" s="1154" t="str">
        <f t="shared" si="17"/>
        <v/>
      </c>
      <c r="AM597" s="1154" t="str">
        <f t="shared" si="18"/>
        <v/>
      </c>
      <c r="AN597" s="1154" t="str">
        <f t="shared" si="19"/>
        <v/>
      </c>
      <c r="AO597" s="1154" t="str">
        <f t="shared" si="20"/>
        <v/>
      </c>
      <c r="AP597" s="1154" t="str">
        <f t="shared" si="21"/>
        <v/>
      </c>
      <c r="AQ597" s="1154" t="str">
        <f t="shared" si="22"/>
        <v/>
      </c>
      <c r="AR597" s="1154" t="str">
        <f t="shared" si="23"/>
        <v/>
      </c>
      <c r="AS597" s="1154" t="str">
        <f t="shared" si="24"/>
        <v/>
      </c>
      <c r="AT597" s="1154" t="str">
        <f t="shared" si="25"/>
        <v/>
      </c>
      <c r="AU597" s="1154" t="str">
        <f t="shared" si="26"/>
        <v/>
      </c>
      <c r="AV597" s="1154" t="str">
        <f t="shared" si="27"/>
        <v/>
      </c>
      <c r="AW597" s="1154" t="str">
        <f t="shared" si="28"/>
        <v/>
      </c>
      <c r="AX597" s="1154" t="str">
        <f t="shared" si="29"/>
        <v/>
      </c>
      <c r="AY597" s="1154" t="str">
        <f t="shared" si="30"/>
        <v/>
      </c>
      <c r="AZ597" s="1154" t="str">
        <f t="shared" si="31"/>
        <v/>
      </c>
      <c r="BA597" s="1154" t="str">
        <f t="shared" si="32"/>
        <v/>
      </c>
      <c r="BB597" s="1154" t="str">
        <f t="shared" si="33"/>
        <v/>
      </c>
      <c r="BC597" s="1154" t="str">
        <f t="shared" si="34"/>
        <v/>
      </c>
      <c r="BD597" s="1154" t="str">
        <f t="shared" si="35"/>
        <v/>
      </c>
      <c r="BE597" s="1154" t="str">
        <f t="shared" si="36"/>
        <v/>
      </c>
      <c r="BF597" s="1154" t="str">
        <f t="shared" si="37"/>
        <v/>
      </c>
      <c r="BG597" s="1154" t="str">
        <f t="shared" si="38"/>
        <v/>
      </c>
      <c r="BH597" s="1154" t="str">
        <f t="shared" si="39"/>
        <v/>
      </c>
      <c r="BI597" s="1154" t="str">
        <f t="shared" si="40"/>
        <v/>
      </c>
      <c r="BJ597" s="1154" t="str">
        <f t="shared" si="41"/>
        <v/>
      </c>
      <c r="BK597" s="1154" t="str">
        <f t="shared" si="42"/>
        <v/>
      </c>
      <c r="BL597" s="1154" t="str">
        <f t="shared" si="43"/>
        <v/>
      </c>
      <c r="BM597" s="1154" t="str">
        <f t="shared" si="44"/>
        <v/>
      </c>
      <c r="BN597" s="1154" t="str">
        <f t="shared" si="45"/>
        <v/>
      </c>
      <c r="BO597" s="1154" t="str">
        <f t="shared" si="46"/>
        <v/>
      </c>
      <c r="BP597" s="1154" t="str">
        <f t="shared" si="47"/>
        <v/>
      </c>
      <c r="BQ597" s="1154" t="str">
        <f t="shared" si="48"/>
        <v/>
      </c>
      <c r="BR597" s="1154" t="str">
        <f t="shared" si="49"/>
        <v/>
      </c>
      <c r="BS597" s="1154" t="str">
        <f t="shared" si="50"/>
        <v/>
      </c>
      <c r="BT597" s="1154" t="str">
        <f t="shared" si="51"/>
        <v/>
      </c>
      <c r="BU597" s="1154" t="str">
        <f t="shared" si="52"/>
        <v/>
      </c>
      <c r="BV597" s="1154" t="str">
        <f t="shared" si="53"/>
        <v/>
      </c>
      <c r="BW597" s="1154" t="str">
        <f t="shared" si="54"/>
        <v/>
      </c>
      <c r="BX597" s="1154" t="str">
        <f t="shared" si="55"/>
        <v/>
      </c>
      <c r="BY597" s="1154" t="str">
        <f t="shared" si="56"/>
        <v/>
      </c>
      <c r="BZ597" s="1154" t="str">
        <f t="shared" si="57"/>
        <v/>
      </c>
      <c r="CA597" s="1154" t="str">
        <f t="shared" si="58"/>
        <v/>
      </c>
      <c r="CB597" s="1154" t="str">
        <f t="shared" si="59"/>
        <v/>
      </c>
      <c r="CC597" s="1154" t="str">
        <f t="shared" si="60"/>
        <v/>
      </c>
      <c r="CD597" s="1154" t="str">
        <f t="shared" si="61"/>
        <v/>
      </c>
      <c r="CE597" s="1154" t="str">
        <f t="shared" si="62"/>
        <v/>
      </c>
      <c r="CF597" s="1154" t="str">
        <f t="shared" si="63"/>
        <v/>
      </c>
      <c r="CG597" s="1154" t="str">
        <f t="shared" si="64"/>
        <v/>
      </c>
      <c r="CH597" s="1154" t="str">
        <f t="shared" si="65"/>
        <v/>
      </c>
      <c r="CI597" s="1154" t="str">
        <f t="shared" si="66"/>
        <v/>
      </c>
      <c r="CJ597" s="1154" t="str">
        <f t="shared" si="67"/>
        <v/>
      </c>
      <c r="CK597" s="1154" t="str">
        <f t="shared" si="68"/>
        <v/>
      </c>
      <c r="CL597" s="1154" t="str">
        <f t="shared" si="69"/>
        <v/>
      </c>
      <c r="CM597" s="1154" t="str">
        <f t="shared" si="70"/>
        <v/>
      </c>
      <c r="CN597" s="1154" t="str">
        <f t="shared" si="71"/>
        <v/>
      </c>
      <c r="CO597" s="1154" t="str">
        <f t="shared" si="72"/>
        <v/>
      </c>
      <c r="CP597" s="1154" t="str">
        <f t="shared" si="73"/>
        <v/>
      </c>
      <c r="CQ597" s="1154" t="str">
        <f t="shared" si="74"/>
        <v/>
      </c>
      <c r="CR597" s="1154" t="str">
        <f t="shared" si="75"/>
        <v/>
      </c>
      <c r="CS597" s="1154" t="str">
        <f t="shared" si="76"/>
        <v/>
      </c>
      <c r="CT597" s="1154" t="str">
        <f t="shared" si="77"/>
        <v/>
      </c>
      <c r="CU597" s="1154" t="str">
        <f t="shared" si="78"/>
        <v/>
      </c>
      <c r="CV597" s="1154" t="str">
        <f t="shared" si="79"/>
        <v/>
      </c>
      <c r="CW597" s="1154" t="str">
        <f t="shared" si="80"/>
        <v/>
      </c>
      <c r="CX597" s="1154" t="str">
        <f t="shared" si="81"/>
        <v/>
      </c>
      <c r="CY597" s="1154" t="str">
        <f t="shared" si="82"/>
        <v/>
      </c>
      <c r="CZ597" s="1154" t="str">
        <f t="shared" si="83"/>
        <v/>
      </c>
      <c r="DA597" s="1154" t="str">
        <f t="shared" si="84"/>
        <v/>
      </c>
      <c r="DB597" s="1154" t="str">
        <f t="shared" si="85"/>
        <v/>
      </c>
      <c r="DC597" s="1154" t="str">
        <f t="shared" si="86"/>
        <v/>
      </c>
      <c r="DD597" s="1154" t="str">
        <f t="shared" si="87"/>
        <v/>
      </c>
      <c r="DE597" s="1154" t="str">
        <f t="shared" si="88"/>
        <v/>
      </c>
      <c r="DF597" s="1154" t="str">
        <f t="shared" si="89"/>
        <v/>
      </c>
      <c r="DG597" s="1154" t="str">
        <f t="shared" si="90"/>
        <v/>
      </c>
      <c r="DH597" s="1154" t="str">
        <f t="shared" si="91"/>
        <v/>
      </c>
      <c r="DI597" s="1154" t="str">
        <f t="shared" si="92"/>
        <v/>
      </c>
      <c r="DJ597" s="1154" t="str">
        <f t="shared" si="93"/>
        <v/>
      </c>
      <c r="DK597" s="1154" t="str">
        <f t="shared" si="94"/>
        <v/>
      </c>
      <c r="DL597" s="1154" t="str">
        <f t="shared" si="95"/>
        <v/>
      </c>
      <c r="DM597" s="1154" t="str">
        <f t="shared" si="96"/>
        <v/>
      </c>
      <c r="DN597" s="1154" t="str">
        <f t="shared" si="97"/>
        <v/>
      </c>
      <c r="DO597" s="1154" t="str">
        <f t="shared" si="98"/>
        <v/>
      </c>
      <c r="DP597" s="1154" t="str">
        <f t="shared" si="99"/>
        <v/>
      </c>
      <c r="DQ597" s="1154" t="str">
        <f t="shared" si="100"/>
        <v/>
      </c>
      <c r="DR597" s="1154" t="str">
        <f t="shared" si="101"/>
        <v/>
      </c>
      <c r="DS597" s="1154" t="str">
        <f t="shared" si="102"/>
        <v/>
      </c>
      <c r="DT597" s="1154" t="str">
        <f t="shared" si="103"/>
        <v/>
      </c>
      <c r="DU597" s="1154" t="str">
        <f t="shared" si="104"/>
        <v/>
      </c>
      <c r="DV597" s="1154" t="str">
        <f t="shared" si="105"/>
        <v/>
      </c>
      <c r="DW597" s="1154" t="str">
        <f t="shared" si="106"/>
        <v/>
      </c>
      <c r="DX597" s="1154" t="str">
        <f t="shared" si="107"/>
        <v/>
      </c>
      <c r="DY597" s="1154" t="str">
        <f t="shared" si="108"/>
        <v/>
      </c>
      <c r="DZ597" s="1154" t="str">
        <f t="shared" si="109"/>
        <v/>
      </c>
      <c r="EA597" s="1154" t="str">
        <f t="shared" si="110"/>
        <v/>
      </c>
      <c r="EB597" s="1154" t="str">
        <f t="shared" si="111"/>
        <v/>
      </c>
      <c r="EC597" s="1154" t="str">
        <f t="shared" si="112"/>
        <v/>
      </c>
      <c r="ED597" s="1154" t="str">
        <f t="shared" si="113"/>
        <v/>
      </c>
      <c r="EE597" s="1154" t="str">
        <f t="shared" si="114"/>
        <v/>
      </c>
      <c r="EF597" s="1154" t="str">
        <f t="shared" si="115"/>
        <v/>
      </c>
      <c r="EG597" s="1154" t="str">
        <f t="shared" si="311"/>
        <v/>
      </c>
      <c r="EH597" s="1154" t="str">
        <f t="shared" si="116"/>
        <v/>
      </c>
      <c r="EI597" s="1154" t="str">
        <f t="shared" si="117"/>
        <v/>
      </c>
      <c r="EJ597" s="1154" t="str">
        <f t="shared" si="118"/>
        <v/>
      </c>
      <c r="EK597" s="1154" t="str">
        <f t="shared" si="119"/>
        <v/>
      </c>
      <c r="EL597" s="1154" t="str">
        <f t="shared" si="120"/>
        <v/>
      </c>
      <c r="EM597" s="1154" t="str">
        <f t="shared" si="121"/>
        <v/>
      </c>
      <c r="EN597" s="1154" t="str">
        <f t="shared" si="122"/>
        <v/>
      </c>
      <c r="EO597" s="1154" t="str">
        <f t="shared" si="123"/>
        <v/>
      </c>
      <c r="EP597" s="1154" t="str">
        <f t="shared" si="124"/>
        <v/>
      </c>
      <c r="EQ597" s="1154" t="str">
        <f t="shared" si="125"/>
        <v/>
      </c>
      <c r="ER597" s="1154" t="str">
        <f t="shared" si="126"/>
        <v/>
      </c>
      <c r="ES597" s="1154" t="str">
        <f t="shared" si="127"/>
        <v/>
      </c>
      <c r="ET597" s="1154" t="str">
        <f t="shared" si="128"/>
        <v/>
      </c>
      <c r="EU597" s="1154" t="str">
        <f t="shared" si="129"/>
        <v/>
      </c>
      <c r="EV597" s="1154" t="str">
        <f t="shared" si="130"/>
        <v/>
      </c>
      <c r="EW597" s="1154" t="str">
        <f t="shared" si="312"/>
        <v/>
      </c>
      <c r="EX597" s="1154" t="str">
        <f t="shared" si="313"/>
        <v/>
      </c>
      <c r="EY597" s="1154" t="str">
        <f t="shared" si="314"/>
        <v/>
      </c>
      <c r="EZ597" s="1154" t="str">
        <f t="shared" si="315"/>
        <v/>
      </c>
      <c r="FA597" s="1154" t="str">
        <f t="shared" si="316"/>
        <v/>
      </c>
      <c r="FB597" s="1154" t="str">
        <f t="shared" si="131"/>
        <v/>
      </c>
      <c r="FC597" s="1154" t="str">
        <f t="shared" si="132"/>
        <v/>
      </c>
      <c r="FD597" s="1154" t="str">
        <f t="shared" si="133"/>
        <v/>
      </c>
      <c r="FE597" s="1154" t="str">
        <f t="shared" si="134"/>
        <v/>
      </c>
      <c r="FF597" s="1154" t="str">
        <f t="shared" si="135"/>
        <v/>
      </c>
      <c r="FG597" s="1154" t="str">
        <f t="shared" si="317"/>
        <v/>
      </c>
      <c r="FH597" s="1154" t="str">
        <f t="shared" si="318"/>
        <v/>
      </c>
      <c r="FI597" s="1154" t="str">
        <f t="shared" si="319"/>
        <v/>
      </c>
      <c r="FJ597" s="1154" t="str">
        <f t="shared" si="320"/>
        <v/>
      </c>
      <c r="FK597" s="1154" t="str">
        <f t="shared" si="321"/>
        <v/>
      </c>
      <c r="FL597" s="1154" t="str">
        <f t="shared" si="136"/>
        <v/>
      </c>
      <c r="FM597" s="1154" t="str">
        <f t="shared" si="137"/>
        <v/>
      </c>
      <c r="FN597" s="1154" t="str">
        <f t="shared" si="138"/>
        <v/>
      </c>
      <c r="FO597" s="1154" t="str">
        <f t="shared" si="139"/>
        <v/>
      </c>
      <c r="FP597" s="1154" t="str">
        <f t="shared" si="140"/>
        <v/>
      </c>
      <c r="FQ597" s="1154" t="str">
        <f t="shared" si="141"/>
        <v/>
      </c>
      <c r="FR597" s="1154" t="str">
        <f t="shared" si="142"/>
        <v/>
      </c>
      <c r="FS597" s="1154" t="str">
        <f t="shared" si="143"/>
        <v/>
      </c>
      <c r="FT597" s="1154" t="str">
        <f t="shared" si="144"/>
        <v/>
      </c>
      <c r="FU597" s="1154" t="str">
        <f t="shared" si="145"/>
        <v/>
      </c>
      <c r="FV597" s="1154" t="str">
        <f t="shared" si="146"/>
        <v/>
      </c>
      <c r="FW597" s="1154" t="str">
        <f t="shared" si="147"/>
        <v/>
      </c>
      <c r="FX597" s="1154" t="str">
        <f t="shared" si="148"/>
        <v/>
      </c>
      <c r="FY597" s="1154" t="str">
        <f t="shared" si="149"/>
        <v/>
      </c>
      <c r="FZ597" s="1154" t="str">
        <f t="shared" si="150"/>
        <v/>
      </c>
      <c r="GA597" s="1154" t="str">
        <f t="shared" si="151"/>
        <v/>
      </c>
      <c r="GB597" s="1154" t="str">
        <f t="shared" si="152"/>
        <v/>
      </c>
      <c r="GC597" s="1154" t="str">
        <f t="shared" si="153"/>
        <v/>
      </c>
      <c r="GD597" s="1154" t="str">
        <f t="shared" si="154"/>
        <v/>
      </c>
      <c r="GE597" s="1154" t="str">
        <f t="shared" si="155"/>
        <v/>
      </c>
      <c r="GF597" s="1154" t="str">
        <f t="shared" si="156"/>
        <v/>
      </c>
      <c r="GG597" s="1154" t="str">
        <f t="shared" si="157"/>
        <v/>
      </c>
      <c r="GH597" s="1154" t="str">
        <f t="shared" si="158"/>
        <v/>
      </c>
      <c r="GI597" s="1154" t="str">
        <f t="shared" si="159"/>
        <v/>
      </c>
      <c r="GJ597" s="1154" t="str">
        <f t="shared" si="160"/>
        <v/>
      </c>
      <c r="GK597" s="1154" t="str">
        <f t="shared" si="161"/>
        <v/>
      </c>
      <c r="GL597" s="1154" t="str">
        <f t="shared" si="162"/>
        <v/>
      </c>
      <c r="GM597" s="1154" t="str">
        <f t="shared" si="163"/>
        <v/>
      </c>
      <c r="GN597" s="1154" t="str">
        <f t="shared" si="164"/>
        <v/>
      </c>
      <c r="GO597" s="1154" t="str">
        <f t="shared" si="165"/>
        <v/>
      </c>
      <c r="GP597" s="1154" t="str">
        <f t="shared" si="166"/>
        <v/>
      </c>
      <c r="GQ597" s="1154" t="str">
        <f t="shared" si="167"/>
        <v/>
      </c>
      <c r="GR597" s="1154" t="str">
        <f t="shared" si="168"/>
        <v/>
      </c>
      <c r="GS597" s="1154" t="str">
        <f t="shared" si="169"/>
        <v/>
      </c>
      <c r="GT597" s="1154" t="str">
        <f t="shared" si="170"/>
        <v/>
      </c>
      <c r="GU597" s="1154" t="str">
        <f t="shared" si="171"/>
        <v/>
      </c>
      <c r="GV597" s="1154" t="str">
        <f t="shared" si="172"/>
        <v/>
      </c>
      <c r="GW597" s="1154" t="str">
        <f t="shared" si="173"/>
        <v/>
      </c>
      <c r="GX597" s="1154" t="str">
        <f t="shared" si="174"/>
        <v/>
      </c>
      <c r="GY597" s="1154" t="str">
        <f t="shared" si="175"/>
        <v/>
      </c>
      <c r="GZ597" s="1154" t="str">
        <f t="shared" si="176"/>
        <v/>
      </c>
      <c r="HA597" s="1154" t="str">
        <f t="shared" si="177"/>
        <v/>
      </c>
      <c r="HB597" s="1154" t="str">
        <f t="shared" si="178"/>
        <v/>
      </c>
      <c r="HC597" s="1154" t="str">
        <f t="shared" si="179"/>
        <v/>
      </c>
      <c r="HD597" s="1154" t="str">
        <f t="shared" si="180"/>
        <v/>
      </c>
      <c r="HE597" s="1154" t="str">
        <f t="shared" si="181"/>
        <v/>
      </c>
      <c r="HF597" s="1154" t="str">
        <f t="shared" si="182"/>
        <v/>
      </c>
      <c r="HG597" s="1154" t="str">
        <f t="shared" si="183"/>
        <v/>
      </c>
      <c r="HH597" s="1154" t="str">
        <f t="shared" si="184"/>
        <v/>
      </c>
      <c r="HI597" s="1154" t="str">
        <f t="shared" si="185"/>
        <v/>
      </c>
      <c r="HJ597" s="1154" t="str">
        <f t="shared" si="186"/>
        <v/>
      </c>
      <c r="HK597" s="1154" t="str">
        <f t="shared" si="187"/>
        <v/>
      </c>
      <c r="HL597" s="1154" t="str">
        <f t="shared" si="188"/>
        <v/>
      </c>
      <c r="HM597" s="1154" t="str">
        <f t="shared" si="189"/>
        <v/>
      </c>
      <c r="HN597" s="1154" t="str">
        <f t="shared" si="190"/>
        <v/>
      </c>
      <c r="HO597" s="1154" t="str">
        <f t="shared" si="191"/>
        <v/>
      </c>
      <c r="HP597" s="1154" t="str">
        <f t="shared" si="192"/>
        <v/>
      </c>
      <c r="HQ597" s="1154" t="str">
        <f t="shared" si="193"/>
        <v/>
      </c>
      <c r="HR597" s="1154" t="str">
        <f t="shared" si="194"/>
        <v/>
      </c>
      <c r="HS597" s="1154" t="str">
        <f t="shared" si="195"/>
        <v/>
      </c>
      <c r="HT597" s="1154" t="str">
        <f t="shared" si="196"/>
        <v/>
      </c>
      <c r="HU597" s="1154" t="str">
        <f t="shared" si="197"/>
        <v/>
      </c>
      <c r="HV597" s="1154" t="str">
        <f t="shared" si="198"/>
        <v/>
      </c>
      <c r="HW597" s="1154" t="str">
        <f t="shared" si="199"/>
        <v/>
      </c>
      <c r="HX597" s="1154" t="str">
        <f t="shared" si="200"/>
        <v/>
      </c>
      <c r="HY597" s="1681" t="str">
        <f t="shared" si="201"/>
        <v/>
      </c>
      <c r="HZ597" s="1681" t="str">
        <f t="shared" si="202"/>
        <v/>
      </c>
      <c r="IA597" s="1681" t="str">
        <f t="shared" si="203"/>
        <v/>
      </c>
      <c r="IB597" s="1681" t="str">
        <f t="shared" si="204"/>
        <v/>
      </c>
      <c r="IC597" s="1681" t="str">
        <f t="shared" si="205"/>
        <v/>
      </c>
      <c r="ID597" s="1681" t="str">
        <f t="shared" si="206"/>
        <v/>
      </c>
      <c r="IE597" s="1681" t="str">
        <f t="shared" si="207"/>
        <v/>
      </c>
      <c r="IF597" s="1681" t="str">
        <f t="shared" si="208"/>
        <v/>
      </c>
      <c r="IG597" s="1681" t="str">
        <f t="shared" si="209"/>
        <v/>
      </c>
      <c r="IH597" s="1681" t="str">
        <f t="shared" si="210"/>
        <v/>
      </c>
      <c r="II597" s="1681" t="str">
        <f t="shared" si="211"/>
        <v/>
      </c>
      <c r="IJ597" s="1681" t="str">
        <f t="shared" si="212"/>
        <v/>
      </c>
      <c r="IK597" s="1681" t="str">
        <f t="shared" si="213"/>
        <v/>
      </c>
      <c r="IL597" s="1681" t="str">
        <f t="shared" si="214"/>
        <v/>
      </c>
      <c r="IM597" s="1681" t="str">
        <f t="shared" si="215"/>
        <v/>
      </c>
      <c r="IN597" s="1681" t="str">
        <f t="shared" si="216"/>
        <v/>
      </c>
      <c r="IO597" s="1681" t="str">
        <f t="shared" si="217"/>
        <v/>
      </c>
      <c r="IP597" s="1681" t="str">
        <f t="shared" si="218"/>
        <v/>
      </c>
      <c r="IQ597" s="1681" t="str">
        <f t="shared" si="219"/>
        <v/>
      </c>
      <c r="IR597" s="1681" t="str">
        <f t="shared" si="220"/>
        <v/>
      </c>
      <c r="IS597" s="1681" t="str">
        <f t="shared" si="221"/>
        <v/>
      </c>
      <c r="IT597" s="1681" t="str">
        <f t="shared" si="222"/>
        <v/>
      </c>
      <c r="IU597" s="1681" t="str">
        <f t="shared" si="223"/>
        <v/>
      </c>
      <c r="IV597" s="1681" t="str">
        <f t="shared" si="224"/>
        <v/>
      </c>
      <c r="IW597" s="1681" t="str">
        <f t="shared" si="225"/>
        <v/>
      </c>
      <c r="IX597" s="1681" t="str">
        <f t="shared" si="226"/>
        <v/>
      </c>
      <c r="IY597" s="1681" t="str">
        <f t="shared" si="227"/>
        <v/>
      </c>
      <c r="IZ597" s="1681" t="str">
        <f t="shared" si="228"/>
        <v/>
      </c>
      <c r="JA597" s="1681" t="str">
        <f t="shared" si="229"/>
        <v/>
      </c>
      <c r="JB597" s="1681" t="str">
        <f t="shared" si="230"/>
        <v/>
      </c>
      <c r="JC597" s="1681" t="str">
        <f t="shared" si="231"/>
        <v/>
      </c>
      <c r="JD597" s="1681" t="str">
        <f t="shared" si="232"/>
        <v/>
      </c>
      <c r="JE597" s="1681" t="str">
        <f t="shared" si="233"/>
        <v/>
      </c>
      <c r="JF597" s="1681" t="str">
        <f t="shared" si="234"/>
        <v/>
      </c>
      <c r="JG597" s="1681" t="str">
        <f t="shared" si="235"/>
        <v/>
      </c>
      <c r="JH597" s="1681" t="str">
        <f t="shared" si="236"/>
        <v/>
      </c>
      <c r="JI597" s="1681" t="str">
        <f t="shared" si="237"/>
        <v/>
      </c>
      <c r="JJ597" s="1681" t="str">
        <f t="shared" si="238"/>
        <v/>
      </c>
      <c r="JK597" s="1681" t="str">
        <f t="shared" si="239"/>
        <v/>
      </c>
      <c r="JL597" s="1681" t="str">
        <f t="shared" si="240"/>
        <v/>
      </c>
      <c r="JM597" s="1681" t="str">
        <f t="shared" si="241"/>
        <v/>
      </c>
      <c r="JN597" s="1681" t="str">
        <f t="shared" si="242"/>
        <v/>
      </c>
      <c r="JO597" s="1681" t="str">
        <f t="shared" si="243"/>
        <v/>
      </c>
      <c r="JP597" s="1681" t="str">
        <f t="shared" si="244"/>
        <v/>
      </c>
      <c r="JQ597" s="1681" t="str">
        <f t="shared" si="245"/>
        <v/>
      </c>
      <c r="JR597" s="1681" t="str">
        <f t="shared" si="246"/>
        <v/>
      </c>
      <c r="JS597" s="1681" t="str">
        <f t="shared" si="247"/>
        <v/>
      </c>
      <c r="JT597" s="1681" t="str">
        <f t="shared" si="248"/>
        <v/>
      </c>
      <c r="JU597" s="1681" t="str">
        <f t="shared" si="249"/>
        <v/>
      </c>
      <c r="JV597" s="1681" t="str">
        <f t="shared" si="250"/>
        <v/>
      </c>
      <c r="JW597" s="1681" t="str">
        <f t="shared" si="251"/>
        <v/>
      </c>
      <c r="JX597" s="1681" t="str">
        <f t="shared" si="252"/>
        <v/>
      </c>
      <c r="JY597" s="1681" t="str">
        <f t="shared" si="253"/>
        <v/>
      </c>
      <c r="JZ597" s="1681" t="str">
        <f t="shared" si="254"/>
        <v/>
      </c>
      <c r="KA597" s="1681" t="str">
        <f t="shared" si="255"/>
        <v/>
      </c>
      <c r="KB597" s="1681" t="str">
        <f t="shared" si="256"/>
        <v/>
      </c>
      <c r="KC597" s="1681" t="str">
        <f t="shared" si="257"/>
        <v/>
      </c>
      <c r="KD597" s="1681" t="str">
        <f t="shared" si="258"/>
        <v/>
      </c>
      <c r="KE597" s="1681" t="str">
        <f t="shared" si="259"/>
        <v/>
      </c>
      <c r="KF597" s="1681" t="str">
        <f t="shared" si="260"/>
        <v/>
      </c>
      <c r="KG597" s="1681" t="str">
        <f t="shared" si="261"/>
        <v/>
      </c>
      <c r="KH597" s="1681" t="str">
        <f t="shared" si="262"/>
        <v/>
      </c>
      <c r="KI597" s="1681" t="str">
        <f t="shared" si="263"/>
        <v/>
      </c>
      <c r="KJ597" s="1681" t="str">
        <f t="shared" si="264"/>
        <v/>
      </c>
      <c r="KK597" s="1681" t="str">
        <f t="shared" si="265"/>
        <v/>
      </c>
      <c r="KL597" s="1681" t="str">
        <f t="shared" si="266"/>
        <v/>
      </c>
      <c r="KM597" s="1681" t="str">
        <f t="shared" si="267"/>
        <v/>
      </c>
      <c r="KN597" s="1681" t="str">
        <f t="shared" si="268"/>
        <v/>
      </c>
      <c r="KO597" s="1681" t="str">
        <f t="shared" si="269"/>
        <v/>
      </c>
      <c r="KP597" s="1681" t="str">
        <f t="shared" si="270"/>
        <v/>
      </c>
      <c r="KQ597" s="1681" t="str">
        <f t="shared" si="271"/>
        <v/>
      </c>
      <c r="KR597" s="1681" t="str">
        <f t="shared" si="272"/>
        <v/>
      </c>
      <c r="KS597" s="1681" t="str">
        <f t="shared" si="273"/>
        <v/>
      </c>
      <c r="KT597" s="1681" t="str">
        <f t="shared" si="274"/>
        <v/>
      </c>
      <c r="KU597" s="1681" t="str">
        <f t="shared" si="275"/>
        <v/>
      </c>
      <c r="KV597" s="1681" t="str">
        <f t="shared" si="276"/>
        <v/>
      </c>
      <c r="KW597" s="1681" t="str">
        <f t="shared" si="277"/>
        <v/>
      </c>
      <c r="KX597" s="1681" t="str">
        <f t="shared" si="278"/>
        <v/>
      </c>
      <c r="KY597" s="1681" t="str">
        <f t="shared" si="279"/>
        <v/>
      </c>
      <c r="KZ597" s="1681" t="str">
        <f t="shared" si="280"/>
        <v/>
      </c>
      <c r="LA597" s="1681" t="str">
        <f t="shared" si="281"/>
        <v/>
      </c>
      <c r="LB597" s="1681" t="str">
        <f t="shared" si="282"/>
        <v/>
      </c>
      <c r="LC597" s="1681" t="str">
        <f t="shared" si="283"/>
        <v/>
      </c>
      <c r="LD597" s="1681" t="str">
        <f t="shared" si="284"/>
        <v/>
      </c>
      <c r="LE597" s="1681" t="str">
        <f t="shared" si="285"/>
        <v/>
      </c>
      <c r="LF597" s="1525" t="str">
        <f t="shared" si="286"/>
        <v/>
      </c>
      <c r="LG597" s="1525" t="str">
        <f t="shared" si="287"/>
        <v/>
      </c>
      <c r="LH597" s="1525" t="str">
        <f t="shared" si="288"/>
        <v/>
      </c>
      <c r="LI597" s="1525" t="str">
        <f t="shared" si="289"/>
        <v/>
      </c>
      <c r="LJ597" s="1525" t="str">
        <f t="shared" si="290"/>
        <v/>
      </c>
      <c r="LK597" s="1154" t="str">
        <f t="shared" si="291"/>
        <v/>
      </c>
      <c r="LL597" s="1154" t="str">
        <f t="shared" si="292"/>
        <v/>
      </c>
      <c r="LM597" s="1154" t="str">
        <f t="shared" si="293"/>
        <v/>
      </c>
      <c r="LN597" s="1154" t="str">
        <f t="shared" si="294"/>
        <v/>
      </c>
      <c r="LO597" s="1154" t="str">
        <f t="shared" si="295"/>
        <v/>
      </c>
      <c r="LP597" s="1154" t="str">
        <f t="shared" si="296"/>
        <v/>
      </c>
      <c r="LQ597" s="1154" t="str">
        <f t="shared" si="297"/>
        <v/>
      </c>
      <c r="LR597" s="1154" t="str">
        <f t="shared" si="298"/>
        <v/>
      </c>
      <c r="LS597" s="1154" t="str">
        <f t="shared" si="299"/>
        <v/>
      </c>
      <c r="LT597" s="1154" t="str">
        <f t="shared" si="300"/>
        <v/>
      </c>
      <c r="LU597" s="1154" t="str">
        <f t="shared" si="301"/>
        <v/>
      </c>
      <c r="LV597" s="1154" t="str">
        <f t="shared" si="302"/>
        <v/>
      </c>
      <c r="LW597" s="1154" t="str">
        <f t="shared" si="303"/>
        <v/>
      </c>
      <c r="LX597" s="1154" t="str">
        <f t="shared" si="304"/>
        <v/>
      </c>
      <c r="LY597" s="1154" t="str">
        <f t="shared" si="305"/>
        <v/>
      </c>
      <c r="LZ597" s="1154" t="str">
        <f t="shared" si="306"/>
        <v/>
      </c>
      <c r="MA597" s="1154" t="str">
        <f t="shared" si="307"/>
        <v/>
      </c>
      <c r="MB597" s="1154" t="str">
        <f t="shared" si="308"/>
        <v/>
      </c>
      <c r="MC597" s="1154" t="str">
        <f t="shared" si="309"/>
        <v/>
      </c>
      <c r="MD597" s="1154" t="str">
        <f t="shared" si="310"/>
        <v/>
      </c>
      <c r="ME597" s="1525">
        <f t="shared" si="322"/>
        <v>0</v>
      </c>
      <c r="MF597" s="1525">
        <f t="shared" si="323"/>
        <v>0</v>
      </c>
      <c r="MG597" s="1525">
        <f t="shared" si="324"/>
        <v>0</v>
      </c>
      <c r="MH597" s="1525">
        <f t="shared" si="325"/>
        <v>0</v>
      </c>
      <c r="MI597" s="1525">
        <f t="shared" si="326"/>
        <v>0</v>
      </c>
      <c r="MJ597" s="1525">
        <f t="shared" si="327"/>
        <v>0</v>
      </c>
      <c r="MK597" s="1525">
        <f t="shared" si="328"/>
        <v>0</v>
      </c>
      <c r="ML597" s="1525">
        <f t="shared" si="329"/>
        <v>0</v>
      </c>
      <c r="MM597" s="1525">
        <f t="shared" si="330"/>
        <v>0</v>
      </c>
      <c r="MN597" s="1525">
        <f t="shared" si="331"/>
        <v>0</v>
      </c>
      <c r="MO597" s="1525">
        <f t="shared" si="332"/>
        <v>0</v>
      </c>
      <c r="MP597" s="1525">
        <f t="shared" si="333"/>
        <v>0</v>
      </c>
      <c r="MQ597" s="1525">
        <f t="shared" si="334"/>
        <v>0</v>
      </c>
      <c r="MR597" s="1525">
        <f t="shared" si="335"/>
        <v>0</v>
      </c>
      <c r="MS597" s="1525">
        <f t="shared" si="336"/>
        <v>0</v>
      </c>
    </row>
    <row r="598" spans="1:357" s="1154" customFormat="1" ht="12" customHeight="1">
      <c r="A598" s="1524" t="str">
        <f t="shared" si="1"/>
        <v/>
      </c>
      <c r="B598" s="1682">
        <f>'Part VI-Revenues &amp; Expenses'!B27</f>
        <v>0</v>
      </c>
      <c r="C598" s="1673">
        <f>'Part VI-Revenues &amp; Expenses'!C27</f>
        <v>0</v>
      </c>
      <c r="D598" s="1674">
        <f>'Part VI-Revenues &amp; Expenses'!D27</f>
        <v>0</v>
      </c>
      <c r="E598" s="1675">
        <f>'Part VI-Revenues &amp; Expenses'!E27</f>
        <v>0</v>
      </c>
      <c r="F598" s="1675">
        <f>'Part VI-Revenues &amp; Expenses'!F27</f>
        <v>0</v>
      </c>
      <c r="G598" s="1675">
        <f>'Part VI-Revenues &amp; Expenses'!G27</f>
        <v>0</v>
      </c>
      <c r="H598" s="1675">
        <f>'Part VI-Revenues &amp; Expenses'!H27</f>
        <v>0</v>
      </c>
      <c r="I598" s="1675">
        <f>'Part VI-Revenues &amp; Expenses'!I27</f>
        <v>0</v>
      </c>
      <c r="J598" s="1676">
        <f>'Part VI-Revenues &amp; Expenses'!J27</f>
        <v>0</v>
      </c>
      <c r="K598" s="1677">
        <f>'Part VI-Revenues &amp; Expenses'!K27</f>
        <v>0</v>
      </c>
      <c r="L598" s="1677">
        <f>'Part VI-Revenues &amp; Expenses'!L27</f>
        <v>0</v>
      </c>
      <c r="M598" s="1678">
        <f>'Part VI-Revenues &amp; Expenses'!M27</f>
        <v>0</v>
      </c>
      <c r="N598" s="1678">
        <f>'Part VI-Revenues &amp; Expenses'!N27</f>
        <v>0</v>
      </c>
      <c r="O598" s="1678">
        <f>'Part VI-Revenues &amp; Expenses'!O27</f>
        <v>0</v>
      </c>
      <c r="P598" s="1660">
        <f>'Part VI-Revenues &amp; Expenses'!P27</f>
        <v>0</v>
      </c>
      <c r="Q598" s="1679"/>
      <c r="R598" s="1680"/>
      <c r="S598" s="1679"/>
      <c r="T598" s="1680"/>
      <c r="U598" s="1519"/>
      <c r="V598" s="1519"/>
      <c r="W598" s="1154" t="str">
        <f t="shared" si="2"/>
        <v/>
      </c>
      <c r="X598" s="1154" t="str">
        <f t="shared" si="3"/>
        <v/>
      </c>
      <c r="Y598" s="1154" t="str">
        <f t="shared" si="4"/>
        <v/>
      </c>
      <c r="Z598" s="1154" t="str">
        <f t="shared" si="5"/>
        <v/>
      </c>
      <c r="AA598" s="1154" t="str">
        <f t="shared" si="6"/>
        <v/>
      </c>
      <c r="AB598" s="1154" t="str">
        <f t="shared" si="7"/>
        <v/>
      </c>
      <c r="AC598" s="1154" t="str">
        <f t="shared" si="8"/>
        <v/>
      </c>
      <c r="AD598" s="1154" t="str">
        <f t="shared" si="9"/>
        <v/>
      </c>
      <c r="AE598" s="1154" t="str">
        <f t="shared" si="10"/>
        <v/>
      </c>
      <c r="AF598" s="1154" t="str">
        <f t="shared" si="11"/>
        <v/>
      </c>
      <c r="AG598" s="1154" t="str">
        <f t="shared" si="12"/>
        <v/>
      </c>
      <c r="AH598" s="1154" t="str">
        <f t="shared" si="13"/>
        <v/>
      </c>
      <c r="AI598" s="1154" t="str">
        <f t="shared" si="14"/>
        <v/>
      </c>
      <c r="AJ598" s="1154" t="str">
        <f t="shared" si="15"/>
        <v/>
      </c>
      <c r="AK598" s="1154" t="str">
        <f t="shared" si="16"/>
        <v/>
      </c>
      <c r="AL598" s="1154" t="str">
        <f t="shared" si="17"/>
        <v/>
      </c>
      <c r="AM598" s="1154" t="str">
        <f t="shared" si="18"/>
        <v/>
      </c>
      <c r="AN598" s="1154" t="str">
        <f t="shared" si="19"/>
        <v/>
      </c>
      <c r="AO598" s="1154" t="str">
        <f t="shared" si="20"/>
        <v/>
      </c>
      <c r="AP598" s="1154" t="str">
        <f t="shared" si="21"/>
        <v/>
      </c>
      <c r="AQ598" s="1154" t="str">
        <f t="shared" si="22"/>
        <v/>
      </c>
      <c r="AR598" s="1154" t="str">
        <f t="shared" si="23"/>
        <v/>
      </c>
      <c r="AS598" s="1154" t="str">
        <f t="shared" si="24"/>
        <v/>
      </c>
      <c r="AT598" s="1154" t="str">
        <f t="shared" si="25"/>
        <v/>
      </c>
      <c r="AU598" s="1154" t="str">
        <f t="shared" si="26"/>
        <v/>
      </c>
      <c r="AV598" s="1154" t="str">
        <f t="shared" si="27"/>
        <v/>
      </c>
      <c r="AW598" s="1154" t="str">
        <f t="shared" si="28"/>
        <v/>
      </c>
      <c r="AX598" s="1154" t="str">
        <f t="shared" si="29"/>
        <v/>
      </c>
      <c r="AY598" s="1154" t="str">
        <f t="shared" si="30"/>
        <v/>
      </c>
      <c r="AZ598" s="1154" t="str">
        <f t="shared" si="31"/>
        <v/>
      </c>
      <c r="BA598" s="1154" t="str">
        <f t="shared" si="32"/>
        <v/>
      </c>
      <c r="BB598" s="1154" t="str">
        <f t="shared" si="33"/>
        <v/>
      </c>
      <c r="BC598" s="1154" t="str">
        <f t="shared" si="34"/>
        <v/>
      </c>
      <c r="BD598" s="1154" t="str">
        <f t="shared" si="35"/>
        <v/>
      </c>
      <c r="BE598" s="1154" t="str">
        <f t="shared" si="36"/>
        <v/>
      </c>
      <c r="BF598" s="1154" t="str">
        <f t="shared" si="37"/>
        <v/>
      </c>
      <c r="BG598" s="1154" t="str">
        <f t="shared" si="38"/>
        <v/>
      </c>
      <c r="BH598" s="1154" t="str">
        <f t="shared" si="39"/>
        <v/>
      </c>
      <c r="BI598" s="1154" t="str">
        <f t="shared" si="40"/>
        <v/>
      </c>
      <c r="BJ598" s="1154" t="str">
        <f t="shared" si="41"/>
        <v/>
      </c>
      <c r="BK598" s="1154" t="str">
        <f t="shared" si="42"/>
        <v/>
      </c>
      <c r="BL598" s="1154" t="str">
        <f t="shared" si="43"/>
        <v/>
      </c>
      <c r="BM598" s="1154" t="str">
        <f t="shared" si="44"/>
        <v/>
      </c>
      <c r="BN598" s="1154" t="str">
        <f t="shared" si="45"/>
        <v/>
      </c>
      <c r="BO598" s="1154" t="str">
        <f t="shared" si="46"/>
        <v/>
      </c>
      <c r="BP598" s="1154" t="str">
        <f t="shared" si="47"/>
        <v/>
      </c>
      <c r="BQ598" s="1154" t="str">
        <f t="shared" si="48"/>
        <v/>
      </c>
      <c r="BR598" s="1154" t="str">
        <f t="shared" si="49"/>
        <v/>
      </c>
      <c r="BS598" s="1154" t="str">
        <f t="shared" si="50"/>
        <v/>
      </c>
      <c r="BT598" s="1154" t="str">
        <f t="shared" si="51"/>
        <v/>
      </c>
      <c r="BU598" s="1154" t="str">
        <f t="shared" si="52"/>
        <v/>
      </c>
      <c r="BV598" s="1154" t="str">
        <f t="shared" si="53"/>
        <v/>
      </c>
      <c r="BW598" s="1154" t="str">
        <f t="shared" si="54"/>
        <v/>
      </c>
      <c r="BX598" s="1154" t="str">
        <f t="shared" si="55"/>
        <v/>
      </c>
      <c r="BY598" s="1154" t="str">
        <f t="shared" si="56"/>
        <v/>
      </c>
      <c r="BZ598" s="1154" t="str">
        <f t="shared" si="57"/>
        <v/>
      </c>
      <c r="CA598" s="1154" t="str">
        <f t="shared" si="58"/>
        <v/>
      </c>
      <c r="CB598" s="1154" t="str">
        <f t="shared" si="59"/>
        <v/>
      </c>
      <c r="CC598" s="1154" t="str">
        <f t="shared" si="60"/>
        <v/>
      </c>
      <c r="CD598" s="1154" t="str">
        <f t="shared" si="61"/>
        <v/>
      </c>
      <c r="CE598" s="1154" t="str">
        <f t="shared" si="62"/>
        <v/>
      </c>
      <c r="CF598" s="1154" t="str">
        <f t="shared" si="63"/>
        <v/>
      </c>
      <c r="CG598" s="1154" t="str">
        <f t="shared" si="64"/>
        <v/>
      </c>
      <c r="CH598" s="1154" t="str">
        <f t="shared" si="65"/>
        <v/>
      </c>
      <c r="CI598" s="1154" t="str">
        <f t="shared" si="66"/>
        <v/>
      </c>
      <c r="CJ598" s="1154" t="str">
        <f t="shared" si="67"/>
        <v/>
      </c>
      <c r="CK598" s="1154" t="str">
        <f t="shared" si="68"/>
        <v/>
      </c>
      <c r="CL598" s="1154" t="str">
        <f t="shared" si="69"/>
        <v/>
      </c>
      <c r="CM598" s="1154" t="str">
        <f t="shared" si="70"/>
        <v/>
      </c>
      <c r="CN598" s="1154" t="str">
        <f t="shared" si="71"/>
        <v/>
      </c>
      <c r="CO598" s="1154" t="str">
        <f t="shared" si="72"/>
        <v/>
      </c>
      <c r="CP598" s="1154" t="str">
        <f t="shared" si="73"/>
        <v/>
      </c>
      <c r="CQ598" s="1154" t="str">
        <f t="shared" si="74"/>
        <v/>
      </c>
      <c r="CR598" s="1154" t="str">
        <f t="shared" si="75"/>
        <v/>
      </c>
      <c r="CS598" s="1154" t="str">
        <f t="shared" si="76"/>
        <v/>
      </c>
      <c r="CT598" s="1154" t="str">
        <f t="shared" si="77"/>
        <v/>
      </c>
      <c r="CU598" s="1154" t="str">
        <f t="shared" si="78"/>
        <v/>
      </c>
      <c r="CV598" s="1154" t="str">
        <f t="shared" si="79"/>
        <v/>
      </c>
      <c r="CW598" s="1154" t="str">
        <f t="shared" si="80"/>
        <v/>
      </c>
      <c r="CX598" s="1154" t="str">
        <f t="shared" si="81"/>
        <v/>
      </c>
      <c r="CY598" s="1154" t="str">
        <f t="shared" si="82"/>
        <v/>
      </c>
      <c r="CZ598" s="1154" t="str">
        <f t="shared" si="83"/>
        <v/>
      </c>
      <c r="DA598" s="1154" t="str">
        <f t="shared" si="84"/>
        <v/>
      </c>
      <c r="DB598" s="1154" t="str">
        <f t="shared" si="85"/>
        <v/>
      </c>
      <c r="DC598" s="1154" t="str">
        <f t="shared" si="86"/>
        <v/>
      </c>
      <c r="DD598" s="1154" t="str">
        <f t="shared" si="87"/>
        <v/>
      </c>
      <c r="DE598" s="1154" t="str">
        <f t="shared" si="88"/>
        <v/>
      </c>
      <c r="DF598" s="1154" t="str">
        <f t="shared" si="89"/>
        <v/>
      </c>
      <c r="DG598" s="1154" t="str">
        <f t="shared" si="90"/>
        <v/>
      </c>
      <c r="DH598" s="1154" t="str">
        <f t="shared" si="91"/>
        <v/>
      </c>
      <c r="DI598" s="1154" t="str">
        <f t="shared" si="92"/>
        <v/>
      </c>
      <c r="DJ598" s="1154" t="str">
        <f t="shared" si="93"/>
        <v/>
      </c>
      <c r="DK598" s="1154" t="str">
        <f t="shared" si="94"/>
        <v/>
      </c>
      <c r="DL598" s="1154" t="str">
        <f t="shared" si="95"/>
        <v/>
      </c>
      <c r="DM598" s="1154" t="str">
        <f t="shared" si="96"/>
        <v/>
      </c>
      <c r="DN598" s="1154" t="str">
        <f t="shared" si="97"/>
        <v/>
      </c>
      <c r="DO598" s="1154" t="str">
        <f t="shared" si="98"/>
        <v/>
      </c>
      <c r="DP598" s="1154" t="str">
        <f t="shared" si="99"/>
        <v/>
      </c>
      <c r="DQ598" s="1154" t="str">
        <f t="shared" si="100"/>
        <v/>
      </c>
      <c r="DR598" s="1154" t="str">
        <f t="shared" si="101"/>
        <v/>
      </c>
      <c r="DS598" s="1154" t="str">
        <f t="shared" si="102"/>
        <v/>
      </c>
      <c r="DT598" s="1154" t="str">
        <f t="shared" si="103"/>
        <v/>
      </c>
      <c r="DU598" s="1154" t="str">
        <f t="shared" si="104"/>
        <v/>
      </c>
      <c r="DV598" s="1154" t="str">
        <f t="shared" si="105"/>
        <v/>
      </c>
      <c r="DW598" s="1154" t="str">
        <f t="shared" si="106"/>
        <v/>
      </c>
      <c r="DX598" s="1154" t="str">
        <f t="shared" si="107"/>
        <v/>
      </c>
      <c r="DY598" s="1154" t="str">
        <f t="shared" si="108"/>
        <v/>
      </c>
      <c r="DZ598" s="1154" t="str">
        <f t="shared" si="109"/>
        <v/>
      </c>
      <c r="EA598" s="1154" t="str">
        <f t="shared" si="110"/>
        <v/>
      </c>
      <c r="EB598" s="1154" t="str">
        <f t="shared" si="111"/>
        <v/>
      </c>
      <c r="EC598" s="1154" t="str">
        <f t="shared" si="112"/>
        <v/>
      </c>
      <c r="ED598" s="1154" t="str">
        <f t="shared" si="113"/>
        <v/>
      </c>
      <c r="EE598" s="1154" t="str">
        <f t="shared" si="114"/>
        <v/>
      </c>
      <c r="EF598" s="1154" t="str">
        <f t="shared" si="115"/>
        <v/>
      </c>
      <c r="EG598" s="1154" t="str">
        <f t="shared" si="311"/>
        <v/>
      </c>
      <c r="EH598" s="1154" t="str">
        <f t="shared" si="116"/>
        <v/>
      </c>
      <c r="EI598" s="1154" t="str">
        <f t="shared" si="117"/>
        <v/>
      </c>
      <c r="EJ598" s="1154" t="str">
        <f t="shared" si="118"/>
        <v/>
      </c>
      <c r="EK598" s="1154" t="str">
        <f t="shared" si="119"/>
        <v/>
      </c>
      <c r="EL598" s="1154" t="str">
        <f t="shared" si="120"/>
        <v/>
      </c>
      <c r="EM598" s="1154" t="str">
        <f t="shared" si="121"/>
        <v/>
      </c>
      <c r="EN598" s="1154" t="str">
        <f t="shared" si="122"/>
        <v/>
      </c>
      <c r="EO598" s="1154" t="str">
        <f t="shared" si="123"/>
        <v/>
      </c>
      <c r="EP598" s="1154" t="str">
        <f t="shared" si="124"/>
        <v/>
      </c>
      <c r="EQ598" s="1154" t="str">
        <f t="shared" si="125"/>
        <v/>
      </c>
      <c r="ER598" s="1154" t="str">
        <f t="shared" si="126"/>
        <v/>
      </c>
      <c r="ES598" s="1154" t="str">
        <f t="shared" si="127"/>
        <v/>
      </c>
      <c r="ET598" s="1154" t="str">
        <f t="shared" si="128"/>
        <v/>
      </c>
      <c r="EU598" s="1154" t="str">
        <f t="shared" si="129"/>
        <v/>
      </c>
      <c r="EV598" s="1154" t="str">
        <f t="shared" si="130"/>
        <v/>
      </c>
      <c r="EW598" s="1154" t="str">
        <f t="shared" si="312"/>
        <v/>
      </c>
      <c r="EX598" s="1154" t="str">
        <f t="shared" si="313"/>
        <v/>
      </c>
      <c r="EY598" s="1154" t="str">
        <f t="shared" si="314"/>
        <v/>
      </c>
      <c r="EZ598" s="1154" t="str">
        <f t="shared" si="315"/>
        <v/>
      </c>
      <c r="FA598" s="1154" t="str">
        <f t="shared" si="316"/>
        <v/>
      </c>
      <c r="FB598" s="1154" t="str">
        <f t="shared" si="131"/>
        <v/>
      </c>
      <c r="FC598" s="1154" t="str">
        <f t="shared" si="132"/>
        <v/>
      </c>
      <c r="FD598" s="1154" t="str">
        <f t="shared" si="133"/>
        <v/>
      </c>
      <c r="FE598" s="1154" t="str">
        <f t="shared" si="134"/>
        <v/>
      </c>
      <c r="FF598" s="1154" t="str">
        <f t="shared" si="135"/>
        <v/>
      </c>
      <c r="FG598" s="1154" t="str">
        <f t="shared" si="317"/>
        <v/>
      </c>
      <c r="FH598" s="1154" t="str">
        <f t="shared" si="318"/>
        <v/>
      </c>
      <c r="FI598" s="1154" t="str">
        <f t="shared" si="319"/>
        <v/>
      </c>
      <c r="FJ598" s="1154" t="str">
        <f t="shared" si="320"/>
        <v/>
      </c>
      <c r="FK598" s="1154" t="str">
        <f t="shared" si="321"/>
        <v/>
      </c>
      <c r="FL598" s="1154" t="str">
        <f t="shared" si="136"/>
        <v/>
      </c>
      <c r="FM598" s="1154" t="str">
        <f t="shared" si="137"/>
        <v/>
      </c>
      <c r="FN598" s="1154" t="str">
        <f t="shared" si="138"/>
        <v/>
      </c>
      <c r="FO598" s="1154" t="str">
        <f t="shared" si="139"/>
        <v/>
      </c>
      <c r="FP598" s="1154" t="str">
        <f t="shared" si="140"/>
        <v/>
      </c>
      <c r="FQ598" s="1154" t="str">
        <f t="shared" si="141"/>
        <v/>
      </c>
      <c r="FR598" s="1154" t="str">
        <f t="shared" si="142"/>
        <v/>
      </c>
      <c r="FS598" s="1154" t="str">
        <f t="shared" si="143"/>
        <v/>
      </c>
      <c r="FT598" s="1154" t="str">
        <f t="shared" si="144"/>
        <v/>
      </c>
      <c r="FU598" s="1154" t="str">
        <f t="shared" si="145"/>
        <v/>
      </c>
      <c r="FV598" s="1154" t="str">
        <f t="shared" si="146"/>
        <v/>
      </c>
      <c r="FW598" s="1154" t="str">
        <f t="shared" si="147"/>
        <v/>
      </c>
      <c r="FX598" s="1154" t="str">
        <f t="shared" si="148"/>
        <v/>
      </c>
      <c r="FY598" s="1154" t="str">
        <f t="shared" si="149"/>
        <v/>
      </c>
      <c r="FZ598" s="1154" t="str">
        <f t="shared" si="150"/>
        <v/>
      </c>
      <c r="GA598" s="1154" t="str">
        <f t="shared" si="151"/>
        <v/>
      </c>
      <c r="GB598" s="1154" t="str">
        <f t="shared" si="152"/>
        <v/>
      </c>
      <c r="GC598" s="1154" t="str">
        <f t="shared" si="153"/>
        <v/>
      </c>
      <c r="GD598" s="1154" t="str">
        <f t="shared" si="154"/>
        <v/>
      </c>
      <c r="GE598" s="1154" t="str">
        <f t="shared" si="155"/>
        <v/>
      </c>
      <c r="GF598" s="1154" t="str">
        <f t="shared" si="156"/>
        <v/>
      </c>
      <c r="GG598" s="1154" t="str">
        <f t="shared" si="157"/>
        <v/>
      </c>
      <c r="GH598" s="1154" t="str">
        <f t="shared" si="158"/>
        <v/>
      </c>
      <c r="GI598" s="1154" t="str">
        <f t="shared" si="159"/>
        <v/>
      </c>
      <c r="GJ598" s="1154" t="str">
        <f t="shared" si="160"/>
        <v/>
      </c>
      <c r="GK598" s="1154" t="str">
        <f t="shared" si="161"/>
        <v/>
      </c>
      <c r="GL598" s="1154" t="str">
        <f t="shared" si="162"/>
        <v/>
      </c>
      <c r="GM598" s="1154" t="str">
        <f t="shared" si="163"/>
        <v/>
      </c>
      <c r="GN598" s="1154" t="str">
        <f t="shared" si="164"/>
        <v/>
      </c>
      <c r="GO598" s="1154" t="str">
        <f t="shared" si="165"/>
        <v/>
      </c>
      <c r="GP598" s="1154" t="str">
        <f t="shared" si="166"/>
        <v/>
      </c>
      <c r="GQ598" s="1154" t="str">
        <f t="shared" si="167"/>
        <v/>
      </c>
      <c r="GR598" s="1154" t="str">
        <f t="shared" si="168"/>
        <v/>
      </c>
      <c r="GS598" s="1154" t="str">
        <f t="shared" si="169"/>
        <v/>
      </c>
      <c r="GT598" s="1154" t="str">
        <f t="shared" si="170"/>
        <v/>
      </c>
      <c r="GU598" s="1154" t="str">
        <f t="shared" si="171"/>
        <v/>
      </c>
      <c r="GV598" s="1154" t="str">
        <f t="shared" si="172"/>
        <v/>
      </c>
      <c r="GW598" s="1154" t="str">
        <f t="shared" si="173"/>
        <v/>
      </c>
      <c r="GX598" s="1154" t="str">
        <f t="shared" si="174"/>
        <v/>
      </c>
      <c r="GY598" s="1154" t="str">
        <f t="shared" si="175"/>
        <v/>
      </c>
      <c r="GZ598" s="1154" t="str">
        <f t="shared" si="176"/>
        <v/>
      </c>
      <c r="HA598" s="1154" t="str">
        <f t="shared" si="177"/>
        <v/>
      </c>
      <c r="HB598" s="1154" t="str">
        <f t="shared" si="178"/>
        <v/>
      </c>
      <c r="HC598" s="1154" t="str">
        <f t="shared" si="179"/>
        <v/>
      </c>
      <c r="HD598" s="1154" t="str">
        <f t="shared" si="180"/>
        <v/>
      </c>
      <c r="HE598" s="1154" t="str">
        <f t="shared" si="181"/>
        <v/>
      </c>
      <c r="HF598" s="1154" t="str">
        <f t="shared" si="182"/>
        <v/>
      </c>
      <c r="HG598" s="1154" t="str">
        <f t="shared" si="183"/>
        <v/>
      </c>
      <c r="HH598" s="1154" t="str">
        <f t="shared" si="184"/>
        <v/>
      </c>
      <c r="HI598" s="1154" t="str">
        <f t="shared" si="185"/>
        <v/>
      </c>
      <c r="HJ598" s="1154" t="str">
        <f t="shared" si="186"/>
        <v/>
      </c>
      <c r="HK598" s="1154" t="str">
        <f t="shared" si="187"/>
        <v/>
      </c>
      <c r="HL598" s="1154" t="str">
        <f t="shared" si="188"/>
        <v/>
      </c>
      <c r="HM598" s="1154" t="str">
        <f t="shared" si="189"/>
        <v/>
      </c>
      <c r="HN598" s="1154" t="str">
        <f t="shared" si="190"/>
        <v/>
      </c>
      <c r="HO598" s="1154" t="str">
        <f t="shared" si="191"/>
        <v/>
      </c>
      <c r="HP598" s="1154" t="str">
        <f t="shared" si="192"/>
        <v/>
      </c>
      <c r="HQ598" s="1154" t="str">
        <f t="shared" si="193"/>
        <v/>
      </c>
      <c r="HR598" s="1154" t="str">
        <f t="shared" si="194"/>
        <v/>
      </c>
      <c r="HS598" s="1154" t="str">
        <f t="shared" si="195"/>
        <v/>
      </c>
      <c r="HT598" s="1154" t="str">
        <f t="shared" si="196"/>
        <v/>
      </c>
      <c r="HU598" s="1154" t="str">
        <f t="shared" si="197"/>
        <v/>
      </c>
      <c r="HV598" s="1154" t="str">
        <f t="shared" si="198"/>
        <v/>
      </c>
      <c r="HW598" s="1154" t="str">
        <f t="shared" si="199"/>
        <v/>
      </c>
      <c r="HX598" s="1154" t="str">
        <f t="shared" si="200"/>
        <v/>
      </c>
      <c r="HY598" s="1681" t="str">
        <f t="shared" si="201"/>
        <v/>
      </c>
      <c r="HZ598" s="1681" t="str">
        <f t="shared" si="202"/>
        <v/>
      </c>
      <c r="IA598" s="1681" t="str">
        <f t="shared" si="203"/>
        <v/>
      </c>
      <c r="IB598" s="1681" t="str">
        <f t="shared" si="204"/>
        <v/>
      </c>
      <c r="IC598" s="1681" t="str">
        <f t="shared" si="205"/>
        <v/>
      </c>
      <c r="ID598" s="1681" t="str">
        <f t="shared" si="206"/>
        <v/>
      </c>
      <c r="IE598" s="1681" t="str">
        <f t="shared" si="207"/>
        <v/>
      </c>
      <c r="IF598" s="1681" t="str">
        <f t="shared" si="208"/>
        <v/>
      </c>
      <c r="IG598" s="1681" t="str">
        <f t="shared" si="209"/>
        <v/>
      </c>
      <c r="IH598" s="1681" t="str">
        <f t="shared" si="210"/>
        <v/>
      </c>
      <c r="II598" s="1681" t="str">
        <f t="shared" si="211"/>
        <v/>
      </c>
      <c r="IJ598" s="1681" t="str">
        <f t="shared" si="212"/>
        <v/>
      </c>
      <c r="IK598" s="1681" t="str">
        <f t="shared" si="213"/>
        <v/>
      </c>
      <c r="IL598" s="1681" t="str">
        <f t="shared" si="214"/>
        <v/>
      </c>
      <c r="IM598" s="1681" t="str">
        <f t="shared" si="215"/>
        <v/>
      </c>
      <c r="IN598" s="1681" t="str">
        <f t="shared" si="216"/>
        <v/>
      </c>
      <c r="IO598" s="1681" t="str">
        <f t="shared" si="217"/>
        <v/>
      </c>
      <c r="IP598" s="1681" t="str">
        <f t="shared" si="218"/>
        <v/>
      </c>
      <c r="IQ598" s="1681" t="str">
        <f t="shared" si="219"/>
        <v/>
      </c>
      <c r="IR598" s="1681" t="str">
        <f t="shared" si="220"/>
        <v/>
      </c>
      <c r="IS598" s="1681" t="str">
        <f t="shared" si="221"/>
        <v/>
      </c>
      <c r="IT598" s="1681" t="str">
        <f t="shared" si="222"/>
        <v/>
      </c>
      <c r="IU598" s="1681" t="str">
        <f t="shared" si="223"/>
        <v/>
      </c>
      <c r="IV598" s="1681" t="str">
        <f t="shared" si="224"/>
        <v/>
      </c>
      <c r="IW598" s="1681" t="str">
        <f t="shared" si="225"/>
        <v/>
      </c>
      <c r="IX598" s="1681" t="str">
        <f t="shared" si="226"/>
        <v/>
      </c>
      <c r="IY598" s="1681" t="str">
        <f t="shared" si="227"/>
        <v/>
      </c>
      <c r="IZ598" s="1681" t="str">
        <f t="shared" si="228"/>
        <v/>
      </c>
      <c r="JA598" s="1681" t="str">
        <f t="shared" si="229"/>
        <v/>
      </c>
      <c r="JB598" s="1681" t="str">
        <f t="shared" si="230"/>
        <v/>
      </c>
      <c r="JC598" s="1681" t="str">
        <f t="shared" si="231"/>
        <v/>
      </c>
      <c r="JD598" s="1681" t="str">
        <f t="shared" si="232"/>
        <v/>
      </c>
      <c r="JE598" s="1681" t="str">
        <f t="shared" si="233"/>
        <v/>
      </c>
      <c r="JF598" s="1681" t="str">
        <f t="shared" si="234"/>
        <v/>
      </c>
      <c r="JG598" s="1681" t="str">
        <f t="shared" si="235"/>
        <v/>
      </c>
      <c r="JH598" s="1681" t="str">
        <f t="shared" si="236"/>
        <v/>
      </c>
      <c r="JI598" s="1681" t="str">
        <f t="shared" si="237"/>
        <v/>
      </c>
      <c r="JJ598" s="1681" t="str">
        <f t="shared" si="238"/>
        <v/>
      </c>
      <c r="JK598" s="1681" t="str">
        <f t="shared" si="239"/>
        <v/>
      </c>
      <c r="JL598" s="1681" t="str">
        <f t="shared" si="240"/>
        <v/>
      </c>
      <c r="JM598" s="1681" t="str">
        <f t="shared" si="241"/>
        <v/>
      </c>
      <c r="JN598" s="1681" t="str">
        <f t="shared" si="242"/>
        <v/>
      </c>
      <c r="JO598" s="1681" t="str">
        <f t="shared" si="243"/>
        <v/>
      </c>
      <c r="JP598" s="1681" t="str">
        <f t="shared" si="244"/>
        <v/>
      </c>
      <c r="JQ598" s="1681" t="str">
        <f t="shared" si="245"/>
        <v/>
      </c>
      <c r="JR598" s="1681" t="str">
        <f t="shared" si="246"/>
        <v/>
      </c>
      <c r="JS598" s="1681" t="str">
        <f t="shared" si="247"/>
        <v/>
      </c>
      <c r="JT598" s="1681" t="str">
        <f t="shared" si="248"/>
        <v/>
      </c>
      <c r="JU598" s="1681" t="str">
        <f t="shared" si="249"/>
        <v/>
      </c>
      <c r="JV598" s="1681" t="str">
        <f t="shared" si="250"/>
        <v/>
      </c>
      <c r="JW598" s="1681" t="str">
        <f t="shared" si="251"/>
        <v/>
      </c>
      <c r="JX598" s="1681" t="str">
        <f t="shared" si="252"/>
        <v/>
      </c>
      <c r="JY598" s="1681" t="str">
        <f t="shared" si="253"/>
        <v/>
      </c>
      <c r="JZ598" s="1681" t="str">
        <f t="shared" si="254"/>
        <v/>
      </c>
      <c r="KA598" s="1681" t="str">
        <f t="shared" si="255"/>
        <v/>
      </c>
      <c r="KB598" s="1681" t="str">
        <f t="shared" si="256"/>
        <v/>
      </c>
      <c r="KC598" s="1681" t="str">
        <f t="shared" si="257"/>
        <v/>
      </c>
      <c r="KD598" s="1681" t="str">
        <f t="shared" si="258"/>
        <v/>
      </c>
      <c r="KE598" s="1681" t="str">
        <f t="shared" si="259"/>
        <v/>
      </c>
      <c r="KF598" s="1681" t="str">
        <f t="shared" si="260"/>
        <v/>
      </c>
      <c r="KG598" s="1681" t="str">
        <f t="shared" si="261"/>
        <v/>
      </c>
      <c r="KH598" s="1681" t="str">
        <f t="shared" si="262"/>
        <v/>
      </c>
      <c r="KI598" s="1681" t="str">
        <f t="shared" si="263"/>
        <v/>
      </c>
      <c r="KJ598" s="1681" t="str">
        <f t="shared" si="264"/>
        <v/>
      </c>
      <c r="KK598" s="1681" t="str">
        <f t="shared" si="265"/>
        <v/>
      </c>
      <c r="KL598" s="1681" t="str">
        <f t="shared" si="266"/>
        <v/>
      </c>
      <c r="KM598" s="1681" t="str">
        <f t="shared" si="267"/>
        <v/>
      </c>
      <c r="KN598" s="1681" t="str">
        <f t="shared" si="268"/>
        <v/>
      </c>
      <c r="KO598" s="1681" t="str">
        <f t="shared" si="269"/>
        <v/>
      </c>
      <c r="KP598" s="1681" t="str">
        <f t="shared" si="270"/>
        <v/>
      </c>
      <c r="KQ598" s="1681" t="str">
        <f t="shared" si="271"/>
        <v/>
      </c>
      <c r="KR598" s="1681" t="str">
        <f t="shared" si="272"/>
        <v/>
      </c>
      <c r="KS598" s="1681" t="str">
        <f t="shared" si="273"/>
        <v/>
      </c>
      <c r="KT598" s="1681" t="str">
        <f t="shared" si="274"/>
        <v/>
      </c>
      <c r="KU598" s="1681" t="str">
        <f t="shared" si="275"/>
        <v/>
      </c>
      <c r="KV598" s="1681" t="str">
        <f t="shared" si="276"/>
        <v/>
      </c>
      <c r="KW598" s="1681" t="str">
        <f t="shared" si="277"/>
        <v/>
      </c>
      <c r="KX598" s="1681" t="str">
        <f t="shared" si="278"/>
        <v/>
      </c>
      <c r="KY598" s="1681" t="str">
        <f t="shared" si="279"/>
        <v/>
      </c>
      <c r="KZ598" s="1681" t="str">
        <f t="shared" si="280"/>
        <v/>
      </c>
      <c r="LA598" s="1681" t="str">
        <f t="shared" si="281"/>
        <v/>
      </c>
      <c r="LB598" s="1681" t="str">
        <f t="shared" si="282"/>
        <v/>
      </c>
      <c r="LC598" s="1681" t="str">
        <f t="shared" si="283"/>
        <v/>
      </c>
      <c r="LD598" s="1681" t="str">
        <f t="shared" si="284"/>
        <v/>
      </c>
      <c r="LE598" s="1681" t="str">
        <f t="shared" si="285"/>
        <v/>
      </c>
      <c r="LF598" s="1525" t="str">
        <f t="shared" si="286"/>
        <v/>
      </c>
      <c r="LG598" s="1525" t="str">
        <f t="shared" si="287"/>
        <v/>
      </c>
      <c r="LH598" s="1525" t="str">
        <f t="shared" si="288"/>
        <v/>
      </c>
      <c r="LI598" s="1525" t="str">
        <f t="shared" si="289"/>
        <v/>
      </c>
      <c r="LJ598" s="1525" t="str">
        <f t="shared" si="290"/>
        <v/>
      </c>
      <c r="LK598" s="1154" t="str">
        <f t="shared" si="291"/>
        <v/>
      </c>
      <c r="LL598" s="1154" t="str">
        <f t="shared" si="292"/>
        <v/>
      </c>
      <c r="LM598" s="1154" t="str">
        <f t="shared" si="293"/>
        <v/>
      </c>
      <c r="LN598" s="1154" t="str">
        <f t="shared" si="294"/>
        <v/>
      </c>
      <c r="LO598" s="1154" t="str">
        <f t="shared" si="295"/>
        <v/>
      </c>
      <c r="LP598" s="1154" t="str">
        <f t="shared" si="296"/>
        <v/>
      </c>
      <c r="LQ598" s="1154" t="str">
        <f t="shared" si="297"/>
        <v/>
      </c>
      <c r="LR598" s="1154" t="str">
        <f t="shared" si="298"/>
        <v/>
      </c>
      <c r="LS598" s="1154" t="str">
        <f t="shared" si="299"/>
        <v/>
      </c>
      <c r="LT598" s="1154" t="str">
        <f t="shared" si="300"/>
        <v/>
      </c>
      <c r="LU598" s="1154" t="str">
        <f t="shared" si="301"/>
        <v/>
      </c>
      <c r="LV598" s="1154" t="str">
        <f t="shared" si="302"/>
        <v/>
      </c>
      <c r="LW598" s="1154" t="str">
        <f t="shared" si="303"/>
        <v/>
      </c>
      <c r="LX598" s="1154" t="str">
        <f t="shared" si="304"/>
        <v/>
      </c>
      <c r="LY598" s="1154" t="str">
        <f t="shared" si="305"/>
        <v/>
      </c>
      <c r="LZ598" s="1154" t="str">
        <f t="shared" si="306"/>
        <v/>
      </c>
      <c r="MA598" s="1154" t="str">
        <f t="shared" si="307"/>
        <v/>
      </c>
      <c r="MB598" s="1154" t="str">
        <f t="shared" si="308"/>
        <v/>
      </c>
      <c r="MC598" s="1154" t="str">
        <f t="shared" si="309"/>
        <v/>
      </c>
      <c r="MD598" s="1154" t="str">
        <f t="shared" si="310"/>
        <v/>
      </c>
      <c r="ME598" s="1525">
        <f t="shared" si="322"/>
        <v>0</v>
      </c>
      <c r="MF598" s="1525">
        <f t="shared" si="323"/>
        <v>0</v>
      </c>
      <c r="MG598" s="1525">
        <f t="shared" si="324"/>
        <v>0</v>
      </c>
      <c r="MH598" s="1525">
        <f t="shared" si="325"/>
        <v>0</v>
      </c>
      <c r="MI598" s="1525">
        <f t="shared" si="326"/>
        <v>0</v>
      </c>
      <c r="MJ598" s="1525">
        <f t="shared" si="327"/>
        <v>0</v>
      </c>
      <c r="MK598" s="1525">
        <f t="shared" si="328"/>
        <v>0</v>
      </c>
      <c r="ML598" s="1525">
        <f t="shared" si="329"/>
        <v>0</v>
      </c>
      <c r="MM598" s="1525">
        <f t="shared" si="330"/>
        <v>0</v>
      </c>
      <c r="MN598" s="1525">
        <f t="shared" si="331"/>
        <v>0</v>
      </c>
      <c r="MO598" s="1525">
        <f t="shared" si="332"/>
        <v>0</v>
      </c>
      <c r="MP598" s="1525">
        <f t="shared" si="333"/>
        <v>0</v>
      </c>
      <c r="MQ598" s="1525">
        <f t="shared" si="334"/>
        <v>0</v>
      </c>
      <c r="MR598" s="1525">
        <f t="shared" si="335"/>
        <v>0</v>
      </c>
      <c r="MS598" s="1525">
        <f t="shared" si="336"/>
        <v>0</v>
      </c>
    </row>
    <row r="599" spans="1:357" s="1154" customFormat="1" ht="12" customHeight="1">
      <c r="A599" s="1524" t="str">
        <f t="shared" si="1"/>
        <v/>
      </c>
      <c r="B599" s="1682">
        <f>'Part VI-Revenues &amp; Expenses'!B28</f>
        <v>0</v>
      </c>
      <c r="C599" s="1673">
        <f>'Part VI-Revenues &amp; Expenses'!C28</f>
        <v>0</v>
      </c>
      <c r="D599" s="1674">
        <f>'Part VI-Revenues &amp; Expenses'!D28</f>
        <v>0</v>
      </c>
      <c r="E599" s="1675">
        <f>'Part VI-Revenues &amp; Expenses'!E28</f>
        <v>0</v>
      </c>
      <c r="F599" s="1675">
        <f>'Part VI-Revenues &amp; Expenses'!F28</f>
        <v>0</v>
      </c>
      <c r="G599" s="1675">
        <f>'Part VI-Revenues &amp; Expenses'!G28</f>
        <v>0</v>
      </c>
      <c r="H599" s="1675">
        <f>'Part VI-Revenues &amp; Expenses'!H28</f>
        <v>0</v>
      </c>
      <c r="I599" s="1675">
        <f>'Part VI-Revenues &amp; Expenses'!I28</f>
        <v>0</v>
      </c>
      <c r="J599" s="1676">
        <f>'Part VI-Revenues &amp; Expenses'!J28</f>
        <v>0</v>
      </c>
      <c r="K599" s="1677">
        <f>'Part VI-Revenues &amp; Expenses'!K28</f>
        <v>0</v>
      </c>
      <c r="L599" s="1677">
        <f>'Part VI-Revenues &amp; Expenses'!L28</f>
        <v>0</v>
      </c>
      <c r="M599" s="1678">
        <f>'Part VI-Revenues &amp; Expenses'!M28</f>
        <v>0</v>
      </c>
      <c r="N599" s="1678">
        <f>'Part VI-Revenues &amp; Expenses'!N28</f>
        <v>0</v>
      </c>
      <c r="O599" s="1678">
        <f>'Part VI-Revenues &amp; Expenses'!O28</f>
        <v>0</v>
      </c>
      <c r="P599" s="1660">
        <f>'Part VI-Revenues &amp; Expenses'!P28</f>
        <v>0</v>
      </c>
      <c r="Q599" s="1679"/>
      <c r="R599" s="1680"/>
      <c r="S599" s="1679"/>
      <c r="T599" s="1680"/>
      <c r="U599" s="1519"/>
      <c r="V599" s="1519"/>
      <c r="W599" s="1154" t="str">
        <f t="shared" si="2"/>
        <v/>
      </c>
      <c r="X599" s="1154" t="str">
        <f t="shared" si="3"/>
        <v/>
      </c>
      <c r="Y599" s="1154" t="str">
        <f t="shared" si="4"/>
        <v/>
      </c>
      <c r="Z599" s="1154" t="str">
        <f t="shared" si="5"/>
        <v/>
      </c>
      <c r="AA599" s="1154" t="str">
        <f t="shared" si="6"/>
        <v/>
      </c>
      <c r="AB599" s="1154" t="str">
        <f t="shared" si="7"/>
        <v/>
      </c>
      <c r="AC599" s="1154" t="str">
        <f t="shared" si="8"/>
        <v/>
      </c>
      <c r="AD599" s="1154" t="str">
        <f t="shared" si="9"/>
        <v/>
      </c>
      <c r="AE599" s="1154" t="str">
        <f t="shared" si="10"/>
        <v/>
      </c>
      <c r="AF599" s="1154" t="str">
        <f t="shared" si="11"/>
        <v/>
      </c>
      <c r="AG599" s="1154" t="str">
        <f t="shared" si="12"/>
        <v/>
      </c>
      <c r="AH599" s="1154" t="str">
        <f t="shared" si="13"/>
        <v/>
      </c>
      <c r="AI599" s="1154" t="str">
        <f t="shared" si="14"/>
        <v/>
      </c>
      <c r="AJ599" s="1154" t="str">
        <f t="shared" si="15"/>
        <v/>
      </c>
      <c r="AK599" s="1154" t="str">
        <f t="shared" si="16"/>
        <v/>
      </c>
      <c r="AL599" s="1154" t="str">
        <f t="shared" si="17"/>
        <v/>
      </c>
      <c r="AM599" s="1154" t="str">
        <f t="shared" si="18"/>
        <v/>
      </c>
      <c r="AN599" s="1154" t="str">
        <f t="shared" si="19"/>
        <v/>
      </c>
      <c r="AO599" s="1154" t="str">
        <f t="shared" si="20"/>
        <v/>
      </c>
      <c r="AP599" s="1154" t="str">
        <f t="shared" si="21"/>
        <v/>
      </c>
      <c r="AQ599" s="1154" t="str">
        <f t="shared" si="22"/>
        <v/>
      </c>
      <c r="AR599" s="1154" t="str">
        <f t="shared" si="23"/>
        <v/>
      </c>
      <c r="AS599" s="1154" t="str">
        <f t="shared" si="24"/>
        <v/>
      </c>
      <c r="AT599" s="1154" t="str">
        <f t="shared" si="25"/>
        <v/>
      </c>
      <c r="AU599" s="1154" t="str">
        <f t="shared" si="26"/>
        <v/>
      </c>
      <c r="AV599" s="1154" t="str">
        <f t="shared" si="27"/>
        <v/>
      </c>
      <c r="AW599" s="1154" t="str">
        <f t="shared" si="28"/>
        <v/>
      </c>
      <c r="AX599" s="1154" t="str">
        <f t="shared" si="29"/>
        <v/>
      </c>
      <c r="AY599" s="1154" t="str">
        <f t="shared" si="30"/>
        <v/>
      </c>
      <c r="AZ599" s="1154" t="str">
        <f t="shared" si="31"/>
        <v/>
      </c>
      <c r="BA599" s="1154" t="str">
        <f t="shared" si="32"/>
        <v/>
      </c>
      <c r="BB599" s="1154" t="str">
        <f t="shared" si="33"/>
        <v/>
      </c>
      <c r="BC599" s="1154" t="str">
        <f t="shared" si="34"/>
        <v/>
      </c>
      <c r="BD599" s="1154" t="str">
        <f t="shared" si="35"/>
        <v/>
      </c>
      <c r="BE599" s="1154" t="str">
        <f t="shared" si="36"/>
        <v/>
      </c>
      <c r="BF599" s="1154" t="str">
        <f t="shared" si="37"/>
        <v/>
      </c>
      <c r="BG599" s="1154" t="str">
        <f t="shared" si="38"/>
        <v/>
      </c>
      <c r="BH599" s="1154" t="str">
        <f t="shared" si="39"/>
        <v/>
      </c>
      <c r="BI599" s="1154" t="str">
        <f t="shared" si="40"/>
        <v/>
      </c>
      <c r="BJ599" s="1154" t="str">
        <f t="shared" si="41"/>
        <v/>
      </c>
      <c r="BK599" s="1154" t="str">
        <f t="shared" si="42"/>
        <v/>
      </c>
      <c r="BL599" s="1154" t="str">
        <f t="shared" si="43"/>
        <v/>
      </c>
      <c r="BM599" s="1154" t="str">
        <f t="shared" si="44"/>
        <v/>
      </c>
      <c r="BN599" s="1154" t="str">
        <f t="shared" si="45"/>
        <v/>
      </c>
      <c r="BO599" s="1154" t="str">
        <f t="shared" si="46"/>
        <v/>
      </c>
      <c r="BP599" s="1154" t="str">
        <f t="shared" si="47"/>
        <v/>
      </c>
      <c r="BQ599" s="1154" t="str">
        <f t="shared" si="48"/>
        <v/>
      </c>
      <c r="BR599" s="1154" t="str">
        <f t="shared" si="49"/>
        <v/>
      </c>
      <c r="BS599" s="1154" t="str">
        <f t="shared" si="50"/>
        <v/>
      </c>
      <c r="BT599" s="1154" t="str">
        <f t="shared" si="51"/>
        <v/>
      </c>
      <c r="BU599" s="1154" t="str">
        <f t="shared" si="52"/>
        <v/>
      </c>
      <c r="BV599" s="1154" t="str">
        <f t="shared" si="53"/>
        <v/>
      </c>
      <c r="BW599" s="1154" t="str">
        <f t="shared" si="54"/>
        <v/>
      </c>
      <c r="BX599" s="1154" t="str">
        <f t="shared" si="55"/>
        <v/>
      </c>
      <c r="BY599" s="1154" t="str">
        <f t="shared" si="56"/>
        <v/>
      </c>
      <c r="BZ599" s="1154" t="str">
        <f t="shared" si="57"/>
        <v/>
      </c>
      <c r="CA599" s="1154" t="str">
        <f t="shared" si="58"/>
        <v/>
      </c>
      <c r="CB599" s="1154" t="str">
        <f t="shared" si="59"/>
        <v/>
      </c>
      <c r="CC599" s="1154" t="str">
        <f t="shared" si="60"/>
        <v/>
      </c>
      <c r="CD599" s="1154" t="str">
        <f t="shared" si="61"/>
        <v/>
      </c>
      <c r="CE599" s="1154" t="str">
        <f t="shared" si="62"/>
        <v/>
      </c>
      <c r="CF599" s="1154" t="str">
        <f t="shared" si="63"/>
        <v/>
      </c>
      <c r="CG599" s="1154" t="str">
        <f t="shared" si="64"/>
        <v/>
      </c>
      <c r="CH599" s="1154" t="str">
        <f t="shared" si="65"/>
        <v/>
      </c>
      <c r="CI599" s="1154" t="str">
        <f t="shared" si="66"/>
        <v/>
      </c>
      <c r="CJ599" s="1154" t="str">
        <f t="shared" si="67"/>
        <v/>
      </c>
      <c r="CK599" s="1154" t="str">
        <f t="shared" si="68"/>
        <v/>
      </c>
      <c r="CL599" s="1154" t="str">
        <f t="shared" si="69"/>
        <v/>
      </c>
      <c r="CM599" s="1154" t="str">
        <f t="shared" si="70"/>
        <v/>
      </c>
      <c r="CN599" s="1154" t="str">
        <f t="shared" si="71"/>
        <v/>
      </c>
      <c r="CO599" s="1154" t="str">
        <f t="shared" si="72"/>
        <v/>
      </c>
      <c r="CP599" s="1154" t="str">
        <f t="shared" si="73"/>
        <v/>
      </c>
      <c r="CQ599" s="1154" t="str">
        <f t="shared" si="74"/>
        <v/>
      </c>
      <c r="CR599" s="1154" t="str">
        <f t="shared" si="75"/>
        <v/>
      </c>
      <c r="CS599" s="1154" t="str">
        <f t="shared" si="76"/>
        <v/>
      </c>
      <c r="CT599" s="1154" t="str">
        <f t="shared" si="77"/>
        <v/>
      </c>
      <c r="CU599" s="1154" t="str">
        <f t="shared" si="78"/>
        <v/>
      </c>
      <c r="CV599" s="1154" t="str">
        <f t="shared" si="79"/>
        <v/>
      </c>
      <c r="CW599" s="1154" t="str">
        <f t="shared" si="80"/>
        <v/>
      </c>
      <c r="CX599" s="1154" t="str">
        <f t="shared" si="81"/>
        <v/>
      </c>
      <c r="CY599" s="1154" t="str">
        <f t="shared" si="82"/>
        <v/>
      </c>
      <c r="CZ599" s="1154" t="str">
        <f t="shared" si="83"/>
        <v/>
      </c>
      <c r="DA599" s="1154" t="str">
        <f t="shared" si="84"/>
        <v/>
      </c>
      <c r="DB599" s="1154" t="str">
        <f t="shared" si="85"/>
        <v/>
      </c>
      <c r="DC599" s="1154" t="str">
        <f t="shared" si="86"/>
        <v/>
      </c>
      <c r="DD599" s="1154" t="str">
        <f t="shared" si="87"/>
        <v/>
      </c>
      <c r="DE599" s="1154" t="str">
        <f t="shared" si="88"/>
        <v/>
      </c>
      <c r="DF599" s="1154" t="str">
        <f t="shared" si="89"/>
        <v/>
      </c>
      <c r="DG599" s="1154" t="str">
        <f t="shared" si="90"/>
        <v/>
      </c>
      <c r="DH599" s="1154" t="str">
        <f t="shared" si="91"/>
        <v/>
      </c>
      <c r="DI599" s="1154" t="str">
        <f t="shared" si="92"/>
        <v/>
      </c>
      <c r="DJ599" s="1154" t="str">
        <f t="shared" si="93"/>
        <v/>
      </c>
      <c r="DK599" s="1154" t="str">
        <f t="shared" si="94"/>
        <v/>
      </c>
      <c r="DL599" s="1154" t="str">
        <f t="shared" si="95"/>
        <v/>
      </c>
      <c r="DM599" s="1154" t="str">
        <f t="shared" si="96"/>
        <v/>
      </c>
      <c r="DN599" s="1154" t="str">
        <f t="shared" si="97"/>
        <v/>
      </c>
      <c r="DO599" s="1154" t="str">
        <f t="shared" si="98"/>
        <v/>
      </c>
      <c r="DP599" s="1154" t="str">
        <f t="shared" si="99"/>
        <v/>
      </c>
      <c r="DQ599" s="1154" t="str">
        <f t="shared" si="100"/>
        <v/>
      </c>
      <c r="DR599" s="1154" t="str">
        <f t="shared" si="101"/>
        <v/>
      </c>
      <c r="DS599" s="1154" t="str">
        <f t="shared" si="102"/>
        <v/>
      </c>
      <c r="DT599" s="1154" t="str">
        <f t="shared" si="103"/>
        <v/>
      </c>
      <c r="DU599" s="1154" t="str">
        <f t="shared" si="104"/>
        <v/>
      </c>
      <c r="DV599" s="1154" t="str">
        <f t="shared" si="105"/>
        <v/>
      </c>
      <c r="DW599" s="1154" t="str">
        <f t="shared" si="106"/>
        <v/>
      </c>
      <c r="DX599" s="1154" t="str">
        <f t="shared" si="107"/>
        <v/>
      </c>
      <c r="DY599" s="1154" t="str">
        <f t="shared" si="108"/>
        <v/>
      </c>
      <c r="DZ599" s="1154" t="str">
        <f t="shared" si="109"/>
        <v/>
      </c>
      <c r="EA599" s="1154" t="str">
        <f t="shared" si="110"/>
        <v/>
      </c>
      <c r="EB599" s="1154" t="str">
        <f t="shared" si="111"/>
        <v/>
      </c>
      <c r="EC599" s="1154" t="str">
        <f t="shared" si="112"/>
        <v/>
      </c>
      <c r="ED599" s="1154" t="str">
        <f t="shared" si="113"/>
        <v/>
      </c>
      <c r="EE599" s="1154" t="str">
        <f t="shared" si="114"/>
        <v/>
      </c>
      <c r="EF599" s="1154" t="str">
        <f t="shared" si="115"/>
        <v/>
      </c>
      <c r="EG599" s="1154" t="str">
        <f t="shared" si="311"/>
        <v/>
      </c>
      <c r="EH599" s="1154" t="str">
        <f t="shared" si="116"/>
        <v/>
      </c>
      <c r="EI599" s="1154" t="str">
        <f t="shared" si="117"/>
        <v/>
      </c>
      <c r="EJ599" s="1154" t="str">
        <f t="shared" si="118"/>
        <v/>
      </c>
      <c r="EK599" s="1154" t="str">
        <f t="shared" si="119"/>
        <v/>
      </c>
      <c r="EL599" s="1154" t="str">
        <f t="shared" si="120"/>
        <v/>
      </c>
      <c r="EM599" s="1154" t="str">
        <f t="shared" si="121"/>
        <v/>
      </c>
      <c r="EN599" s="1154" t="str">
        <f t="shared" si="122"/>
        <v/>
      </c>
      <c r="EO599" s="1154" t="str">
        <f t="shared" si="123"/>
        <v/>
      </c>
      <c r="EP599" s="1154" t="str">
        <f t="shared" si="124"/>
        <v/>
      </c>
      <c r="EQ599" s="1154" t="str">
        <f t="shared" si="125"/>
        <v/>
      </c>
      <c r="ER599" s="1154" t="str">
        <f t="shared" si="126"/>
        <v/>
      </c>
      <c r="ES599" s="1154" t="str">
        <f t="shared" si="127"/>
        <v/>
      </c>
      <c r="ET599" s="1154" t="str">
        <f t="shared" si="128"/>
        <v/>
      </c>
      <c r="EU599" s="1154" t="str">
        <f t="shared" si="129"/>
        <v/>
      </c>
      <c r="EV599" s="1154" t="str">
        <f t="shared" si="130"/>
        <v/>
      </c>
      <c r="EW599" s="1154" t="str">
        <f t="shared" si="312"/>
        <v/>
      </c>
      <c r="EX599" s="1154" t="str">
        <f t="shared" si="313"/>
        <v/>
      </c>
      <c r="EY599" s="1154" t="str">
        <f t="shared" si="314"/>
        <v/>
      </c>
      <c r="EZ599" s="1154" t="str">
        <f t="shared" si="315"/>
        <v/>
      </c>
      <c r="FA599" s="1154" t="str">
        <f t="shared" si="316"/>
        <v/>
      </c>
      <c r="FB599" s="1154" t="str">
        <f t="shared" si="131"/>
        <v/>
      </c>
      <c r="FC599" s="1154" t="str">
        <f t="shared" si="132"/>
        <v/>
      </c>
      <c r="FD599" s="1154" t="str">
        <f t="shared" si="133"/>
        <v/>
      </c>
      <c r="FE599" s="1154" t="str">
        <f t="shared" si="134"/>
        <v/>
      </c>
      <c r="FF599" s="1154" t="str">
        <f t="shared" si="135"/>
        <v/>
      </c>
      <c r="FG599" s="1154" t="str">
        <f t="shared" si="317"/>
        <v/>
      </c>
      <c r="FH599" s="1154" t="str">
        <f t="shared" si="318"/>
        <v/>
      </c>
      <c r="FI599" s="1154" t="str">
        <f t="shared" si="319"/>
        <v/>
      </c>
      <c r="FJ599" s="1154" t="str">
        <f t="shared" si="320"/>
        <v/>
      </c>
      <c r="FK599" s="1154" t="str">
        <f t="shared" si="321"/>
        <v/>
      </c>
      <c r="FL599" s="1154" t="str">
        <f t="shared" si="136"/>
        <v/>
      </c>
      <c r="FM599" s="1154" t="str">
        <f t="shared" si="137"/>
        <v/>
      </c>
      <c r="FN599" s="1154" t="str">
        <f t="shared" si="138"/>
        <v/>
      </c>
      <c r="FO599" s="1154" t="str">
        <f t="shared" si="139"/>
        <v/>
      </c>
      <c r="FP599" s="1154" t="str">
        <f t="shared" si="140"/>
        <v/>
      </c>
      <c r="FQ599" s="1154" t="str">
        <f t="shared" si="141"/>
        <v/>
      </c>
      <c r="FR599" s="1154" t="str">
        <f t="shared" si="142"/>
        <v/>
      </c>
      <c r="FS599" s="1154" t="str">
        <f t="shared" si="143"/>
        <v/>
      </c>
      <c r="FT599" s="1154" t="str">
        <f t="shared" si="144"/>
        <v/>
      </c>
      <c r="FU599" s="1154" t="str">
        <f t="shared" si="145"/>
        <v/>
      </c>
      <c r="FV599" s="1154" t="str">
        <f t="shared" si="146"/>
        <v/>
      </c>
      <c r="FW599" s="1154" t="str">
        <f t="shared" si="147"/>
        <v/>
      </c>
      <c r="FX599" s="1154" t="str">
        <f t="shared" si="148"/>
        <v/>
      </c>
      <c r="FY599" s="1154" t="str">
        <f t="shared" si="149"/>
        <v/>
      </c>
      <c r="FZ599" s="1154" t="str">
        <f t="shared" si="150"/>
        <v/>
      </c>
      <c r="GA599" s="1154" t="str">
        <f t="shared" si="151"/>
        <v/>
      </c>
      <c r="GB599" s="1154" t="str">
        <f t="shared" si="152"/>
        <v/>
      </c>
      <c r="GC599" s="1154" t="str">
        <f t="shared" si="153"/>
        <v/>
      </c>
      <c r="GD599" s="1154" t="str">
        <f t="shared" si="154"/>
        <v/>
      </c>
      <c r="GE599" s="1154" t="str">
        <f t="shared" si="155"/>
        <v/>
      </c>
      <c r="GF599" s="1154" t="str">
        <f t="shared" si="156"/>
        <v/>
      </c>
      <c r="GG599" s="1154" t="str">
        <f t="shared" si="157"/>
        <v/>
      </c>
      <c r="GH599" s="1154" t="str">
        <f t="shared" si="158"/>
        <v/>
      </c>
      <c r="GI599" s="1154" t="str">
        <f t="shared" si="159"/>
        <v/>
      </c>
      <c r="GJ599" s="1154" t="str">
        <f t="shared" si="160"/>
        <v/>
      </c>
      <c r="GK599" s="1154" t="str">
        <f t="shared" si="161"/>
        <v/>
      </c>
      <c r="GL599" s="1154" t="str">
        <f t="shared" si="162"/>
        <v/>
      </c>
      <c r="GM599" s="1154" t="str">
        <f t="shared" si="163"/>
        <v/>
      </c>
      <c r="GN599" s="1154" t="str">
        <f t="shared" si="164"/>
        <v/>
      </c>
      <c r="GO599" s="1154" t="str">
        <f t="shared" si="165"/>
        <v/>
      </c>
      <c r="GP599" s="1154" t="str">
        <f t="shared" si="166"/>
        <v/>
      </c>
      <c r="GQ599" s="1154" t="str">
        <f t="shared" si="167"/>
        <v/>
      </c>
      <c r="GR599" s="1154" t="str">
        <f t="shared" si="168"/>
        <v/>
      </c>
      <c r="GS599" s="1154" t="str">
        <f t="shared" si="169"/>
        <v/>
      </c>
      <c r="GT599" s="1154" t="str">
        <f t="shared" si="170"/>
        <v/>
      </c>
      <c r="GU599" s="1154" t="str">
        <f t="shared" si="171"/>
        <v/>
      </c>
      <c r="GV599" s="1154" t="str">
        <f t="shared" si="172"/>
        <v/>
      </c>
      <c r="GW599" s="1154" t="str">
        <f t="shared" si="173"/>
        <v/>
      </c>
      <c r="GX599" s="1154" t="str">
        <f t="shared" si="174"/>
        <v/>
      </c>
      <c r="GY599" s="1154" t="str">
        <f t="shared" si="175"/>
        <v/>
      </c>
      <c r="GZ599" s="1154" t="str">
        <f t="shared" si="176"/>
        <v/>
      </c>
      <c r="HA599" s="1154" t="str">
        <f t="shared" si="177"/>
        <v/>
      </c>
      <c r="HB599" s="1154" t="str">
        <f t="shared" si="178"/>
        <v/>
      </c>
      <c r="HC599" s="1154" t="str">
        <f t="shared" si="179"/>
        <v/>
      </c>
      <c r="HD599" s="1154" t="str">
        <f t="shared" si="180"/>
        <v/>
      </c>
      <c r="HE599" s="1154" t="str">
        <f t="shared" si="181"/>
        <v/>
      </c>
      <c r="HF599" s="1154" t="str">
        <f t="shared" si="182"/>
        <v/>
      </c>
      <c r="HG599" s="1154" t="str">
        <f t="shared" si="183"/>
        <v/>
      </c>
      <c r="HH599" s="1154" t="str">
        <f t="shared" si="184"/>
        <v/>
      </c>
      <c r="HI599" s="1154" t="str">
        <f t="shared" si="185"/>
        <v/>
      </c>
      <c r="HJ599" s="1154" t="str">
        <f t="shared" si="186"/>
        <v/>
      </c>
      <c r="HK599" s="1154" t="str">
        <f t="shared" si="187"/>
        <v/>
      </c>
      <c r="HL599" s="1154" t="str">
        <f t="shared" si="188"/>
        <v/>
      </c>
      <c r="HM599" s="1154" t="str">
        <f t="shared" si="189"/>
        <v/>
      </c>
      <c r="HN599" s="1154" t="str">
        <f t="shared" si="190"/>
        <v/>
      </c>
      <c r="HO599" s="1154" t="str">
        <f t="shared" si="191"/>
        <v/>
      </c>
      <c r="HP599" s="1154" t="str">
        <f t="shared" si="192"/>
        <v/>
      </c>
      <c r="HQ599" s="1154" t="str">
        <f t="shared" si="193"/>
        <v/>
      </c>
      <c r="HR599" s="1154" t="str">
        <f t="shared" si="194"/>
        <v/>
      </c>
      <c r="HS599" s="1154" t="str">
        <f t="shared" si="195"/>
        <v/>
      </c>
      <c r="HT599" s="1154" t="str">
        <f t="shared" si="196"/>
        <v/>
      </c>
      <c r="HU599" s="1154" t="str">
        <f t="shared" si="197"/>
        <v/>
      </c>
      <c r="HV599" s="1154" t="str">
        <f t="shared" si="198"/>
        <v/>
      </c>
      <c r="HW599" s="1154" t="str">
        <f t="shared" si="199"/>
        <v/>
      </c>
      <c r="HX599" s="1154" t="str">
        <f t="shared" si="200"/>
        <v/>
      </c>
      <c r="HY599" s="1681" t="str">
        <f t="shared" si="201"/>
        <v/>
      </c>
      <c r="HZ599" s="1681" t="str">
        <f t="shared" si="202"/>
        <v/>
      </c>
      <c r="IA599" s="1681" t="str">
        <f t="shared" si="203"/>
        <v/>
      </c>
      <c r="IB599" s="1681" t="str">
        <f t="shared" si="204"/>
        <v/>
      </c>
      <c r="IC599" s="1681" t="str">
        <f t="shared" si="205"/>
        <v/>
      </c>
      <c r="ID599" s="1681" t="str">
        <f t="shared" si="206"/>
        <v/>
      </c>
      <c r="IE599" s="1681" t="str">
        <f t="shared" si="207"/>
        <v/>
      </c>
      <c r="IF599" s="1681" t="str">
        <f t="shared" si="208"/>
        <v/>
      </c>
      <c r="IG599" s="1681" t="str">
        <f t="shared" si="209"/>
        <v/>
      </c>
      <c r="IH599" s="1681" t="str">
        <f t="shared" si="210"/>
        <v/>
      </c>
      <c r="II599" s="1681" t="str">
        <f t="shared" si="211"/>
        <v/>
      </c>
      <c r="IJ599" s="1681" t="str">
        <f t="shared" si="212"/>
        <v/>
      </c>
      <c r="IK599" s="1681" t="str">
        <f t="shared" si="213"/>
        <v/>
      </c>
      <c r="IL599" s="1681" t="str">
        <f t="shared" si="214"/>
        <v/>
      </c>
      <c r="IM599" s="1681" t="str">
        <f t="shared" si="215"/>
        <v/>
      </c>
      <c r="IN599" s="1681" t="str">
        <f t="shared" si="216"/>
        <v/>
      </c>
      <c r="IO599" s="1681" t="str">
        <f t="shared" si="217"/>
        <v/>
      </c>
      <c r="IP599" s="1681" t="str">
        <f t="shared" si="218"/>
        <v/>
      </c>
      <c r="IQ599" s="1681" t="str">
        <f t="shared" si="219"/>
        <v/>
      </c>
      <c r="IR599" s="1681" t="str">
        <f t="shared" si="220"/>
        <v/>
      </c>
      <c r="IS599" s="1681" t="str">
        <f t="shared" si="221"/>
        <v/>
      </c>
      <c r="IT599" s="1681" t="str">
        <f t="shared" si="222"/>
        <v/>
      </c>
      <c r="IU599" s="1681" t="str">
        <f t="shared" si="223"/>
        <v/>
      </c>
      <c r="IV599" s="1681" t="str">
        <f t="shared" si="224"/>
        <v/>
      </c>
      <c r="IW599" s="1681" t="str">
        <f t="shared" si="225"/>
        <v/>
      </c>
      <c r="IX599" s="1681" t="str">
        <f t="shared" si="226"/>
        <v/>
      </c>
      <c r="IY599" s="1681" t="str">
        <f t="shared" si="227"/>
        <v/>
      </c>
      <c r="IZ599" s="1681" t="str">
        <f t="shared" si="228"/>
        <v/>
      </c>
      <c r="JA599" s="1681" t="str">
        <f t="shared" si="229"/>
        <v/>
      </c>
      <c r="JB599" s="1681" t="str">
        <f t="shared" si="230"/>
        <v/>
      </c>
      <c r="JC599" s="1681" t="str">
        <f t="shared" si="231"/>
        <v/>
      </c>
      <c r="JD599" s="1681" t="str">
        <f t="shared" si="232"/>
        <v/>
      </c>
      <c r="JE599" s="1681" t="str">
        <f t="shared" si="233"/>
        <v/>
      </c>
      <c r="JF599" s="1681" t="str">
        <f t="shared" si="234"/>
        <v/>
      </c>
      <c r="JG599" s="1681" t="str">
        <f t="shared" si="235"/>
        <v/>
      </c>
      <c r="JH599" s="1681" t="str">
        <f t="shared" si="236"/>
        <v/>
      </c>
      <c r="JI599" s="1681" t="str">
        <f t="shared" si="237"/>
        <v/>
      </c>
      <c r="JJ599" s="1681" t="str">
        <f t="shared" si="238"/>
        <v/>
      </c>
      <c r="JK599" s="1681" t="str">
        <f t="shared" si="239"/>
        <v/>
      </c>
      <c r="JL599" s="1681" t="str">
        <f t="shared" si="240"/>
        <v/>
      </c>
      <c r="JM599" s="1681" t="str">
        <f t="shared" si="241"/>
        <v/>
      </c>
      <c r="JN599" s="1681" t="str">
        <f t="shared" si="242"/>
        <v/>
      </c>
      <c r="JO599" s="1681" t="str">
        <f t="shared" si="243"/>
        <v/>
      </c>
      <c r="JP599" s="1681" t="str">
        <f t="shared" si="244"/>
        <v/>
      </c>
      <c r="JQ599" s="1681" t="str">
        <f t="shared" si="245"/>
        <v/>
      </c>
      <c r="JR599" s="1681" t="str">
        <f t="shared" si="246"/>
        <v/>
      </c>
      <c r="JS599" s="1681" t="str">
        <f t="shared" si="247"/>
        <v/>
      </c>
      <c r="JT599" s="1681" t="str">
        <f t="shared" si="248"/>
        <v/>
      </c>
      <c r="JU599" s="1681" t="str">
        <f t="shared" si="249"/>
        <v/>
      </c>
      <c r="JV599" s="1681" t="str">
        <f t="shared" si="250"/>
        <v/>
      </c>
      <c r="JW599" s="1681" t="str">
        <f t="shared" si="251"/>
        <v/>
      </c>
      <c r="JX599" s="1681" t="str">
        <f t="shared" si="252"/>
        <v/>
      </c>
      <c r="JY599" s="1681" t="str">
        <f t="shared" si="253"/>
        <v/>
      </c>
      <c r="JZ599" s="1681" t="str">
        <f t="shared" si="254"/>
        <v/>
      </c>
      <c r="KA599" s="1681" t="str">
        <f t="shared" si="255"/>
        <v/>
      </c>
      <c r="KB599" s="1681" t="str">
        <f t="shared" si="256"/>
        <v/>
      </c>
      <c r="KC599" s="1681" t="str">
        <f t="shared" si="257"/>
        <v/>
      </c>
      <c r="KD599" s="1681" t="str">
        <f t="shared" si="258"/>
        <v/>
      </c>
      <c r="KE599" s="1681" t="str">
        <f t="shared" si="259"/>
        <v/>
      </c>
      <c r="KF599" s="1681" t="str">
        <f t="shared" si="260"/>
        <v/>
      </c>
      <c r="KG599" s="1681" t="str">
        <f t="shared" si="261"/>
        <v/>
      </c>
      <c r="KH599" s="1681" t="str">
        <f t="shared" si="262"/>
        <v/>
      </c>
      <c r="KI599" s="1681" t="str">
        <f t="shared" si="263"/>
        <v/>
      </c>
      <c r="KJ599" s="1681" t="str">
        <f t="shared" si="264"/>
        <v/>
      </c>
      <c r="KK599" s="1681" t="str">
        <f t="shared" si="265"/>
        <v/>
      </c>
      <c r="KL599" s="1681" t="str">
        <f t="shared" si="266"/>
        <v/>
      </c>
      <c r="KM599" s="1681" t="str">
        <f t="shared" si="267"/>
        <v/>
      </c>
      <c r="KN599" s="1681" t="str">
        <f t="shared" si="268"/>
        <v/>
      </c>
      <c r="KO599" s="1681" t="str">
        <f t="shared" si="269"/>
        <v/>
      </c>
      <c r="KP599" s="1681" t="str">
        <f t="shared" si="270"/>
        <v/>
      </c>
      <c r="KQ599" s="1681" t="str">
        <f t="shared" si="271"/>
        <v/>
      </c>
      <c r="KR599" s="1681" t="str">
        <f t="shared" si="272"/>
        <v/>
      </c>
      <c r="KS599" s="1681" t="str">
        <f t="shared" si="273"/>
        <v/>
      </c>
      <c r="KT599" s="1681" t="str">
        <f t="shared" si="274"/>
        <v/>
      </c>
      <c r="KU599" s="1681" t="str">
        <f t="shared" si="275"/>
        <v/>
      </c>
      <c r="KV599" s="1681" t="str">
        <f t="shared" si="276"/>
        <v/>
      </c>
      <c r="KW599" s="1681" t="str">
        <f t="shared" si="277"/>
        <v/>
      </c>
      <c r="KX599" s="1681" t="str">
        <f t="shared" si="278"/>
        <v/>
      </c>
      <c r="KY599" s="1681" t="str">
        <f t="shared" si="279"/>
        <v/>
      </c>
      <c r="KZ599" s="1681" t="str">
        <f t="shared" si="280"/>
        <v/>
      </c>
      <c r="LA599" s="1681" t="str">
        <f t="shared" si="281"/>
        <v/>
      </c>
      <c r="LB599" s="1681" t="str">
        <f t="shared" si="282"/>
        <v/>
      </c>
      <c r="LC599" s="1681" t="str">
        <f t="shared" si="283"/>
        <v/>
      </c>
      <c r="LD599" s="1681" t="str">
        <f t="shared" si="284"/>
        <v/>
      </c>
      <c r="LE599" s="1681" t="str">
        <f t="shared" si="285"/>
        <v/>
      </c>
      <c r="LF599" s="1525" t="str">
        <f t="shared" si="286"/>
        <v/>
      </c>
      <c r="LG599" s="1525" t="str">
        <f t="shared" si="287"/>
        <v/>
      </c>
      <c r="LH599" s="1525" t="str">
        <f t="shared" si="288"/>
        <v/>
      </c>
      <c r="LI599" s="1525" t="str">
        <f t="shared" si="289"/>
        <v/>
      </c>
      <c r="LJ599" s="1525" t="str">
        <f t="shared" si="290"/>
        <v/>
      </c>
      <c r="LK599" s="1154" t="str">
        <f t="shared" si="291"/>
        <v/>
      </c>
      <c r="LL599" s="1154" t="str">
        <f t="shared" si="292"/>
        <v/>
      </c>
      <c r="LM599" s="1154" t="str">
        <f t="shared" si="293"/>
        <v/>
      </c>
      <c r="LN599" s="1154" t="str">
        <f t="shared" si="294"/>
        <v/>
      </c>
      <c r="LO599" s="1154" t="str">
        <f t="shared" si="295"/>
        <v/>
      </c>
      <c r="LP599" s="1154" t="str">
        <f t="shared" si="296"/>
        <v/>
      </c>
      <c r="LQ599" s="1154" t="str">
        <f t="shared" si="297"/>
        <v/>
      </c>
      <c r="LR599" s="1154" t="str">
        <f t="shared" si="298"/>
        <v/>
      </c>
      <c r="LS599" s="1154" t="str">
        <f t="shared" si="299"/>
        <v/>
      </c>
      <c r="LT599" s="1154" t="str">
        <f t="shared" si="300"/>
        <v/>
      </c>
      <c r="LU599" s="1154" t="str">
        <f t="shared" si="301"/>
        <v/>
      </c>
      <c r="LV599" s="1154" t="str">
        <f t="shared" si="302"/>
        <v/>
      </c>
      <c r="LW599" s="1154" t="str">
        <f t="shared" si="303"/>
        <v/>
      </c>
      <c r="LX599" s="1154" t="str">
        <f t="shared" si="304"/>
        <v/>
      </c>
      <c r="LY599" s="1154" t="str">
        <f t="shared" si="305"/>
        <v/>
      </c>
      <c r="LZ599" s="1154" t="str">
        <f t="shared" si="306"/>
        <v/>
      </c>
      <c r="MA599" s="1154" t="str">
        <f t="shared" si="307"/>
        <v/>
      </c>
      <c r="MB599" s="1154" t="str">
        <f t="shared" si="308"/>
        <v/>
      </c>
      <c r="MC599" s="1154" t="str">
        <f t="shared" si="309"/>
        <v/>
      </c>
      <c r="MD599" s="1154" t="str">
        <f t="shared" si="310"/>
        <v/>
      </c>
      <c r="ME599" s="1525">
        <f t="shared" si="322"/>
        <v>0</v>
      </c>
      <c r="MF599" s="1525">
        <f t="shared" si="323"/>
        <v>0</v>
      </c>
      <c r="MG599" s="1525">
        <f t="shared" si="324"/>
        <v>0</v>
      </c>
      <c r="MH599" s="1525">
        <f t="shared" si="325"/>
        <v>0</v>
      </c>
      <c r="MI599" s="1525">
        <f t="shared" si="326"/>
        <v>0</v>
      </c>
      <c r="MJ599" s="1525">
        <f t="shared" si="327"/>
        <v>0</v>
      </c>
      <c r="MK599" s="1525">
        <f t="shared" si="328"/>
        <v>0</v>
      </c>
      <c r="ML599" s="1525">
        <f t="shared" si="329"/>
        <v>0</v>
      </c>
      <c r="MM599" s="1525">
        <f t="shared" si="330"/>
        <v>0</v>
      </c>
      <c r="MN599" s="1525">
        <f t="shared" si="331"/>
        <v>0</v>
      </c>
      <c r="MO599" s="1525">
        <f t="shared" si="332"/>
        <v>0</v>
      </c>
      <c r="MP599" s="1525">
        <f t="shared" si="333"/>
        <v>0</v>
      </c>
      <c r="MQ599" s="1525">
        <f t="shared" si="334"/>
        <v>0</v>
      </c>
      <c r="MR599" s="1525">
        <f t="shared" si="335"/>
        <v>0</v>
      </c>
      <c r="MS599" s="1525">
        <f t="shared" si="336"/>
        <v>0</v>
      </c>
    </row>
    <row r="600" spans="1:357" s="1154" customFormat="1" ht="12" customHeight="1">
      <c r="A600" s="1524" t="str">
        <f t="shared" si="1"/>
        <v/>
      </c>
      <c r="B600" s="1682">
        <f>'Part VI-Revenues &amp; Expenses'!B29</f>
        <v>0</v>
      </c>
      <c r="C600" s="1673">
        <f>'Part VI-Revenues &amp; Expenses'!C29</f>
        <v>0</v>
      </c>
      <c r="D600" s="1674">
        <f>'Part VI-Revenues &amp; Expenses'!D29</f>
        <v>0</v>
      </c>
      <c r="E600" s="1675">
        <f>'Part VI-Revenues &amp; Expenses'!E29</f>
        <v>0</v>
      </c>
      <c r="F600" s="1675">
        <f>'Part VI-Revenues &amp; Expenses'!F29</f>
        <v>0</v>
      </c>
      <c r="G600" s="1675">
        <f>'Part VI-Revenues &amp; Expenses'!G29</f>
        <v>0</v>
      </c>
      <c r="H600" s="1675">
        <f>'Part VI-Revenues &amp; Expenses'!H29</f>
        <v>0</v>
      </c>
      <c r="I600" s="1675">
        <f>'Part VI-Revenues &amp; Expenses'!I29</f>
        <v>0</v>
      </c>
      <c r="J600" s="1676">
        <f>'Part VI-Revenues &amp; Expenses'!J29</f>
        <v>0</v>
      </c>
      <c r="K600" s="1677">
        <f>'Part VI-Revenues &amp; Expenses'!K29</f>
        <v>0</v>
      </c>
      <c r="L600" s="1677">
        <f>'Part VI-Revenues &amp; Expenses'!L29</f>
        <v>0</v>
      </c>
      <c r="M600" s="1678">
        <f>'Part VI-Revenues &amp; Expenses'!M29</f>
        <v>0</v>
      </c>
      <c r="N600" s="1678">
        <f>'Part VI-Revenues &amp; Expenses'!N29</f>
        <v>0</v>
      </c>
      <c r="O600" s="1678">
        <f>'Part VI-Revenues &amp; Expenses'!O29</f>
        <v>0</v>
      </c>
      <c r="P600" s="1660">
        <f>'Part VI-Revenues &amp; Expenses'!P29</f>
        <v>0</v>
      </c>
      <c r="Q600" s="1679"/>
      <c r="R600" s="1680"/>
      <c r="S600" s="1679"/>
      <c r="T600" s="1680"/>
      <c r="U600" s="1519"/>
      <c r="V600" s="1519"/>
      <c r="W600" s="1154" t="str">
        <f t="shared" si="2"/>
        <v/>
      </c>
      <c r="X600" s="1154" t="str">
        <f t="shared" si="3"/>
        <v/>
      </c>
      <c r="Y600" s="1154" t="str">
        <f t="shared" si="4"/>
        <v/>
      </c>
      <c r="Z600" s="1154" t="str">
        <f t="shared" si="5"/>
        <v/>
      </c>
      <c r="AA600" s="1154" t="str">
        <f t="shared" si="6"/>
        <v/>
      </c>
      <c r="AB600" s="1154" t="str">
        <f t="shared" si="7"/>
        <v/>
      </c>
      <c r="AC600" s="1154" t="str">
        <f t="shared" si="8"/>
        <v/>
      </c>
      <c r="AD600" s="1154" t="str">
        <f t="shared" si="9"/>
        <v/>
      </c>
      <c r="AE600" s="1154" t="str">
        <f t="shared" si="10"/>
        <v/>
      </c>
      <c r="AF600" s="1154" t="str">
        <f t="shared" si="11"/>
        <v/>
      </c>
      <c r="AG600" s="1154" t="str">
        <f t="shared" si="12"/>
        <v/>
      </c>
      <c r="AH600" s="1154" t="str">
        <f t="shared" si="13"/>
        <v/>
      </c>
      <c r="AI600" s="1154" t="str">
        <f t="shared" si="14"/>
        <v/>
      </c>
      <c r="AJ600" s="1154" t="str">
        <f t="shared" si="15"/>
        <v/>
      </c>
      <c r="AK600" s="1154" t="str">
        <f t="shared" si="16"/>
        <v/>
      </c>
      <c r="AL600" s="1154" t="str">
        <f t="shared" si="17"/>
        <v/>
      </c>
      <c r="AM600" s="1154" t="str">
        <f t="shared" si="18"/>
        <v/>
      </c>
      <c r="AN600" s="1154" t="str">
        <f t="shared" si="19"/>
        <v/>
      </c>
      <c r="AO600" s="1154" t="str">
        <f t="shared" si="20"/>
        <v/>
      </c>
      <c r="AP600" s="1154" t="str">
        <f t="shared" si="21"/>
        <v/>
      </c>
      <c r="AQ600" s="1154" t="str">
        <f t="shared" si="22"/>
        <v/>
      </c>
      <c r="AR600" s="1154" t="str">
        <f t="shared" si="23"/>
        <v/>
      </c>
      <c r="AS600" s="1154" t="str">
        <f t="shared" si="24"/>
        <v/>
      </c>
      <c r="AT600" s="1154" t="str">
        <f t="shared" si="25"/>
        <v/>
      </c>
      <c r="AU600" s="1154" t="str">
        <f t="shared" si="26"/>
        <v/>
      </c>
      <c r="AV600" s="1154" t="str">
        <f t="shared" si="27"/>
        <v/>
      </c>
      <c r="AW600" s="1154" t="str">
        <f t="shared" si="28"/>
        <v/>
      </c>
      <c r="AX600" s="1154" t="str">
        <f t="shared" si="29"/>
        <v/>
      </c>
      <c r="AY600" s="1154" t="str">
        <f t="shared" si="30"/>
        <v/>
      </c>
      <c r="AZ600" s="1154" t="str">
        <f t="shared" si="31"/>
        <v/>
      </c>
      <c r="BA600" s="1154" t="str">
        <f t="shared" si="32"/>
        <v/>
      </c>
      <c r="BB600" s="1154" t="str">
        <f t="shared" si="33"/>
        <v/>
      </c>
      <c r="BC600" s="1154" t="str">
        <f t="shared" si="34"/>
        <v/>
      </c>
      <c r="BD600" s="1154" t="str">
        <f t="shared" si="35"/>
        <v/>
      </c>
      <c r="BE600" s="1154" t="str">
        <f t="shared" si="36"/>
        <v/>
      </c>
      <c r="BF600" s="1154" t="str">
        <f t="shared" si="37"/>
        <v/>
      </c>
      <c r="BG600" s="1154" t="str">
        <f t="shared" si="38"/>
        <v/>
      </c>
      <c r="BH600" s="1154" t="str">
        <f t="shared" si="39"/>
        <v/>
      </c>
      <c r="BI600" s="1154" t="str">
        <f t="shared" si="40"/>
        <v/>
      </c>
      <c r="BJ600" s="1154" t="str">
        <f t="shared" si="41"/>
        <v/>
      </c>
      <c r="BK600" s="1154" t="str">
        <f t="shared" si="42"/>
        <v/>
      </c>
      <c r="BL600" s="1154" t="str">
        <f t="shared" si="43"/>
        <v/>
      </c>
      <c r="BM600" s="1154" t="str">
        <f t="shared" si="44"/>
        <v/>
      </c>
      <c r="BN600" s="1154" t="str">
        <f t="shared" si="45"/>
        <v/>
      </c>
      <c r="BO600" s="1154" t="str">
        <f t="shared" si="46"/>
        <v/>
      </c>
      <c r="BP600" s="1154" t="str">
        <f t="shared" si="47"/>
        <v/>
      </c>
      <c r="BQ600" s="1154" t="str">
        <f t="shared" si="48"/>
        <v/>
      </c>
      <c r="BR600" s="1154" t="str">
        <f t="shared" si="49"/>
        <v/>
      </c>
      <c r="BS600" s="1154" t="str">
        <f t="shared" si="50"/>
        <v/>
      </c>
      <c r="BT600" s="1154" t="str">
        <f t="shared" si="51"/>
        <v/>
      </c>
      <c r="BU600" s="1154" t="str">
        <f t="shared" si="52"/>
        <v/>
      </c>
      <c r="BV600" s="1154" t="str">
        <f t="shared" si="53"/>
        <v/>
      </c>
      <c r="BW600" s="1154" t="str">
        <f t="shared" si="54"/>
        <v/>
      </c>
      <c r="BX600" s="1154" t="str">
        <f t="shared" si="55"/>
        <v/>
      </c>
      <c r="BY600" s="1154" t="str">
        <f t="shared" si="56"/>
        <v/>
      </c>
      <c r="BZ600" s="1154" t="str">
        <f t="shared" si="57"/>
        <v/>
      </c>
      <c r="CA600" s="1154" t="str">
        <f t="shared" si="58"/>
        <v/>
      </c>
      <c r="CB600" s="1154" t="str">
        <f t="shared" si="59"/>
        <v/>
      </c>
      <c r="CC600" s="1154" t="str">
        <f t="shared" si="60"/>
        <v/>
      </c>
      <c r="CD600" s="1154" t="str">
        <f t="shared" si="61"/>
        <v/>
      </c>
      <c r="CE600" s="1154" t="str">
        <f t="shared" si="62"/>
        <v/>
      </c>
      <c r="CF600" s="1154" t="str">
        <f t="shared" si="63"/>
        <v/>
      </c>
      <c r="CG600" s="1154" t="str">
        <f t="shared" si="64"/>
        <v/>
      </c>
      <c r="CH600" s="1154" t="str">
        <f t="shared" si="65"/>
        <v/>
      </c>
      <c r="CI600" s="1154" t="str">
        <f t="shared" si="66"/>
        <v/>
      </c>
      <c r="CJ600" s="1154" t="str">
        <f t="shared" si="67"/>
        <v/>
      </c>
      <c r="CK600" s="1154" t="str">
        <f t="shared" si="68"/>
        <v/>
      </c>
      <c r="CL600" s="1154" t="str">
        <f t="shared" si="69"/>
        <v/>
      </c>
      <c r="CM600" s="1154" t="str">
        <f t="shared" si="70"/>
        <v/>
      </c>
      <c r="CN600" s="1154" t="str">
        <f t="shared" si="71"/>
        <v/>
      </c>
      <c r="CO600" s="1154" t="str">
        <f t="shared" si="72"/>
        <v/>
      </c>
      <c r="CP600" s="1154" t="str">
        <f t="shared" si="73"/>
        <v/>
      </c>
      <c r="CQ600" s="1154" t="str">
        <f t="shared" si="74"/>
        <v/>
      </c>
      <c r="CR600" s="1154" t="str">
        <f t="shared" si="75"/>
        <v/>
      </c>
      <c r="CS600" s="1154" t="str">
        <f t="shared" si="76"/>
        <v/>
      </c>
      <c r="CT600" s="1154" t="str">
        <f t="shared" si="77"/>
        <v/>
      </c>
      <c r="CU600" s="1154" t="str">
        <f t="shared" si="78"/>
        <v/>
      </c>
      <c r="CV600" s="1154" t="str">
        <f t="shared" si="79"/>
        <v/>
      </c>
      <c r="CW600" s="1154" t="str">
        <f t="shared" si="80"/>
        <v/>
      </c>
      <c r="CX600" s="1154" t="str">
        <f t="shared" si="81"/>
        <v/>
      </c>
      <c r="CY600" s="1154" t="str">
        <f t="shared" si="82"/>
        <v/>
      </c>
      <c r="CZ600" s="1154" t="str">
        <f t="shared" si="83"/>
        <v/>
      </c>
      <c r="DA600" s="1154" t="str">
        <f t="shared" si="84"/>
        <v/>
      </c>
      <c r="DB600" s="1154" t="str">
        <f t="shared" si="85"/>
        <v/>
      </c>
      <c r="DC600" s="1154" t="str">
        <f t="shared" si="86"/>
        <v/>
      </c>
      <c r="DD600" s="1154" t="str">
        <f t="shared" si="87"/>
        <v/>
      </c>
      <c r="DE600" s="1154" t="str">
        <f t="shared" si="88"/>
        <v/>
      </c>
      <c r="DF600" s="1154" t="str">
        <f t="shared" si="89"/>
        <v/>
      </c>
      <c r="DG600" s="1154" t="str">
        <f t="shared" si="90"/>
        <v/>
      </c>
      <c r="DH600" s="1154" t="str">
        <f t="shared" si="91"/>
        <v/>
      </c>
      <c r="DI600" s="1154" t="str">
        <f t="shared" si="92"/>
        <v/>
      </c>
      <c r="DJ600" s="1154" t="str">
        <f t="shared" si="93"/>
        <v/>
      </c>
      <c r="DK600" s="1154" t="str">
        <f t="shared" si="94"/>
        <v/>
      </c>
      <c r="DL600" s="1154" t="str">
        <f t="shared" si="95"/>
        <v/>
      </c>
      <c r="DM600" s="1154" t="str">
        <f t="shared" si="96"/>
        <v/>
      </c>
      <c r="DN600" s="1154" t="str">
        <f t="shared" si="97"/>
        <v/>
      </c>
      <c r="DO600" s="1154" t="str">
        <f t="shared" si="98"/>
        <v/>
      </c>
      <c r="DP600" s="1154" t="str">
        <f t="shared" si="99"/>
        <v/>
      </c>
      <c r="DQ600" s="1154" t="str">
        <f t="shared" si="100"/>
        <v/>
      </c>
      <c r="DR600" s="1154" t="str">
        <f t="shared" si="101"/>
        <v/>
      </c>
      <c r="DS600" s="1154" t="str">
        <f t="shared" si="102"/>
        <v/>
      </c>
      <c r="DT600" s="1154" t="str">
        <f t="shared" si="103"/>
        <v/>
      </c>
      <c r="DU600" s="1154" t="str">
        <f t="shared" si="104"/>
        <v/>
      </c>
      <c r="DV600" s="1154" t="str">
        <f t="shared" si="105"/>
        <v/>
      </c>
      <c r="DW600" s="1154" t="str">
        <f t="shared" si="106"/>
        <v/>
      </c>
      <c r="DX600" s="1154" t="str">
        <f t="shared" si="107"/>
        <v/>
      </c>
      <c r="DY600" s="1154" t="str">
        <f t="shared" si="108"/>
        <v/>
      </c>
      <c r="DZ600" s="1154" t="str">
        <f t="shared" si="109"/>
        <v/>
      </c>
      <c r="EA600" s="1154" t="str">
        <f t="shared" si="110"/>
        <v/>
      </c>
      <c r="EB600" s="1154" t="str">
        <f t="shared" si="111"/>
        <v/>
      </c>
      <c r="EC600" s="1154" t="str">
        <f t="shared" si="112"/>
        <v/>
      </c>
      <c r="ED600" s="1154" t="str">
        <f t="shared" si="113"/>
        <v/>
      </c>
      <c r="EE600" s="1154" t="str">
        <f t="shared" si="114"/>
        <v/>
      </c>
      <c r="EF600" s="1154" t="str">
        <f t="shared" si="115"/>
        <v/>
      </c>
      <c r="EG600" s="1154" t="str">
        <f t="shared" si="311"/>
        <v/>
      </c>
      <c r="EH600" s="1154" t="str">
        <f t="shared" si="116"/>
        <v/>
      </c>
      <c r="EI600" s="1154" t="str">
        <f t="shared" si="117"/>
        <v/>
      </c>
      <c r="EJ600" s="1154" t="str">
        <f t="shared" si="118"/>
        <v/>
      </c>
      <c r="EK600" s="1154" t="str">
        <f t="shared" si="119"/>
        <v/>
      </c>
      <c r="EL600" s="1154" t="str">
        <f t="shared" si="120"/>
        <v/>
      </c>
      <c r="EM600" s="1154" t="str">
        <f t="shared" si="121"/>
        <v/>
      </c>
      <c r="EN600" s="1154" t="str">
        <f t="shared" si="122"/>
        <v/>
      </c>
      <c r="EO600" s="1154" t="str">
        <f t="shared" si="123"/>
        <v/>
      </c>
      <c r="EP600" s="1154" t="str">
        <f t="shared" si="124"/>
        <v/>
      </c>
      <c r="EQ600" s="1154" t="str">
        <f t="shared" si="125"/>
        <v/>
      </c>
      <c r="ER600" s="1154" t="str">
        <f t="shared" si="126"/>
        <v/>
      </c>
      <c r="ES600" s="1154" t="str">
        <f t="shared" si="127"/>
        <v/>
      </c>
      <c r="ET600" s="1154" t="str">
        <f t="shared" si="128"/>
        <v/>
      </c>
      <c r="EU600" s="1154" t="str">
        <f t="shared" si="129"/>
        <v/>
      </c>
      <c r="EV600" s="1154" t="str">
        <f t="shared" si="130"/>
        <v/>
      </c>
      <c r="EW600" s="1154" t="str">
        <f t="shared" si="312"/>
        <v/>
      </c>
      <c r="EX600" s="1154" t="str">
        <f t="shared" si="313"/>
        <v/>
      </c>
      <c r="EY600" s="1154" t="str">
        <f t="shared" si="314"/>
        <v/>
      </c>
      <c r="EZ600" s="1154" t="str">
        <f t="shared" si="315"/>
        <v/>
      </c>
      <c r="FA600" s="1154" t="str">
        <f t="shared" si="316"/>
        <v/>
      </c>
      <c r="FB600" s="1154" t="str">
        <f t="shared" si="131"/>
        <v/>
      </c>
      <c r="FC600" s="1154" t="str">
        <f t="shared" si="132"/>
        <v/>
      </c>
      <c r="FD600" s="1154" t="str">
        <f t="shared" si="133"/>
        <v/>
      </c>
      <c r="FE600" s="1154" t="str">
        <f t="shared" si="134"/>
        <v/>
      </c>
      <c r="FF600" s="1154" t="str">
        <f t="shared" si="135"/>
        <v/>
      </c>
      <c r="FG600" s="1154" t="str">
        <f t="shared" si="317"/>
        <v/>
      </c>
      <c r="FH600" s="1154" t="str">
        <f t="shared" si="318"/>
        <v/>
      </c>
      <c r="FI600" s="1154" t="str">
        <f t="shared" si="319"/>
        <v/>
      </c>
      <c r="FJ600" s="1154" t="str">
        <f t="shared" si="320"/>
        <v/>
      </c>
      <c r="FK600" s="1154" t="str">
        <f t="shared" si="321"/>
        <v/>
      </c>
      <c r="FL600" s="1154" t="str">
        <f t="shared" si="136"/>
        <v/>
      </c>
      <c r="FM600" s="1154" t="str">
        <f t="shared" si="137"/>
        <v/>
      </c>
      <c r="FN600" s="1154" t="str">
        <f t="shared" si="138"/>
        <v/>
      </c>
      <c r="FO600" s="1154" t="str">
        <f t="shared" si="139"/>
        <v/>
      </c>
      <c r="FP600" s="1154" t="str">
        <f t="shared" si="140"/>
        <v/>
      </c>
      <c r="FQ600" s="1154" t="str">
        <f t="shared" si="141"/>
        <v/>
      </c>
      <c r="FR600" s="1154" t="str">
        <f t="shared" si="142"/>
        <v/>
      </c>
      <c r="FS600" s="1154" t="str">
        <f t="shared" si="143"/>
        <v/>
      </c>
      <c r="FT600" s="1154" t="str">
        <f t="shared" si="144"/>
        <v/>
      </c>
      <c r="FU600" s="1154" t="str">
        <f t="shared" si="145"/>
        <v/>
      </c>
      <c r="FV600" s="1154" t="str">
        <f t="shared" si="146"/>
        <v/>
      </c>
      <c r="FW600" s="1154" t="str">
        <f t="shared" si="147"/>
        <v/>
      </c>
      <c r="FX600" s="1154" t="str">
        <f t="shared" si="148"/>
        <v/>
      </c>
      <c r="FY600" s="1154" t="str">
        <f t="shared" si="149"/>
        <v/>
      </c>
      <c r="FZ600" s="1154" t="str">
        <f t="shared" si="150"/>
        <v/>
      </c>
      <c r="GA600" s="1154" t="str">
        <f t="shared" si="151"/>
        <v/>
      </c>
      <c r="GB600" s="1154" t="str">
        <f t="shared" si="152"/>
        <v/>
      </c>
      <c r="GC600" s="1154" t="str">
        <f t="shared" si="153"/>
        <v/>
      </c>
      <c r="GD600" s="1154" t="str">
        <f t="shared" si="154"/>
        <v/>
      </c>
      <c r="GE600" s="1154" t="str">
        <f t="shared" si="155"/>
        <v/>
      </c>
      <c r="GF600" s="1154" t="str">
        <f t="shared" si="156"/>
        <v/>
      </c>
      <c r="GG600" s="1154" t="str">
        <f t="shared" si="157"/>
        <v/>
      </c>
      <c r="GH600" s="1154" t="str">
        <f t="shared" si="158"/>
        <v/>
      </c>
      <c r="GI600" s="1154" t="str">
        <f t="shared" si="159"/>
        <v/>
      </c>
      <c r="GJ600" s="1154" t="str">
        <f t="shared" si="160"/>
        <v/>
      </c>
      <c r="GK600" s="1154" t="str">
        <f t="shared" si="161"/>
        <v/>
      </c>
      <c r="GL600" s="1154" t="str">
        <f t="shared" si="162"/>
        <v/>
      </c>
      <c r="GM600" s="1154" t="str">
        <f t="shared" si="163"/>
        <v/>
      </c>
      <c r="GN600" s="1154" t="str">
        <f t="shared" si="164"/>
        <v/>
      </c>
      <c r="GO600" s="1154" t="str">
        <f t="shared" si="165"/>
        <v/>
      </c>
      <c r="GP600" s="1154" t="str">
        <f t="shared" si="166"/>
        <v/>
      </c>
      <c r="GQ600" s="1154" t="str">
        <f t="shared" si="167"/>
        <v/>
      </c>
      <c r="GR600" s="1154" t="str">
        <f t="shared" si="168"/>
        <v/>
      </c>
      <c r="GS600" s="1154" t="str">
        <f t="shared" si="169"/>
        <v/>
      </c>
      <c r="GT600" s="1154" t="str">
        <f t="shared" si="170"/>
        <v/>
      </c>
      <c r="GU600" s="1154" t="str">
        <f t="shared" si="171"/>
        <v/>
      </c>
      <c r="GV600" s="1154" t="str">
        <f t="shared" si="172"/>
        <v/>
      </c>
      <c r="GW600" s="1154" t="str">
        <f t="shared" si="173"/>
        <v/>
      </c>
      <c r="GX600" s="1154" t="str">
        <f t="shared" si="174"/>
        <v/>
      </c>
      <c r="GY600" s="1154" t="str">
        <f t="shared" si="175"/>
        <v/>
      </c>
      <c r="GZ600" s="1154" t="str">
        <f t="shared" si="176"/>
        <v/>
      </c>
      <c r="HA600" s="1154" t="str">
        <f t="shared" si="177"/>
        <v/>
      </c>
      <c r="HB600" s="1154" t="str">
        <f t="shared" si="178"/>
        <v/>
      </c>
      <c r="HC600" s="1154" t="str">
        <f t="shared" si="179"/>
        <v/>
      </c>
      <c r="HD600" s="1154" t="str">
        <f t="shared" si="180"/>
        <v/>
      </c>
      <c r="HE600" s="1154" t="str">
        <f t="shared" si="181"/>
        <v/>
      </c>
      <c r="HF600" s="1154" t="str">
        <f t="shared" si="182"/>
        <v/>
      </c>
      <c r="HG600" s="1154" t="str">
        <f t="shared" si="183"/>
        <v/>
      </c>
      <c r="HH600" s="1154" t="str">
        <f t="shared" si="184"/>
        <v/>
      </c>
      <c r="HI600" s="1154" t="str">
        <f t="shared" si="185"/>
        <v/>
      </c>
      <c r="HJ600" s="1154" t="str">
        <f t="shared" si="186"/>
        <v/>
      </c>
      <c r="HK600" s="1154" t="str">
        <f t="shared" si="187"/>
        <v/>
      </c>
      <c r="HL600" s="1154" t="str">
        <f t="shared" si="188"/>
        <v/>
      </c>
      <c r="HM600" s="1154" t="str">
        <f t="shared" si="189"/>
        <v/>
      </c>
      <c r="HN600" s="1154" t="str">
        <f t="shared" si="190"/>
        <v/>
      </c>
      <c r="HO600" s="1154" t="str">
        <f t="shared" si="191"/>
        <v/>
      </c>
      <c r="HP600" s="1154" t="str">
        <f t="shared" si="192"/>
        <v/>
      </c>
      <c r="HQ600" s="1154" t="str">
        <f t="shared" si="193"/>
        <v/>
      </c>
      <c r="HR600" s="1154" t="str">
        <f t="shared" si="194"/>
        <v/>
      </c>
      <c r="HS600" s="1154" t="str">
        <f t="shared" si="195"/>
        <v/>
      </c>
      <c r="HT600" s="1154" t="str">
        <f t="shared" si="196"/>
        <v/>
      </c>
      <c r="HU600" s="1154" t="str">
        <f t="shared" si="197"/>
        <v/>
      </c>
      <c r="HV600" s="1154" t="str">
        <f t="shared" si="198"/>
        <v/>
      </c>
      <c r="HW600" s="1154" t="str">
        <f t="shared" si="199"/>
        <v/>
      </c>
      <c r="HX600" s="1154" t="str">
        <f t="shared" si="200"/>
        <v/>
      </c>
      <c r="HY600" s="1681" t="str">
        <f t="shared" si="201"/>
        <v/>
      </c>
      <c r="HZ600" s="1681" t="str">
        <f t="shared" si="202"/>
        <v/>
      </c>
      <c r="IA600" s="1681" t="str">
        <f t="shared" si="203"/>
        <v/>
      </c>
      <c r="IB600" s="1681" t="str">
        <f t="shared" si="204"/>
        <v/>
      </c>
      <c r="IC600" s="1681" t="str">
        <f t="shared" si="205"/>
        <v/>
      </c>
      <c r="ID600" s="1681" t="str">
        <f t="shared" si="206"/>
        <v/>
      </c>
      <c r="IE600" s="1681" t="str">
        <f t="shared" si="207"/>
        <v/>
      </c>
      <c r="IF600" s="1681" t="str">
        <f t="shared" si="208"/>
        <v/>
      </c>
      <c r="IG600" s="1681" t="str">
        <f t="shared" si="209"/>
        <v/>
      </c>
      <c r="IH600" s="1681" t="str">
        <f t="shared" si="210"/>
        <v/>
      </c>
      <c r="II600" s="1681" t="str">
        <f t="shared" si="211"/>
        <v/>
      </c>
      <c r="IJ600" s="1681" t="str">
        <f t="shared" si="212"/>
        <v/>
      </c>
      <c r="IK600" s="1681" t="str">
        <f t="shared" si="213"/>
        <v/>
      </c>
      <c r="IL600" s="1681" t="str">
        <f t="shared" si="214"/>
        <v/>
      </c>
      <c r="IM600" s="1681" t="str">
        <f t="shared" si="215"/>
        <v/>
      </c>
      <c r="IN600" s="1681" t="str">
        <f t="shared" si="216"/>
        <v/>
      </c>
      <c r="IO600" s="1681" t="str">
        <f t="shared" si="217"/>
        <v/>
      </c>
      <c r="IP600" s="1681" t="str">
        <f t="shared" si="218"/>
        <v/>
      </c>
      <c r="IQ600" s="1681" t="str">
        <f t="shared" si="219"/>
        <v/>
      </c>
      <c r="IR600" s="1681" t="str">
        <f t="shared" si="220"/>
        <v/>
      </c>
      <c r="IS600" s="1681" t="str">
        <f t="shared" si="221"/>
        <v/>
      </c>
      <c r="IT600" s="1681" t="str">
        <f t="shared" si="222"/>
        <v/>
      </c>
      <c r="IU600" s="1681" t="str">
        <f t="shared" si="223"/>
        <v/>
      </c>
      <c r="IV600" s="1681" t="str">
        <f t="shared" si="224"/>
        <v/>
      </c>
      <c r="IW600" s="1681" t="str">
        <f t="shared" si="225"/>
        <v/>
      </c>
      <c r="IX600" s="1681" t="str">
        <f t="shared" si="226"/>
        <v/>
      </c>
      <c r="IY600" s="1681" t="str">
        <f t="shared" si="227"/>
        <v/>
      </c>
      <c r="IZ600" s="1681" t="str">
        <f t="shared" si="228"/>
        <v/>
      </c>
      <c r="JA600" s="1681" t="str">
        <f t="shared" si="229"/>
        <v/>
      </c>
      <c r="JB600" s="1681" t="str">
        <f t="shared" si="230"/>
        <v/>
      </c>
      <c r="JC600" s="1681" t="str">
        <f t="shared" si="231"/>
        <v/>
      </c>
      <c r="JD600" s="1681" t="str">
        <f t="shared" si="232"/>
        <v/>
      </c>
      <c r="JE600" s="1681" t="str">
        <f t="shared" si="233"/>
        <v/>
      </c>
      <c r="JF600" s="1681" t="str">
        <f t="shared" si="234"/>
        <v/>
      </c>
      <c r="JG600" s="1681" t="str">
        <f t="shared" si="235"/>
        <v/>
      </c>
      <c r="JH600" s="1681" t="str">
        <f t="shared" si="236"/>
        <v/>
      </c>
      <c r="JI600" s="1681" t="str">
        <f t="shared" si="237"/>
        <v/>
      </c>
      <c r="JJ600" s="1681" t="str">
        <f t="shared" si="238"/>
        <v/>
      </c>
      <c r="JK600" s="1681" t="str">
        <f t="shared" si="239"/>
        <v/>
      </c>
      <c r="JL600" s="1681" t="str">
        <f t="shared" si="240"/>
        <v/>
      </c>
      <c r="JM600" s="1681" t="str">
        <f t="shared" si="241"/>
        <v/>
      </c>
      <c r="JN600" s="1681" t="str">
        <f t="shared" si="242"/>
        <v/>
      </c>
      <c r="JO600" s="1681" t="str">
        <f t="shared" si="243"/>
        <v/>
      </c>
      <c r="JP600" s="1681" t="str">
        <f t="shared" si="244"/>
        <v/>
      </c>
      <c r="JQ600" s="1681" t="str">
        <f t="shared" si="245"/>
        <v/>
      </c>
      <c r="JR600" s="1681" t="str">
        <f t="shared" si="246"/>
        <v/>
      </c>
      <c r="JS600" s="1681" t="str">
        <f t="shared" si="247"/>
        <v/>
      </c>
      <c r="JT600" s="1681" t="str">
        <f t="shared" si="248"/>
        <v/>
      </c>
      <c r="JU600" s="1681" t="str">
        <f t="shared" si="249"/>
        <v/>
      </c>
      <c r="JV600" s="1681" t="str">
        <f t="shared" si="250"/>
        <v/>
      </c>
      <c r="JW600" s="1681" t="str">
        <f t="shared" si="251"/>
        <v/>
      </c>
      <c r="JX600" s="1681" t="str">
        <f t="shared" si="252"/>
        <v/>
      </c>
      <c r="JY600" s="1681" t="str">
        <f t="shared" si="253"/>
        <v/>
      </c>
      <c r="JZ600" s="1681" t="str">
        <f t="shared" si="254"/>
        <v/>
      </c>
      <c r="KA600" s="1681" t="str">
        <f t="shared" si="255"/>
        <v/>
      </c>
      <c r="KB600" s="1681" t="str">
        <f t="shared" si="256"/>
        <v/>
      </c>
      <c r="KC600" s="1681" t="str">
        <f t="shared" si="257"/>
        <v/>
      </c>
      <c r="KD600" s="1681" t="str">
        <f t="shared" si="258"/>
        <v/>
      </c>
      <c r="KE600" s="1681" t="str">
        <f t="shared" si="259"/>
        <v/>
      </c>
      <c r="KF600" s="1681" t="str">
        <f t="shared" si="260"/>
        <v/>
      </c>
      <c r="KG600" s="1681" t="str">
        <f t="shared" si="261"/>
        <v/>
      </c>
      <c r="KH600" s="1681" t="str">
        <f t="shared" si="262"/>
        <v/>
      </c>
      <c r="KI600" s="1681" t="str">
        <f t="shared" si="263"/>
        <v/>
      </c>
      <c r="KJ600" s="1681" t="str">
        <f t="shared" si="264"/>
        <v/>
      </c>
      <c r="KK600" s="1681" t="str">
        <f t="shared" si="265"/>
        <v/>
      </c>
      <c r="KL600" s="1681" t="str">
        <f t="shared" si="266"/>
        <v/>
      </c>
      <c r="KM600" s="1681" t="str">
        <f t="shared" si="267"/>
        <v/>
      </c>
      <c r="KN600" s="1681" t="str">
        <f t="shared" si="268"/>
        <v/>
      </c>
      <c r="KO600" s="1681" t="str">
        <f t="shared" si="269"/>
        <v/>
      </c>
      <c r="KP600" s="1681" t="str">
        <f t="shared" si="270"/>
        <v/>
      </c>
      <c r="KQ600" s="1681" t="str">
        <f t="shared" si="271"/>
        <v/>
      </c>
      <c r="KR600" s="1681" t="str">
        <f t="shared" si="272"/>
        <v/>
      </c>
      <c r="KS600" s="1681" t="str">
        <f t="shared" si="273"/>
        <v/>
      </c>
      <c r="KT600" s="1681" t="str">
        <f t="shared" si="274"/>
        <v/>
      </c>
      <c r="KU600" s="1681" t="str">
        <f t="shared" si="275"/>
        <v/>
      </c>
      <c r="KV600" s="1681" t="str">
        <f t="shared" si="276"/>
        <v/>
      </c>
      <c r="KW600" s="1681" t="str">
        <f t="shared" si="277"/>
        <v/>
      </c>
      <c r="KX600" s="1681" t="str">
        <f t="shared" si="278"/>
        <v/>
      </c>
      <c r="KY600" s="1681" t="str">
        <f t="shared" si="279"/>
        <v/>
      </c>
      <c r="KZ600" s="1681" t="str">
        <f t="shared" si="280"/>
        <v/>
      </c>
      <c r="LA600" s="1681" t="str">
        <f t="shared" si="281"/>
        <v/>
      </c>
      <c r="LB600" s="1681" t="str">
        <f t="shared" si="282"/>
        <v/>
      </c>
      <c r="LC600" s="1681" t="str">
        <f t="shared" si="283"/>
        <v/>
      </c>
      <c r="LD600" s="1681" t="str">
        <f t="shared" si="284"/>
        <v/>
      </c>
      <c r="LE600" s="1681" t="str">
        <f t="shared" si="285"/>
        <v/>
      </c>
      <c r="LF600" s="1525" t="str">
        <f t="shared" si="286"/>
        <v/>
      </c>
      <c r="LG600" s="1525" t="str">
        <f t="shared" si="287"/>
        <v/>
      </c>
      <c r="LH600" s="1525" t="str">
        <f t="shared" si="288"/>
        <v/>
      </c>
      <c r="LI600" s="1525" t="str">
        <f t="shared" si="289"/>
        <v/>
      </c>
      <c r="LJ600" s="1525" t="str">
        <f t="shared" si="290"/>
        <v/>
      </c>
      <c r="LK600" s="1154" t="str">
        <f t="shared" si="291"/>
        <v/>
      </c>
      <c r="LL600" s="1154" t="str">
        <f t="shared" si="292"/>
        <v/>
      </c>
      <c r="LM600" s="1154" t="str">
        <f t="shared" si="293"/>
        <v/>
      </c>
      <c r="LN600" s="1154" t="str">
        <f t="shared" si="294"/>
        <v/>
      </c>
      <c r="LO600" s="1154" t="str">
        <f t="shared" si="295"/>
        <v/>
      </c>
      <c r="LP600" s="1154" t="str">
        <f t="shared" si="296"/>
        <v/>
      </c>
      <c r="LQ600" s="1154" t="str">
        <f t="shared" si="297"/>
        <v/>
      </c>
      <c r="LR600" s="1154" t="str">
        <f t="shared" si="298"/>
        <v/>
      </c>
      <c r="LS600" s="1154" t="str">
        <f t="shared" si="299"/>
        <v/>
      </c>
      <c r="LT600" s="1154" t="str">
        <f t="shared" si="300"/>
        <v/>
      </c>
      <c r="LU600" s="1154" t="str">
        <f t="shared" si="301"/>
        <v/>
      </c>
      <c r="LV600" s="1154" t="str">
        <f t="shared" si="302"/>
        <v/>
      </c>
      <c r="LW600" s="1154" t="str">
        <f t="shared" si="303"/>
        <v/>
      </c>
      <c r="LX600" s="1154" t="str">
        <f t="shared" si="304"/>
        <v/>
      </c>
      <c r="LY600" s="1154" t="str">
        <f t="shared" si="305"/>
        <v/>
      </c>
      <c r="LZ600" s="1154" t="str">
        <f t="shared" si="306"/>
        <v/>
      </c>
      <c r="MA600" s="1154" t="str">
        <f t="shared" si="307"/>
        <v/>
      </c>
      <c r="MB600" s="1154" t="str">
        <f t="shared" si="308"/>
        <v/>
      </c>
      <c r="MC600" s="1154" t="str">
        <f t="shared" si="309"/>
        <v/>
      </c>
      <c r="MD600" s="1154" t="str">
        <f t="shared" si="310"/>
        <v/>
      </c>
      <c r="ME600" s="1525">
        <f t="shared" si="322"/>
        <v>0</v>
      </c>
      <c r="MF600" s="1525">
        <f t="shared" si="323"/>
        <v>0</v>
      </c>
      <c r="MG600" s="1525">
        <f t="shared" si="324"/>
        <v>0</v>
      </c>
      <c r="MH600" s="1525">
        <f t="shared" si="325"/>
        <v>0</v>
      </c>
      <c r="MI600" s="1525">
        <f t="shared" si="326"/>
        <v>0</v>
      </c>
      <c r="MJ600" s="1525">
        <f t="shared" si="327"/>
        <v>0</v>
      </c>
      <c r="MK600" s="1525">
        <f t="shared" si="328"/>
        <v>0</v>
      </c>
      <c r="ML600" s="1525">
        <f t="shared" si="329"/>
        <v>0</v>
      </c>
      <c r="MM600" s="1525">
        <f t="shared" si="330"/>
        <v>0</v>
      </c>
      <c r="MN600" s="1525">
        <f t="shared" si="331"/>
        <v>0</v>
      </c>
      <c r="MO600" s="1525">
        <f t="shared" si="332"/>
        <v>0</v>
      </c>
      <c r="MP600" s="1525">
        <f t="shared" si="333"/>
        <v>0</v>
      </c>
      <c r="MQ600" s="1525">
        <f t="shared" si="334"/>
        <v>0</v>
      </c>
      <c r="MR600" s="1525">
        <f t="shared" si="335"/>
        <v>0</v>
      </c>
      <c r="MS600" s="1525">
        <f t="shared" si="336"/>
        <v>0</v>
      </c>
    </row>
    <row r="601" spans="1:357" s="1154" customFormat="1" ht="12" customHeight="1">
      <c r="A601" s="1524" t="str">
        <f t="shared" si="1"/>
        <v/>
      </c>
      <c r="B601" s="1682">
        <f>'Part VI-Revenues &amp; Expenses'!B30</f>
        <v>0</v>
      </c>
      <c r="C601" s="1673">
        <f>'Part VI-Revenues &amp; Expenses'!C30</f>
        <v>0</v>
      </c>
      <c r="D601" s="1674">
        <f>'Part VI-Revenues &amp; Expenses'!D30</f>
        <v>0</v>
      </c>
      <c r="E601" s="1675">
        <f>'Part VI-Revenues &amp; Expenses'!E30</f>
        <v>0</v>
      </c>
      <c r="F601" s="1675">
        <f>'Part VI-Revenues &amp; Expenses'!F30</f>
        <v>0</v>
      </c>
      <c r="G601" s="1675">
        <f>'Part VI-Revenues &amp; Expenses'!G30</f>
        <v>0</v>
      </c>
      <c r="H601" s="1675">
        <f>'Part VI-Revenues &amp; Expenses'!H30</f>
        <v>0</v>
      </c>
      <c r="I601" s="1675">
        <f>'Part VI-Revenues &amp; Expenses'!I30</f>
        <v>0</v>
      </c>
      <c r="J601" s="1676">
        <f>'Part VI-Revenues &amp; Expenses'!J30</f>
        <v>0</v>
      </c>
      <c r="K601" s="1677">
        <f>'Part VI-Revenues &amp; Expenses'!K30</f>
        <v>0</v>
      </c>
      <c r="L601" s="1677">
        <f>'Part VI-Revenues &amp; Expenses'!L30</f>
        <v>0</v>
      </c>
      <c r="M601" s="1678">
        <f>'Part VI-Revenues &amp; Expenses'!M30</f>
        <v>0</v>
      </c>
      <c r="N601" s="1678">
        <f>'Part VI-Revenues &amp; Expenses'!N30</f>
        <v>0</v>
      </c>
      <c r="O601" s="1678">
        <f>'Part VI-Revenues &amp; Expenses'!O30</f>
        <v>0</v>
      </c>
      <c r="P601" s="1660">
        <f>'Part VI-Revenues &amp; Expenses'!P30</f>
        <v>0</v>
      </c>
      <c r="Q601" s="1679"/>
      <c r="R601" s="1680"/>
      <c r="S601" s="1679"/>
      <c r="T601" s="1680"/>
      <c r="U601" s="1519"/>
      <c r="V601" s="1519"/>
      <c r="W601" s="1154" t="str">
        <f t="shared" si="2"/>
        <v/>
      </c>
      <c r="X601" s="1154" t="str">
        <f t="shared" si="3"/>
        <v/>
      </c>
      <c r="Y601" s="1154" t="str">
        <f t="shared" si="4"/>
        <v/>
      </c>
      <c r="Z601" s="1154" t="str">
        <f t="shared" si="5"/>
        <v/>
      </c>
      <c r="AA601" s="1154" t="str">
        <f t="shared" si="6"/>
        <v/>
      </c>
      <c r="AB601" s="1154" t="str">
        <f t="shared" si="7"/>
        <v/>
      </c>
      <c r="AC601" s="1154" t="str">
        <f t="shared" si="8"/>
        <v/>
      </c>
      <c r="AD601" s="1154" t="str">
        <f t="shared" si="9"/>
        <v/>
      </c>
      <c r="AE601" s="1154" t="str">
        <f t="shared" si="10"/>
        <v/>
      </c>
      <c r="AF601" s="1154" t="str">
        <f t="shared" si="11"/>
        <v/>
      </c>
      <c r="AG601" s="1154" t="str">
        <f t="shared" si="12"/>
        <v/>
      </c>
      <c r="AH601" s="1154" t="str">
        <f t="shared" si="13"/>
        <v/>
      </c>
      <c r="AI601" s="1154" t="str">
        <f t="shared" si="14"/>
        <v/>
      </c>
      <c r="AJ601" s="1154" t="str">
        <f t="shared" si="15"/>
        <v/>
      </c>
      <c r="AK601" s="1154" t="str">
        <f t="shared" si="16"/>
        <v/>
      </c>
      <c r="AL601" s="1154" t="str">
        <f t="shared" si="17"/>
        <v/>
      </c>
      <c r="AM601" s="1154" t="str">
        <f t="shared" si="18"/>
        <v/>
      </c>
      <c r="AN601" s="1154" t="str">
        <f t="shared" si="19"/>
        <v/>
      </c>
      <c r="AO601" s="1154" t="str">
        <f t="shared" si="20"/>
        <v/>
      </c>
      <c r="AP601" s="1154" t="str">
        <f t="shared" si="21"/>
        <v/>
      </c>
      <c r="AQ601" s="1154" t="str">
        <f t="shared" si="22"/>
        <v/>
      </c>
      <c r="AR601" s="1154" t="str">
        <f t="shared" si="23"/>
        <v/>
      </c>
      <c r="AS601" s="1154" t="str">
        <f t="shared" si="24"/>
        <v/>
      </c>
      <c r="AT601" s="1154" t="str">
        <f t="shared" si="25"/>
        <v/>
      </c>
      <c r="AU601" s="1154" t="str">
        <f t="shared" si="26"/>
        <v/>
      </c>
      <c r="AV601" s="1154" t="str">
        <f t="shared" si="27"/>
        <v/>
      </c>
      <c r="AW601" s="1154" t="str">
        <f t="shared" si="28"/>
        <v/>
      </c>
      <c r="AX601" s="1154" t="str">
        <f t="shared" si="29"/>
        <v/>
      </c>
      <c r="AY601" s="1154" t="str">
        <f t="shared" si="30"/>
        <v/>
      </c>
      <c r="AZ601" s="1154" t="str">
        <f t="shared" si="31"/>
        <v/>
      </c>
      <c r="BA601" s="1154" t="str">
        <f t="shared" si="32"/>
        <v/>
      </c>
      <c r="BB601" s="1154" t="str">
        <f t="shared" si="33"/>
        <v/>
      </c>
      <c r="BC601" s="1154" t="str">
        <f t="shared" si="34"/>
        <v/>
      </c>
      <c r="BD601" s="1154" t="str">
        <f t="shared" si="35"/>
        <v/>
      </c>
      <c r="BE601" s="1154" t="str">
        <f t="shared" si="36"/>
        <v/>
      </c>
      <c r="BF601" s="1154" t="str">
        <f t="shared" si="37"/>
        <v/>
      </c>
      <c r="BG601" s="1154" t="str">
        <f t="shared" si="38"/>
        <v/>
      </c>
      <c r="BH601" s="1154" t="str">
        <f t="shared" si="39"/>
        <v/>
      </c>
      <c r="BI601" s="1154" t="str">
        <f t="shared" si="40"/>
        <v/>
      </c>
      <c r="BJ601" s="1154" t="str">
        <f t="shared" si="41"/>
        <v/>
      </c>
      <c r="BK601" s="1154" t="str">
        <f t="shared" si="42"/>
        <v/>
      </c>
      <c r="BL601" s="1154" t="str">
        <f t="shared" si="43"/>
        <v/>
      </c>
      <c r="BM601" s="1154" t="str">
        <f t="shared" si="44"/>
        <v/>
      </c>
      <c r="BN601" s="1154" t="str">
        <f t="shared" si="45"/>
        <v/>
      </c>
      <c r="BO601" s="1154" t="str">
        <f t="shared" si="46"/>
        <v/>
      </c>
      <c r="BP601" s="1154" t="str">
        <f t="shared" si="47"/>
        <v/>
      </c>
      <c r="BQ601" s="1154" t="str">
        <f t="shared" si="48"/>
        <v/>
      </c>
      <c r="BR601" s="1154" t="str">
        <f t="shared" si="49"/>
        <v/>
      </c>
      <c r="BS601" s="1154" t="str">
        <f t="shared" si="50"/>
        <v/>
      </c>
      <c r="BT601" s="1154" t="str">
        <f t="shared" si="51"/>
        <v/>
      </c>
      <c r="BU601" s="1154" t="str">
        <f t="shared" si="52"/>
        <v/>
      </c>
      <c r="BV601" s="1154" t="str">
        <f t="shared" si="53"/>
        <v/>
      </c>
      <c r="BW601" s="1154" t="str">
        <f t="shared" si="54"/>
        <v/>
      </c>
      <c r="BX601" s="1154" t="str">
        <f t="shared" si="55"/>
        <v/>
      </c>
      <c r="BY601" s="1154" t="str">
        <f t="shared" si="56"/>
        <v/>
      </c>
      <c r="BZ601" s="1154" t="str">
        <f t="shared" si="57"/>
        <v/>
      </c>
      <c r="CA601" s="1154" t="str">
        <f t="shared" si="58"/>
        <v/>
      </c>
      <c r="CB601" s="1154" t="str">
        <f t="shared" si="59"/>
        <v/>
      </c>
      <c r="CC601" s="1154" t="str">
        <f t="shared" si="60"/>
        <v/>
      </c>
      <c r="CD601" s="1154" t="str">
        <f t="shared" si="61"/>
        <v/>
      </c>
      <c r="CE601" s="1154" t="str">
        <f t="shared" si="62"/>
        <v/>
      </c>
      <c r="CF601" s="1154" t="str">
        <f t="shared" si="63"/>
        <v/>
      </c>
      <c r="CG601" s="1154" t="str">
        <f t="shared" si="64"/>
        <v/>
      </c>
      <c r="CH601" s="1154" t="str">
        <f t="shared" si="65"/>
        <v/>
      </c>
      <c r="CI601" s="1154" t="str">
        <f t="shared" si="66"/>
        <v/>
      </c>
      <c r="CJ601" s="1154" t="str">
        <f t="shared" si="67"/>
        <v/>
      </c>
      <c r="CK601" s="1154" t="str">
        <f t="shared" si="68"/>
        <v/>
      </c>
      <c r="CL601" s="1154" t="str">
        <f t="shared" si="69"/>
        <v/>
      </c>
      <c r="CM601" s="1154" t="str">
        <f t="shared" si="70"/>
        <v/>
      </c>
      <c r="CN601" s="1154" t="str">
        <f t="shared" si="71"/>
        <v/>
      </c>
      <c r="CO601" s="1154" t="str">
        <f t="shared" si="72"/>
        <v/>
      </c>
      <c r="CP601" s="1154" t="str">
        <f t="shared" si="73"/>
        <v/>
      </c>
      <c r="CQ601" s="1154" t="str">
        <f t="shared" si="74"/>
        <v/>
      </c>
      <c r="CR601" s="1154" t="str">
        <f t="shared" si="75"/>
        <v/>
      </c>
      <c r="CS601" s="1154" t="str">
        <f t="shared" si="76"/>
        <v/>
      </c>
      <c r="CT601" s="1154" t="str">
        <f t="shared" si="77"/>
        <v/>
      </c>
      <c r="CU601" s="1154" t="str">
        <f t="shared" si="78"/>
        <v/>
      </c>
      <c r="CV601" s="1154" t="str">
        <f t="shared" si="79"/>
        <v/>
      </c>
      <c r="CW601" s="1154" t="str">
        <f t="shared" si="80"/>
        <v/>
      </c>
      <c r="CX601" s="1154" t="str">
        <f t="shared" si="81"/>
        <v/>
      </c>
      <c r="CY601" s="1154" t="str">
        <f t="shared" si="82"/>
        <v/>
      </c>
      <c r="CZ601" s="1154" t="str">
        <f t="shared" si="83"/>
        <v/>
      </c>
      <c r="DA601" s="1154" t="str">
        <f t="shared" si="84"/>
        <v/>
      </c>
      <c r="DB601" s="1154" t="str">
        <f t="shared" si="85"/>
        <v/>
      </c>
      <c r="DC601" s="1154" t="str">
        <f t="shared" si="86"/>
        <v/>
      </c>
      <c r="DD601" s="1154" t="str">
        <f t="shared" si="87"/>
        <v/>
      </c>
      <c r="DE601" s="1154" t="str">
        <f t="shared" si="88"/>
        <v/>
      </c>
      <c r="DF601" s="1154" t="str">
        <f t="shared" si="89"/>
        <v/>
      </c>
      <c r="DG601" s="1154" t="str">
        <f t="shared" si="90"/>
        <v/>
      </c>
      <c r="DH601" s="1154" t="str">
        <f t="shared" si="91"/>
        <v/>
      </c>
      <c r="DI601" s="1154" t="str">
        <f t="shared" si="92"/>
        <v/>
      </c>
      <c r="DJ601" s="1154" t="str">
        <f t="shared" si="93"/>
        <v/>
      </c>
      <c r="DK601" s="1154" t="str">
        <f t="shared" si="94"/>
        <v/>
      </c>
      <c r="DL601" s="1154" t="str">
        <f t="shared" si="95"/>
        <v/>
      </c>
      <c r="DM601" s="1154" t="str">
        <f t="shared" si="96"/>
        <v/>
      </c>
      <c r="DN601" s="1154" t="str">
        <f t="shared" si="97"/>
        <v/>
      </c>
      <c r="DO601" s="1154" t="str">
        <f t="shared" si="98"/>
        <v/>
      </c>
      <c r="DP601" s="1154" t="str">
        <f t="shared" si="99"/>
        <v/>
      </c>
      <c r="DQ601" s="1154" t="str">
        <f t="shared" si="100"/>
        <v/>
      </c>
      <c r="DR601" s="1154" t="str">
        <f t="shared" si="101"/>
        <v/>
      </c>
      <c r="DS601" s="1154" t="str">
        <f t="shared" si="102"/>
        <v/>
      </c>
      <c r="DT601" s="1154" t="str">
        <f t="shared" si="103"/>
        <v/>
      </c>
      <c r="DU601" s="1154" t="str">
        <f t="shared" si="104"/>
        <v/>
      </c>
      <c r="DV601" s="1154" t="str">
        <f t="shared" si="105"/>
        <v/>
      </c>
      <c r="DW601" s="1154" t="str">
        <f t="shared" si="106"/>
        <v/>
      </c>
      <c r="DX601" s="1154" t="str">
        <f t="shared" si="107"/>
        <v/>
      </c>
      <c r="DY601" s="1154" t="str">
        <f t="shared" si="108"/>
        <v/>
      </c>
      <c r="DZ601" s="1154" t="str">
        <f t="shared" si="109"/>
        <v/>
      </c>
      <c r="EA601" s="1154" t="str">
        <f t="shared" si="110"/>
        <v/>
      </c>
      <c r="EB601" s="1154" t="str">
        <f t="shared" si="111"/>
        <v/>
      </c>
      <c r="EC601" s="1154" t="str">
        <f t="shared" si="112"/>
        <v/>
      </c>
      <c r="ED601" s="1154" t="str">
        <f t="shared" si="113"/>
        <v/>
      </c>
      <c r="EE601" s="1154" t="str">
        <f t="shared" si="114"/>
        <v/>
      </c>
      <c r="EF601" s="1154" t="str">
        <f t="shared" si="115"/>
        <v/>
      </c>
      <c r="EG601" s="1154" t="str">
        <f t="shared" si="311"/>
        <v/>
      </c>
      <c r="EH601" s="1154" t="str">
        <f t="shared" si="116"/>
        <v/>
      </c>
      <c r="EI601" s="1154" t="str">
        <f t="shared" si="117"/>
        <v/>
      </c>
      <c r="EJ601" s="1154" t="str">
        <f t="shared" si="118"/>
        <v/>
      </c>
      <c r="EK601" s="1154" t="str">
        <f t="shared" si="119"/>
        <v/>
      </c>
      <c r="EL601" s="1154" t="str">
        <f t="shared" si="120"/>
        <v/>
      </c>
      <c r="EM601" s="1154" t="str">
        <f t="shared" si="121"/>
        <v/>
      </c>
      <c r="EN601" s="1154" t="str">
        <f t="shared" si="122"/>
        <v/>
      </c>
      <c r="EO601" s="1154" t="str">
        <f t="shared" si="123"/>
        <v/>
      </c>
      <c r="EP601" s="1154" t="str">
        <f t="shared" si="124"/>
        <v/>
      </c>
      <c r="EQ601" s="1154" t="str">
        <f t="shared" si="125"/>
        <v/>
      </c>
      <c r="ER601" s="1154" t="str">
        <f t="shared" si="126"/>
        <v/>
      </c>
      <c r="ES601" s="1154" t="str">
        <f t="shared" si="127"/>
        <v/>
      </c>
      <c r="ET601" s="1154" t="str">
        <f t="shared" si="128"/>
        <v/>
      </c>
      <c r="EU601" s="1154" t="str">
        <f t="shared" si="129"/>
        <v/>
      </c>
      <c r="EV601" s="1154" t="str">
        <f t="shared" si="130"/>
        <v/>
      </c>
      <c r="EW601" s="1154" t="str">
        <f t="shared" si="312"/>
        <v/>
      </c>
      <c r="EX601" s="1154" t="str">
        <f t="shared" si="313"/>
        <v/>
      </c>
      <c r="EY601" s="1154" t="str">
        <f t="shared" si="314"/>
        <v/>
      </c>
      <c r="EZ601" s="1154" t="str">
        <f t="shared" si="315"/>
        <v/>
      </c>
      <c r="FA601" s="1154" t="str">
        <f t="shared" si="316"/>
        <v/>
      </c>
      <c r="FB601" s="1154" t="str">
        <f t="shared" si="131"/>
        <v/>
      </c>
      <c r="FC601" s="1154" t="str">
        <f t="shared" si="132"/>
        <v/>
      </c>
      <c r="FD601" s="1154" t="str">
        <f t="shared" si="133"/>
        <v/>
      </c>
      <c r="FE601" s="1154" t="str">
        <f t="shared" si="134"/>
        <v/>
      </c>
      <c r="FF601" s="1154" t="str">
        <f t="shared" si="135"/>
        <v/>
      </c>
      <c r="FG601" s="1154" t="str">
        <f t="shared" si="317"/>
        <v/>
      </c>
      <c r="FH601" s="1154" t="str">
        <f t="shared" si="318"/>
        <v/>
      </c>
      <c r="FI601" s="1154" t="str">
        <f t="shared" si="319"/>
        <v/>
      </c>
      <c r="FJ601" s="1154" t="str">
        <f t="shared" si="320"/>
        <v/>
      </c>
      <c r="FK601" s="1154" t="str">
        <f t="shared" si="321"/>
        <v/>
      </c>
      <c r="FL601" s="1154" t="str">
        <f t="shared" si="136"/>
        <v/>
      </c>
      <c r="FM601" s="1154" t="str">
        <f t="shared" si="137"/>
        <v/>
      </c>
      <c r="FN601" s="1154" t="str">
        <f t="shared" si="138"/>
        <v/>
      </c>
      <c r="FO601" s="1154" t="str">
        <f t="shared" si="139"/>
        <v/>
      </c>
      <c r="FP601" s="1154" t="str">
        <f t="shared" si="140"/>
        <v/>
      </c>
      <c r="FQ601" s="1154" t="str">
        <f t="shared" si="141"/>
        <v/>
      </c>
      <c r="FR601" s="1154" t="str">
        <f t="shared" si="142"/>
        <v/>
      </c>
      <c r="FS601" s="1154" t="str">
        <f t="shared" si="143"/>
        <v/>
      </c>
      <c r="FT601" s="1154" t="str">
        <f t="shared" si="144"/>
        <v/>
      </c>
      <c r="FU601" s="1154" t="str">
        <f t="shared" si="145"/>
        <v/>
      </c>
      <c r="FV601" s="1154" t="str">
        <f t="shared" si="146"/>
        <v/>
      </c>
      <c r="FW601" s="1154" t="str">
        <f t="shared" si="147"/>
        <v/>
      </c>
      <c r="FX601" s="1154" t="str">
        <f t="shared" si="148"/>
        <v/>
      </c>
      <c r="FY601" s="1154" t="str">
        <f t="shared" si="149"/>
        <v/>
      </c>
      <c r="FZ601" s="1154" t="str">
        <f t="shared" si="150"/>
        <v/>
      </c>
      <c r="GA601" s="1154" t="str">
        <f t="shared" si="151"/>
        <v/>
      </c>
      <c r="GB601" s="1154" t="str">
        <f t="shared" si="152"/>
        <v/>
      </c>
      <c r="GC601" s="1154" t="str">
        <f t="shared" si="153"/>
        <v/>
      </c>
      <c r="GD601" s="1154" t="str">
        <f t="shared" si="154"/>
        <v/>
      </c>
      <c r="GE601" s="1154" t="str">
        <f t="shared" si="155"/>
        <v/>
      </c>
      <c r="GF601" s="1154" t="str">
        <f t="shared" si="156"/>
        <v/>
      </c>
      <c r="GG601" s="1154" t="str">
        <f t="shared" si="157"/>
        <v/>
      </c>
      <c r="GH601" s="1154" t="str">
        <f t="shared" si="158"/>
        <v/>
      </c>
      <c r="GI601" s="1154" t="str">
        <f t="shared" si="159"/>
        <v/>
      </c>
      <c r="GJ601" s="1154" t="str">
        <f t="shared" si="160"/>
        <v/>
      </c>
      <c r="GK601" s="1154" t="str">
        <f t="shared" si="161"/>
        <v/>
      </c>
      <c r="GL601" s="1154" t="str">
        <f t="shared" si="162"/>
        <v/>
      </c>
      <c r="GM601" s="1154" t="str">
        <f t="shared" si="163"/>
        <v/>
      </c>
      <c r="GN601" s="1154" t="str">
        <f t="shared" si="164"/>
        <v/>
      </c>
      <c r="GO601" s="1154" t="str">
        <f t="shared" si="165"/>
        <v/>
      </c>
      <c r="GP601" s="1154" t="str">
        <f t="shared" si="166"/>
        <v/>
      </c>
      <c r="GQ601" s="1154" t="str">
        <f t="shared" si="167"/>
        <v/>
      </c>
      <c r="GR601" s="1154" t="str">
        <f t="shared" si="168"/>
        <v/>
      </c>
      <c r="GS601" s="1154" t="str">
        <f t="shared" si="169"/>
        <v/>
      </c>
      <c r="GT601" s="1154" t="str">
        <f t="shared" si="170"/>
        <v/>
      </c>
      <c r="GU601" s="1154" t="str">
        <f t="shared" si="171"/>
        <v/>
      </c>
      <c r="GV601" s="1154" t="str">
        <f t="shared" si="172"/>
        <v/>
      </c>
      <c r="GW601" s="1154" t="str">
        <f t="shared" si="173"/>
        <v/>
      </c>
      <c r="GX601" s="1154" t="str">
        <f t="shared" si="174"/>
        <v/>
      </c>
      <c r="GY601" s="1154" t="str">
        <f t="shared" si="175"/>
        <v/>
      </c>
      <c r="GZ601" s="1154" t="str">
        <f t="shared" si="176"/>
        <v/>
      </c>
      <c r="HA601" s="1154" t="str">
        <f t="shared" si="177"/>
        <v/>
      </c>
      <c r="HB601" s="1154" t="str">
        <f t="shared" si="178"/>
        <v/>
      </c>
      <c r="HC601" s="1154" t="str">
        <f t="shared" si="179"/>
        <v/>
      </c>
      <c r="HD601" s="1154" t="str">
        <f t="shared" si="180"/>
        <v/>
      </c>
      <c r="HE601" s="1154" t="str">
        <f t="shared" si="181"/>
        <v/>
      </c>
      <c r="HF601" s="1154" t="str">
        <f t="shared" si="182"/>
        <v/>
      </c>
      <c r="HG601" s="1154" t="str">
        <f t="shared" si="183"/>
        <v/>
      </c>
      <c r="HH601" s="1154" t="str">
        <f t="shared" si="184"/>
        <v/>
      </c>
      <c r="HI601" s="1154" t="str">
        <f t="shared" si="185"/>
        <v/>
      </c>
      <c r="HJ601" s="1154" t="str">
        <f t="shared" si="186"/>
        <v/>
      </c>
      <c r="HK601" s="1154" t="str">
        <f t="shared" si="187"/>
        <v/>
      </c>
      <c r="HL601" s="1154" t="str">
        <f t="shared" si="188"/>
        <v/>
      </c>
      <c r="HM601" s="1154" t="str">
        <f t="shared" si="189"/>
        <v/>
      </c>
      <c r="HN601" s="1154" t="str">
        <f t="shared" si="190"/>
        <v/>
      </c>
      <c r="HO601" s="1154" t="str">
        <f t="shared" si="191"/>
        <v/>
      </c>
      <c r="HP601" s="1154" t="str">
        <f t="shared" si="192"/>
        <v/>
      </c>
      <c r="HQ601" s="1154" t="str">
        <f t="shared" si="193"/>
        <v/>
      </c>
      <c r="HR601" s="1154" t="str">
        <f t="shared" si="194"/>
        <v/>
      </c>
      <c r="HS601" s="1154" t="str">
        <f t="shared" si="195"/>
        <v/>
      </c>
      <c r="HT601" s="1154" t="str">
        <f t="shared" si="196"/>
        <v/>
      </c>
      <c r="HU601" s="1154" t="str">
        <f t="shared" si="197"/>
        <v/>
      </c>
      <c r="HV601" s="1154" t="str">
        <f t="shared" si="198"/>
        <v/>
      </c>
      <c r="HW601" s="1154" t="str">
        <f t="shared" si="199"/>
        <v/>
      </c>
      <c r="HX601" s="1154" t="str">
        <f t="shared" si="200"/>
        <v/>
      </c>
      <c r="HY601" s="1681" t="str">
        <f t="shared" si="201"/>
        <v/>
      </c>
      <c r="HZ601" s="1681" t="str">
        <f t="shared" si="202"/>
        <v/>
      </c>
      <c r="IA601" s="1681" t="str">
        <f t="shared" si="203"/>
        <v/>
      </c>
      <c r="IB601" s="1681" t="str">
        <f t="shared" si="204"/>
        <v/>
      </c>
      <c r="IC601" s="1681" t="str">
        <f t="shared" si="205"/>
        <v/>
      </c>
      <c r="ID601" s="1681" t="str">
        <f t="shared" si="206"/>
        <v/>
      </c>
      <c r="IE601" s="1681" t="str">
        <f t="shared" si="207"/>
        <v/>
      </c>
      <c r="IF601" s="1681" t="str">
        <f t="shared" si="208"/>
        <v/>
      </c>
      <c r="IG601" s="1681" t="str">
        <f t="shared" si="209"/>
        <v/>
      </c>
      <c r="IH601" s="1681" t="str">
        <f t="shared" si="210"/>
        <v/>
      </c>
      <c r="II601" s="1681" t="str">
        <f t="shared" si="211"/>
        <v/>
      </c>
      <c r="IJ601" s="1681" t="str">
        <f t="shared" si="212"/>
        <v/>
      </c>
      <c r="IK601" s="1681" t="str">
        <f t="shared" si="213"/>
        <v/>
      </c>
      <c r="IL601" s="1681" t="str">
        <f t="shared" si="214"/>
        <v/>
      </c>
      <c r="IM601" s="1681" t="str">
        <f t="shared" si="215"/>
        <v/>
      </c>
      <c r="IN601" s="1681" t="str">
        <f t="shared" si="216"/>
        <v/>
      </c>
      <c r="IO601" s="1681" t="str">
        <f t="shared" si="217"/>
        <v/>
      </c>
      <c r="IP601" s="1681" t="str">
        <f t="shared" si="218"/>
        <v/>
      </c>
      <c r="IQ601" s="1681" t="str">
        <f t="shared" si="219"/>
        <v/>
      </c>
      <c r="IR601" s="1681" t="str">
        <f t="shared" si="220"/>
        <v/>
      </c>
      <c r="IS601" s="1681" t="str">
        <f t="shared" si="221"/>
        <v/>
      </c>
      <c r="IT601" s="1681" t="str">
        <f t="shared" si="222"/>
        <v/>
      </c>
      <c r="IU601" s="1681" t="str">
        <f t="shared" si="223"/>
        <v/>
      </c>
      <c r="IV601" s="1681" t="str">
        <f t="shared" si="224"/>
        <v/>
      </c>
      <c r="IW601" s="1681" t="str">
        <f t="shared" si="225"/>
        <v/>
      </c>
      <c r="IX601" s="1681" t="str">
        <f t="shared" si="226"/>
        <v/>
      </c>
      <c r="IY601" s="1681" t="str">
        <f t="shared" si="227"/>
        <v/>
      </c>
      <c r="IZ601" s="1681" t="str">
        <f t="shared" si="228"/>
        <v/>
      </c>
      <c r="JA601" s="1681" t="str">
        <f t="shared" si="229"/>
        <v/>
      </c>
      <c r="JB601" s="1681" t="str">
        <f t="shared" si="230"/>
        <v/>
      </c>
      <c r="JC601" s="1681" t="str">
        <f t="shared" si="231"/>
        <v/>
      </c>
      <c r="JD601" s="1681" t="str">
        <f t="shared" si="232"/>
        <v/>
      </c>
      <c r="JE601" s="1681" t="str">
        <f t="shared" si="233"/>
        <v/>
      </c>
      <c r="JF601" s="1681" t="str">
        <f t="shared" si="234"/>
        <v/>
      </c>
      <c r="JG601" s="1681" t="str">
        <f t="shared" si="235"/>
        <v/>
      </c>
      <c r="JH601" s="1681" t="str">
        <f t="shared" si="236"/>
        <v/>
      </c>
      <c r="JI601" s="1681" t="str">
        <f t="shared" si="237"/>
        <v/>
      </c>
      <c r="JJ601" s="1681" t="str">
        <f t="shared" si="238"/>
        <v/>
      </c>
      <c r="JK601" s="1681" t="str">
        <f t="shared" si="239"/>
        <v/>
      </c>
      <c r="JL601" s="1681" t="str">
        <f t="shared" si="240"/>
        <v/>
      </c>
      <c r="JM601" s="1681" t="str">
        <f t="shared" si="241"/>
        <v/>
      </c>
      <c r="JN601" s="1681" t="str">
        <f t="shared" si="242"/>
        <v/>
      </c>
      <c r="JO601" s="1681" t="str">
        <f t="shared" si="243"/>
        <v/>
      </c>
      <c r="JP601" s="1681" t="str">
        <f t="shared" si="244"/>
        <v/>
      </c>
      <c r="JQ601" s="1681" t="str">
        <f t="shared" si="245"/>
        <v/>
      </c>
      <c r="JR601" s="1681" t="str">
        <f t="shared" si="246"/>
        <v/>
      </c>
      <c r="JS601" s="1681" t="str">
        <f t="shared" si="247"/>
        <v/>
      </c>
      <c r="JT601" s="1681" t="str">
        <f t="shared" si="248"/>
        <v/>
      </c>
      <c r="JU601" s="1681" t="str">
        <f t="shared" si="249"/>
        <v/>
      </c>
      <c r="JV601" s="1681" t="str">
        <f t="shared" si="250"/>
        <v/>
      </c>
      <c r="JW601" s="1681" t="str">
        <f t="shared" si="251"/>
        <v/>
      </c>
      <c r="JX601" s="1681" t="str">
        <f t="shared" si="252"/>
        <v/>
      </c>
      <c r="JY601" s="1681" t="str">
        <f t="shared" si="253"/>
        <v/>
      </c>
      <c r="JZ601" s="1681" t="str">
        <f t="shared" si="254"/>
        <v/>
      </c>
      <c r="KA601" s="1681" t="str">
        <f t="shared" si="255"/>
        <v/>
      </c>
      <c r="KB601" s="1681" t="str">
        <f t="shared" si="256"/>
        <v/>
      </c>
      <c r="KC601" s="1681" t="str">
        <f t="shared" si="257"/>
        <v/>
      </c>
      <c r="KD601" s="1681" t="str">
        <f t="shared" si="258"/>
        <v/>
      </c>
      <c r="KE601" s="1681" t="str">
        <f t="shared" si="259"/>
        <v/>
      </c>
      <c r="KF601" s="1681" t="str">
        <f t="shared" si="260"/>
        <v/>
      </c>
      <c r="KG601" s="1681" t="str">
        <f t="shared" si="261"/>
        <v/>
      </c>
      <c r="KH601" s="1681" t="str">
        <f t="shared" si="262"/>
        <v/>
      </c>
      <c r="KI601" s="1681" t="str">
        <f t="shared" si="263"/>
        <v/>
      </c>
      <c r="KJ601" s="1681" t="str">
        <f t="shared" si="264"/>
        <v/>
      </c>
      <c r="KK601" s="1681" t="str">
        <f t="shared" si="265"/>
        <v/>
      </c>
      <c r="KL601" s="1681" t="str">
        <f t="shared" si="266"/>
        <v/>
      </c>
      <c r="KM601" s="1681" t="str">
        <f t="shared" si="267"/>
        <v/>
      </c>
      <c r="KN601" s="1681" t="str">
        <f t="shared" si="268"/>
        <v/>
      </c>
      <c r="KO601" s="1681" t="str">
        <f t="shared" si="269"/>
        <v/>
      </c>
      <c r="KP601" s="1681" t="str">
        <f t="shared" si="270"/>
        <v/>
      </c>
      <c r="KQ601" s="1681" t="str">
        <f t="shared" si="271"/>
        <v/>
      </c>
      <c r="KR601" s="1681" t="str">
        <f t="shared" si="272"/>
        <v/>
      </c>
      <c r="KS601" s="1681" t="str">
        <f t="shared" si="273"/>
        <v/>
      </c>
      <c r="KT601" s="1681" t="str">
        <f t="shared" si="274"/>
        <v/>
      </c>
      <c r="KU601" s="1681" t="str">
        <f t="shared" si="275"/>
        <v/>
      </c>
      <c r="KV601" s="1681" t="str">
        <f t="shared" si="276"/>
        <v/>
      </c>
      <c r="KW601" s="1681" t="str">
        <f t="shared" si="277"/>
        <v/>
      </c>
      <c r="KX601" s="1681" t="str">
        <f t="shared" si="278"/>
        <v/>
      </c>
      <c r="KY601" s="1681" t="str">
        <f t="shared" si="279"/>
        <v/>
      </c>
      <c r="KZ601" s="1681" t="str">
        <f t="shared" si="280"/>
        <v/>
      </c>
      <c r="LA601" s="1681" t="str">
        <f t="shared" si="281"/>
        <v/>
      </c>
      <c r="LB601" s="1681" t="str">
        <f t="shared" si="282"/>
        <v/>
      </c>
      <c r="LC601" s="1681" t="str">
        <f t="shared" si="283"/>
        <v/>
      </c>
      <c r="LD601" s="1681" t="str">
        <f t="shared" si="284"/>
        <v/>
      </c>
      <c r="LE601" s="1681" t="str">
        <f t="shared" si="285"/>
        <v/>
      </c>
      <c r="LF601" s="1525" t="str">
        <f t="shared" si="286"/>
        <v/>
      </c>
      <c r="LG601" s="1525" t="str">
        <f t="shared" si="287"/>
        <v/>
      </c>
      <c r="LH601" s="1525" t="str">
        <f t="shared" si="288"/>
        <v/>
      </c>
      <c r="LI601" s="1525" t="str">
        <f t="shared" si="289"/>
        <v/>
      </c>
      <c r="LJ601" s="1525" t="str">
        <f t="shared" si="290"/>
        <v/>
      </c>
      <c r="LK601" s="1154" t="str">
        <f t="shared" si="291"/>
        <v/>
      </c>
      <c r="LL601" s="1154" t="str">
        <f t="shared" si="292"/>
        <v/>
      </c>
      <c r="LM601" s="1154" t="str">
        <f t="shared" si="293"/>
        <v/>
      </c>
      <c r="LN601" s="1154" t="str">
        <f t="shared" si="294"/>
        <v/>
      </c>
      <c r="LO601" s="1154" t="str">
        <f t="shared" si="295"/>
        <v/>
      </c>
      <c r="LP601" s="1154" t="str">
        <f t="shared" si="296"/>
        <v/>
      </c>
      <c r="LQ601" s="1154" t="str">
        <f t="shared" si="297"/>
        <v/>
      </c>
      <c r="LR601" s="1154" t="str">
        <f t="shared" si="298"/>
        <v/>
      </c>
      <c r="LS601" s="1154" t="str">
        <f t="shared" si="299"/>
        <v/>
      </c>
      <c r="LT601" s="1154" t="str">
        <f t="shared" si="300"/>
        <v/>
      </c>
      <c r="LU601" s="1154" t="str">
        <f t="shared" si="301"/>
        <v/>
      </c>
      <c r="LV601" s="1154" t="str">
        <f t="shared" si="302"/>
        <v/>
      </c>
      <c r="LW601" s="1154" t="str">
        <f t="shared" si="303"/>
        <v/>
      </c>
      <c r="LX601" s="1154" t="str">
        <f t="shared" si="304"/>
        <v/>
      </c>
      <c r="LY601" s="1154" t="str">
        <f t="shared" si="305"/>
        <v/>
      </c>
      <c r="LZ601" s="1154" t="str">
        <f t="shared" si="306"/>
        <v/>
      </c>
      <c r="MA601" s="1154" t="str">
        <f t="shared" si="307"/>
        <v/>
      </c>
      <c r="MB601" s="1154" t="str">
        <f t="shared" si="308"/>
        <v/>
      </c>
      <c r="MC601" s="1154" t="str">
        <f t="shared" si="309"/>
        <v/>
      </c>
      <c r="MD601" s="1154" t="str">
        <f t="shared" si="310"/>
        <v/>
      </c>
      <c r="ME601" s="1525">
        <f t="shared" si="322"/>
        <v>0</v>
      </c>
      <c r="MF601" s="1525">
        <f t="shared" si="323"/>
        <v>0</v>
      </c>
      <c r="MG601" s="1525">
        <f t="shared" si="324"/>
        <v>0</v>
      </c>
      <c r="MH601" s="1525">
        <f t="shared" si="325"/>
        <v>0</v>
      </c>
      <c r="MI601" s="1525">
        <f t="shared" si="326"/>
        <v>0</v>
      </c>
      <c r="MJ601" s="1525">
        <f t="shared" si="327"/>
        <v>0</v>
      </c>
      <c r="MK601" s="1525">
        <f t="shared" si="328"/>
        <v>0</v>
      </c>
      <c r="ML601" s="1525">
        <f t="shared" si="329"/>
        <v>0</v>
      </c>
      <c r="MM601" s="1525">
        <f t="shared" si="330"/>
        <v>0</v>
      </c>
      <c r="MN601" s="1525">
        <f t="shared" si="331"/>
        <v>0</v>
      </c>
      <c r="MO601" s="1525">
        <f t="shared" si="332"/>
        <v>0</v>
      </c>
      <c r="MP601" s="1525">
        <f t="shared" si="333"/>
        <v>0</v>
      </c>
      <c r="MQ601" s="1525">
        <f t="shared" si="334"/>
        <v>0</v>
      </c>
      <c r="MR601" s="1525">
        <f t="shared" si="335"/>
        <v>0</v>
      </c>
      <c r="MS601" s="1525">
        <f t="shared" si="336"/>
        <v>0</v>
      </c>
    </row>
    <row r="602" spans="1:357" s="1154" customFormat="1" ht="12" customHeight="1">
      <c r="A602" s="1524" t="str">
        <f t="shared" si="1"/>
        <v/>
      </c>
      <c r="B602" s="1682">
        <f>'Part VI-Revenues &amp; Expenses'!B31</f>
        <v>0</v>
      </c>
      <c r="C602" s="1673">
        <f>'Part VI-Revenues &amp; Expenses'!C31</f>
        <v>0</v>
      </c>
      <c r="D602" s="1674">
        <f>'Part VI-Revenues &amp; Expenses'!D31</f>
        <v>0</v>
      </c>
      <c r="E602" s="1675">
        <f>'Part VI-Revenues &amp; Expenses'!E31</f>
        <v>0</v>
      </c>
      <c r="F602" s="1675">
        <f>'Part VI-Revenues &amp; Expenses'!F31</f>
        <v>0</v>
      </c>
      <c r="G602" s="1675">
        <f>'Part VI-Revenues &amp; Expenses'!G31</f>
        <v>0</v>
      </c>
      <c r="H602" s="1675">
        <f>'Part VI-Revenues &amp; Expenses'!H31</f>
        <v>0</v>
      </c>
      <c r="I602" s="1675">
        <f>'Part VI-Revenues &amp; Expenses'!I31</f>
        <v>0</v>
      </c>
      <c r="J602" s="1676">
        <f>'Part VI-Revenues &amp; Expenses'!J31</f>
        <v>0</v>
      </c>
      <c r="K602" s="1677">
        <f>'Part VI-Revenues &amp; Expenses'!K31</f>
        <v>0</v>
      </c>
      <c r="L602" s="1677">
        <f>'Part VI-Revenues &amp; Expenses'!L31</f>
        <v>0</v>
      </c>
      <c r="M602" s="1678">
        <f>'Part VI-Revenues &amp; Expenses'!M31</f>
        <v>0</v>
      </c>
      <c r="N602" s="1678">
        <f>'Part VI-Revenues &amp; Expenses'!N31</f>
        <v>0</v>
      </c>
      <c r="O602" s="1678">
        <f>'Part VI-Revenues &amp; Expenses'!O31</f>
        <v>0</v>
      </c>
      <c r="P602" s="1660">
        <f>'Part VI-Revenues &amp; Expenses'!P31</f>
        <v>0</v>
      </c>
      <c r="Q602" s="1679"/>
      <c r="R602" s="1680"/>
      <c r="S602" s="1679"/>
      <c r="T602" s="1680"/>
      <c r="U602" s="1519"/>
      <c r="V602" s="1519"/>
      <c r="W602" s="1154" t="str">
        <f t="shared" si="2"/>
        <v/>
      </c>
      <c r="X602" s="1154" t="str">
        <f t="shared" si="3"/>
        <v/>
      </c>
      <c r="Y602" s="1154" t="str">
        <f t="shared" si="4"/>
        <v/>
      </c>
      <c r="Z602" s="1154" t="str">
        <f t="shared" si="5"/>
        <v/>
      </c>
      <c r="AA602" s="1154" t="str">
        <f t="shared" si="6"/>
        <v/>
      </c>
      <c r="AB602" s="1154" t="str">
        <f t="shared" si="7"/>
        <v/>
      </c>
      <c r="AC602" s="1154" t="str">
        <f t="shared" si="8"/>
        <v/>
      </c>
      <c r="AD602" s="1154" t="str">
        <f t="shared" si="9"/>
        <v/>
      </c>
      <c r="AE602" s="1154" t="str">
        <f t="shared" si="10"/>
        <v/>
      </c>
      <c r="AF602" s="1154" t="str">
        <f t="shared" si="11"/>
        <v/>
      </c>
      <c r="AG602" s="1154" t="str">
        <f t="shared" si="12"/>
        <v/>
      </c>
      <c r="AH602" s="1154" t="str">
        <f t="shared" si="13"/>
        <v/>
      </c>
      <c r="AI602" s="1154" t="str">
        <f t="shared" si="14"/>
        <v/>
      </c>
      <c r="AJ602" s="1154" t="str">
        <f t="shared" si="15"/>
        <v/>
      </c>
      <c r="AK602" s="1154" t="str">
        <f t="shared" si="16"/>
        <v/>
      </c>
      <c r="AL602" s="1154" t="str">
        <f t="shared" si="17"/>
        <v/>
      </c>
      <c r="AM602" s="1154" t="str">
        <f t="shared" si="18"/>
        <v/>
      </c>
      <c r="AN602" s="1154" t="str">
        <f t="shared" si="19"/>
        <v/>
      </c>
      <c r="AO602" s="1154" t="str">
        <f t="shared" si="20"/>
        <v/>
      </c>
      <c r="AP602" s="1154" t="str">
        <f t="shared" si="21"/>
        <v/>
      </c>
      <c r="AQ602" s="1154" t="str">
        <f t="shared" si="22"/>
        <v/>
      </c>
      <c r="AR602" s="1154" t="str">
        <f t="shared" si="23"/>
        <v/>
      </c>
      <c r="AS602" s="1154" t="str">
        <f t="shared" si="24"/>
        <v/>
      </c>
      <c r="AT602" s="1154" t="str">
        <f t="shared" si="25"/>
        <v/>
      </c>
      <c r="AU602" s="1154" t="str">
        <f t="shared" si="26"/>
        <v/>
      </c>
      <c r="AV602" s="1154" t="str">
        <f t="shared" si="27"/>
        <v/>
      </c>
      <c r="AW602" s="1154" t="str">
        <f t="shared" si="28"/>
        <v/>
      </c>
      <c r="AX602" s="1154" t="str">
        <f t="shared" si="29"/>
        <v/>
      </c>
      <c r="AY602" s="1154" t="str">
        <f t="shared" si="30"/>
        <v/>
      </c>
      <c r="AZ602" s="1154" t="str">
        <f t="shared" si="31"/>
        <v/>
      </c>
      <c r="BA602" s="1154" t="str">
        <f t="shared" si="32"/>
        <v/>
      </c>
      <c r="BB602" s="1154" t="str">
        <f t="shared" si="33"/>
        <v/>
      </c>
      <c r="BC602" s="1154" t="str">
        <f t="shared" si="34"/>
        <v/>
      </c>
      <c r="BD602" s="1154" t="str">
        <f t="shared" si="35"/>
        <v/>
      </c>
      <c r="BE602" s="1154" t="str">
        <f t="shared" si="36"/>
        <v/>
      </c>
      <c r="BF602" s="1154" t="str">
        <f t="shared" si="37"/>
        <v/>
      </c>
      <c r="BG602" s="1154" t="str">
        <f t="shared" si="38"/>
        <v/>
      </c>
      <c r="BH602" s="1154" t="str">
        <f t="shared" si="39"/>
        <v/>
      </c>
      <c r="BI602" s="1154" t="str">
        <f t="shared" si="40"/>
        <v/>
      </c>
      <c r="BJ602" s="1154" t="str">
        <f t="shared" si="41"/>
        <v/>
      </c>
      <c r="BK602" s="1154" t="str">
        <f t="shared" si="42"/>
        <v/>
      </c>
      <c r="BL602" s="1154" t="str">
        <f t="shared" si="43"/>
        <v/>
      </c>
      <c r="BM602" s="1154" t="str">
        <f t="shared" si="44"/>
        <v/>
      </c>
      <c r="BN602" s="1154" t="str">
        <f t="shared" si="45"/>
        <v/>
      </c>
      <c r="BO602" s="1154" t="str">
        <f t="shared" si="46"/>
        <v/>
      </c>
      <c r="BP602" s="1154" t="str">
        <f t="shared" si="47"/>
        <v/>
      </c>
      <c r="BQ602" s="1154" t="str">
        <f t="shared" si="48"/>
        <v/>
      </c>
      <c r="BR602" s="1154" t="str">
        <f t="shared" si="49"/>
        <v/>
      </c>
      <c r="BS602" s="1154" t="str">
        <f t="shared" si="50"/>
        <v/>
      </c>
      <c r="BT602" s="1154" t="str">
        <f t="shared" si="51"/>
        <v/>
      </c>
      <c r="BU602" s="1154" t="str">
        <f t="shared" si="52"/>
        <v/>
      </c>
      <c r="BV602" s="1154" t="str">
        <f t="shared" si="53"/>
        <v/>
      </c>
      <c r="BW602" s="1154" t="str">
        <f t="shared" si="54"/>
        <v/>
      </c>
      <c r="BX602" s="1154" t="str">
        <f t="shared" si="55"/>
        <v/>
      </c>
      <c r="BY602" s="1154" t="str">
        <f t="shared" si="56"/>
        <v/>
      </c>
      <c r="BZ602" s="1154" t="str">
        <f t="shared" si="57"/>
        <v/>
      </c>
      <c r="CA602" s="1154" t="str">
        <f t="shared" si="58"/>
        <v/>
      </c>
      <c r="CB602" s="1154" t="str">
        <f t="shared" si="59"/>
        <v/>
      </c>
      <c r="CC602" s="1154" t="str">
        <f t="shared" si="60"/>
        <v/>
      </c>
      <c r="CD602" s="1154" t="str">
        <f t="shared" si="61"/>
        <v/>
      </c>
      <c r="CE602" s="1154" t="str">
        <f t="shared" si="62"/>
        <v/>
      </c>
      <c r="CF602" s="1154" t="str">
        <f t="shared" si="63"/>
        <v/>
      </c>
      <c r="CG602" s="1154" t="str">
        <f t="shared" si="64"/>
        <v/>
      </c>
      <c r="CH602" s="1154" t="str">
        <f t="shared" si="65"/>
        <v/>
      </c>
      <c r="CI602" s="1154" t="str">
        <f t="shared" si="66"/>
        <v/>
      </c>
      <c r="CJ602" s="1154" t="str">
        <f t="shared" si="67"/>
        <v/>
      </c>
      <c r="CK602" s="1154" t="str">
        <f t="shared" si="68"/>
        <v/>
      </c>
      <c r="CL602" s="1154" t="str">
        <f t="shared" si="69"/>
        <v/>
      </c>
      <c r="CM602" s="1154" t="str">
        <f t="shared" si="70"/>
        <v/>
      </c>
      <c r="CN602" s="1154" t="str">
        <f t="shared" si="71"/>
        <v/>
      </c>
      <c r="CO602" s="1154" t="str">
        <f t="shared" si="72"/>
        <v/>
      </c>
      <c r="CP602" s="1154" t="str">
        <f t="shared" si="73"/>
        <v/>
      </c>
      <c r="CQ602" s="1154" t="str">
        <f t="shared" si="74"/>
        <v/>
      </c>
      <c r="CR602" s="1154" t="str">
        <f t="shared" si="75"/>
        <v/>
      </c>
      <c r="CS602" s="1154" t="str">
        <f t="shared" si="76"/>
        <v/>
      </c>
      <c r="CT602" s="1154" t="str">
        <f t="shared" si="77"/>
        <v/>
      </c>
      <c r="CU602" s="1154" t="str">
        <f t="shared" si="78"/>
        <v/>
      </c>
      <c r="CV602" s="1154" t="str">
        <f t="shared" si="79"/>
        <v/>
      </c>
      <c r="CW602" s="1154" t="str">
        <f t="shared" si="80"/>
        <v/>
      </c>
      <c r="CX602" s="1154" t="str">
        <f t="shared" si="81"/>
        <v/>
      </c>
      <c r="CY602" s="1154" t="str">
        <f t="shared" si="82"/>
        <v/>
      </c>
      <c r="CZ602" s="1154" t="str">
        <f t="shared" si="83"/>
        <v/>
      </c>
      <c r="DA602" s="1154" t="str">
        <f t="shared" si="84"/>
        <v/>
      </c>
      <c r="DB602" s="1154" t="str">
        <f t="shared" si="85"/>
        <v/>
      </c>
      <c r="DC602" s="1154" t="str">
        <f t="shared" si="86"/>
        <v/>
      </c>
      <c r="DD602" s="1154" t="str">
        <f t="shared" si="87"/>
        <v/>
      </c>
      <c r="DE602" s="1154" t="str">
        <f t="shared" si="88"/>
        <v/>
      </c>
      <c r="DF602" s="1154" t="str">
        <f t="shared" si="89"/>
        <v/>
      </c>
      <c r="DG602" s="1154" t="str">
        <f t="shared" si="90"/>
        <v/>
      </c>
      <c r="DH602" s="1154" t="str">
        <f t="shared" si="91"/>
        <v/>
      </c>
      <c r="DI602" s="1154" t="str">
        <f t="shared" si="92"/>
        <v/>
      </c>
      <c r="DJ602" s="1154" t="str">
        <f t="shared" si="93"/>
        <v/>
      </c>
      <c r="DK602" s="1154" t="str">
        <f t="shared" si="94"/>
        <v/>
      </c>
      <c r="DL602" s="1154" t="str">
        <f t="shared" si="95"/>
        <v/>
      </c>
      <c r="DM602" s="1154" t="str">
        <f t="shared" si="96"/>
        <v/>
      </c>
      <c r="DN602" s="1154" t="str">
        <f t="shared" si="97"/>
        <v/>
      </c>
      <c r="DO602" s="1154" t="str">
        <f t="shared" si="98"/>
        <v/>
      </c>
      <c r="DP602" s="1154" t="str">
        <f t="shared" si="99"/>
        <v/>
      </c>
      <c r="DQ602" s="1154" t="str">
        <f t="shared" si="100"/>
        <v/>
      </c>
      <c r="DR602" s="1154" t="str">
        <f t="shared" si="101"/>
        <v/>
      </c>
      <c r="DS602" s="1154" t="str">
        <f t="shared" si="102"/>
        <v/>
      </c>
      <c r="DT602" s="1154" t="str">
        <f t="shared" si="103"/>
        <v/>
      </c>
      <c r="DU602" s="1154" t="str">
        <f t="shared" si="104"/>
        <v/>
      </c>
      <c r="DV602" s="1154" t="str">
        <f t="shared" si="105"/>
        <v/>
      </c>
      <c r="DW602" s="1154" t="str">
        <f t="shared" si="106"/>
        <v/>
      </c>
      <c r="DX602" s="1154" t="str">
        <f t="shared" si="107"/>
        <v/>
      </c>
      <c r="DY602" s="1154" t="str">
        <f t="shared" si="108"/>
        <v/>
      </c>
      <c r="DZ602" s="1154" t="str">
        <f t="shared" si="109"/>
        <v/>
      </c>
      <c r="EA602" s="1154" t="str">
        <f t="shared" si="110"/>
        <v/>
      </c>
      <c r="EB602" s="1154" t="str">
        <f t="shared" si="111"/>
        <v/>
      </c>
      <c r="EC602" s="1154" t="str">
        <f t="shared" si="112"/>
        <v/>
      </c>
      <c r="ED602" s="1154" t="str">
        <f t="shared" si="113"/>
        <v/>
      </c>
      <c r="EE602" s="1154" t="str">
        <f t="shared" si="114"/>
        <v/>
      </c>
      <c r="EF602" s="1154" t="str">
        <f t="shared" si="115"/>
        <v/>
      </c>
      <c r="EG602" s="1154" t="str">
        <f t="shared" si="311"/>
        <v/>
      </c>
      <c r="EH602" s="1154" t="str">
        <f t="shared" si="116"/>
        <v/>
      </c>
      <c r="EI602" s="1154" t="str">
        <f t="shared" si="117"/>
        <v/>
      </c>
      <c r="EJ602" s="1154" t="str">
        <f t="shared" si="118"/>
        <v/>
      </c>
      <c r="EK602" s="1154" t="str">
        <f t="shared" si="119"/>
        <v/>
      </c>
      <c r="EL602" s="1154" t="str">
        <f t="shared" si="120"/>
        <v/>
      </c>
      <c r="EM602" s="1154" t="str">
        <f t="shared" si="121"/>
        <v/>
      </c>
      <c r="EN602" s="1154" t="str">
        <f t="shared" si="122"/>
        <v/>
      </c>
      <c r="EO602" s="1154" t="str">
        <f t="shared" si="123"/>
        <v/>
      </c>
      <c r="EP602" s="1154" t="str">
        <f t="shared" si="124"/>
        <v/>
      </c>
      <c r="EQ602" s="1154" t="str">
        <f t="shared" si="125"/>
        <v/>
      </c>
      <c r="ER602" s="1154" t="str">
        <f t="shared" si="126"/>
        <v/>
      </c>
      <c r="ES602" s="1154" t="str">
        <f t="shared" si="127"/>
        <v/>
      </c>
      <c r="ET602" s="1154" t="str">
        <f t="shared" si="128"/>
        <v/>
      </c>
      <c r="EU602" s="1154" t="str">
        <f t="shared" si="129"/>
        <v/>
      </c>
      <c r="EV602" s="1154" t="str">
        <f t="shared" si="130"/>
        <v/>
      </c>
      <c r="EW602" s="1154" t="str">
        <f t="shared" si="312"/>
        <v/>
      </c>
      <c r="EX602" s="1154" t="str">
        <f t="shared" si="313"/>
        <v/>
      </c>
      <c r="EY602" s="1154" t="str">
        <f t="shared" si="314"/>
        <v/>
      </c>
      <c r="EZ602" s="1154" t="str">
        <f t="shared" si="315"/>
        <v/>
      </c>
      <c r="FA602" s="1154" t="str">
        <f t="shared" si="316"/>
        <v/>
      </c>
      <c r="FB602" s="1154" t="str">
        <f t="shared" si="131"/>
        <v/>
      </c>
      <c r="FC602" s="1154" t="str">
        <f t="shared" si="132"/>
        <v/>
      </c>
      <c r="FD602" s="1154" t="str">
        <f t="shared" si="133"/>
        <v/>
      </c>
      <c r="FE602" s="1154" t="str">
        <f t="shared" si="134"/>
        <v/>
      </c>
      <c r="FF602" s="1154" t="str">
        <f t="shared" si="135"/>
        <v/>
      </c>
      <c r="FG602" s="1154" t="str">
        <f t="shared" si="317"/>
        <v/>
      </c>
      <c r="FH602" s="1154" t="str">
        <f t="shared" si="318"/>
        <v/>
      </c>
      <c r="FI602" s="1154" t="str">
        <f t="shared" si="319"/>
        <v/>
      </c>
      <c r="FJ602" s="1154" t="str">
        <f t="shared" si="320"/>
        <v/>
      </c>
      <c r="FK602" s="1154" t="str">
        <f t="shared" si="321"/>
        <v/>
      </c>
      <c r="FL602" s="1154" t="str">
        <f t="shared" si="136"/>
        <v/>
      </c>
      <c r="FM602" s="1154" t="str">
        <f t="shared" si="137"/>
        <v/>
      </c>
      <c r="FN602" s="1154" t="str">
        <f t="shared" si="138"/>
        <v/>
      </c>
      <c r="FO602" s="1154" t="str">
        <f t="shared" si="139"/>
        <v/>
      </c>
      <c r="FP602" s="1154" t="str">
        <f t="shared" si="140"/>
        <v/>
      </c>
      <c r="FQ602" s="1154" t="str">
        <f t="shared" si="141"/>
        <v/>
      </c>
      <c r="FR602" s="1154" t="str">
        <f t="shared" si="142"/>
        <v/>
      </c>
      <c r="FS602" s="1154" t="str">
        <f t="shared" si="143"/>
        <v/>
      </c>
      <c r="FT602" s="1154" t="str">
        <f t="shared" si="144"/>
        <v/>
      </c>
      <c r="FU602" s="1154" t="str">
        <f t="shared" si="145"/>
        <v/>
      </c>
      <c r="FV602" s="1154" t="str">
        <f t="shared" si="146"/>
        <v/>
      </c>
      <c r="FW602" s="1154" t="str">
        <f t="shared" si="147"/>
        <v/>
      </c>
      <c r="FX602" s="1154" t="str">
        <f t="shared" si="148"/>
        <v/>
      </c>
      <c r="FY602" s="1154" t="str">
        <f t="shared" si="149"/>
        <v/>
      </c>
      <c r="FZ602" s="1154" t="str">
        <f t="shared" si="150"/>
        <v/>
      </c>
      <c r="GA602" s="1154" t="str">
        <f t="shared" si="151"/>
        <v/>
      </c>
      <c r="GB602" s="1154" t="str">
        <f t="shared" si="152"/>
        <v/>
      </c>
      <c r="GC602" s="1154" t="str">
        <f t="shared" si="153"/>
        <v/>
      </c>
      <c r="GD602" s="1154" t="str">
        <f t="shared" si="154"/>
        <v/>
      </c>
      <c r="GE602" s="1154" t="str">
        <f t="shared" si="155"/>
        <v/>
      </c>
      <c r="GF602" s="1154" t="str">
        <f t="shared" si="156"/>
        <v/>
      </c>
      <c r="GG602" s="1154" t="str">
        <f t="shared" si="157"/>
        <v/>
      </c>
      <c r="GH602" s="1154" t="str">
        <f t="shared" si="158"/>
        <v/>
      </c>
      <c r="GI602" s="1154" t="str">
        <f t="shared" si="159"/>
        <v/>
      </c>
      <c r="GJ602" s="1154" t="str">
        <f t="shared" si="160"/>
        <v/>
      </c>
      <c r="GK602" s="1154" t="str">
        <f t="shared" si="161"/>
        <v/>
      </c>
      <c r="GL602" s="1154" t="str">
        <f t="shared" si="162"/>
        <v/>
      </c>
      <c r="GM602" s="1154" t="str">
        <f t="shared" si="163"/>
        <v/>
      </c>
      <c r="GN602" s="1154" t="str">
        <f t="shared" si="164"/>
        <v/>
      </c>
      <c r="GO602" s="1154" t="str">
        <f t="shared" si="165"/>
        <v/>
      </c>
      <c r="GP602" s="1154" t="str">
        <f t="shared" si="166"/>
        <v/>
      </c>
      <c r="GQ602" s="1154" t="str">
        <f t="shared" si="167"/>
        <v/>
      </c>
      <c r="GR602" s="1154" t="str">
        <f t="shared" si="168"/>
        <v/>
      </c>
      <c r="GS602" s="1154" t="str">
        <f t="shared" si="169"/>
        <v/>
      </c>
      <c r="GT602" s="1154" t="str">
        <f t="shared" si="170"/>
        <v/>
      </c>
      <c r="GU602" s="1154" t="str">
        <f t="shared" si="171"/>
        <v/>
      </c>
      <c r="GV602" s="1154" t="str">
        <f t="shared" si="172"/>
        <v/>
      </c>
      <c r="GW602" s="1154" t="str">
        <f t="shared" si="173"/>
        <v/>
      </c>
      <c r="GX602" s="1154" t="str">
        <f t="shared" si="174"/>
        <v/>
      </c>
      <c r="GY602" s="1154" t="str">
        <f t="shared" si="175"/>
        <v/>
      </c>
      <c r="GZ602" s="1154" t="str">
        <f t="shared" si="176"/>
        <v/>
      </c>
      <c r="HA602" s="1154" t="str">
        <f t="shared" si="177"/>
        <v/>
      </c>
      <c r="HB602" s="1154" t="str">
        <f t="shared" si="178"/>
        <v/>
      </c>
      <c r="HC602" s="1154" t="str">
        <f t="shared" si="179"/>
        <v/>
      </c>
      <c r="HD602" s="1154" t="str">
        <f t="shared" si="180"/>
        <v/>
      </c>
      <c r="HE602" s="1154" t="str">
        <f t="shared" si="181"/>
        <v/>
      </c>
      <c r="HF602" s="1154" t="str">
        <f t="shared" si="182"/>
        <v/>
      </c>
      <c r="HG602" s="1154" t="str">
        <f t="shared" si="183"/>
        <v/>
      </c>
      <c r="HH602" s="1154" t="str">
        <f t="shared" si="184"/>
        <v/>
      </c>
      <c r="HI602" s="1154" t="str">
        <f t="shared" si="185"/>
        <v/>
      </c>
      <c r="HJ602" s="1154" t="str">
        <f t="shared" si="186"/>
        <v/>
      </c>
      <c r="HK602" s="1154" t="str">
        <f t="shared" si="187"/>
        <v/>
      </c>
      <c r="HL602" s="1154" t="str">
        <f t="shared" si="188"/>
        <v/>
      </c>
      <c r="HM602" s="1154" t="str">
        <f t="shared" si="189"/>
        <v/>
      </c>
      <c r="HN602" s="1154" t="str">
        <f t="shared" si="190"/>
        <v/>
      </c>
      <c r="HO602" s="1154" t="str">
        <f t="shared" si="191"/>
        <v/>
      </c>
      <c r="HP602" s="1154" t="str">
        <f t="shared" si="192"/>
        <v/>
      </c>
      <c r="HQ602" s="1154" t="str">
        <f t="shared" si="193"/>
        <v/>
      </c>
      <c r="HR602" s="1154" t="str">
        <f t="shared" si="194"/>
        <v/>
      </c>
      <c r="HS602" s="1154" t="str">
        <f t="shared" si="195"/>
        <v/>
      </c>
      <c r="HT602" s="1154" t="str">
        <f t="shared" si="196"/>
        <v/>
      </c>
      <c r="HU602" s="1154" t="str">
        <f t="shared" si="197"/>
        <v/>
      </c>
      <c r="HV602" s="1154" t="str">
        <f t="shared" si="198"/>
        <v/>
      </c>
      <c r="HW602" s="1154" t="str">
        <f t="shared" si="199"/>
        <v/>
      </c>
      <c r="HX602" s="1154" t="str">
        <f t="shared" si="200"/>
        <v/>
      </c>
      <c r="HY602" s="1681" t="str">
        <f t="shared" si="201"/>
        <v/>
      </c>
      <c r="HZ602" s="1681" t="str">
        <f t="shared" si="202"/>
        <v/>
      </c>
      <c r="IA602" s="1681" t="str">
        <f t="shared" si="203"/>
        <v/>
      </c>
      <c r="IB602" s="1681" t="str">
        <f t="shared" si="204"/>
        <v/>
      </c>
      <c r="IC602" s="1681" t="str">
        <f t="shared" si="205"/>
        <v/>
      </c>
      <c r="ID602" s="1681" t="str">
        <f t="shared" si="206"/>
        <v/>
      </c>
      <c r="IE602" s="1681" t="str">
        <f t="shared" si="207"/>
        <v/>
      </c>
      <c r="IF602" s="1681" t="str">
        <f t="shared" si="208"/>
        <v/>
      </c>
      <c r="IG602" s="1681" t="str">
        <f t="shared" si="209"/>
        <v/>
      </c>
      <c r="IH602" s="1681" t="str">
        <f t="shared" si="210"/>
        <v/>
      </c>
      <c r="II602" s="1681" t="str">
        <f t="shared" si="211"/>
        <v/>
      </c>
      <c r="IJ602" s="1681" t="str">
        <f t="shared" si="212"/>
        <v/>
      </c>
      <c r="IK602" s="1681" t="str">
        <f t="shared" si="213"/>
        <v/>
      </c>
      <c r="IL602" s="1681" t="str">
        <f t="shared" si="214"/>
        <v/>
      </c>
      <c r="IM602" s="1681" t="str">
        <f t="shared" si="215"/>
        <v/>
      </c>
      <c r="IN602" s="1681" t="str">
        <f t="shared" si="216"/>
        <v/>
      </c>
      <c r="IO602" s="1681" t="str">
        <f t="shared" si="217"/>
        <v/>
      </c>
      <c r="IP602" s="1681" t="str">
        <f t="shared" si="218"/>
        <v/>
      </c>
      <c r="IQ602" s="1681" t="str">
        <f t="shared" si="219"/>
        <v/>
      </c>
      <c r="IR602" s="1681" t="str">
        <f t="shared" si="220"/>
        <v/>
      </c>
      <c r="IS602" s="1681" t="str">
        <f t="shared" si="221"/>
        <v/>
      </c>
      <c r="IT602" s="1681" t="str">
        <f t="shared" si="222"/>
        <v/>
      </c>
      <c r="IU602" s="1681" t="str">
        <f t="shared" si="223"/>
        <v/>
      </c>
      <c r="IV602" s="1681" t="str">
        <f t="shared" si="224"/>
        <v/>
      </c>
      <c r="IW602" s="1681" t="str">
        <f t="shared" si="225"/>
        <v/>
      </c>
      <c r="IX602" s="1681" t="str">
        <f t="shared" si="226"/>
        <v/>
      </c>
      <c r="IY602" s="1681" t="str">
        <f t="shared" si="227"/>
        <v/>
      </c>
      <c r="IZ602" s="1681" t="str">
        <f t="shared" si="228"/>
        <v/>
      </c>
      <c r="JA602" s="1681" t="str">
        <f t="shared" si="229"/>
        <v/>
      </c>
      <c r="JB602" s="1681" t="str">
        <f t="shared" si="230"/>
        <v/>
      </c>
      <c r="JC602" s="1681" t="str">
        <f t="shared" si="231"/>
        <v/>
      </c>
      <c r="JD602" s="1681" t="str">
        <f t="shared" si="232"/>
        <v/>
      </c>
      <c r="JE602" s="1681" t="str">
        <f t="shared" si="233"/>
        <v/>
      </c>
      <c r="JF602" s="1681" t="str">
        <f t="shared" si="234"/>
        <v/>
      </c>
      <c r="JG602" s="1681" t="str">
        <f t="shared" si="235"/>
        <v/>
      </c>
      <c r="JH602" s="1681" t="str">
        <f t="shared" si="236"/>
        <v/>
      </c>
      <c r="JI602" s="1681" t="str">
        <f t="shared" si="237"/>
        <v/>
      </c>
      <c r="JJ602" s="1681" t="str">
        <f t="shared" si="238"/>
        <v/>
      </c>
      <c r="JK602" s="1681" t="str">
        <f t="shared" si="239"/>
        <v/>
      </c>
      <c r="JL602" s="1681" t="str">
        <f t="shared" si="240"/>
        <v/>
      </c>
      <c r="JM602" s="1681" t="str">
        <f t="shared" si="241"/>
        <v/>
      </c>
      <c r="JN602" s="1681" t="str">
        <f t="shared" si="242"/>
        <v/>
      </c>
      <c r="JO602" s="1681" t="str">
        <f t="shared" si="243"/>
        <v/>
      </c>
      <c r="JP602" s="1681" t="str">
        <f t="shared" si="244"/>
        <v/>
      </c>
      <c r="JQ602" s="1681" t="str">
        <f t="shared" si="245"/>
        <v/>
      </c>
      <c r="JR602" s="1681" t="str">
        <f t="shared" si="246"/>
        <v/>
      </c>
      <c r="JS602" s="1681" t="str">
        <f t="shared" si="247"/>
        <v/>
      </c>
      <c r="JT602" s="1681" t="str">
        <f t="shared" si="248"/>
        <v/>
      </c>
      <c r="JU602" s="1681" t="str">
        <f t="shared" si="249"/>
        <v/>
      </c>
      <c r="JV602" s="1681" t="str">
        <f t="shared" si="250"/>
        <v/>
      </c>
      <c r="JW602" s="1681" t="str">
        <f t="shared" si="251"/>
        <v/>
      </c>
      <c r="JX602" s="1681" t="str">
        <f t="shared" si="252"/>
        <v/>
      </c>
      <c r="JY602" s="1681" t="str">
        <f t="shared" si="253"/>
        <v/>
      </c>
      <c r="JZ602" s="1681" t="str">
        <f t="shared" si="254"/>
        <v/>
      </c>
      <c r="KA602" s="1681" t="str">
        <f t="shared" si="255"/>
        <v/>
      </c>
      <c r="KB602" s="1681" t="str">
        <f t="shared" si="256"/>
        <v/>
      </c>
      <c r="KC602" s="1681" t="str">
        <f t="shared" si="257"/>
        <v/>
      </c>
      <c r="KD602" s="1681" t="str">
        <f t="shared" si="258"/>
        <v/>
      </c>
      <c r="KE602" s="1681" t="str">
        <f t="shared" si="259"/>
        <v/>
      </c>
      <c r="KF602" s="1681" t="str">
        <f t="shared" si="260"/>
        <v/>
      </c>
      <c r="KG602" s="1681" t="str">
        <f t="shared" si="261"/>
        <v/>
      </c>
      <c r="KH602" s="1681" t="str">
        <f t="shared" si="262"/>
        <v/>
      </c>
      <c r="KI602" s="1681" t="str">
        <f t="shared" si="263"/>
        <v/>
      </c>
      <c r="KJ602" s="1681" t="str">
        <f t="shared" si="264"/>
        <v/>
      </c>
      <c r="KK602" s="1681" t="str">
        <f t="shared" si="265"/>
        <v/>
      </c>
      <c r="KL602" s="1681" t="str">
        <f t="shared" si="266"/>
        <v/>
      </c>
      <c r="KM602" s="1681" t="str">
        <f t="shared" si="267"/>
        <v/>
      </c>
      <c r="KN602" s="1681" t="str">
        <f t="shared" si="268"/>
        <v/>
      </c>
      <c r="KO602" s="1681" t="str">
        <f t="shared" si="269"/>
        <v/>
      </c>
      <c r="KP602" s="1681" t="str">
        <f t="shared" si="270"/>
        <v/>
      </c>
      <c r="KQ602" s="1681" t="str">
        <f t="shared" si="271"/>
        <v/>
      </c>
      <c r="KR602" s="1681" t="str">
        <f t="shared" si="272"/>
        <v/>
      </c>
      <c r="KS602" s="1681" t="str">
        <f t="shared" si="273"/>
        <v/>
      </c>
      <c r="KT602" s="1681" t="str">
        <f t="shared" si="274"/>
        <v/>
      </c>
      <c r="KU602" s="1681" t="str">
        <f t="shared" si="275"/>
        <v/>
      </c>
      <c r="KV602" s="1681" t="str">
        <f t="shared" si="276"/>
        <v/>
      </c>
      <c r="KW602" s="1681" t="str">
        <f t="shared" si="277"/>
        <v/>
      </c>
      <c r="KX602" s="1681" t="str">
        <f t="shared" si="278"/>
        <v/>
      </c>
      <c r="KY602" s="1681" t="str">
        <f t="shared" si="279"/>
        <v/>
      </c>
      <c r="KZ602" s="1681" t="str">
        <f t="shared" si="280"/>
        <v/>
      </c>
      <c r="LA602" s="1681" t="str">
        <f t="shared" si="281"/>
        <v/>
      </c>
      <c r="LB602" s="1681" t="str">
        <f t="shared" si="282"/>
        <v/>
      </c>
      <c r="LC602" s="1681" t="str">
        <f t="shared" si="283"/>
        <v/>
      </c>
      <c r="LD602" s="1681" t="str">
        <f t="shared" si="284"/>
        <v/>
      </c>
      <c r="LE602" s="1681" t="str">
        <f t="shared" si="285"/>
        <v/>
      </c>
      <c r="LF602" s="1525" t="str">
        <f t="shared" si="286"/>
        <v/>
      </c>
      <c r="LG602" s="1525" t="str">
        <f t="shared" si="287"/>
        <v/>
      </c>
      <c r="LH602" s="1525" t="str">
        <f t="shared" si="288"/>
        <v/>
      </c>
      <c r="LI602" s="1525" t="str">
        <f t="shared" si="289"/>
        <v/>
      </c>
      <c r="LJ602" s="1525" t="str">
        <f t="shared" si="290"/>
        <v/>
      </c>
      <c r="LK602" s="1154" t="str">
        <f t="shared" si="291"/>
        <v/>
      </c>
      <c r="LL602" s="1154" t="str">
        <f t="shared" si="292"/>
        <v/>
      </c>
      <c r="LM602" s="1154" t="str">
        <f t="shared" si="293"/>
        <v/>
      </c>
      <c r="LN602" s="1154" t="str">
        <f t="shared" si="294"/>
        <v/>
      </c>
      <c r="LO602" s="1154" t="str">
        <f t="shared" si="295"/>
        <v/>
      </c>
      <c r="LP602" s="1154" t="str">
        <f t="shared" si="296"/>
        <v/>
      </c>
      <c r="LQ602" s="1154" t="str">
        <f t="shared" si="297"/>
        <v/>
      </c>
      <c r="LR602" s="1154" t="str">
        <f t="shared" si="298"/>
        <v/>
      </c>
      <c r="LS602" s="1154" t="str">
        <f t="shared" si="299"/>
        <v/>
      </c>
      <c r="LT602" s="1154" t="str">
        <f t="shared" si="300"/>
        <v/>
      </c>
      <c r="LU602" s="1154" t="str">
        <f t="shared" si="301"/>
        <v/>
      </c>
      <c r="LV602" s="1154" t="str">
        <f t="shared" si="302"/>
        <v/>
      </c>
      <c r="LW602" s="1154" t="str">
        <f t="shared" si="303"/>
        <v/>
      </c>
      <c r="LX602" s="1154" t="str">
        <f t="shared" si="304"/>
        <v/>
      </c>
      <c r="LY602" s="1154" t="str">
        <f t="shared" si="305"/>
        <v/>
      </c>
      <c r="LZ602" s="1154" t="str">
        <f t="shared" si="306"/>
        <v/>
      </c>
      <c r="MA602" s="1154" t="str">
        <f t="shared" si="307"/>
        <v/>
      </c>
      <c r="MB602" s="1154" t="str">
        <f t="shared" si="308"/>
        <v/>
      </c>
      <c r="MC602" s="1154" t="str">
        <f t="shared" si="309"/>
        <v/>
      </c>
      <c r="MD602" s="1154" t="str">
        <f t="shared" si="310"/>
        <v/>
      </c>
      <c r="ME602" s="1525">
        <f t="shared" si="322"/>
        <v>0</v>
      </c>
      <c r="MF602" s="1525">
        <f t="shared" si="323"/>
        <v>0</v>
      </c>
      <c r="MG602" s="1525">
        <f t="shared" si="324"/>
        <v>0</v>
      </c>
      <c r="MH602" s="1525">
        <f t="shared" si="325"/>
        <v>0</v>
      </c>
      <c r="MI602" s="1525">
        <f t="shared" si="326"/>
        <v>0</v>
      </c>
      <c r="MJ602" s="1525">
        <f t="shared" si="327"/>
        <v>0</v>
      </c>
      <c r="MK602" s="1525">
        <f t="shared" si="328"/>
        <v>0</v>
      </c>
      <c r="ML602" s="1525">
        <f t="shared" si="329"/>
        <v>0</v>
      </c>
      <c r="MM602" s="1525">
        <f t="shared" si="330"/>
        <v>0</v>
      </c>
      <c r="MN602" s="1525">
        <f t="shared" si="331"/>
        <v>0</v>
      </c>
      <c r="MO602" s="1525">
        <f t="shared" si="332"/>
        <v>0</v>
      </c>
      <c r="MP602" s="1525">
        <f t="shared" si="333"/>
        <v>0</v>
      </c>
      <c r="MQ602" s="1525">
        <f t="shared" si="334"/>
        <v>0</v>
      </c>
      <c r="MR602" s="1525">
        <f t="shared" si="335"/>
        <v>0</v>
      </c>
      <c r="MS602" s="1525">
        <f t="shared" si="336"/>
        <v>0</v>
      </c>
    </row>
    <row r="603" spans="1:357" s="1154" customFormat="1" ht="12" customHeight="1">
      <c r="A603" s="1524" t="str">
        <f t="shared" si="1"/>
        <v/>
      </c>
      <c r="B603" s="1682">
        <f>'Part VI-Revenues &amp; Expenses'!B32</f>
        <v>0</v>
      </c>
      <c r="C603" s="1673">
        <f>'Part VI-Revenues &amp; Expenses'!C32</f>
        <v>0</v>
      </c>
      <c r="D603" s="1674">
        <f>'Part VI-Revenues &amp; Expenses'!D32</f>
        <v>0</v>
      </c>
      <c r="E603" s="1675">
        <f>'Part VI-Revenues &amp; Expenses'!E32</f>
        <v>0</v>
      </c>
      <c r="F603" s="1675">
        <f>'Part VI-Revenues &amp; Expenses'!F32</f>
        <v>0</v>
      </c>
      <c r="G603" s="1675">
        <f>'Part VI-Revenues &amp; Expenses'!G32</f>
        <v>0</v>
      </c>
      <c r="H603" s="1675">
        <f>'Part VI-Revenues &amp; Expenses'!H32</f>
        <v>0</v>
      </c>
      <c r="I603" s="1675">
        <f>'Part VI-Revenues &amp; Expenses'!I32</f>
        <v>0</v>
      </c>
      <c r="J603" s="1676">
        <f>'Part VI-Revenues &amp; Expenses'!J32</f>
        <v>0</v>
      </c>
      <c r="K603" s="1677">
        <f>'Part VI-Revenues &amp; Expenses'!K32</f>
        <v>0</v>
      </c>
      <c r="L603" s="1677">
        <f>'Part VI-Revenues &amp; Expenses'!L32</f>
        <v>0</v>
      </c>
      <c r="M603" s="1678">
        <f>'Part VI-Revenues &amp; Expenses'!M32</f>
        <v>0</v>
      </c>
      <c r="N603" s="1678">
        <f>'Part VI-Revenues &amp; Expenses'!N32</f>
        <v>0</v>
      </c>
      <c r="O603" s="1678">
        <f>'Part VI-Revenues &amp; Expenses'!O32</f>
        <v>0</v>
      </c>
      <c r="P603" s="1660">
        <f>'Part VI-Revenues &amp; Expenses'!P32</f>
        <v>0</v>
      </c>
      <c r="Q603" s="1679"/>
      <c r="R603" s="1680"/>
      <c r="S603" s="1679"/>
      <c r="T603" s="1680"/>
      <c r="U603" s="1519"/>
      <c r="V603" s="1519"/>
      <c r="W603" s="1154" t="str">
        <f t="shared" si="2"/>
        <v/>
      </c>
      <c r="X603" s="1154" t="str">
        <f t="shared" si="3"/>
        <v/>
      </c>
      <c r="Y603" s="1154" t="str">
        <f t="shared" si="4"/>
        <v/>
      </c>
      <c r="Z603" s="1154" t="str">
        <f t="shared" si="5"/>
        <v/>
      </c>
      <c r="AA603" s="1154" t="str">
        <f t="shared" si="6"/>
        <v/>
      </c>
      <c r="AB603" s="1154" t="str">
        <f t="shared" si="7"/>
        <v/>
      </c>
      <c r="AC603" s="1154" t="str">
        <f t="shared" si="8"/>
        <v/>
      </c>
      <c r="AD603" s="1154" t="str">
        <f t="shared" si="9"/>
        <v/>
      </c>
      <c r="AE603" s="1154" t="str">
        <f t="shared" si="10"/>
        <v/>
      </c>
      <c r="AF603" s="1154" t="str">
        <f t="shared" si="11"/>
        <v/>
      </c>
      <c r="AG603" s="1154" t="str">
        <f t="shared" si="12"/>
        <v/>
      </c>
      <c r="AH603" s="1154" t="str">
        <f t="shared" si="13"/>
        <v/>
      </c>
      <c r="AI603" s="1154" t="str">
        <f t="shared" si="14"/>
        <v/>
      </c>
      <c r="AJ603" s="1154" t="str">
        <f t="shared" si="15"/>
        <v/>
      </c>
      <c r="AK603" s="1154" t="str">
        <f t="shared" si="16"/>
        <v/>
      </c>
      <c r="AL603" s="1154" t="str">
        <f t="shared" si="17"/>
        <v/>
      </c>
      <c r="AM603" s="1154" t="str">
        <f t="shared" si="18"/>
        <v/>
      </c>
      <c r="AN603" s="1154" t="str">
        <f t="shared" si="19"/>
        <v/>
      </c>
      <c r="AO603" s="1154" t="str">
        <f t="shared" si="20"/>
        <v/>
      </c>
      <c r="AP603" s="1154" t="str">
        <f t="shared" si="21"/>
        <v/>
      </c>
      <c r="AQ603" s="1154" t="str">
        <f t="shared" si="22"/>
        <v/>
      </c>
      <c r="AR603" s="1154" t="str">
        <f t="shared" si="23"/>
        <v/>
      </c>
      <c r="AS603" s="1154" t="str">
        <f t="shared" si="24"/>
        <v/>
      </c>
      <c r="AT603" s="1154" t="str">
        <f t="shared" si="25"/>
        <v/>
      </c>
      <c r="AU603" s="1154" t="str">
        <f t="shared" si="26"/>
        <v/>
      </c>
      <c r="AV603" s="1154" t="str">
        <f t="shared" si="27"/>
        <v/>
      </c>
      <c r="AW603" s="1154" t="str">
        <f t="shared" si="28"/>
        <v/>
      </c>
      <c r="AX603" s="1154" t="str">
        <f t="shared" si="29"/>
        <v/>
      </c>
      <c r="AY603" s="1154" t="str">
        <f t="shared" si="30"/>
        <v/>
      </c>
      <c r="AZ603" s="1154" t="str">
        <f t="shared" si="31"/>
        <v/>
      </c>
      <c r="BA603" s="1154" t="str">
        <f t="shared" si="32"/>
        <v/>
      </c>
      <c r="BB603" s="1154" t="str">
        <f t="shared" si="33"/>
        <v/>
      </c>
      <c r="BC603" s="1154" t="str">
        <f t="shared" si="34"/>
        <v/>
      </c>
      <c r="BD603" s="1154" t="str">
        <f t="shared" si="35"/>
        <v/>
      </c>
      <c r="BE603" s="1154" t="str">
        <f t="shared" si="36"/>
        <v/>
      </c>
      <c r="BF603" s="1154" t="str">
        <f t="shared" si="37"/>
        <v/>
      </c>
      <c r="BG603" s="1154" t="str">
        <f t="shared" si="38"/>
        <v/>
      </c>
      <c r="BH603" s="1154" t="str">
        <f t="shared" si="39"/>
        <v/>
      </c>
      <c r="BI603" s="1154" t="str">
        <f t="shared" si="40"/>
        <v/>
      </c>
      <c r="BJ603" s="1154" t="str">
        <f t="shared" si="41"/>
        <v/>
      </c>
      <c r="BK603" s="1154" t="str">
        <f t="shared" si="42"/>
        <v/>
      </c>
      <c r="BL603" s="1154" t="str">
        <f t="shared" si="43"/>
        <v/>
      </c>
      <c r="BM603" s="1154" t="str">
        <f t="shared" si="44"/>
        <v/>
      </c>
      <c r="BN603" s="1154" t="str">
        <f t="shared" si="45"/>
        <v/>
      </c>
      <c r="BO603" s="1154" t="str">
        <f t="shared" si="46"/>
        <v/>
      </c>
      <c r="BP603" s="1154" t="str">
        <f t="shared" si="47"/>
        <v/>
      </c>
      <c r="BQ603" s="1154" t="str">
        <f t="shared" si="48"/>
        <v/>
      </c>
      <c r="BR603" s="1154" t="str">
        <f t="shared" si="49"/>
        <v/>
      </c>
      <c r="BS603" s="1154" t="str">
        <f t="shared" si="50"/>
        <v/>
      </c>
      <c r="BT603" s="1154" t="str">
        <f t="shared" si="51"/>
        <v/>
      </c>
      <c r="BU603" s="1154" t="str">
        <f t="shared" si="52"/>
        <v/>
      </c>
      <c r="BV603" s="1154" t="str">
        <f t="shared" si="53"/>
        <v/>
      </c>
      <c r="BW603" s="1154" t="str">
        <f t="shared" si="54"/>
        <v/>
      </c>
      <c r="BX603" s="1154" t="str">
        <f t="shared" si="55"/>
        <v/>
      </c>
      <c r="BY603" s="1154" t="str">
        <f t="shared" si="56"/>
        <v/>
      </c>
      <c r="BZ603" s="1154" t="str">
        <f t="shared" si="57"/>
        <v/>
      </c>
      <c r="CA603" s="1154" t="str">
        <f t="shared" si="58"/>
        <v/>
      </c>
      <c r="CB603" s="1154" t="str">
        <f t="shared" si="59"/>
        <v/>
      </c>
      <c r="CC603" s="1154" t="str">
        <f t="shared" si="60"/>
        <v/>
      </c>
      <c r="CD603" s="1154" t="str">
        <f t="shared" si="61"/>
        <v/>
      </c>
      <c r="CE603" s="1154" t="str">
        <f t="shared" si="62"/>
        <v/>
      </c>
      <c r="CF603" s="1154" t="str">
        <f t="shared" si="63"/>
        <v/>
      </c>
      <c r="CG603" s="1154" t="str">
        <f t="shared" si="64"/>
        <v/>
      </c>
      <c r="CH603" s="1154" t="str">
        <f t="shared" si="65"/>
        <v/>
      </c>
      <c r="CI603" s="1154" t="str">
        <f t="shared" si="66"/>
        <v/>
      </c>
      <c r="CJ603" s="1154" t="str">
        <f t="shared" si="67"/>
        <v/>
      </c>
      <c r="CK603" s="1154" t="str">
        <f t="shared" si="68"/>
        <v/>
      </c>
      <c r="CL603" s="1154" t="str">
        <f t="shared" si="69"/>
        <v/>
      </c>
      <c r="CM603" s="1154" t="str">
        <f t="shared" si="70"/>
        <v/>
      </c>
      <c r="CN603" s="1154" t="str">
        <f t="shared" si="71"/>
        <v/>
      </c>
      <c r="CO603" s="1154" t="str">
        <f t="shared" si="72"/>
        <v/>
      </c>
      <c r="CP603" s="1154" t="str">
        <f t="shared" si="73"/>
        <v/>
      </c>
      <c r="CQ603" s="1154" t="str">
        <f t="shared" si="74"/>
        <v/>
      </c>
      <c r="CR603" s="1154" t="str">
        <f t="shared" si="75"/>
        <v/>
      </c>
      <c r="CS603" s="1154" t="str">
        <f t="shared" si="76"/>
        <v/>
      </c>
      <c r="CT603" s="1154" t="str">
        <f t="shared" si="77"/>
        <v/>
      </c>
      <c r="CU603" s="1154" t="str">
        <f t="shared" si="78"/>
        <v/>
      </c>
      <c r="CV603" s="1154" t="str">
        <f t="shared" si="79"/>
        <v/>
      </c>
      <c r="CW603" s="1154" t="str">
        <f t="shared" si="80"/>
        <v/>
      </c>
      <c r="CX603" s="1154" t="str">
        <f t="shared" si="81"/>
        <v/>
      </c>
      <c r="CY603" s="1154" t="str">
        <f t="shared" si="82"/>
        <v/>
      </c>
      <c r="CZ603" s="1154" t="str">
        <f t="shared" si="83"/>
        <v/>
      </c>
      <c r="DA603" s="1154" t="str">
        <f t="shared" si="84"/>
        <v/>
      </c>
      <c r="DB603" s="1154" t="str">
        <f t="shared" si="85"/>
        <v/>
      </c>
      <c r="DC603" s="1154" t="str">
        <f t="shared" si="86"/>
        <v/>
      </c>
      <c r="DD603" s="1154" t="str">
        <f t="shared" si="87"/>
        <v/>
      </c>
      <c r="DE603" s="1154" t="str">
        <f t="shared" si="88"/>
        <v/>
      </c>
      <c r="DF603" s="1154" t="str">
        <f t="shared" si="89"/>
        <v/>
      </c>
      <c r="DG603" s="1154" t="str">
        <f t="shared" si="90"/>
        <v/>
      </c>
      <c r="DH603" s="1154" t="str">
        <f t="shared" si="91"/>
        <v/>
      </c>
      <c r="DI603" s="1154" t="str">
        <f t="shared" si="92"/>
        <v/>
      </c>
      <c r="DJ603" s="1154" t="str">
        <f t="shared" si="93"/>
        <v/>
      </c>
      <c r="DK603" s="1154" t="str">
        <f t="shared" si="94"/>
        <v/>
      </c>
      <c r="DL603" s="1154" t="str">
        <f t="shared" si="95"/>
        <v/>
      </c>
      <c r="DM603" s="1154" t="str">
        <f t="shared" si="96"/>
        <v/>
      </c>
      <c r="DN603" s="1154" t="str">
        <f t="shared" si="97"/>
        <v/>
      </c>
      <c r="DO603" s="1154" t="str">
        <f t="shared" si="98"/>
        <v/>
      </c>
      <c r="DP603" s="1154" t="str">
        <f t="shared" si="99"/>
        <v/>
      </c>
      <c r="DQ603" s="1154" t="str">
        <f t="shared" si="100"/>
        <v/>
      </c>
      <c r="DR603" s="1154" t="str">
        <f t="shared" si="101"/>
        <v/>
      </c>
      <c r="DS603" s="1154" t="str">
        <f t="shared" si="102"/>
        <v/>
      </c>
      <c r="DT603" s="1154" t="str">
        <f t="shared" si="103"/>
        <v/>
      </c>
      <c r="DU603" s="1154" t="str">
        <f t="shared" si="104"/>
        <v/>
      </c>
      <c r="DV603" s="1154" t="str">
        <f t="shared" si="105"/>
        <v/>
      </c>
      <c r="DW603" s="1154" t="str">
        <f t="shared" si="106"/>
        <v/>
      </c>
      <c r="DX603" s="1154" t="str">
        <f t="shared" si="107"/>
        <v/>
      </c>
      <c r="DY603" s="1154" t="str">
        <f t="shared" si="108"/>
        <v/>
      </c>
      <c r="DZ603" s="1154" t="str">
        <f t="shared" si="109"/>
        <v/>
      </c>
      <c r="EA603" s="1154" t="str">
        <f t="shared" si="110"/>
        <v/>
      </c>
      <c r="EB603" s="1154" t="str">
        <f t="shared" si="111"/>
        <v/>
      </c>
      <c r="EC603" s="1154" t="str">
        <f t="shared" si="112"/>
        <v/>
      </c>
      <c r="ED603" s="1154" t="str">
        <f t="shared" si="113"/>
        <v/>
      </c>
      <c r="EE603" s="1154" t="str">
        <f t="shared" si="114"/>
        <v/>
      </c>
      <c r="EF603" s="1154" t="str">
        <f t="shared" si="115"/>
        <v/>
      </c>
      <c r="EG603" s="1154" t="str">
        <f t="shared" si="311"/>
        <v/>
      </c>
      <c r="EH603" s="1154" t="str">
        <f t="shared" si="116"/>
        <v/>
      </c>
      <c r="EI603" s="1154" t="str">
        <f t="shared" si="117"/>
        <v/>
      </c>
      <c r="EJ603" s="1154" t="str">
        <f t="shared" si="118"/>
        <v/>
      </c>
      <c r="EK603" s="1154" t="str">
        <f t="shared" si="119"/>
        <v/>
      </c>
      <c r="EL603" s="1154" t="str">
        <f t="shared" si="120"/>
        <v/>
      </c>
      <c r="EM603" s="1154" t="str">
        <f t="shared" si="121"/>
        <v/>
      </c>
      <c r="EN603" s="1154" t="str">
        <f t="shared" si="122"/>
        <v/>
      </c>
      <c r="EO603" s="1154" t="str">
        <f t="shared" si="123"/>
        <v/>
      </c>
      <c r="EP603" s="1154" t="str">
        <f t="shared" si="124"/>
        <v/>
      </c>
      <c r="EQ603" s="1154" t="str">
        <f t="shared" si="125"/>
        <v/>
      </c>
      <c r="ER603" s="1154" t="str">
        <f t="shared" si="126"/>
        <v/>
      </c>
      <c r="ES603" s="1154" t="str">
        <f t="shared" si="127"/>
        <v/>
      </c>
      <c r="ET603" s="1154" t="str">
        <f t="shared" si="128"/>
        <v/>
      </c>
      <c r="EU603" s="1154" t="str">
        <f t="shared" si="129"/>
        <v/>
      </c>
      <c r="EV603" s="1154" t="str">
        <f t="shared" si="130"/>
        <v/>
      </c>
      <c r="EW603" s="1154" t="str">
        <f t="shared" si="312"/>
        <v/>
      </c>
      <c r="EX603" s="1154" t="str">
        <f t="shared" si="313"/>
        <v/>
      </c>
      <c r="EY603" s="1154" t="str">
        <f t="shared" si="314"/>
        <v/>
      </c>
      <c r="EZ603" s="1154" t="str">
        <f t="shared" si="315"/>
        <v/>
      </c>
      <c r="FA603" s="1154" t="str">
        <f t="shared" si="316"/>
        <v/>
      </c>
      <c r="FB603" s="1154" t="str">
        <f t="shared" si="131"/>
        <v/>
      </c>
      <c r="FC603" s="1154" t="str">
        <f t="shared" si="132"/>
        <v/>
      </c>
      <c r="FD603" s="1154" t="str">
        <f t="shared" si="133"/>
        <v/>
      </c>
      <c r="FE603" s="1154" t="str">
        <f t="shared" si="134"/>
        <v/>
      </c>
      <c r="FF603" s="1154" t="str">
        <f t="shared" si="135"/>
        <v/>
      </c>
      <c r="FG603" s="1154" t="str">
        <f t="shared" si="317"/>
        <v/>
      </c>
      <c r="FH603" s="1154" t="str">
        <f t="shared" si="318"/>
        <v/>
      </c>
      <c r="FI603" s="1154" t="str">
        <f t="shared" si="319"/>
        <v/>
      </c>
      <c r="FJ603" s="1154" t="str">
        <f t="shared" si="320"/>
        <v/>
      </c>
      <c r="FK603" s="1154" t="str">
        <f t="shared" si="321"/>
        <v/>
      </c>
      <c r="FL603" s="1154" t="str">
        <f t="shared" si="136"/>
        <v/>
      </c>
      <c r="FM603" s="1154" t="str">
        <f t="shared" si="137"/>
        <v/>
      </c>
      <c r="FN603" s="1154" t="str">
        <f t="shared" si="138"/>
        <v/>
      </c>
      <c r="FO603" s="1154" t="str">
        <f t="shared" si="139"/>
        <v/>
      </c>
      <c r="FP603" s="1154" t="str">
        <f t="shared" si="140"/>
        <v/>
      </c>
      <c r="FQ603" s="1154" t="str">
        <f t="shared" si="141"/>
        <v/>
      </c>
      <c r="FR603" s="1154" t="str">
        <f t="shared" si="142"/>
        <v/>
      </c>
      <c r="FS603" s="1154" t="str">
        <f t="shared" si="143"/>
        <v/>
      </c>
      <c r="FT603" s="1154" t="str">
        <f t="shared" si="144"/>
        <v/>
      </c>
      <c r="FU603" s="1154" t="str">
        <f t="shared" si="145"/>
        <v/>
      </c>
      <c r="FV603" s="1154" t="str">
        <f t="shared" si="146"/>
        <v/>
      </c>
      <c r="FW603" s="1154" t="str">
        <f t="shared" si="147"/>
        <v/>
      </c>
      <c r="FX603" s="1154" t="str">
        <f t="shared" si="148"/>
        <v/>
      </c>
      <c r="FY603" s="1154" t="str">
        <f t="shared" si="149"/>
        <v/>
      </c>
      <c r="FZ603" s="1154" t="str">
        <f t="shared" si="150"/>
        <v/>
      </c>
      <c r="GA603" s="1154" t="str">
        <f t="shared" si="151"/>
        <v/>
      </c>
      <c r="GB603" s="1154" t="str">
        <f t="shared" si="152"/>
        <v/>
      </c>
      <c r="GC603" s="1154" t="str">
        <f t="shared" si="153"/>
        <v/>
      </c>
      <c r="GD603" s="1154" t="str">
        <f t="shared" si="154"/>
        <v/>
      </c>
      <c r="GE603" s="1154" t="str">
        <f t="shared" si="155"/>
        <v/>
      </c>
      <c r="GF603" s="1154" t="str">
        <f t="shared" si="156"/>
        <v/>
      </c>
      <c r="GG603" s="1154" t="str">
        <f t="shared" si="157"/>
        <v/>
      </c>
      <c r="GH603" s="1154" t="str">
        <f t="shared" si="158"/>
        <v/>
      </c>
      <c r="GI603" s="1154" t="str">
        <f t="shared" si="159"/>
        <v/>
      </c>
      <c r="GJ603" s="1154" t="str">
        <f t="shared" si="160"/>
        <v/>
      </c>
      <c r="GK603" s="1154" t="str">
        <f t="shared" si="161"/>
        <v/>
      </c>
      <c r="GL603" s="1154" t="str">
        <f t="shared" si="162"/>
        <v/>
      </c>
      <c r="GM603" s="1154" t="str">
        <f t="shared" si="163"/>
        <v/>
      </c>
      <c r="GN603" s="1154" t="str">
        <f t="shared" si="164"/>
        <v/>
      </c>
      <c r="GO603" s="1154" t="str">
        <f t="shared" si="165"/>
        <v/>
      </c>
      <c r="GP603" s="1154" t="str">
        <f t="shared" si="166"/>
        <v/>
      </c>
      <c r="GQ603" s="1154" t="str">
        <f t="shared" si="167"/>
        <v/>
      </c>
      <c r="GR603" s="1154" t="str">
        <f t="shared" si="168"/>
        <v/>
      </c>
      <c r="GS603" s="1154" t="str">
        <f t="shared" si="169"/>
        <v/>
      </c>
      <c r="GT603" s="1154" t="str">
        <f t="shared" si="170"/>
        <v/>
      </c>
      <c r="GU603" s="1154" t="str">
        <f t="shared" si="171"/>
        <v/>
      </c>
      <c r="GV603" s="1154" t="str">
        <f t="shared" si="172"/>
        <v/>
      </c>
      <c r="GW603" s="1154" t="str">
        <f t="shared" si="173"/>
        <v/>
      </c>
      <c r="GX603" s="1154" t="str">
        <f t="shared" si="174"/>
        <v/>
      </c>
      <c r="GY603" s="1154" t="str">
        <f t="shared" si="175"/>
        <v/>
      </c>
      <c r="GZ603" s="1154" t="str">
        <f t="shared" si="176"/>
        <v/>
      </c>
      <c r="HA603" s="1154" t="str">
        <f t="shared" si="177"/>
        <v/>
      </c>
      <c r="HB603" s="1154" t="str">
        <f t="shared" si="178"/>
        <v/>
      </c>
      <c r="HC603" s="1154" t="str">
        <f t="shared" si="179"/>
        <v/>
      </c>
      <c r="HD603" s="1154" t="str">
        <f t="shared" si="180"/>
        <v/>
      </c>
      <c r="HE603" s="1154" t="str">
        <f t="shared" si="181"/>
        <v/>
      </c>
      <c r="HF603" s="1154" t="str">
        <f t="shared" si="182"/>
        <v/>
      </c>
      <c r="HG603" s="1154" t="str">
        <f t="shared" si="183"/>
        <v/>
      </c>
      <c r="HH603" s="1154" t="str">
        <f t="shared" si="184"/>
        <v/>
      </c>
      <c r="HI603" s="1154" t="str">
        <f t="shared" si="185"/>
        <v/>
      </c>
      <c r="HJ603" s="1154" t="str">
        <f t="shared" si="186"/>
        <v/>
      </c>
      <c r="HK603" s="1154" t="str">
        <f t="shared" si="187"/>
        <v/>
      </c>
      <c r="HL603" s="1154" t="str">
        <f t="shared" si="188"/>
        <v/>
      </c>
      <c r="HM603" s="1154" t="str">
        <f t="shared" si="189"/>
        <v/>
      </c>
      <c r="HN603" s="1154" t="str">
        <f t="shared" si="190"/>
        <v/>
      </c>
      <c r="HO603" s="1154" t="str">
        <f t="shared" si="191"/>
        <v/>
      </c>
      <c r="HP603" s="1154" t="str">
        <f t="shared" si="192"/>
        <v/>
      </c>
      <c r="HQ603" s="1154" t="str">
        <f t="shared" si="193"/>
        <v/>
      </c>
      <c r="HR603" s="1154" t="str">
        <f t="shared" si="194"/>
        <v/>
      </c>
      <c r="HS603" s="1154" t="str">
        <f t="shared" si="195"/>
        <v/>
      </c>
      <c r="HT603" s="1154" t="str">
        <f t="shared" si="196"/>
        <v/>
      </c>
      <c r="HU603" s="1154" t="str">
        <f t="shared" si="197"/>
        <v/>
      </c>
      <c r="HV603" s="1154" t="str">
        <f t="shared" si="198"/>
        <v/>
      </c>
      <c r="HW603" s="1154" t="str">
        <f t="shared" si="199"/>
        <v/>
      </c>
      <c r="HX603" s="1154" t="str">
        <f t="shared" si="200"/>
        <v/>
      </c>
      <c r="HY603" s="1681" t="str">
        <f t="shared" si="201"/>
        <v/>
      </c>
      <c r="HZ603" s="1681" t="str">
        <f t="shared" si="202"/>
        <v/>
      </c>
      <c r="IA603" s="1681" t="str">
        <f t="shared" si="203"/>
        <v/>
      </c>
      <c r="IB603" s="1681" t="str">
        <f t="shared" si="204"/>
        <v/>
      </c>
      <c r="IC603" s="1681" t="str">
        <f t="shared" si="205"/>
        <v/>
      </c>
      <c r="ID603" s="1681" t="str">
        <f t="shared" si="206"/>
        <v/>
      </c>
      <c r="IE603" s="1681" t="str">
        <f t="shared" si="207"/>
        <v/>
      </c>
      <c r="IF603" s="1681" t="str">
        <f t="shared" si="208"/>
        <v/>
      </c>
      <c r="IG603" s="1681" t="str">
        <f t="shared" si="209"/>
        <v/>
      </c>
      <c r="IH603" s="1681" t="str">
        <f t="shared" si="210"/>
        <v/>
      </c>
      <c r="II603" s="1681" t="str">
        <f t="shared" si="211"/>
        <v/>
      </c>
      <c r="IJ603" s="1681" t="str">
        <f t="shared" si="212"/>
        <v/>
      </c>
      <c r="IK603" s="1681" t="str">
        <f t="shared" si="213"/>
        <v/>
      </c>
      <c r="IL603" s="1681" t="str">
        <f t="shared" si="214"/>
        <v/>
      </c>
      <c r="IM603" s="1681" t="str">
        <f t="shared" si="215"/>
        <v/>
      </c>
      <c r="IN603" s="1681" t="str">
        <f t="shared" si="216"/>
        <v/>
      </c>
      <c r="IO603" s="1681" t="str">
        <f t="shared" si="217"/>
        <v/>
      </c>
      <c r="IP603" s="1681" t="str">
        <f t="shared" si="218"/>
        <v/>
      </c>
      <c r="IQ603" s="1681" t="str">
        <f t="shared" si="219"/>
        <v/>
      </c>
      <c r="IR603" s="1681" t="str">
        <f t="shared" si="220"/>
        <v/>
      </c>
      <c r="IS603" s="1681" t="str">
        <f t="shared" si="221"/>
        <v/>
      </c>
      <c r="IT603" s="1681" t="str">
        <f t="shared" si="222"/>
        <v/>
      </c>
      <c r="IU603" s="1681" t="str">
        <f t="shared" si="223"/>
        <v/>
      </c>
      <c r="IV603" s="1681" t="str">
        <f t="shared" si="224"/>
        <v/>
      </c>
      <c r="IW603" s="1681" t="str">
        <f t="shared" si="225"/>
        <v/>
      </c>
      <c r="IX603" s="1681" t="str">
        <f t="shared" si="226"/>
        <v/>
      </c>
      <c r="IY603" s="1681" t="str">
        <f t="shared" si="227"/>
        <v/>
      </c>
      <c r="IZ603" s="1681" t="str">
        <f t="shared" si="228"/>
        <v/>
      </c>
      <c r="JA603" s="1681" t="str">
        <f t="shared" si="229"/>
        <v/>
      </c>
      <c r="JB603" s="1681" t="str">
        <f t="shared" si="230"/>
        <v/>
      </c>
      <c r="JC603" s="1681" t="str">
        <f t="shared" si="231"/>
        <v/>
      </c>
      <c r="JD603" s="1681" t="str">
        <f t="shared" si="232"/>
        <v/>
      </c>
      <c r="JE603" s="1681" t="str">
        <f t="shared" si="233"/>
        <v/>
      </c>
      <c r="JF603" s="1681" t="str">
        <f t="shared" si="234"/>
        <v/>
      </c>
      <c r="JG603" s="1681" t="str">
        <f t="shared" si="235"/>
        <v/>
      </c>
      <c r="JH603" s="1681" t="str">
        <f t="shared" si="236"/>
        <v/>
      </c>
      <c r="JI603" s="1681" t="str">
        <f t="shared" si="237"/>
        <v/>
      </c>
      <c r="JJ603" s="1681" t="str">
        <f t="shared" si="238"/>
        <v/>
      </c>
      <c r="JK603" s="1681" t="str">
        <f t="shared" si="239"/>
        <v/>
      </c>
      <c r="JL603" s="1681" t="str">
        <f t="shared" si="240"/>
        <v/>
      </c>
      <c r="JM603" s="1681" t="str">
        <f t="shared" si="241"/>
        <v/>
      </c>
      <c r="JN603" s="1681" t="str">
        <f t="shared" si="242"/>
        <v/>
      </c>
      <c r="JO603" s="1681" t="str">
        <f t="shared" si="243"/>
        <v/>
      </c>
      <c r="JP603" s="1681" t="str">
        <f t="shared" si="244"/>
        <v/>
      </c>
      <c r="JQ603" s="1681" t="str">
        <f t="shared" si="245"/>
        <v/>
      </c>
      <c r="JR603" s="1681" t="str">
        <f t="shared" si="246"/>
        <v/>
      </c>
      <c r="JS603" s="1681" t="str">
        <f t="shared" si="247"/>
        <v/>
      </c>
      <c r="JT603" s="1681" t="str">
        <f t="shared" si="248"/>
        <v/>
      </c>
      <c r="JU603" s="1681" t="str">
        <f t="shared" si="249"/>
        <v/>
      </c>
      <c r="JV603" s="1681" t="str">
        <f t="shared" si="250"/>
        <v/>
      </c>
      <c r="JW603" s="1681" t="str">
        <f t="shared" si="251"/>
        <v/>
      </c>
      <c r="JX603" s="1681" t="str">
        <f t="shared" si="252"/>
        <v/>
      </c>
      <c r="JY603" s="1681" t="str">
        <f t="shared" si="253"/>
        <v/>
      </c>
      <c r="JZ603" s="1681" t="str">
        <f t="shared" si="254"/>
        <v/>
      </c>
      <c r="KA603" s="1681" t="str">
        <f t="shared" si="255"/>
        <v/>
      </c>
      <c r="KB603" s="1681" t="str">
        <f t="shared" si="256"/>
        <v/>
      </c>
      <c r="KC603" s="1681" t="str">
        <f t="shared" si="257"/>
        <v/>
      </c>
      <c r="KD603" s="1681" t="str">
        <f t="shared" si="258"/>
        <v/>
      </c>
      <c r="KE603" s="1681" t="str">
        <f t="shared" si="259"/>
        <v/>
      </c>
      <c r="KF603" s="1681" t="str">
        <f t="shared" si="260"/>
        <v/>
      </c>
      <c r="KG603" s="1681" t="str">
        <f t="shared" si="261"/>
        <v/>
      </c>
      <c r="KH603" s="1681" t="str">
        <f t="shared" si="262"/>
        <v/>
      </c>
      <c r="KI603" s="1681" t="str">
        <f t="shared" si="263"/>
        <v/>
      </c>
      <c r="KJ603" s="1681" t="str">
        <f t="shared" si="264"/>
        <v/>
      </c>
      <c r="KK603" s="1681" t="str">
        <f t="shared" si="265"/>
        <v/>
      </c>
      <c r="KL603" s="1681" t="str">
        <f t="shared" si="266"/>
        <v/>
      </c>
      <c r="KM603" s="1681" t="str">
        <f t="shared" si="267"/>
        <v/>
      </c>
      <c r="KN603" s="1681" t="str">
        <f t="shared" si="268"/>
        <v/>
      </c>
      <c r="KO603" s="1681" t="str">
        <f t="shared" si="269"/>
        <v/>
      </c>
      <c r="KP603" s="1681" t="str">
        <f t="shared" si="270"/>
        <v/>
      </c>
      <c r="KQ603" s="1681" t="str">
        <f t="shared" si="271"/>
        <v/>
      </c>
      <c r="KR603" s="1681" t="str">
        <f t="shared" si="272"/>
        <v/>
      </c>
      <c r="KS603" s="1681" t="str">
        <f t="shared" si="273"/>
        <v/>
      </c>
      <c r="KT603" s="1681" t="str">
        <f t="shared" si="274"/>
        <v/>
      </c>
      <c r="KU603" s="1681" t="str">
        <f t="shared" si="275"/>
        <v/>
      </c>
      <c r="KV603" s="1681" t="str">
        <f t="shared" si="276"/>
        <v/>
      </c>
      <c r="KW603" s="1681" t="str">
        <f t="shared" si="277"/>
        <v/>
      </c>
      <c r="KX603" s="1681" t="str">
        <f t="shared" si="278"/>
        <v/>
      </c>
      <c r="KY603" s="1681" t="str">
        <f t="shared" si="279"/>
        <v/>
      </c>
      <c r="KZ603" s="1681" t="str">
        <f t="shared" si="280"/>
        <v/>
      </c>
      <c r="LA603" s="1681" t="str">
        <f t="shared" si="281"/>
        <v/>
      </c>
      <c r="LB603" s="1681" t="str">
        <f t="shared" si="282"/>
        <v/>
      </c>
      <c r="LC603" s="1681" t="str">
        <f t="shared" si="283"/>
        <v/>
      </c>
      <c r="LD603" s="1681" t="str">
        <f t="shared" si="284"/>
        <v/>
      </c>
      <c r="LE603" s="1681" t="str">
        <f t="shared" si="285"/>
        <v/>
      </c>
      <c r="LF603" s="1525" t="str">
        <f t="shared" si="286"/>
        <v/>
      </c>
      <c r="LG603" s="1525" t="str">
        <f t="shared" si="287"/>
        <v/>
      </c>
      <c r="LH603" s="1525" t="str">
        <f t="shared" si="288"/>
        <v/>
      </c>
      <c r="LI603" s="1525" t="str">
        <f t="shared" si="289"/>
        <v/>
      </c>
      <c r="LJ603" s="1525" t="str">
        <f t="shared" si="290"/>
        <v/>
      </c>
      <c r="LK603" s="1154" t="str">
        <f t="shared" si="291"/>
        <v/>
      </c>
      <c r="LL603" s="1154" t="str">
        <f t="shared" si="292"/>
        <v/>
      </c>
      <c r="LM603" s="1154" t="str">
        <f t="shared" si="293"/>
        <v/>
      </c>
      <c r="LN603" s="1154" t="str">
        <f t="shared" si="294"/>
        <v/>
      </c>
      <c r="LO603" s="1154" t="str">
        <f t="shared" si="295"/>
        <v/>
      </c>
      <c r="LP603" s="1154" t="str">
        <f t="shared" si="296"/>
        <v/>
      </c>
      <c r="LQ603" s="1154" t="str">
        <f t="shared" si="297"/>
        <v/>
      </c>
      <c r="LR603" s="1154" t="str">
        <f t="shared" si="298"/>
        <v/>
      </c>
      <c r="LS603" s="1154" t="str">
        <f t="shared" si="299"/>
        <v/>
      </c>
      <c r="LT603" s="1154" t="str">
        <f t="shared" si="300"/>
        <v/>
      </c>
      <c r="LU603" s="1154" t="str">
        <f t="shared" si="301"/>
        <v/>
      </c>
      <c r="LV603" s="1154" t="str">
        <f t="shared" si="302"/>
        <v/>
      </c>
      <c r="LW603" s="1154" t="str">
        <f t="shared" si="303"/>
        <v/>
      </c>
      <c r="LX603" s="1154" t="str">
        <f t="shared" si="304"/>
        <v/>
      </c>
      <c r="LY603" s="1154" t="str">
        <f t="shared" si="305"/>
        <v/>
      </c>
      <c r="LZ603" s="1154" t="str">
        <f t="shared" si="306"/>
        <v/>
      </c>
      <c r="MA603" s="1154" t="str">
        <f t="shared" si="307"/>
        <v/>
      </c>
      <c r="MB603" s="1154" t="str">
        <f t="shared" si="308"/>
        <v/>
      </c>
      <c r="MC603" s="1154" t="str">
        <f t="shared" si="309"/>
        <v/>
      </c>
      <c r="MD603" s="1154" t="str">
        <f t="shared" si="310"/>
        <v/>
      </c>
      <c r="ME603" s="1525">
        <f t="shared" si="322"/>
        <v>0</v>
      </c>
      <c r="MF603" s="1525">
        <f t="shared" si="323"/>
        <v>0</v>
      </c>
      <c r="MG603" s="1525">
        <f t="shared" si="324"/>
        <v>0</v>
      </c>
      <c r="MH603" s="1525">
        <f t="shared" si="325"/>
        <v>0</v>
      </c>
      <c r="MI603" s="1525">
        <f t="shared" si="326"/>
        <v>0</v>
      </c>
      <c r="MJ603" s="1525">
        <f t="shared" si="327"/>
        <v>0</v>
      </c>
      <c r="MK603" s="1525">
        <f t="shared" si="328"/>
        <v>0</v>
      </c>
      <c r="ML603" s="1525">
        <f t="shared" si="329"/>
        <v>0</v>
      </c>
      <c r="MM603" s="1525">
        <f t="shared" si="330"/>
        <v>0</v>
      </c>
      <c r="MN603" s="1525">
        <f t="shared" si="331"/>
        <v>0</v>
      </c>
      <c r="MO603" s="1525">
        <f t="shared" si="332"/>
        <v>0</v>
      </c>
      <c r="MP603" s="1525">
        <f t="shared" si="333"/>
        <v>0</v>
      </c>
      <c r="MQ603" s="1525">
        <f t="shared" si="334"/>
        <v>0</v>
      </c>
      <c r="MR603" s="1525">
        <f t="shared" si="335"/>
        <v>0</v>
      </c>
      <c r="MS603" s="1525">
        <f t="shared" si="336"/>
        <v>0</v>
      </c>
    </row>
    <row r="604" spans="1:357" s="1154" customFormat="1" ht="12" customHeight="1">
      <c r="A604" s="1524" t="str">
        <f t="shared" si="1"/>
        <v/>
      </c>
      <c r="B604" s="1682">
        <f>'Part VI-Revenues &amp; Expenses'!B33</f>
        <v>0</v>
      </c>
      <c r="C604" s="1673">
        <f>'Part VI-Revenues &amp; Expenses'!C33</f>
        <v>0</v>
      </c>
      <c r="D604" s="1674">
        <f>'Part VI-Revenues &amp; Expenses'!D33</f>
        <v>0</v>
      </c>
      <c r="E604" s="1675">
        <f>'Part VI-Revenues &amp; Expenses'!E33</f>
        <v>0</v>
      </c>
      <c r="F604" s="1675">
        <f>'Part VI-Revenues &amp; Expenses'!F33</f>
        <v>0</v>
      </c>
      <c r="G604" s="1675">
        <f>'Part VI-Revenues &amp; Expenses'!G33</f>
        <v>0</v>
      </c>
      <c r="H604" s="1675">
        <f>'Part VI-Revenues &amp; Expenses'!H33</f>
        <v>0</v>
      </c>
      <c r="I604" s="1675">
        <f>'Part VI-Revenues &amp; Expenses'!I33</f>
        <v>0</v>
      </c>
      <c r="J604" s="1676">
        <f>'Part VI-Revenues &amp; Expenses'!J33</f>
        <v>0</v>
      </c>
      <c r="K604" s="1677">
        <f>'Part VI-Revenues &amp; Expenses'!K33</f>
        <v>0</v>
      </c>
      <c r="L604" s="1677">
        <f>'Part VI-Revenues &amp; Expenses'!L33</f>
        <v>0</v>
      </c>
      <c r="M604" s="1678">
        <f>'Part VI-Revenues &amp; Expenses'!M33</f>
        <v>0</v>
      </c>
      <c r="N604" s="1678">
        <f>'Part VI-Revenues &amp; Expenses'!N33</f>
        <v>0</v>
      </c>
      <c r="O604" s="1678">
        <f>'Part VI-Revenues &amp; Expenses'!O33</f>
        <v>0</v>
      </c>
      <c r="P604" s="1660">
        <f>'Part VI-Revenues &amp; Expenses'!P33</f>
        <v>0</v>
      </c>
      <c r="Q604" s="1679"/>
      <c r="R604" s="1680"/>
      <c r="S604" s="1679"/>
      <c r="T604" s="1680"/>
      <c r="U604" s="1519"/>
      <c r="V604" s="1519"/>
      <c r="W604" s="1154" t="str">
        <f t="shared" si="2"/>
        <v/>
      </c>
      <c r="X604" s="1154" t="str">
        <f t="shared" si="3"/>
        <v/>
      </c>
      <c r="Y604" s="1154" t="str">
        <f t="shared" si="4"/>
        <v/>
      </c>
      <c r="Z604" s="1154" t="str">
        <f t="shared" si="5"/>
        <v/>
      </c>
      <c r="AA604" s="1154" t="str">
        <f t="shared" si="6"/>
        <v/>
      </c>
      <c r="AB604" s="1154" t="str">
        <f t="shared" si="7"/>
        <v/>
      </c>
      <c r="AC604" s="1154" t="str">
        <f t="shared" si="8"/>
        <v/>
      </c>
      <c r="AD604" s="1154" t="str">
        <f t="shared" si="9"/>
        <v/>
      </c>
      <c r="AE604" s="1154" t="str">
        <f t="shared" si="10"/>
        <v/>
      </c>
      <c r="AF604" s="1154" t="str">
        <f t="shared" si="11"/>
        <v/>
      </c>
      <c r="AG604" s="1154" t="str">
        <f t="shared" si="12"/>
        <v/>
      </c>
      <c r="AH604" s="1154" t="str">
        <f t="shared" si="13"/>
        <v/>
      </c>
      <c r="AI604" s="1154" t="str">
        <f t="shared" si="14"/>
        <v/>
      </c>
      <c r="AJ604" s="1154" t="str">
        <f t="shared" si="15"/>
        <v/>
      </c>
      <c r="AK604" s="1154" t="str">
        <f t="shared" si="16"/>
        <v/>
      </c>
      <c r="AL604" s="1154" t="str">
        <f t="shared" si="17"/>
        <v/>
      </c>
      <c r="AM604" s="1154" t="str">
        <f t="shared" si="18"/>
        <v/>
      </c>
      <c r="AN604" s="1154" t="str">
        <f t="shared" si="19"/>
        <v/>
      </c>
      <c r="AO604" s="1154" t="str">
        <f t="shared" si="20"/>
        <v/>
      </c>
      <c r="AP604" s="1154" t="str">
        <f t="shared" si="21"/>
        <v/>
      </c>
      <c r="AQ604" s="1154" t="str">
        <f t="shared" si="22"/>
        <v/>
      </c>
      <c r="AR604" s="1154" t="str">
        <f t="shared" si="23"/>
        <v/>
      </c>
      <c r="AS604" s="1154" t="str">
        <f t="shared" si="24"/>
        <v/>
      </c>
      <c r="AT604" s="1154" t="str">
        <f t="shared" si="25"/>
        <v/>
      </c>
      <c r="AU604" s="1154" t="str">
        <f t="shared" si="26"/>
        <v/>
      </c>
      <c r="AV604" s="1154" t="str">
        <f t="shared" si="27"/>
        <v/>
      </c>
      <c r="AW604" s="1154" t="str">
        <f t="shared" si="28"/>
        <v/>
      </c>
      <c r="AX604" s="1154" t="str">
        <f t="shared" si="29"/>
        <v/>
      </c>
      <c r="AY604" s="1154" t="str">
        <f t="shared" si="30"/>
        <v/>
      </c>
      <c r="AZ604" s="1154" t="str">
        <f t="shared" si="31"/>
        <v/>
      </c>
      <c r="BA604" s="1154" t="str">
        <f t="shared" si="32"/>
        <v/>
      </c>
      <c r="BB604" s="1154" t="str">
        <f t="shared" si="33"/>
        <v/>
      </c>
      <c r="BC604" s="1154" t="str">
        <f t="shared" si="34"/>
        <v/>
      </c>
      <c r="BD604" s="1154" t="str">
        <f t="shared" si="35"/>
        <v/>
      </c>
      <c r="BE604" s="1154" t="str">
        <f t="shared" si="36"/>
        <v/>
      </c>
      <c r="BF604" s="1154" t="str">
        <f t="shared" si="37"/>
        <v/>
      </c>
      <c r="BG604" s="1154" t="str">
        <f t="shared" si="38"/>
        <v/>
      </c>
      <c r="BH604" s="1154" t="str">
        <f t="shared" si="39"/>
        <v/>
      </c>
      <c r="BI604" s="1154" t="str">
        <f t="shared" si="40"/>
        <v/>
      </c>
      <c r="BJ604" s="1154" t="str">
        <f t="shared" si="41"/>
        <v/>
      </c>
      <c r="BK604" s="1154" t="str">
        <f t="shared" si="42"/>
        <v/>
      </c>
      <c r="BL604" s="1154" t="str">
        <f t="shared" si="43"/>
        <v/>
      </c>
      <c r="BM604" s="1154" t="str">
        <f t="shared" si="44"/>
        <v/>
      </c>
      <c r="BN604" s="1154" t="str">
        <f t="shared" si="45"/>
        <v/>
      </c>
      <c r="BO604" s="1154" t="str">
        <f t="shared" si="46"/>
        <v/>
      </c>
      <c r="BP604" s="1154" t="str">
        <f t="shared" si="47"/>
        <v/>
      </c>
      <c r="BQ604" s="1154" t="str">
        <f t="shared" si="48"/>
        <v/>
      </c>
      <c r="BR604" s="1154" t="str">
        <f t="shared" si="49"/>
        <v/>
      </c>
      <c r="BS604" s="1154" t="str">
        <f t="shared" si="50"/>
        <v/>
      </c>
      <c r="BT604" s="1154" t="str">
        <f t="shared" si="51"/>
        <v/>
      </c>
      <c r="BU604" s="1154" t="str">
        <f t="shared" si="52"/>
        <v/>
      </c>
      <c r="BV604" s="1154" t="str">
        <f t="shared" si="53"/>
        <v/>
      </c>
      <c r="BW604" s="1154" t="str">
        <f t="shared" si="54"/>
        <v/>
      </c>
      <c r="BX604" s="1154" t="str">
        <f t="shared" si="55"/>
        <v/>
      </c>
      <c r="BY604" s="1154" t="str">
        <f t="shared" si="56"/>
        <v/>
      </c>
      <c r="BZ604" s="1154" t="str">
        <f t="shared" si="57"/>
        <v/>
      </c>
      <c r="CA604" s="1154" t="str">
        <f t="shared" si="58"/>
        <v/>
      </c>
      <c r="CB604" s="1154" t="str">
        <f t="shared" si="59"/>
        <v/>
      </c>
      <c r="CC604" s="1154" t="str">
        <f t="shared" si="60"/>
        <v/>
      </c>
      <c r="CD604" s="1154" t="str">
        <f t="shared" si="61"/>
        <v/>
      </c>
      <c r="CE604" s="1154" t="str">
        <f t="shared" si="62"/>
        <v/>
      </c>
      <c r="CF604" s="1154" t="str">
        <f t="shared" si="63"/>
        <v/>
      </c>
      <c r="CG604" s="1154" t="str">
        <f t="shared" si="64"/>
        <v/>
      </c>
      <c r="CH604" s="1154" t="str">
        <f t="shared" si="65"/>
        <v/>
      </c>
      <c r="CI604" s="1154" t="str">
        <f t="shared" si="66"/>
        <v/>
      </c>
      <c r="CJ604" s="1154" t="str">
        <f t="shared" si="67"/>
        <v/>
      </c>
      <c r="CK604" s="1154" t="str">
        <f t="shared" si="68"/>
        <v/>
      </c>
      <c r="CL604" s="1154" t="str">
        <f t="shared" si="69"/>
        <v/>
      </c>
      <c r="CM604" s="1154" t="str">
        <f t="shared" si="70"/>
        <v/>
      </c>
      <c r="CN604" s="1154" t="str">
        <f t="shared" si="71"/>
        <v/>
      </c>
      <c r="CO604" s="1154" t="str">
        <f t="shared" si="72"/>
        <v/>
      </c>
      <c r="CP604" s="1154" t="str">
        <f t="shared" si="73"/>
        <v/>
      </c>
      <c r="CQ604" s="1154" t="str">
        <f t="shared" si="74"/>
        <v/>
      </c>
      <c r="CR604" s="1154" t="str">
        <f t="shared" si="75"/>
        <v/>
      </c>
      <c r="CS604" s="1154" t="str">
        <f t="shared" si="76"/>
        <v/>
      </c>
      <c r="CT604" s="1154" t="str">
        <f t="shared" si="77"/>
        <v/>
      </c>
      <c r="CU604" s="1154" t="str">
        <f t="shared" si="78"/>
        <v/>
      </c>
      <c r="CV604" s="1154" t="str">
        <f t="shared" si="79"/>
        <v/>
      </c>
      <c r="CW604" s="1154" t="str">
        <f t="shared" si="80"/>
        <v/>
      </c>
      <c r="CX604" s="1154" t="str">
        <f t="shared" si="81"/>
        <v/>
      </c>
      <c r="CY604" s="1154" t="str">
        <f t="shared" si="82"/>
        <v/>
      </c>
      <c r="CZ604" s="1154" t="str">
        <f t="shared" si="83"/>
        <v/>
      </c>
      <c r="DA604" s="1154" t="str">
        <f t="shared" si="84"/>
        <v/>
      </c>
      <c r="DB604" s="1154" t="str">
        <f t="shared" si="85"/>
        <v/>
      </c>
      <c r="DC604" s="1154" t="str">
        <f t="shared" si="86"/>
        <v/>
      </c>
      <c r="DD604" s="1154" t="str">
        <f t="shared" si="87"/>
        <v/>
      </c>
      <c r="DE604" s="1154" t="str">
        <f t="shared" si="88"/>
        <v/>
      </c>
      <c r="DF604" s="1154" t="str">
        <f t="shared" si="89"/>
        <v/>
      </c>
      <c r="DG604" s="1154" t="str">
        <f t="shared" si="90"/>
        <v/>
      </c>
      <c r="DH604" s="1154" t="str">
        <f t="shared" si="91"/>
        <v/>
      </c>
      <c r="DI604" s="1154" t="str">
        <f t="shared" si="92"/>
        <v/>
      </c>
      <c r="DJ604" s="1154" t="str">
        <f t="shared" si="93"/>
        <v/>
      </c>
      <c r="DK604" s="1154" t="str">
        <f t="shared" si="94"/>
        <v/>
      </c>
      <c r="DL604" s="1154" t="str">
        <f t="shared" si="95"/>
        <v/>
      </c>
      <c r="DM604" s="1154" t="str">
        <f t="shared" si="96"/>
        <v/>
      </c>
      <c r="DN604" s="1154" t="str">
        <f t="shared" si="97"/>
        <v/>
      </c>
      <c r="DO604" s="1154" t="str">
        <f t="shared" si="98"/>
        <v/>
      </c>
      <c r="DP604" s="1154" t="str">
        <f t="shared" si="99"/>
        <v/>
      </c>
      <c r="DQ604" s="1154" t="str">
        <f t="shared" si="100"/>
        <v/>
      </c>
      <c r="DR604" s="1154" t="str">
        <f t="shared" si="101"/>
        <v/>
      </c>
      <c r="DS604" s="1154" t="str">
        <f t="shared" si="102"/>
        <v/>
      </c>
      <c r="DT604" s="1154" t="str">
        <f t="shared" si="103"/>
        <v/>
      </c>
      <c r="DU604" s="1154" t="str">
        <f t="shared" si="104"/>
        <v/>
      </c>
      <c r="DV604" s="1154" t="str">
        <f t="shared" si="105"/>
        <v/>
      </c>
      <c r="DW604" s="1154" t="str">
        <f t="shared" si="106"/>
        <v/>
      </c>
      <c r="DX604" s="1154" t="str">
        <f t="shared" si="107"/>
        <v/>
      </c>
      <c r="DY604" s="1154" t="str">
        <f t="shared" si="108"/>
        <v/>
      </c>
      <c r="DZ604" s="1154" t="str">
        <f t="shared" si="109"/>
        <v/>
      </c>
      <c r="EA604" s="1154" t="str">
        <f t="shared" si="110"/>
        <v/>
      </c>
      <c r="EB604" s="1154" t="str">
        <f t="shared" si="111"/>
        <v/>
      </c>
      <c r="EC604" s="1154" t="str">
        <f t="shared" si="112"/>
        <v/>
      </c>
      <c r="ED604" s="1154" t="str">
        <f t="shared" si="113"/>
        <v/>
      </c>
      <c r="EE604" s="1154" t="str">
        <f t="shared" si="114"/>
        <v/>
      </c>
      <c r="EF604" s="1154" t="str">
        <f t="shared" si="115"/>
        <v/>
      </c>
      <c r="EG604" s="1154" t="str">
        <f t="shared" si="311"/>
        <v/>
      </c>
      <c r="EH604" s="1154" t="str">
        <f t="shared" si="116"/>
        <v/>
      </c>
      <c r="EI604" s="1154" t="str">
        <f t="shared" si="117"/>
        <v/>
      </c>
      <c r="EJ604" s="1154" t="str">
        <f t="shared" si="118"/>
        <v/>
      </c>
      <c r="EK604" s="1154" t="str">
        <f t="shared" si="119"/>
        <v/>
      </c>
      <c r="EL604" s="1154" t="str">
        <f t="shared" si="120"/>
        <v/>
      </c>
      <c r="EM604" s="1154" t="str">
        <f t="shared" si="121"/>
        <v/>
      </c>
      <c r="EN604" s="1154" t="str">
        <f t="shared" si="122"/>
        <v/>
      </c>
      <c r="EO604" s="1154" t="str">
        <f t="shared" si="123"/>
        <v/>
      </c>
      <c r="EP604" s="1154" t="str">
        <f t="shared" si="124"/>
        <v/>
      </c>
      <c r="EQ604" s="1154" t="str">
        <f t="shared" si="125"/>
        <v/>
      </c>
      <c r="ER604" s="1154" t="str">
        <f t="shared" si="126"/>
        <v/>
      </c>
      <c r="ES604" s="1154" t="str">
        <f t="shared" si="127"/>
        <v/>
      </c>
      <c r="ET604" s="1154" t="str">
        <f t="shared" si="128"/>
        <v/>
      </c>
      <c r="EU604" s="1154" t="str">
        <f t="shared" si="129"/>
        <v/>
      </c>
      <c r="EV604" s="1154" t="str">
        <f t="shared" si="130"/>
        <v/>
      </c>
      <c r="EW604" s="1154" t="str">
        <f t="shared" si="312"/>
        <v/>
      </c>
      <c r="EX604" s="1154" t="str">
        <f t="shared" si="313"/>
        <v/>
      </c>
      <c r="EY604" s="1154" t="str">
        <f t="shared" si="314"/>
        <v/>
      </c>
      <c r="EZ604" s="1154" t="str">
        <f t="shared" si="315"/>
        <v/>
      </c>
      <c r="FA604" s="1154" t="str">
        <f t="shared" si="316"/>
        <v/>
      </c>
      <c r="FB604" s="1154" t="str">
        <f t="shared" si="131"/>
        <v/>
      </c>
      <c r="FC604" s="1154" t="str">
        <f t="shared" si="132"/>
        <v/>
      </c>
      <c r="FD604" s="1154" t="str">
        <f t="shared" si="133"/>
        <v/>
      </c>
      <c r="FE604" s="1154" t="str">
        <f t="shared" si="134"/>
        <v/>
      </c>
      <c r="FF604" s="1154" t="str">
        <f t="shared" si="135"/>
        <v/>
      </c>
      <c r="FG604" s="1154" t="str">
        <f t="shared" si="317"/>
        <v/>
      </c>
      <c r="FH604" s="1154" t="str">
        <f t="shared" si="318"/>
        <v/>
      </c>
      <c r="FI604" s="1154" t="str">
        <f t="shared" si="319"/>
        <v/>
      </c>
      <c r="FJ604" s="1154" t="str">
        <f t="shared" si="320"/>
        <v/>
      </c>
      <c r="FK604" s="1154" t="str">
        <f t="shared" si="321"/>
        <v/>
      </c>
      <c r="FL604" s="1154" t="str">
        <f t="shared" si="136"/>
        <v/>
      </c>
      <c r="FM604" s="1154" t="str">
        <f t="shared" si="137"/>
        <v/>
      </c>
      <c r="FN604" s="1154" t="str">
        <f t="shared" si="138"/>
        <v/>
      </c>
      <c r="FO604" s="1154" t="str">
        <f t="shared" si="139"/>
        <v/>
      </c>
      <c r="FP604" s="1154" t="str">
        <f t="shared" si="140"/>
        <v/>
      </c>
      <c r="FQ604" s="1154" t="str">
        <f t="shared" si="141"/>
        <v/>
      </c>
      <c r="FR604" s="1154" t="str">
        <f t="shared" si="142"/>
        <v/>
      </c>
      <c r="FS604" s="1154" t="str">
        <f t="shared" si="143"/>
        <v/>
      </c>
      <c r="FT604" s="1154" t="str">
        <f t="shared" si="144"/>
        <v/>
      </c>
      <c r="FU604" s="1154" t="str">
        <f t="shared" si="145"/>
        <v/>
      </c>
      <c r="FV604" s="1154" t="str">
        <f t="shared" si="146"/>
        <v/>
      </c>
      <c r="FW604" s="1154" t="str">
        <f t="shared" si="147"/>
        <v/>
      </c>
      <c r="FX604" s="1154" t="str">
        <f t="shared" si="148"/>
        <v/>
      </c>
      <c r="FY604" s="1154" t="str">
        <f t="shared" si="149"/>
        <v/>
      </c>
      <c r="FZ604" s="1154" t="str">
        <f t="shared" si="150"/>
        <v/>
      </c>
      <c r="GA604" s="1154" t="str">
        <f t="shared" si="151"/>
        <v/>
      </c>
      <c r="GB604" s="1154" t="str">
        <f t="shared" si="152"/>
        <v/>
      </c>
      <c r="GC604" s="1154" t="str">
        <f t="shared" si="153"/>
        <v/>
      </c>
      <c r="GD604" s="1154" t="str">
        <f t="shared" si="154"/>
        <v/>
      </c>
      <c r="GE604" s="1154" t="str">
        <f t="shared" si="155"/>
        <v/>
      </c>
      <c r="GF604" s="1154" t="str">
        <f t="shared" si="156"/>
        <v/>
      </c>
      <c r="GG604" s="1154" t="str">
        <f t="shared" si="157"/>
        <v/>
      </c>
      <c r="GH604" s="1154" t="str">
        <f t="shared" si="158"/>
        <v/>
      </c>
      <c r="GI604" s="1154" t="str">
        <f t="shared" si="159"/>
        <v/>
      </c>
      <c r="GJ604" s="1154" t="str">
        <f t="shared" si="160"/>
        <v/>
      </c>
      <c r="GK604" s="1154" t="str">
        <f t="shared" si="161"/>
        <v/>
      </c>
      <c r="GL604" s="1154" t="str">
        <f t="shared" si="162"/>
        <v/>
      </c>
      <c r="GM604" s="1154" t="str">
        <f t="shared" si="163"/>
        <v/>
      </c>
      <c r="GN604" s="1154" t="str">
        <f t="shared" si="164"/>
        <v/>
      </c>
      <c r="GO604" s="1154" t="str">
        <f t="shared" si="165"/>
        <v/>
      </c>
      <c r="GP604" s="1154" t="str">
        <f t="shared" si="166"/>
        <v/>
      </c>
      <c r="GQ604" s="1154" t="str">
        <f t="shared" si="167"/>
        <v/>
      </c>
      <c r="GR604" s="1154" t="str">
        <f t="shared" si="168"/>
        <v/>
      </c>
      <c r="GS604" s="1154" t="str">
        <f t="shared" si="169"/>
        <v/>
      </c>
      <c r="GT604" s="1154" t="str">
        <f t="shared" si="170"/>
        <v/>
      </c>
      <c r="GU604" s="1154" t="str">
        <f t="shared" si="171"/>
        <v/>
      </c>
      <c r="GV604" s="1154" t="str">
        <f t="shared" si="172"/>
        <v/>
      </c>
      <c r="GW604" s="1154" t="str">
        <f t="shared" si="173"/>
        <v/>
      </c>
      <c r="GX604" s="1154" t="str">
        <f t="shared" si="174"/>
        <v/>
      </c>
      <c r="GY604" s="1154" t="str">
        <f t="shared" si="175"/>
        <v/>
      </c>
      <c r="GZ604" s="1154" t="str">
        <f t="shared" si="176"/>
        <v/>
      </c>
      <c r="HA604" s="1154" t="str">
        <f t="shared" si="177"/>
        <v/>
      </c>
      <c r="HB604" s="1154" t="str">
        <f t="shared" si="178"/>
        <v/>
      </c>
      <c r="HC604" s="1154" t="str">
        <f t="shared" si="179"/>
        <v/>
      </c>
      <c r="HD604" s="1154" t="str">
        <f t="shared" si="180"/>
        <v/>
      </c>
      <c r="HE604" s="1154" t="str">
        <f t="shared" si="181"/>
        <v/>
      </c>
      <c r="HF604" s="1154" t="str">
        <f t="shared" si="182"/>
        <v/>
      </c>
      <c r="HG604" s="1154" t="str">
        <f t="shared" si="183"/>
        <v/>
      </c>
      <c r="HH604" s="1154" t="str">
        <f t="shared" si="184"/>
        <v/>
      </c>
      <c r="HI604" s="1154" t="str">
        <f t="shared" si="185"/>
        <v/>
      </c>
      <c r="HJ604" s="1154" t="str">
        <f t="shared" si="186"/>
        <v/>
      </c>
      <c r="HK604" s="1154" t="str">
        <f t="shared" si="187"/>
        <v/>
      </c>
      <c r="HL604" s="1154" t="str">
        <f t="shared" si="188"/>
        <v/>
      </c>
      <c r="HM604" s="1154" t="str">
        <f t="shared" si="189"/>
        <v/>
      </c>
      <c r="HN604" s="1154" t="str">
        <f t="shared" si="190"/>
        <v/>
      </c>
      <c r="HO604" s="1154" t="str">
        <f t="shared" si="191"/>
        <v/>
      </c>
      <c r="HP604" s="1154" t="str">
        <f t="shared" si="192"/>
        <v/>
      </c>
      <c r="HQ604" s="1154" t="str">
        <f t="shared" si="193"/>
        <v/>
      </c>
      <c r="HR604" s="1154" t="str">
        <f t="shared" si="194"/>
        <v/>
      </c>
      <c r="HS604" s="1154" t="str">
        <f t="shared" si="195"/>
        <v/>
      </c>
      <c r="HT604" s="1154" t="str">
        <f t="shared" si="196"/>
        <v/>
      </c>
      <c r="HU604" s="1154" t="str">
        <f t="shared" si="197"/>
        <v/>
      </c>
      <c r="HV604" s="1154" t="str">
        <f t="shared" si="198"/>
        <v/>
      </c>
      <c r="HW604" s="1154" t="str">
        <f t="shared" si="199"/>
        <v/>
      </c>
      <c r="HX604" s="1154" t="str">
        <f t="shared" si="200"/>
        <v/>
      </c>
      <c r="HY604" s="1681" t="str">
        <f t="shared" si="201"/>
        <v/>
      </c>
      <c r="HZ604" s="1681" t="str">
        <f t="shared" si="202"/>
        <v/>
      </c>
      <c r="IA604" s="1681" t="str">
        <f t="shared" si="203"/>
        <v/>
      </c>
      <c r="IB604" s="1681" t="str">
        <f t="shared" si="204"/>
        <v/>
      </c>
      <c r="IC604" s="1681" t="str">
        <f t="shared" si="205"/>
        <v/>
      </c>
      <c r="ID604" s="1681" t="str">
        <f t="shared" si="206"/>
        <v/>
      </c>
      <c r="IE604" s="1681" t="str">
        <f t="shared" si="207"/>
        <v/>
      </c>
      <c r="IF604" s="1681" t="str">
        <f t="shared" si="208"/>
        <v/>
      </c>
      <c r="IG604" s="1681" t="str">
        <f t="shared" si="209"/>
        <v/>
      </c>
      <c r="IH604" s="1681" t="str">
        <f t="shared" si="210"/>
        <v/>
      </c>
      <c r="II604" s="1681" t="str">
        <f t="shared" si="211"/>
        <v/>
      </c>
      <c r="IJ604" s="1681" t="str">
        <f t="shared" si="212"/>
        <v/>
      </c>
      <c r="IK604" s="1681" t="str">
        <f t="shared" si="213"/>
        <v/>
      </c>
      <c r="IL604" s="1681" t="str">
        <f t="shared" si="214"/>
        <v/>
      </c>
      <c r="IM604" s="1681" t="str">
        <f t="shared" si="215"/>
        <v/>
      </c>
      <c r="IN604" s="1681" t="str">
        <f t="shared" si="216"/>
        <v/>
      </c>
      <c r="IO604" s="1681" t="str">
        <f t="shared" si="217"/>
        <v/>
      </c>
      <c r="IP604" s="1681" t="str">
        <f t="shared" si="218"/>
        <v/>
      </c>
      <c r="IQ604" s="1681" t="str">
        <f t="shared" si="219"/>
        <v/>
      </c>
      <c r="IR604" s="1681" t="str">
        <f t="shared" si="220"/>
        <v/>
      </c>
      <c r="IS604" s="1681" t="str">
        <f t="shared" si="221"/>
        <v/>
      </c>
      <c r="IT604" s="1681" t="str">
        <f t="shared" si="222"/>
        <v/>
      </c>
      <c r="IU604" s="1681" t="str">
        <f t="shared" si="223"/>
        <v/>
      </c>
      <c r="IV604" s="1681" t="str">
        <f t="shared" si="224"/>
        <v/>
      </c>
      <c r="IW604" s="1681" t="str">
        <f t="shared" si="225"/>
        <v/>
      </c>
      <c r="IX604" s="1681" t="str">
        <f t="shared" si="226"/>
        <v/>
      </c>
      <c r="IY604" s="1681" t="str">
        <f t="shared" si="227"/>
        <v/>
      </c>
      <c r="IZ604" s="1681" t="str">
        <f t="shared" si="228"/>
        <v/>
      </c>
      <c r="JA604" s="1681" t="str">
        <f t="shared" si="229"/>
        <v/>
      </c>
      <c r="JB604" s="1681" t="str">
        <f t="shared" si="230"/>
        <v/>
      </c>
      <c r="JC604" s="1681" t="str">
        <f t="shared" si="231"/>
        <v/>
      </c>
      <c r="JD604" s="1681" t="str">
        <f t="shared" si="232"/>
        <v/>
      </c>
      <c r="JE604" s="1681" t="str">
        <f t="shared" si="233"/>
        <v/>
      </c>
      <c r="JF604" s="1681" t="str">
        <f t="shared" si="234"/>
        <v/>
      </c>
      <c r="JG604" s="1681" t="str">
        <f t="shared" si="235"/>
        <v/>
      </c>
      <c r="JH604" s="1681" t="str">
        <f t="shared" si="236"/>
        <v/>
      </c>
      <c r="JI604" s="1681" t="str">
        <f t="shared" si="237"/>
        <v/>
      </c>
      <c r="JJ604" s="1681" t="str">
        <f t="shared" si="238"/>
        <v/>
      </c>
      <c r="JK604" s="1681" t="str">
        <f t="shared" si="239"/>
        <v/>
      </c>
      <c r="JL604" s="1681" t="str">
        <f t="shared" si="240"/>
        <v/>
      </c>
      <c r="JM604" s="1681" t="str">
        <f t="shared" si="241"/>
        <v/>
      </c>
      <c r="JN604" s="1681" t="str">
        <f t="shared" si="242"/>
        <v/>
      </c>
      <c r="JO604" s="1681" t="str">
        <f t="shared" si="243"/>
        <v/>
      </c>
      <c r="JP604" s="1681" t="str">
        <f t="shared" si="244"/>
        <v/>
      </c>
      <c r="JQ604" s="1681" t="str">
        <f t="shared" si="245"/>
        <v/>
      </c>
      <c r="JR604" s="1681" t="str">
        <f t="shared" si="246"/>
        <v/>
      </c>
      <c r="JS604" s="1681" t="str">
        <f t="shared" si="247"/>
        <v/>
      </c>
      <c r="JT604" s="1681" t="str">
        <f t="shared" si="248"/>
        <v/>
      </c>
      <c r="JU604" s="1681" t="str">
        <f t="shared" si="249"/>
        <v/>
      </c>
      <c r="JV604" s="1681" t="str">
        <f t="shared" si="250"/>
        <v/>
      </c>
      <c r="JW604" s="1681" t="str">
        <f t="shared" si="251"/>
        <v/>
      </c>
      <c r="JX604" s="1681" t="str">
        <f t="shared" si="252"/>
        <v/>
      </c>
      <c r="JY604" s="1681" t="str">
        <f t="shared" si="253"/>
        <v/>
      </c>
      <c r="JZ604" s="1681" t="str">
        <f t="shared" si="254"/>
        <v/>
      </c>
      <c r="KA604" s="1681" t="str">
        <f t="shared" si="255"/>
        <v/>
      </c>
      <c r="KB604" s="1681" t="str">
        <f t="shared" si="256"/>
        <v/>
      </c>
      <c r="KC604" s="1681" t="str">
        <f t="shared" si="257"/>
        <v/>
      </c>
      <c r="KD604" s="1681" t="str">
        <f t="shared" si="258"/>
        <v/>
      </c>
      <c r="KE604" s="1681" t="str">
        <f t="shared" si="259"/>
        <v/>
      </c>
      <c r="KF604" s="1681" t="str">
        <f t="shared" si="260"/>
        <v/>
      </c>
      <c r="KG604" s="1681" t="str">
        <f t="shared" si="261"/>
        <v/>
      </c>
      <c r="KH604" s="1681" t="str">
        <f t="shared" si="262"/>
        <v/>
      </c>
      <c r="KI604" s="1681" t="str">
        <f t="shared" si="263"/>
        <v/>
      </c>
      <c r="KJ604" s="1681" t="str">
        <f t="shared" si="264"/>
        <v/>
      </c>
      <c r="KK604" s="1681" t="str">
        <f t="shared" si="265"/>
        <v/>
      </c>
      <c r="KL604" s="1681" t="str">
        <f t="shared" si="266"/>
        <v/>
      </c>
      <c r="KM604" s="1681" t="str">
        <f t="shared" si="267"/>
        <v/>
      </c>
      <c r="KN604" s="1681" t="str">
        <f t="shared" si="268"/>
        <v/>
      </c>
      <c r="KO604" s="1681" t="str">
        <f t="shared" si="269"/>
        <v/>
      </c>
      <c r="KP604" s="1681" t="str">
        <f t="shared" si="270"/>
        <v/>
      </c>
      <c r="KQ604" s="1681" t="str">
        <f t="shared" si="271"/>
        <v/>
      </c>
      <c r="KR604" s="1681" t="str">
        <f t="shared" si="272"/>
        <v/>
      </c>
      <c r="KS604" s="1681" t="str">
        <f t="shared" si="273"/>
        <v/>
      </c>
      <c r="KT604" s="1681" t="str">
        <f t="shared" si="274"/>
        <v/>
      </c>
      <c r="KU604" s="1681" t="str">
        <f t="shared" si="275"/>
        <v/>
      </c>
      <c r="KV604" s="1681" t="str">
        <f t="shared" si="276"/>
        <v/>
      </c>
      <c r="KW604" s="1681" t="str">
        <f t="shared" si="277"/>
        <v/>
      </c>
      <c r="KX604" s="1681" t="str">
        <f t="shared" si="278"/>
        <v/>
      </c>
      <c r="KY604" s="1681" t="str">
        <f t="shared" si="279"/>
        <v/>
      </c>
      <c r="KZ604" s="1681" t="str">
        <f t="shared" si="280"/>
        <v/>
      </c>
      <c r="LA604" s="1681" t="str">
        <f t="shared" si="281"/>
        <v/>
      </c>
      <c r="LB604" s="1681" t="str">
        <f t="shared" si="282"/>
        <v/>
      </c>
      <c r="LC604" s="1681" t="str">
        <f t="shared" si="283"/>
        <v/>
      </c>
      <c r="LD604" s="1681" t="str">
        <f t="shared" si="284"/>
        <v/>
      </c>
      <c r="LE604" s="1681" t="str">
        <f t="shared" si="285"/>
        <v/>
      </c>
      <c r="LF604" s="1525" t="str">
        <f t="shared" si="286"/>
        <v/>
      </c>
      <c r="LG604" s="1525" t="str">
        <f t="shared" si="287"/>
        <v/>
      </c>
      <c r="LH604" s="1525" t="str">
        <f t="shared" si="288"/>
        <v/>
      </c>
      <c r="LI604" s="1525" t="str">
        <f t="shared" si="289"/>
        <v/>
      </c>
      <c r="LJ604" s="1525" t="str">
        <f t="shared" si="290"/>
        <v/>
      </c>
      <c r="LK604" s="1154" t="str">
        <f t="shared" si="291"/>
        <v/>
      </c>
      <c r="LL604" s="1154" t="str">
        <f t="shared" si="292"/>
        <v/>
      </c>
      <c r="LM604" s="1154" t="str">
        <f t="shared" si="293"/>
        <v/>
      </c>
      <c r="LN604" s="1154" t="str">
        <f t="shared" si="294"/>
        <v/>
      </c>
      <c r="LO604" s="1154" t="str">
        <f t="shared" si="295"/>
        <v/>
      </c>
      <c r="LP604" s="1154" t="str">
        <f t="shared" si="296"/>
        <v/>
      </c>
      <c r="LQ604" s="1154" t="str">
        <f t="shared" si="297"/>
        <v/>
      </c>
      <c r="LR604" s="1154" t="str">
        <f t="shared" si="298"/>
        <v/>
      </c>
      <c r="LS604" s="1154" t="str">
        <f t="shared" si="299"/>
        <v/>
      </c>
      <c r="LT604" s="1154" t="str">
        <f t="shared" si="300"/>
        <v/>
      </c>
      <c r="LU604" s="1154" t="str">
        <f t="shared" si="301"/>
        <v/>
      </c>
      <c r="LV604" s="1154" t="str">
        <f t="shared" si="302"/>
        <v/>
      </c>
      <c r="LW604" s="1154" t="str">
        <f t="shared" si="303"/>
        <v/>
      </c>
      <c r="LX604" s="1154" t="str">
        <f t="shared" si="304"/>
        <v/>
      </c>
      <c r="LY604" s="1154" t="str">
        <f t="shared" si="305"/>
        <v/>
      </c>
      <c r="LZ604" s="1154" t="str">
        <f t="shared" si="306"/>
        <v/>
      </c>
      <c r="MA604" s="1154" t="str">
        <f t="shared" si="307"/>
        <v/>
      </c>
      <c r="MB604" s="1154" t="str">
        <f t="shared" si="308"/>
        <v/>
      </c>
      <c r="MC604" s="1154" t="str">
        <f t="shared" si="309"/>
        <v/>
      </c>
      <c r="MD604" s="1154" t="str">
        <f t="shared" si="310"/>
        <v/>
      </c>
      <c r="ME604" s="1525">
        <f t="shared" si="322"/>
        <v>0</v>
      </c>
      <c r="MF604" s="1525">
        <f t="shared" si="323"/>
        <v>0</v>
      </c>
      <c r="MG604" s="1525">
        <f t="shared" si="324"/>
        <v>0</v>
      </c>
      <c r="MH604" s="1525">
        <f t="shared" si="325"/>
        <v>0</v>
      </c>
      <c r="MI604" s="1525">
        <f t="shared" si="326"/>
        <v>0</v>
      </c>
      <c r="MJ604" s="1525">
        <f t="shared" si="327"/>
        <v>0</v>
      </c>
      <c r="MK604" s="1525">
        <f t="shared" si="328"/>
        <v>0</v>
      </c>
      <c r="ML604" s="1525">
        <f t="shared" si="329"/>
        <v>0</v>
      </c>
      <c r="MM604" s="1525">
        <f t="shared" si="330"/>
        <v>0</v>
      </c>
      <c r="MN604" s="1525">
        <f t="shared" si="331"/>
        <v>0</v>
      </c>
      <c r="MO604" s="1525">
        <f t="shared" si="332"/>
        <v>0</v>
      </c>
      <c r="MP604" s="1525">
        <f t="shared" si="333"/>
        <v>0</v>
      </c>
      <c r="MQ604" s="1525">
        <f t="shared" si="334"/>
        <v>0</v>
      </c>
      <c r="MR604" s="1525">
        <f t="shared" si="335"/>
        <v>0</v>
      </c>
      <c r="MS604" s="1525">
        <f t="shared" si="336"/>
        <v>0</v>
      </c>
    </row>
    <row r="605" spans="1:357" s="1154" customFormat="1" ht="12" customHeight="1">
      <c r="A605" s="1524" t="str">
        <f t="shared" si="1"/>
        <v/>
      </c>
      <c r="B605" s="1682">
        <f>'Part VI-Revenues &amp; Expenses'!B34</f>
        <v>0</v>
      </c>
      <c r="C605" s="1673">
        <f>'Part VI-Revenues &amp; Expenses'!C34</f>
        <v>0</v>
      </c>
      <c r="D605" s="1674">
        <f>'Part VI-Revenues &amp; Expenses'!D34</f>
        <v>0</v>
      </c>
      <c r="E605" s="1675">
        <f>'Part VI-Revenues &amp; Expenses'!E34</f>
        <v>0</v>
      </c>
      <c r="F605" s="1675">
        <f>'Part VI-Revenues &amp; Expenses'!F34</f>
        <v>0</v>
      </c>
      <c r="G605" s="1675">
        <f>'Part VI-Revenues &amp; Expenses'!G34</f>
        <v>0</v>
      </c>
      <c r="H605" s="1675">
        <f>'Part VI-Revenues &amp; Expenses'!H34</f>
        <v>0</v>
      </c>
      <c r="I605" s="1675">
        <f>'Part VI-Revenues &amp; Expenses'!I34</f>
        <v>0</v>
      </c>
      <c r="J605" s="1676">
        <f>'Part VI-Revenues &amp; Expenses'!J34</f>
        <v>0</v>
      </c>
      <c r="K605" s="1677">
        <f>'Part VI-Revenues &amp; Expenses'!K34</f>
        <v>0</v>
      </c>
      <c r="L605" s="1677">
        <f>'Part VI-Revenues &amp; Expenses'!L34</f>
        <v>0</v>
      </c>
      <c r="M605" s="1678">
        <f>'Part VI-Revenues &amp; Expenses'!M34</f>
        <v>0</v>
      </c>
      <c r="N605" s="1678">
        <f>'Part VI-Revenues &amp; Expenses'!N34</f>
        <v>0</v>
      </c>
      <c r="O605" s="1678">
        <f>'Part VI-Revenues &amp; Expenses'!O34</f>
        <v>0</v>
      </c>
      <c r="P605" s="1660">
        <f>'Part VI-Revenues &amp; Expenses'!P34</f>
        <v>0</v>
      </c>
      <c r="Q605" s="1679"/>
      <c r="R605" s="1680"/>
      <c r="S605" s="1679"/>
      <c r="T605" s="1680"/>
      <c r="U605" s="1519"/>
      <c r="V605" s="1519"/>
      <c r="W605" s="1154" t="str">
        <f t="shared" si="2"/>
        <v/>
      </c>
      <c r="X605" s="1154" t="str">
        <f t="shared" si="3"/>
        <v/>
      </c>
      <c r="Y605" s="1154" t="str">
        <f t="shared" si="4"/>
        <v/>
      </c>
      <c r="Z605" s="1154" t="str">
        <f t="shared" si="5"/>
        <v/>
      </c>
      <c r="AA605" s="1154" t="str">
        <f t="shared" si="6"/>
        <v/>
      </c>
      <c r="AB605" s="1154" t="str">
        <f t="shared" si="7"/>
        <v/>
      </c>
      <c r="AC605" s="1154" t="str">
        <f t="shared" si="8"/>
        <v/>
      </c>
      <c r="AD605" s="1154" t="str">
        <f t="shared" si="9"/>
        <v/>
      </c>
      <c r="AE605" s="1154" t="str">
        <f t="shared" si="10"/>
        <v/>
      </c>
      <c r="AF605" s="1154" t="str">
        <f t="shared" si="11"/>
        <v/>
      </c>
      <c r="AG605" s="1154" t="str">
        <f t="shared" si="12"/>
        <v/>
      </c>
      <c r="AH605" s="1154" t="str">
        <f t="shared" si="13"/>
        <v/>
      </c>
      <c r="AI605" s="1154" t="str">
        <f t="shared" si="14"/>
        <v/>
      </c>
      <c r="AJ605" s="1154" t="str">
        <f t="shared" si="15"/>
        <v/>
      </c>
      <c r="AK605" s="1154" t="str">
        <f t="shared" si="16"/>
        <v/>
      </c>
      <c r="AL605" s="1154" t="str">
        <f t="shared" si="17"/>
        <v/>
      </c>
      <c r="AM605" s="1154" t="str">
        <f t="shared" si="18"/>
        <v/>
      </c>
      <c r="AN605" s="1154" t="str">
        <f t="shared" si="19"/>
        <v/>
      </c>
      <c r="AO605" s="1154" t="str">
        <f t="shared" si="20"/>
        <v/>
      </c>
      <c r="AP605" s="1154" t="str">
        <f t="shared" si="21"/>
        <v/>
      </c>
      <c r="AQ605" s="1154" t="str">
        <f t="shared" si="22"/>
        <v/>
      </c>
      <c r="AR605" s="1154" t="str">
        <f t="shared" si="23"/>
        <v/>
      </c>
      <c r="AS605" s="1154" t="str">
        <f t="shared" si="24"/>
        <v/>
      </c>
      <c r="AT605" s="1154" t="str">
        <f t="shared" si="25"/>
        <v/>
      </c>
      <c r="AU605" s="1154" t="str">
        <f t="shared" si="26"/>
        <v/>
      </c>
      <c r="AV605" s="1154" t="str">
        <f t="shared" si="27"/>
        <v/>
      </c>
      <c r="AW605" s="1154" t="str">
        <f t="shared" si="28"/>
        <v/>
      </c>
      <c r="AX605" s="1154" t="str">
        <f t="shared" si="29"/>
        <v/>
      </c>
      <c r="AY605" s="1154" t="str">
        <f t="shared" si="30"/>
        <v/>
      </c>
      <c r="AZ605" s="1154" t="str">
        <f t="shared" si="31"/>
        <v/>
      </c>
      <c r="BA605" s="1154" t="str">
        <f t="shared" si="32"/>
        <v/>
      </c>
      <c r="BB605" s="1154" t="str">
        <f t="shared" si="33"/>
        <v/>
      </c>
      <c r="BC605" s="1154" t="str">
        <f t="shared" si="34"/>
        <v/>
      </c>
      <c r="BD605" s="1154" t="str">
        <f t="shared" si="35"/>
        <v/>
      </c>
      <c r="BE605" s="1154" t="str">
        <f t="shared" si="36"/>
        <v/>
      </c>
      <c r="BF605" s="1154" t="str">
        <f t="shared" si="37"/>
        <v/>
      </c>
      <c r="BG605" s="1154" t="str">
        <f t="shared" si="38"/>
        <v/>
      </c>
      <c r="BH605" s="1154" t="str">
        <f t="shared" si="39"/>
        <v/>
      </c>
      <c r="BI605" s="1154" t="str">
        <f t="shared" si="40"/>
        <v/>
      </c>
      <c r="BJ605" s="1154" t="str">
        <f t="shared" si="41"/>
        <v/>
      </c>
      <c r="BK605" s="1154" t="str">
        <f t="shared" si="42"/>
        <v/>
      </c>
      <c r="BL605" s="1154" t="str">
        <f t="shared" si="43"/>
        <v/>
      </c>
      <c r="BM605" s="1154" t="str">
        <f t="shared" si="44"/>
        <v/>
      </c>
      <c r="BN605" s="1154" t="str">
        <f t="shared" si="45"/>
        <v/>
      </c>
      <c r="BO605" s="1154" t="str">
        <f t="shared" si="46"/>
        <v/>
      </c>
      <c r="BP605" s="1154" t="str">
        <f t="shared" si="47"/>
        <v/>
      </c>
      <c r="BQ605" s="1154" t="str">
        <f t="shared" si="48"/>
        <v/>
      </c>
      <c r="BR605" s="1154" t="str">
        <f t="shared" si="49"/>
        <v/>
      </c>
      <c r="BS605" s="1154" t="str">
        <f t="shared" si="50"/>
        <v/>
      </c>
      <c r="BT605" s="1154" t="str">
        <f t="shared" si="51"/>
        <v/>
      </c>
      <c r="BU605" s="1154" t="str">
        <f t="shared" si="52"/>
        <v/>
      </c>
      <c r="BV605" s="1154" t="str">
        <f t="shared" si="53"/>
        <v/>
      </c>
      <c r="BW605" s="1154" t="str">
        <f t="shared" si="54"/>
        <v/>
      </c>
      <c r="BX605" s="1154" t="str">
        <f t="shared" si="55"/>
        <v/>
      </c>
      <c r="BY605" s="1154" t="str">
        <f t="shared" si="56"/>
        <v/>
      </c>
      <c r="BZ605" s="1154" t="str">
        <f t="shared" si="57"/>
        <v/>
      </c>
      <c r="CA605" s="1154" t="str">
        <f t="shared" si="58"/>
        <v/>
      </c>
      <c r="CB605" s="1154" t="str">
        <f t="shared" si="59"/>
        <v/>
      </c>
      <c r="CC605" s="1154" t="str">
        <f t="shared" si="60"/>
        <v/>
      </c>
      <c r="CD605" s="1154" t="str">
        <f t="shared" si="61"/>
        <v/>
      </c>
      <c r="CE605" s="1154" t="str">
        <f t="shared" si="62"/>
        <v/>
      </c>
      <c r="CF605" s="1154" t="str">
        <f t="shared" si="63"/>
        <v/>
      </c>
      <c r="CG605" s="1154" t="str">
        <f t="shared" si="64"/>
        <v/>
      </c>
      <c r="CH605" s="1154" t="str">
        <f t="shared" si="65"/>
        <v/>
      </c>
      <c r="CI605" s="1154" t="str">
        <f t="shared" si="66"/>
        <v/>
      </c>
      <c r="CJ605" s="1154" t="str">
        <f t="shared" si="67"/>
        <v/>
      </c>
      <c r="CK605" s="1154" t="str">
        <f t="shared" si="68"/>
        <v/>
      </c>
      <c r="CL605" s="1154" t="str">
        <f t="shared" si="69"/>
        <v/>
      </c>
      <c r="CM605" s="1154" t="str">
        <f t="shared" si="70"/>
        <v/>
      </c>
      <c r="CN605" s="1154" t="str">
        <f t="shared" si="71"/>
        <v/>
      </c>
      <c r="CO605" s="1154" t="str">
        <f t="shared" si="72"/>
        <v/>
      </c>
      <c r="CP605" s="1154" t="str">
        <f t="shared" si="73"/>
        <v/>
      </c>
      <c r="CQ605" s="1154" t="str">
        <f t="shared" si="74"/>
        <v/>
      </c>
      <c r="CR605" s="1154" t="str">
        <f t="shared" si="75"/>
        <v/>
      </c>
      <c r="CS605" s="1154" t="str">
        <f t="shared" si="76"/>
        <v/>
      </c>
      <c r="CT605" s="1154" t="str">
        <f t="shared" si="77"/>
        <v/>
      </c>
      <c r="CU605" s="1154" t="str">
        <f t="shared" si="78"/>
        <v/>
      </c>
      <c r="CV605" s="1154" t="str">
        <f t="shared" si="79"/>
        <v/>
      </c>
      <c r="CW605" s="1154" t="str">
        <f t="shared" si="80"/>
        <v/>
      </c>
      <c r="CX605" s="1154" t="str">
        <f t="shared" si="81"/>
        <v/>
      </c>
      <c r="CY605" s="1154" t="str">
        <f t="shared" si="82"/>
        <v/>
      </c>
      <c r="CZ605" s="1154" t="str">
        <f t="shared" si="83"/>
        <v/>
      </c>
      <c r="DA605" s="1154" t="str">
        <f t="shared" si="84"/>
        <v/>
      </c>
      <c r="DB605" s="1154" t="str">
        <f t="shared" si="85"/>
        <v/>
      </c>
      <c r="DC605" s="1154" t="str">
        <f t="shared" si="86"/>
        <v/>
      </c>
      <c r="DD605" s="1154" t="str">
        <f t="shared" si="87"/>
        <v/>
      </c>
      <c r="DE605" s="1154" t="str">
        <f t="shared" si="88"/>
        <v/>
      </c>
      <c r="DF605" s="1154" t="str">
        <f t="shared" si="89"/>
        <v/>
      </c>
      <c r="DG605" s="1154" t="str">
        <f t="shared" si="90"/>
        <v/>
      </c>
      <c r="DH605" s="1154" t="str">
        <f t="shared" si="91"/>
        <v/>
      </c>
      <c r="DI605" s="1154" t="str">
        <f t="shared" si="92"/>
        <v/>
      </c>
      <c r="DJ605" s="1154" t="str">
        <f t="shared" si="93"/>
        <v/>
      </c>
      <c r="DK605" s="1154" t="str">
        <f t="shared" si="94"/>
        <v/>
      </c>
      <c r="DL605" s="1154" t="str">
        <f t="shared" si="95"/>
        <v/>
      </c>
      <c r="DM605" s="1154" t="str">
        <f t="shared" si="96"/>
        <v/>
      </c>
      <c r="DN605" s="1154" t="str">
        <f t="shared" si="97"/>
        <v/>
      </c>
      <c r="DO605" s="1154" t="str">
        <f t="shared" si="98"/>
        <v/>
      </c>
      <c r="DP605" s="1154" t="str">
        <f t="shared" si="99"/>
        <v/>
      </c>
      <c r="DQ605" s="1154" t="str">
        <f t="shared" si="100"/>
        <v/>
      </c>
      <c r="DR605" s="1154" t="str">
        <f t="shared" si="101"/>
        <v/>
      </c>
      <c r="DS605" s="1154" t="str">
        <f t="shared" si="102"/>
        <v/>
      </c>
      <c r="DT605" s="1154" t="str">
        <f t="shared" si="103"/>
        <v/>
      </c>
      <c r="DU605" s="1154" t="str">
        <f t="shared" si="104"/>
        <v/>
      </c>
      <c r="DV605" s="1154" t="str">
        <f t="shared" si="105"/>
        <v/>
      </c>
      <c r="DW605" s="1154" t="str">
        <f t="shared" si="106"/>
        <v/>
      </c>
      <c r="DX605" s="1154" t="str">
        <f t="shared" si="107"/>
        <v/>
      </c>
      <c r="DY605" s="1154" t="str">
        <f t="shared" si="108"/>
        <v/>
      </c>
      <c r="DZ605" s="1154" t="str">
        <f t="shared" si="109"/>
        <v/>
      </c>
      <c r="EA605" s="1154" t="str">
        <f t="shared" si="110"/>
        <v/>
      </c>
      <c r="EB605" s="1154" t="str">
        <f t="shared" si="111"/>
        <v/>
      </c>
      <c r="EC605" s="1154" t="str">
        <f t="shared" si="112"/>
        <v/>
      </c>
      <c r="ED605" s="1154" t="str">
        <f t="shared" si="113"/>
        <v/>
      </c>
      <c r="EE605" s="1154" t="str">
        <f t="shared" si="114"/>
        <v/>
      </c>
      <c r="EF605" s="1154" t="str">
        <f t="shared" si="115"/>
        <v/>
      </c>
      <c r="EG605" s="1154" t="str">
        <f t="shared" si="311"/>
        <v/>
      </c>
      <c r="EH605" s="1154" t="str">
        <f t="shared" si="116"/>
        <v/>
      </c>
      <c r="EI605" s="1154" t="str">
        <f t="shared" si="117"/>
        <v/>
      </c>
      <c r="EJ605" s="1154" t="str">
        <f t="shared" si="118"/>
        <v/>
      </c>
      <c r="EK605" s="1154" t="str">
        <f t="shared" si="119"/>
        <v/>
      </c>
      <c r="EL605" s="1154" t="str">
        <f t="shared" si="120"/>
        <v/>
      </c>
      <c r="EM605" s="1154" t="str">
        <f t="shared" si="121"/>
        <v/>
      </c>
      <c r="EN605" s="1154" t="str">
        <f t="shared" si="122"/>
        <v/>
      </c>
      <c r="EO605" s="1154" t="str">
        <f t="shared" si="123"/>
        <v/>
      </c>
      <c r="EP605" s="1154" t="str">
        <f t="shared" si="124"/>
        <v/>
      </c>
      <c r="EQ605" s="1154" t="str">
        <f t="shared" si="125"/>
        <v/>
      </c>
      <c r="ER605" s="1154" t="str">
        <f t="shared" si="126"/>
        <v/>
      </c>
      <c r="ES605" s="1154" t="str">
        <f t="shared" si="127"/>
        <v/>
      </c>
      <c r="ET605" s="1154" t="str">
        <f t="shared" si="128"/>
        <v/>
      </c>
      <c r="EU605" s="1154" t="str">
        <f t="shared" si="129"/>
        <v/>
      </c>
      <c r="EV605" s="1154" t="str">
        <f t="shared" si="130"/>
        <v/>
      </c>
      <c r="EW605" s="1154" t="str">
        <f t="shared" si="312"/>
        <v/>
      </c>
      <c r="EX605" s="1154" t="str">
        <f t="shared" si="313"/>
        <v/>
      </c>
      <c r="EY605" s="1154" t="str">
        <f t="shared" si="314"/>
        <v/>
      </c>
      <c r="EZ605" s="1154" t="str">
        <f t="shared" si="315"/>
        <v/>
      </c>
      <c r="FA605" s="1154" t="str">
        <f t="shared" si="316"/>
        <v/>
      </c>
      <c r="FB605" s="1154" t="str">
        <f t="shared" si="131"/>
        <v/>
      </c>
      <c r="FC605" s="1154" t="str">
        <f t="shared" si="132"/>
        <v/>
      </c>
      <c r="FD605" s="1154" t="str">
        <f t="shared" si="133"/>
        <v/>
      </c>
      <c r="FE605" s="1154" t="str">
        <f t="shared" si="134"/>
        <v/>
      </c>
      <c r="FF605" s="1154" t="str">
        <f t="shared" si="135"/>
        <v/>
      </c>
      <c r="FG605" s="1154" t="str">
        <f t="shared" si="317"/>
        <v/>
      </c>
      <c r="FH605" s="1154" t="str">
        <f t="shared" si="318"/>
        <v/>
      </c>
      <c r="FI605" s="1154" t="str">
        <f t="shared" si="319"/>
        <v/>
      </c>
      <c r="FJ605" s="1154" t="str">
        <f t="shared" si="320"/>
        <v/>
      </c>
      <c r="FK605" s="1154" t="str">
        <f t="shared" si="321"/>
        <v/>
      </c>
      <c r="FL605" s="1154" t="str">
        <f t="shared" si="136"/>
        <v/>
      </c>
      <c r="FM605" s="1154" t="str">
        <f t="shared" si="137"/>
        <v/>
      </c>
      <c r="FN605" s="1154" t="str">
        <f t="shared" si="138"/>
        <v/>
      </c>
      <c r="FO605" s="1154" t="str">
        <f t="shared" si="139"/>
        <v/>
      </c>
      <c r="FP605" s="1154" t="str">
        <f t="shared" si="140"/>
        <v/>
      </c>
      <c r="FQ605" s="1154" t="str">
        <f t="shared" si="141"/>
        <v/>
      </c>
      <c r="FR605" s="1154" t="str">
        <f t="shared" si="142"/>
        <v/>
      </c>
      <c r="FS605" s="1154" t="str">
        <f t="shared" si="143"/>
        <v/>
      </c>
      <c r="FT605" s="1154" t="str">
        <f t="shared" si="144"/>
        <v/>
      </c>
      <c r="FU605" s="1154" t="str">
        <f t="shared" si="145"/>
        <v/>
      </c>
      <c r="FV605" s="1154" t="str">
        <f t="shared" si="146"/>
        <v/>
      </c>
      <c r="FW605" s="1154" t="str">
        <f t="shared" si="147"/>
        <v/>
      </c>
      <c r="FX605" s="1154" t="str">
        <f t="shared" si="148"/>
        <v/>
      </c>
      <c r="FY605" s="1154" t="str">
        <f t="shared" si="149"/>
        <v/>
      </c>
      <c r="FZ605" s="1154" t="str">
        <f t="shared" si="150"/>
        <v/>
      </c>
      <c r="GA605" s="1154" t="str">
        <f t="shared" si="151"/>
        <v/>
      </c>
      <c r="GB605" s="1154" t="str">
        <f t="shared" si="152"/>
        <v/>
      </c>
      <c r="GC605" s="1154" t="str">
        <f t="shared" si="153"/>
        <v/>
      </c>
      <c r="GD605" s="1154" t="str">
        <f t="shared" si="154"/>
        <v/>
      </c>
      <c r="GE605" s="1154" t="str">
        <f t="shared" si="155"/>
        <v/>
      </c>
      <c r="GF605" s="1154" t="str">
        <f t="shared" si="156"/>
        <v/>
      </c>
      <c r="GG605" s="1154" t="str">
        <f t="shared" si="157"/>
        <v/>
      </c>
      <c r="GH605" s="1154" t="str">
        <f t="shared" si="158"/>
        <v/>
      </c>
      <c r="GI605" s="1154" t="str">
        <f t="shared" si="159"/>
        <v/>
      </c>
      <c r="GJ605" s="1154" t="str">
        <f t="shared" si="160"/>
        <v/>
      </c>
      <c r="GK605" s="1154" t="str">
        <f t="shared" si="161"/>
        <v/>
      </c>
      <c r="GL605" s="1154" t="str">
        <f t="shared" si="162"/>
        <v/>
      </c>
      <c r="GM605" s="1154" t="str">
        <f t="shared" si="163"/>
        <v/>
      </c>
      <c r="GN605" s="1154" t="str">
        <f t="shared" si="164"/>
        <v/>
      </c>
      <c r="GO605" s="1154" t="str">
        <f t="shared" si="165"/>
        <v/>
      </c>
      <c r="GP605" s="1154" t="str">
        <f t="shared" si="166"/>
        <v/>
      </c>
      <c r="GQ605" s="1154" t="str">
        <f t="shared" si="167"/>
        <v/>
      </c>
      <c r="GR605" s="1154" t="str">
        <f t="shared" si="168"/>
        <v/>
      </c>
      <c r="GS605" s="1154" t="str">
        <f t="shared" si="169"/>
        <v/>
      </c>
      <c r="GT605" s="1154" t="str">
        <f t="shared" si="170"/>
        <v/>
      </c>
      <c r="GU605" s="1154" t="str">
        <f t="shared" si="171"/>
        <v/>
      </c>
      <c r="GV605" s="1154" t="str">
        <f t="shared" si="172"/>
        <v/>
      </c>
      <c r="GW605" s="1154" t="str">
        <f t="shared" si="173"/>
        <v/>
      </c>
      <c r="GX605" s="1154" t="str">
        <f t="shared" si="174"/>
        <v/>
      </c>
      <c r="GY605" s="1154" t="str">
        <f t="shared" si="175"/>
        <v/>
      </c>
      <c r="GZ605" s="1154" t="str">
        <f t="shared" si="176"/>
        <v/>
      </c>
      <c r="HA605" s="1154" t="str">
        <f t="shared" si="177"/>
        <v/>
      </c>
      <c r="HB605" s="1154" t="str">
        <f t="shared" si="178"/>
        <v/>
      </c>
      <c r="HC605" s="1154" t="str">
        <f t="shared" si="179"/>
        <v/>
      </c>
      <c r="HD605" s="1154" t="str">
        <f t="shared" si="180"/>
        <v/>
      </c>
      <c r="HE605" s="1154" t="str">
        <f t="shared" si="181"/>
        <v/>
      </c>
      <c r="HF605" s="1154" t="str">
        <f t="shared" si="182"/>
        <v/>
      </c>
      <c r="HG605" s="1154" t="str">
        <f t="shared" si="183"/>
        <v/>
      </c>
      <c r="HH605" s="1154" t="str">
        <f t="shared" si="184"/>
        <v/>
      </c>
      <c r="HI605" s="1154" t="str">
        <f t="shared" si="185"/>
        <v/>
      </c>
      <c r="HJ605" s="1154" t="str">
        <f t="shared" si="186"/>
        <v/>
      </c>
      <c r="HK605" s="1154" t="str">
        <f t="shared" si="187"/>
        <v/>
      </c>
      <c r="HL605" s="1154" t="str">
        <f t="shared" si="188"/>
        <v/>
      </c>
      <c r="HM605" s="1154" t="str">
        <f t="shared" si="189"/>
        <v/>
      </c>
      <c r="HN605" s="1154" t="str">
        <f t="shared" si="190"/>
        <v/>
      </c>
      <c r="HO605" s="1154" t="str">
        <f t="shared" si="191"/>
        <v/>
      </c>
      <c r="HP605" s="1154" t="str">
        <f t="shared" si="192"/>
        <v/>
      </c>
      <c r="HQ605" s="1154" t="str">
        <f t="shared" si="193"/>
        <v/>
      </c>
      <c r="HR605" s="1154" t="str">
        <f t="shared" si="194"/>
        <v/>
      </c>
      <c r="HS605" s="1154" t="str">
        <f t="shared" si="195"/>
        <v/>
      </c>
      <c r="HT605" s="1154" t="str">
        <f t="shared" si="196"/>
        <v/>
      </c>
      <c r="HU605" s="1154" t="str">
        <f t="shared" si="197"/>
        <v/>
      </c>
      <c r="HV605" s="1154" t="str">
        <f t="shared" si="198"/>
        <v/>
      </c>
      <c r="HW605" s="1154" t="str">
        <f t="shared" si="199"/>
        <v/>
      </c>
      <c r="HX605" s="1154" t="str">
        <f t="shared" si="200"/>
        <v/>
      </c>
      <c r="HY605" s="1681" t="str">
        <f t="shared" si="201"/>
        <v/>
      </c>
      <c r="HZ605" s="1681" t="str">
        <f t="shared" si="202"/>
        <v/>
      </c>
      <c r="IA605" s="1681" t="str">
        <f t="shared" si="203"/>
        <v/>
      </c>
      <c r="IB605" s="1681" t="str">
        <f t="shared" si="204"/>
        <v/>
      </c>
      <c r="IC605" s="1681" t="str">
        <f t="shared" si="205"/>
        <v/>
      </c>
      <c r="ID605" s="1681" t="str">
        <f t="shared" si="206"/>
        <v/>
      </c>
      <c r="IE605" s="1681" t="str">
        <f t="shared" si="207"/>
        <v/>
      </c>
      <c r="IF605" s="1681" t="str">
        <f t="shared" si="208"/>
        <v/>
      </c>
      <c r="IG605" s="1681" t="str">
        <f t="shared" si="209"/>
        <v/>
      </c>
      <c r="IH605" s="1681" t="str">
        <f t="shared" si="210"/>
        <v/>
      </c>
      <c r="II605" s="1681" t="str">
        <f t="shared" si="211"/>
        <v/>
      </c>
      <c r="IJ605" s="1681" t="str">
        <f t="shared" si="212"/>
        <v/>
      </c>
      <c r="IK605" s="1681" t="str">
        <f t="shared" si="213"/>
        <v/>
      </c>
      <c r="IL605" s="1681" t="str">
        <f t="shared" si="214"/>
        <v/>
      </c>
      <c r="IM605" s="1681" t="str">
        <f t="shared" si="215"/>
        <v/>
      </c>
      <c r="IN605" s="1681" t="str">
        <f t="shared" si="216"/>
        <v/>
      </c>
      <c r="IO605" s="1681" t="str">
        <f t="shared" si="217"/>
        <v/>
      </c>
      <c r="IP605" s="1681" t="str">
        <f t="shared" si="218"/>
        <v/>
      </c>
      <c r="IQ605" s="1681" t="str">
        <f t="shared" si="219"/>
        <v/>
      </c>
      <c r="IR605" s="1681" t="str">
        <f t="shared" si="220"/>
        <v/>
      </c>
      <c r="IS605" s="1681" t="str">
        <f t="shared" si="221"/>
        <v/>
      </c>
      <c r="IT605" s="1681" t="str">
        <f t="shared" si="222"/>
        <v/>
      </c>
      <c r="IU605" s="1681" t="str">
        <f t="shared" si="223"/>
        <v/>
      </c>
      <c r="IV605" s="1681" t="str">
        <f t="shared" si="224"/>
        <v/>
      </c>
      <c r="IW605" s="1681" t="str">
        <f t="shared" si="225"/>
        <v/>
      </c>
      <c r="IX605" s="1681" t="str">
        <f t="shared" si="226"/>
        <v/>
      </c>
      <c r="IY605" s="1681" t="str">
        <f t="shared" si="227"/>
        <v/>
      </c>
      <c r="IZ605" s="1681" t="str">
        <f t="shared" si="228"/>
        <v/>
      </c>
      <c r="JA605" s="1681" t="str">
        <f t="shared" si="229"/>
        <v/>
      </c>
      <c r="JB605" s="1681" t="str">
        <f t="shared" si="230"/>
        <v/>
      </c>
      <c r="JC605" s="1681" t="str">
        <f t="shared" si="231"/>
        <v/>
      </c>
      <c r="JD605" s="1681" t="str">
        <f t="shared" si="232"/>
        <v/>
      </c>
      <c r="JE605" s="1681" t="str">
        <f t="shared" si="233"/>
        <v/>
      </c>
      <c r="JF605" s="1681" t="str">
        <f t="shared" si="234"/>
        <v/>
      </c>
      <c r="JG605" s="1681" t="str">
        <f t="shared" si="235"/>
        <v/>
      </c>
      <c r="JH605" s="1681" t="str">
        <f t="shared" si="236"/>
        <v/>
      </c>
      <c r="JI605" s="1681" t="str">
        <f t="shared" si="237"/>
        <v/>
      </c>
      <c r="JJ605" s="1681" t="str">
        <f t="shared" si="238"/>
        <v/>
      </c>
      <c r="JK605" s="1681" t="str">
        <f t="shared" si="239"/>
        <v/>
      </c>
      <c r="JL605" s="1681" t="str">
        <f t="shared" si="240"/>
        <v/>
      </c>
      <c r="JM605" s="1681" t="str">
        <f t="shared" si="241"/>
        <v/>
      </c>
      <c r="JN605" s="1681" t="str">
        <f t="shared" si="242"/>
        <v/>
      </c>
      <c r="JO605" s="1681" t="str">
        <f t="shared" si="243"/>
        <v/>
      </c>
      <c r="JP605" s="1681" t="str">
        <f t="shared" si="244"/>
        <v/>
      </c>
      <c r="JQ605" s="1681" t="str">
        <f t="shared" si="245"/>
        <v/>
      </c>
      <c r="JR605" s="1681" t="str">
        <f t="shared" si="246"/>
        <v/>
      </c>
      <c r="JS605" s="1681" t="str">
        <f t="shared" si="247"/>
        <v/>
      </c>
      <c r="JT605" s="1681" t="str">
        <f t="shared" si="248"/>
        <v/>
      </c>
      <c r="JU605" s="1681" t="str">
        <f t="shared" si="249"/>
        <v/>
      </c>
      <c r="JV605" s="1681" t="str">
        <f t="shared" si="250"/>
        <v/>
      </c>
      <c r="JW605" s="1681" t="str">
        <f t="shared" si="251"/>
        <v/>
      </c>
      <c r="JX605" s="1681" t="str">
        <f t="shared" si="252"/>
        <v/>
      </c>
      <c r="JY605" s="1681" t="str">
        <f t="shared" si="253"/>
        <v/>
      </c>
      <c r="JZ605" s="1681" t="str">
        <f t="shared" si="254"/>
        <v/>
      </c>
      <c r="KA605" s="1681" t="str">
        <f t="shared" si="255"/>
        <v/>
      </c>
      <c r="KB605" s="1681" t="str">
        <f t="shared" si="256"/>
        <v/>
      </c>
      <c r="KC605" s="1681" t="str">
        <f t="shared" si="257"/>
        <v/>
      </c>
      <c r="KD605" s="1681" t="str">
        <f t="shared" si="258"/>
        <v/>
      </c>
      <c r="KE605" s="1681" t="str">
        <f t="shared" si="259"/>
        <v/>
      </c>
      <c r="KF605" s="1681" t="str">
        <f t="shared" si="260"/>
        <v/>
      </c>
      <c r="KG605" s="1681" t="str">
        <f t="shared" si="261"/>
        <v/>
      </c>
      <c r="KH605" s="1681" t="str">
        <f t="shared" si="262"/>
        <v/>
      </c>
      <c r="KI605" s="1681" t="str">
        <f t="shared" si="263"/>
        <v/>
      </c>
      <c r="KJ605" s="1681" t="str">
        <f t="shared" si="264"/>
        <v/>
      </c>
      <c r="KK605" s="1681" t="str">
        <f t="shared" si="265"/>
        <v/>
      </c>
      <c r="KL605" s="1681" t="str">
        <f t="shared" si="266"/>
        <v/>
      </c>
      <c r="KM605" s="1681" t="str">
        <f t="shared" si="267"/>
        <v/>
      </c>
      <c r="KN605" s="1681" t="str">
        <f t="shared" si="268"/>
        <v/>
      </c>
      <c r="KO605" s="1681" t="str">
        <f t="shared" si="269"/>
        <v/>
      </c>
      <c r="KP605" s="1681" t="str">
        <f t="shared" si="270"/>
        <v/>
      </c>
      <c r="KQ605" s="1681" t="str">
        <f t="shared" si="271"/>
        <v/>
      </c>
      <c r="KR605" s="1681" t="str">
        <f t="shared" si="272"/>
        <v/>
      </c>
      <c r="KS605" s="1681" t="str">
        <f t="shared" si="273"/>
        <v/>
      </c>
      <c r="KT605" s="1681" t="str">
        <f t="shared" si="274"/>
        <v/>
      </c>
      <c r="KU605" s="1681" t="str">
        <f t="shared" si="275"/>
        <v/>
      </c>
      <c r="KV605" s="1681" t="str">
        <f t="shared" si="276"/>
        <v/>
      </c>
      <c r="KW605" s="1681" t="str">
        <f t="shared" si="277"/>
        <v/>
      </c>
      <c r="KX605" s="1681" t="str">
        <f t="shared" si="278"/>
        <v/>
      </c>
      <c r="KY605" s="1681" t="str">
        <f t="shared" si="279"/>
        <v/>
      </c>
      <c r="KZ605" s="1681" t="str">
        <f t="shared" si="280"/>
        <v/>
      </c>
      <c r="LA605" s="1681" t="str">
        <f t="shared" si="281"/>
        <v/>
      </c>
      <c r="LB605" s="1681" t="str">
        <f t="shared" si="282"/>
        <v/>
      </c>
      <c r="LC605" s="1681" t="str">
        <f t="shared" si="283"/>
        <v/>
      </c>
      <c r="LD605" s="1681" t="str">
        <f t="shared" si="284"/>
        <v/>
      </c>
      <c r="LE605" s="1681" t="str">
        <f t="shared" si="285"/>
        <v/>
      </c>
      <c r="LF605" s="1525" t="str">
        <f t="shared" si="286"/>
        <v/>
      </c>
      <c r="LG605" s="1525" t="str">
        <f t="shared" si="287"/>
        <v/>
      </c>
      <c r="LH605" s="1525" t="str">
        <f t="shared" si="288"/>
        <v/>
      </c>
      <c r="LI605" s="1525" t="str">
        <f t="shared" si="289"/>
        <v/>
      </c>
      <c r="LJ605" s="1525" t="str">
        <f t="shared" si="290"/>
        <v/>
      </c>
      <c r="LK605" s="1154" t="str">
        <f t="shared" si="291"/>
        <v/>
      </c>
      <c r="LL605" s="1154" t="str">
        <f t="shared" si="292"/>
        <v/>
      </c>
      <c r="LM605" s="1154" t="str">
        <f t="shared" si="293"/>
        <v/>
      </c>
      <c r="LN605" s="1154" t="str">
        <f t="shared" si="294"/>
        <v/>
      </c>
      <c r="LO605" s="1154" t="str">
        <f t="shared" si="295"/>
        <v/>
      </c>
      <c r="LP605" s="1154" t="str">
        <f t="shared" si="296"/>
        <v/>
      </c>
      <c r="LQ605" s="1154" t="str">
        <f t="shared" si="297"/>
        <v/>
      </c>
      <c r="LR605" s="1154" t="str">
        <f t="shared" si="298"/>
        <v/>
      </c>
      <c r="LS605" s="1154" t="str">
        <f t="shared" si="299"/>
        <v/>
      </c>
      <c r="LT605" s="1154" t="str">
        <f t="shared" si="300"/>
        <v/>
      </c>
      <c r="LU605" s="1154" t="str">
        <f t="shared" si="301"/>
        <v/>
      </c>
      <c r="LV605" s="1154" t="str">
        <f t="shared" si="302"/>
        <v/>
      </c>
      <c r="LW605" s="1154" t="str">
        <f t="shared" si="303"/>
        <v/>
      </c>
      <c r="LX605" s="1154" t="str">
        <f t="shared" si="304"/>
        <v/>
      </c>
      <c r="LY605" s="1154" t="str">
        <f t="shared" si="305"/>
        <v/>
      </c>
      <c r="LZ605" s="1154" t="str">
        <f t="shared" si="306"/>
        <v/>
      </c>
      <c r="MA605" s="1154" t="str">
        <f t="shared" si="307"/>
        <v/>
      </c>
      <c r="MB605" s="1154" t="str">
        <f t="shared" si="308"/>
        <v/>
      </c>
      <c r="MC605" s="1154" t="str">
        <f t="shared" si="309"/>
        <v/>
      </c>
      <c r="MD605" s="1154" t="str">
        <f t="shared" si="310"/>
        <v/>
      </c>
      <c r="ME605" s="1525">
        <f t="shared" si="322"/>
        <v>0</v>
      </c>
      <c r="MF605" s="1525">
        <f t="shared" si="323"/>
        <v>0</v>
      </c>
      <c r="MG605" s="1525">
        <f t="shared" si="324"/>
        <v>0</v>
      </c>
      <c r="MH605" s="1525">
        <f t="shared" si="325"/>
        <v>0</v>
      </c>
      <c r="MI605" s="1525">
        <f t="shared" si="326"/>
        <v>0</v>
      </c>
      <c r="MJ605" s="1525">
        <f t="shared" si="327"/>
        <v>0</v>
      </c>
      <c r="MK605" s="1525">
        <f t="shared" si="328"/>
        <v>0</v>
      </c>
      <c r="ML605" s="1525">
        <f t="shared" si="329"/>
        <v>0</v>
      </c>
      <c r="MM605" s="1525">
        <f t="shared" si="330"/>
        <v>0</v>
      </c>
      <c r="MN605" s="1525">
        <f t="shared" si="331"/>
        <v>0</v>
      </c>
      <c r="MO605" s="1525">
        <f t="shared" si="332"/>
        <v>0</v>
      </c>
      <c r="MP605" s="1525">
        <f t="shared" si="333"/>
        <v>0</v>
      </c>
      <c r="MQ605" s="1525">
        <f t="shared" si="334"/>
        <v>0</v>
      </c>
      <c r="MR605" s="1525">
        <f t="shared" si="335"/>
        <v>0</v>
      </c>
      <c r="MS605" s="1525">
        <f t="shared" si="336"/>
        <v>0</v>
      </c>
    </row>
    <row r="606" spans="1:357" s="1154" customFormat="1" ht="12" customHeight="1">
      <c r="A606" s="1524" t="str">
        <f t="shared" si="1"/>
        <v/>
      </c>
      <c r="B606" s="1682">
        <f>'Part VI-Revenues &amp; Expenses'!B35</f>
        <v>0</v>
      </c>
      <c r="C606" s="1673">
        <f>'Part VI-Revenues &amp; Expenses'!C35</f>
        <v>0</v>
      </c>
      <c r="D606" s="1674">
        <f>'Part VI-Revenues &amp; Expenses'!D35</f>
        <v>0</v>
      </c>
      <c r="E606" s="1675">
        <f>'Part VI-Revenues &amp; Expenses'!E35</f>
        <v>0</v>
      </c>
      <c r="F606" s="1675">
        <f>'Part VI-Revenues &amp; Expenses'!F35</f>
        <v>0</v>
      </c>
      <c r="G606" s="1675">
        <f>'Part VI-Revenues &amp; Expenses'!G35</f>
        <v>0</v>
      </c>
      <c r="H606" s="1675">
        <f>'Part VI-Revenues &amp; Expenses'!H35</f>
        <v>0</v>
      </c>
      <c r="I606" s="1675">
        <f>'Part VI-Revenues &amp; Expenses'!I35</f>
        <v>0</v>
      </c>
      <c r="J606" s="1676">
        <f>'Part VI-Revenues &amp; Expenses'!J35</f>
        <v>0</v>
      </c>
      <c r="K606" s="1677">
        <f>'Part VI-Revenues &amp; Expenses'!K35</f>
        <v>0</v>
      </c>
      <c r="L606" s="1677">
        <f>'Part VI-Revenues &amp; Expenses'!L35</f>
        <v>0</v>
      </c>
      <c r="M606" s="1678">
        <f>'Part VI-Revenues &amp; Expenses'!M35</f>
        <v>0</v>
      </c>
      <c r="N606" s="1678">
        <f>'Part VI-Revenues &amp; Expenses'!N35</f>
        <v>0</v>
      </c>
      <c r="O606" s="1678">
        <f>'Part VI-Revenues &amp; Expenses'!O35</f>
        <v>0</v>
      </c>
      <c r="P606" s="1660">
        <f>'Part VI-Revenues &amp; Expenses'!P35</f>
        <v>0</v>
      </c>
      <c r="Q606" s="1679"/>
      <c r="R606" s="1680"/>
      <c r="S606" s="1679"/>
      <c r="T606" s="1680"/>
      <c r="U606" s="1519"/>
      <c r="V606" s="1519"/>
      <c r="W606" s="1154" t="str">
        <f t="shared" si="2"/>
        <v/>
      </c>
      <c r="X606" s="1154" t="str">
        <f t="shared" si="3"/>
        <v/>
      </c>
      <c r="Y606" s="1154" t="str">
        <f t="shared" si="4"/>
        <v/>
      </c>
      <c r="Z606" s="1154" t="str">
        <f t="shared" si="5"/>
        <v/>
      </c>
      <c r="AA606" s="1154" t="str">
        <f t="shared" si="6"/>
        <v/>
      </c>
      <c r="AB606" s="1154" t="str">
        <f t="shared" si="7"/>
        <v/>
      </c>
      <c r="AC606" s="1154" t="str">
        <f t="shared" si="8"/>
        <v/>
      </c>
      <c r="AD606" s="1154" t="str">
        <f t="shared" si="9"/>
        <v/>
      </c>
      <c r="AE606" s="1154" t="str">
        <f t="shared" si="10"/>
        <v/>
      </c>
      <c r="AF606" s="1154" t="str">
        <f t="shared" si="11"/>
        <v/>
      </c>
      <c r="AG606" s="1154" t="str">
        <f t="shared" si="12"/>
        <v/>
      </c>
      <c r="AH606" s="1154" t="str">
        <f t="shared" si="13"/>
        <v/>
      </c>
      <c r="AI606" s="1154" t="str">
        <f t="shared" si="14"/>
        <v/>
      </c>
      <c r="AJ606" s="1154" t="str">
        <f t="shared" si="15"/>
        <v/>
      </c>
      <c r="AK606" s="1154" t="str">
        <f t="shared" si="16"/>
        <v/>
      </c>
      <c r="AL606" s="1154" t="str">
        <f t="shared" si="17"/>
        <v/>
      </c>
      <c r="AM606" s="1154" t="str">
        <f t="shared" si="18"/>
        <v/>
      </c>
      <c r="AN606" s="1154" t="str">
        <f t="shared" si="19"/>
        <v/>
      </c>
      <c r="AO606" s="1154" t="str">
        <f t="shared" si="20"/>
        <v/>
      </c>
      <c r="AP606" s="1154" t="str">
        <f t="shared" si="21"/>
        <v/>
      </c>
      <c r="AQ606" s="1154" t="str">
        <f t="shared" si="22"/>
        <v/>
      </c>
      <c r="AR606" s="1154" t="str">
        <f t="shared" si="23"/>
        <v/>
      </c>
      <c r="AS606" s="1154" t="str">
        <f t="shared" si="24"/>
        <v/>
      </c>
      <c r="AT606" s="1154" t="str">
        <f t="shared" si="25"/>
        <v/>
      </c>
      <c r="AU606" s="1154" t="str">
        <f t="shared" si="26"/>
        <v/>
      </c>
      <c r="AV606" s="1154" t="str">
        <f t="shared" si="27"/>
        <v/>
      </c>
      <c r="AW606" s="1154" t="str">
        <f t="shared" si="28"/>
        <v/>
      </c>
      <c r="AX606" s="1154" t="str">
        <f t="shared" si="29"/>
        <v/>
      </c>
      <c r="AY606" s="1154" t="str">
        <f t="shared" si="30"/>
        <v/>
      </c>
      <c r="AZ606" s="1154" t="str">
        <f t="shared" si="31"/>
        <v/>
      </c>
      <c r="BA606" s="1154" t="str">
        <f t="shared" si="32"/>
        <v/>
      </c>
      <c r="BB606" s="1154" t="str">
        <f t="shared" si="33"/>
        <v/>
      </c>
      <c r="BC606" s="1154" t="str">
        <f t="shared" si="34"/>
        <v/>
      </c>
      <c r="BD606" s="1154" t="str">
        <f t="shared" si="35"/>
        <v/>
      </c>
      <c r="BE606" s="1154" t="str">
        <f t="shared" si="36"/>
        <v/>
      </c>
      <c r="BF606" s="1154" t="str">
        <f t="shared" si="37"/>
        <v/>
      </c>
      <c r="BG606" s="1154" t="str">
        <f t="shared" si="38"/>
        <v/>
      </c>
      <c r="BH606" s="1154" t="str">
        <f t="shared" si="39"/>
        <v/>
      </c>
      <c r="BI606" s="1154" t="str">
        <f t="shared" si="40"/>
        <v/>
      </c>
      <c r="BJ606" s="1154" t="str">
        <f t="shared" si="41"/>
        <v/>
      </c>
      <c r="BK606" s="1154" t="str">
        <f t="shared" si="42"/>
        <v/>
      </c>
      <c r="BL606" s="1154" t="str">
        <f t="shared" si="43"/>
        <v/>
      </c>
      <c r="BM606" s="1154" t="str">
        <f t="shared" si="44"/>
        <v/>
      </c>
      <c r="BN606" s="1154" t="str">
        <f t="shared" si="45"/>
        <v/>
      </c>
      <c r="BO606" s="1154" t="str">
        <f t="shared" si="46"/>
        <v/>
      </c>
      <c r="BP606" s="1154" t="str">
        <f t="shared" si="47"/>
        <v/>
      </c>
      <c r="BQ606" s="1154" t="str">
        <f t="shared" si="48"/>
        <v/>
      </c>
      <c r="BR606" s="1154" t="str">
        <f t="shared" si="49"/>
        <v/>
      </c>
      <c r="BS606" s="1154" t="str">
        <f t="shared" si="50"/>
        <v/>
      </c>
      <c r="BT606" s="1154" t="str">
        <f t="shared" si="51"/>
        <v/>
      </c>
      <c r="BU606" s="1154" t="str">
        <f t="shared" si="52"/>
        <v/>
      </c>
      <c r="BV606" s="1154" t="str">
        <f t="shared" si="53"/>
        <v/>
      </c>
      <c r="BW606" s="1154" t="str">
        <f t="shared" si="54"/>
        <v/>
      </c>
      <c r="BX606" s="1154" t="str">
        <f t="shared" si="55"/>
        <v/>
      </c>
      <c r="BY606" s="1154" t="str">
        <f t="shared" si="56"/>
        <v/>
      </c>
      <c r="BZ606" s="1154" t="str">
        <f t="shared" si="57"/>
        <v/>
      </c>
      <c r="CA606" s="1154" t="str">
        <f t="shared" si="58"/>
        <v/>
      </c>
      <c r="CB606" s="1154" t="str">
        <f t="shared" si="59"/>
        <v/>
      </c>
      <c r="CC606" s="1154" t="str">
        <f t="shared" si="60"/>
        <v/>
      </c>
      <c r="CD606" s="1154" t="str">
        <f t="shared" si="61"/>
        <v/>
      </c>
      <c r="CE606" s="1154" t="str">
        <f t="shared" si="62"/>
        <v/>
      </c>
      <c r="CF606" s="1154" t="str">
        <f t="shared" si="63"/>
        <v/>
      </c>
      <c r="CG606" s="1154" t="str">
        <f t="shared" si="64"/>
        <v/>
      </c>
      <c r="CH606" s="1154" t="str">
        <f t="shared" si="65"/>
        <v/>
      </c>
      <c r="CI606" s="1154" t="str">
        <f t="shared" si="66"/>
        <v/>
      </c>
      <c r="CJ606" s="1154" t="str">
        <f t="shared" si="67"/>
        <v/>
      </c>
      <c r="CK606" s="1154" t="str">
        <f t="shared" si="68"/>
        <v/>
      </c>
      <c r="CL606" s="1154" t="str">
        <f t="shared" si="69"/>
        <v/>
      </c>
      <c r="CM606" s="1154" t="str">
        <f t="shared" si="70"/>
        <v/>
      </c>
      <c r="CN606" s="1154" t="str">
        <f t="shared" si="71"/>
        <v/>
      </c>
      <c r="CO606" s="1154" t="str">
        <f t="shared" si="72"/>
        <v/>
      </c>
      <c r="CP606" s="1154" t="str">
        <f t="shared" si="73"/>
        <v/>
      </c>
      <c r="CQ606" s="1154" t="str">
        <f t="shared" si="74"/>
        <v/>
      </c>
      <c r="CR606" s="1154" t="str">
        <f t="shared" si="75"/>
        <v/>
      </c>
      <c r="CS606" s="1154" t="str">
        <f t="shared" si="76"/>
        <v/>
      </c>
      <c r="CT606" s="1154" t="str">
        <f t="shared" si="77"/>
        <v/>
      </c>
      <c r="CU606" s="1154" t="str">
        <f t="shared" si="78"/>
        <v/>
      </c>
      <c r="CV606" s="1154" t="str">
        <f t="shared" si="79"/>
        <v/>
      </c>
      <c r="CW606" s="1154" t="str">
        <f t="shared" si="80"/>
        <v/>
      </c>
      <c r="CX606" s="1154" t="str">
        <f t="shared" si="81"/>
        <v/>
      </c>
      <c r="CY606" s="1154" t="str">
        <f t="shared" si="82"/>
        <v/>
      </c>
      <c r="CZ606" s="1154" t="str">
        <f t="shared" si="83"/>
        <v/>
      </c>
      <c r="DA606" s="1154" t="str">
        <f t="shared" si="84"/>
        <v/>
      </c>
      <c r="DB606" s="1154" t="str">
        <f t="shared" si="85"/>
        <v/>
      </c>
      <c r="DC606" s="1154" t="str">
        <f t="shared" si="86"/>
        <v/>
      </c>
      <c r="DD606" s="1154" t="str">
        <f t="shared" si="87"/>
        <v/>
      </c>
      <c r="DE606" s="1154" t="str">
        <f t="shared" si="88"/>
        <v/>
      </c>
      <c r="DF606" s="1154" t="str">
        <f t="shared" si="89"/>
        <v/>
      </c>
      <c r="DG606" s="1154" t="str">
        <f t="shared" si="90"/>
        <v/>
      </c>
      <c r="DH606" s="1154" t="str">
        <f t="shared" si="91"/>
        <v/>
      </c>
      <c r="DI606" s="1154" t="str">
        <f t="shared" si="92"/>
        <v/>
      </c>
      <c r="DJ606" s="1154" t="str">
        <f t="shared" si="93"/>
        <v/>
      </c>
      <c r="DK606" s="1154" t="str">
        <f t="shared" si="94"/>
        <v/>
      </c>
      <c r="DL606" s="1154" t="str">
        <f t="shared" si="95"/>
        <v/>
      </c>
      <c r="DM606" s="1154" t="str">
        <f t="shared" si="96"/>
        <v/>
      </c>
      <c r="DN606" s="1154" t="str">
        <f t="shared" si="97"/>
        <v/>
      </c>
      <c r="DO606" s="1154" t="str">
        <f t="shared" si="98"/>
        <v/>
      </c>
      <c r="DP606" s="1154" t="str">
        <f t="shared" si="99"/>
        <v/>
      </c>
      <c r="DQ606" s="1154" t="str">
        <f t="shared" si="100"/>
        <v/>
      </c>
      <c r="DR606" s="1154" t="str">
        <f t="shared" si="101"/>
        <v/>
      </c>
      <c r="DS606" s="1154" t="str">
        <f t="shared" si="102"/>
        <v/>
      </c>
      <c r="DT606" s="1154" t="str">
        <f t="shared" si="103"/>
        <v/>
      </c>
      <c r="DU606" s="1154" t="str">
        <f t="shared" si="104"/>
        <v/>
      </c>
      <c r="DV606" s="1154" t="str">
        <f t="shared" si="105"/>
        <v/>
      </c>
      <c r="DW606" s="1154" t="str">
        <f t="shared" si="106"/>
        <v/>
      </c>
      <c r="DX606" s="1154" t="str">
        <f t="shared" si="107"/>
        <v/>
      </c>
      <c r="DY606" s="1154" t="str">
        <f t="shared" si="108"/>
        <v/>
      </c>
      <c r="DZ606" s="1154" t="str">
        <f t="shared" si="109"/>
        <v/>
      </c>
      <c r="EA606" s="1154" t="str">
        <f t="shared" si="110"/>
        <v/>
      </c>
      <c r="EB606" s="1154" t="str">
        <f t="shared" si="111"/>
        <v/>
      </c>
      <c r="EC606" s="1154" t="str">
        <f t="shared" si="112"/>
        <v/>
      </c>
      <c r="ED606" s="1154" t="str">
        <f t="shared" si="113"/>
        <v/>
      </c>
      <c r="EE606" s="1154" t="str">
        <f t="shared" si="114"/>
        <v/>
      </c>
      <c r="EF606" s="1154" t="str">
        <f t="shared" si="115"/>
        <v/>
      </c>
      <c r="EG606" s="1154" t="str">
        <f t="shared" si="311"/>
        <v/>
      </c>
      <c r="EH606" s="1154" t="str">
        <f t="shared" si="116"/>
        <v/>
      </c>
      <c r="EI606" s="1154" t="str">
        <f t="shared" si="117"/>
        <v/>
      </c>
      <c r="EJ606" s="1154" t="str">
        <f t="shared" si="118"/>
        <v/>
      </c>
      <c r="EK606" s="1154" t="str">
        <f t="shared" si="119"/>
        <v/>
      </c>
      <c r="EL606" s="1154" t="str">
        <f t="shared" si="120"/>
        <v/>
      </c>
      <c r="EM606" s="1154" t="str">
        <f t="shared" si="121"/>
        <v/>
      </c>
      <c r="EN606" s="1154" t="str">
        <f t="shared" si="122"/>
        <v/>
      </c>
      <c r="EO606" s="1154" t="str">
        <f t="shared" si="123"/>
        <v/>
      </c>
      <c r="EP606" s="1154" t="str">
        <f t="shared" si="124"/>
        <v/>
      </c>
      <c r="EQ606" s="1154" t="str">
        <f t="shared" si="125"/>
        <v/>
      </c>
      <c r="ER606" s="1154" t="str">
        <f t="shared" si="126"/>
        <v/>
      </c>
      <c r="ES606" s="1154" t="str">
        <f t="shared" si="127"/>
        <v/>
      </c>
      <c r="ET606" s="1154" t="str">
        <f t="shared" si="128"/>
        <v/>
      </c>
      <c r="EU606" s="1154" t="str">
        <f t="shared" si="129"/>
        <v/>
      </c>
      <c r="EV606" s="1154" t="str">
        <f t="shared" si="130"/>
        <v/>
      </c>
      <c r="EW606" s="1154" t="str">
        <f t="shared" si="312"/>
        <v/>
      </c>
      <c r="EX606" s="1154" t="str">
        <f t="shared" si="313"/>
        <v/>
      </c>
      <c r="EY606" s="1154" t="str">
        <f t="shared" si="314"/>
        <v/>
      </c>
      <c r="EZ606" s="1154" t="str">
        <f t="shared" si="315"/>
        <v/>
      </c>
      <c r="FA606" s="1154" t="str">
        <f t="shared" si="316"/>
        <v/>
      </c>
      <c r="FB606" s="1154" t="str">
        <f t="shared" si="131"/>
        <v/>
      </c>
      <c r="FC606" s="1154" t="str">
        <f t="shared" si="132"/>
        <v/>
      </c>
      <c r="FD606" s="1154" t="str">
        <f t="shared" si="133"/>
        <v/>
      </c>
      <c r="FE606" s="1154" t="str">
        <f t="shared" si="134"/>
        <v/>
      </c>
      <c r="FF606" s="1154" t="str">
        <f t="shared" si="135"/>
        <v/>
      </c>
      <c r="FG606" s="1154" t="str">
        <f t="shared" si="317"/>
        <v/>
      </c>
      <c r="FH606" s="1154" t="str">
        <f t="shared" si="318"/>
        <v/>
      </c>
      <c r="FI606" s="1154" t="str">
        <f t="shared" si="319"/>
        <v/>
      </c>
      <c r="FJ606" s="1154" t="str">
        <f t="shared" si="320"/>
        <v/>
      </c>
      <c r="FK606" s="1154" t="str">
        <f t="shared" si="321"/>
        <v/>
      </c>
      <c r="FL606" s="1154" t="str">
        <f t="shared" si="136"/>
        <v/>
      </c>
      <c r="FM606" s="1154" t="str">
        <f t="shared" si="137"/>
        <v/>
      </c>
      <c r="FN606" s="1154" t="str">
        <f t="shared" si="138"/>
        <v/>
      </c>
      <c r="FO606" s="1154" t="str">
        <f t="shared" si="139"/>
        <v/>
      </c>
      <c r="FP606" s="1154" t="str">
        <f t="shared" si="140"/>
        <v/>
      </c>
      <c r="FQ606" s="1154" t="str">
        <f t="shared" si="141"/>
        <v/>
      </c>
      <c r="FR606" s="1154" t="str">
        <f t="shared" si="142"/>
        <v/>
      </c>
      <c r="FS606" s="1154" t="str">
        <f t="shared" si="143"/>
        <v/>
      </c>
      <c r="FT606" s="1154" t="str">
        <f t="shared" si="144"/>
        <v/>
      </c>
      <c r="FU606" s="1154" t="str">
        <f t="shared" si="145"/>
        <v/>
      </c>
      <c r="FV606" s="1154" t="str">
        <f t="shared" si="146"/>
        <v/>
      </c>
      <c r="FW606" s="1154" t="str">
        <f t="shared" si="147"/>
        <v/>
      </c>
      <c r="FX606" s="1154" t="str">
        <f t="shared" si="148"/>
        <v/>
      </c>
      <c r="FY606" s="1154" t="str">
        <f t="shared" si="149"/>
        <v/>
      </c>
      <c r="FZ606" s="1154" t="str">
        <f t="shared" si="150"/>
        <v/>
      </c>
      <c r="GA606" s="1154" t="str">
        <f t="shared" si="151"/>
        <v/>
      </c>
      <c r="GB606" s="1154" t="str">
        <f t="shared" si="152"/>
        <v/>
      </c>
      <c r="GC606" s="1154" t="str">
        <f t="shared" si="153"/>
        <v/>
      </c>
      <c r="GD606" s="1154" t="str">
        <f t="shared" si="154"/>
        <v/>
      </c>
      <c r="GE606" s="1154" t="str">
        <f t="shared" si="155"/>
        <v/>
      </c>
      <c r="GF606" s="1154" t="str">
        <f t="shared" si="156"/>
        <v/>
      </c>
      <c r="GG606" s="1154" t="str">
        <f t="shared" si="157"/>
        <v/>
      </c>
      <c r="GH606" s="1154" t="str">
        <f t="shared" si="158"/>
        <v/>
      </c>
      <c r="GI606" s="1154" t="str">
        <f t="shared" si="159"/>
        <v/>
      </c>
      <c r="GJ606" s="1154" t="str">
        <f t="shared" si="160"/>
        <v/>
      </c>
      <c r="GK606" s="1154" t="str">
        <f t="shared" si="161"/>
        <v/>
      </c>
      <c r="GL606" s="1154" t="str">
        <f t="shared" si="162"/>
        <v/>
      </c>
      <c r="GM606" s="1154" t="str">
        <f t="shared" si="163"/>
        <v/>
      </c>
      <c r="GN606" s="1154" t="str">
        <f t="shared" si="164"/>
        <v/>
      </c>
      <c r="GO606" s="1154" t="str">
        <f t="shared" si="165"/>
        <v/>
      </c>
      <c r="GP606" s="1154" t="str">
        <f t="shared" si="166"/>
        <v/>
      </c>
      <c r="GQ606" s="1154" t="str">
        <f t="shared" si="167"/>
        <v/>
      </c>
      <c r="GR606" s="1154" t="str">
        <f t="shared" si="168"/>
        <v/>
      </c>
      <c r="GS606" s="1154" t="str">
        <f t="shared" si="169"/>
        <v/>
      </c>
      <c r="GT606" s="1154" t="str">
        <f t="shared" si="170"/>
        <v/>
      </c>
      <c r="GU606" s="1154" t="str">
        <f t="shared" si="171"/>
        <v/>
      </c>
      <c r="GV606" s="1154" t="str">
        <f t="shared" si="172"/>
        <v/>
      </c>
      <c r="GW606" s="1154" t="str">
        <f t="shared" si="173"/>
        <v/>
      </c>
      <c r="GX606" s="1154" t="str">
        <f t="shared" si="174"/>
        <v/>
      </c>
      <c r="GY606" s="1154" t="str">
        <f t="shared" si="175"/>
        <v/>
      </c>
      <c r="GZ606" s="1154" t="str">
        <f t="shared" si="176"/>
        <v/>
      </c>
      <c r="HA606" s="1154" t="str">
        <f t="shared" si="177"/>
        <v/>
      </c>
      <c r="HB606" s="1154" t="str">
        <f t="shared" si="178"/>
        <v/>
      </c>
      <c r="HC606" s="1154" t="str">
        <f t="shared" si="179"/>
        <v/>
      </c>
      <c r="HD606" s="1154" t="str">
        <f t="shared" si="180"/>
        <v/>
      </c>
      <c r="HE606" s="1154" t="str">
        <f t="shared" si="181"/>
        <v/>
      </c>
      <c r="HF606" s="1154" t="str">
        <f t="shared" si="182"/>
        <v/>
      </c>
      <c r="HG606" s="1154" t="str">
        <f t="shared" si="183"/>
        <v/>
      </c>
      <c r="HH606" s="1154" t="str">
        <f t="shared" si="184"/>
        <v/>
      </c>
      <c r="HI606" s="1154" t="str">
        <f t="shared" si="185"/>
        <v/>
      </c>
      <c r="HJ606" s="1154" t="str">
        <f t="shared" si="186"/>
        <v/>
      </c>
      <c r="HK606" s="1154" t="str">
        <f t="shared" si="187"/>
        <v/>
      </c>
      <c r="HL606" s="1154" t="str">
        <f t="shared" si="188"/>
        <v/>
      </c>
      <c r="HM606" s="1154" t="str">
        <f t="shared" si="189"/>
        <v/>
      </c>
      <c r="HN606" s="1154" t="str">
        <f t="shared" si="190"/>
        <v/>
      </c>
      <c r="HO606" s="1154" t="str">
        <f t="shared" si="191"/>
        <v/>
      </c>
      <c r="HP606" s="1154" t="str">
        <f t="shared" si="192"/>
        <v/>
      </c>
      <c r="HQ606" s="1154" t="str">
        <f t="shared" si="193"/>
        <v/>
      </c>
      <c r="HR606" s="1154" t="str">
        <f t="shared" si="194"/>
        <v/>
      </c>
      <c r="HS606" s="1154" t="str">
        <f t="shared" si="195"/>
        <v/>
      </c>
      <c r="HT606" s="1154" t="str">
        <f t="shared" si="196"/>
        <v/>
      </c>
      <c r="HU606" s="1154" t="str">
        <f t="shared" si="197"/>
        <v/>
      </c>
      <c r="HV606" s="1154" t="str">
        <f t="shared" si="198"/>
        <v/>
      </c>
      <c r="HW606" s="1154" t="str">
        <f t="shared" si="199"/>
        <v/>
      </c>
      <c r="HX606" s="1154" t="str">
        <f t="shared" si="200"/>
        <v/>
      </c>
      <c r="HY606" s="1681" t="str">
        <f t="shared" si="201"/>
        <v/>
      </c>
      <c r="HZ606" s="1681" t="str">
        <f t="shared" si="202"/>
        <v/>
      </c>
      <c r="IA606" s="1681" t="str">
        <f t="shared" si="203"/>
        <v/>
      </c>
      <c r="IB606" s="1681" t="str">
        <f t="shared" si="204"/>
        <v/>
      </c>
      <c r="IC606" s="1681" t="str">
        <f t="shared" si="205"/>
        <v/>
      </c>
      <c r="ID606" s="1681" t="str">
        <f t="shared" si="206"/>
        <v/>
      </c>
      <c r="IE606" s="1681" t="str">
        <f t="shared" si="207"/>
        <v/>
      </c>
      <c r="IF606" s="1681" t="str">
        <f t="shared" si="208"/>
        <v/>
      </c>
      <c r="IG606" s="1681" t="str">
        <f t="shared" si="209"/>
        <v/>
      </c>
      <c r="IH606" s="1681" t="str">
        <f t="shared" si="210"/>
        <v/>
      </c>
      <c r="II606" s="1681" t="str">
        <f t="shared" si="211"/>
        <v/>
      </c>
      <c r="IJ606" s="1681" t="str">
        <f t="shared" si="212"/>
        <v/>
      </c>
      <c r="IK606" s="1681" t="str">
        <f t="shared" si="213"/>
        <v/>
      </c>
      <c r="IL606" s="1681" t="str">
        <f t="shared" si="214"/>
        <v/>
      </c>
      <c r="IM606" s="1681" t="str">
        <f t="shared" si="215"/>
        <v/>
      </c>
      <c r="IN606" s="1681" t="str">
        <f t="shared" si="216"/>
        <v/>
      </c>
      <c r="IO606" s="1681" t="str">
        <f t="shared" si="217"/>
        <v/>
      </c>
      <c r="IP606" s="1681" t="str">
        <f t="shared" si="218"/>
        <v/>
      </c>
      <c r="IQ606" s="1681" t="str">
        <f t="shared" si="219"/>
        <v/>
      </c>
      <c r="IR606" s="1681" t="str">
        <f t="shared" si="220"/>
        <v/>
      </c>
      <c r="IS606" s="1681" t="str">
        <f t="shared" si="221"/>
        <v/>
      </c>
      <c r="IT606" s="1681" t="str">
        <f t="shared" si="222"/>
        <v/>
      </c>
      <c r="IU606" s="1681" t="str">
        <f t="shared" si="223"/>
        <v/>
      </c>
      <c r="IV606" s="1681" t="str">
        <f t="shared" si="224"/>
        <v/>
      </c>
      <c r="IW606" s="1681" t="str">
        <f t="shared" si="225"/>
        <v/>
      </c>
      <c r="IX606" s="1681" t="str">
        <f t="shared" si="226"/>
        <v/>
      </c>
      <c r="IY606" s="1681" t="str">
        <f t="shared" si="227"/>
        <v/>
      </c>
      <c r="IZ606" s="1681" t="str">
        <f t="shared" si="228"/>
        <v/>
      </c>
      <c r="JA606" s="1681" t="str">
        <f t="shared" si="229"/>
        <v/>
      </c>
      <c r="JB606" s="1681" t="str">
        <f t="shared" si="230"/>
        <v/>
      </c>
      <c r="JC606" s="1681" t="str">
        <f t="shared" si="231"/>
        <v/>
      </c>
      <c r="JD606" s="1681" t="str">
        <f t="shared" si="232"/>
        <v/>
      </c>
      <c r="JE606" s="1681" t="str">
        <f t="shared" si="233"/>
        <v/>
      </c>
      <c r="JF606" s="1681" t="str">
        <f t="shared" si="234"/>
        <v/>
      </c>
      <c r="JG606" s="1681" t="str">
        <f t="shared" si="235"/>
        <v/>
      </c>
      <c r="JH606" s="1681" t="str">
        <f t="shared" si="236"/>
        <v/>
      </c>
      <c r="JI606" s="1681" t="str">
        <f t="shared" si="237"/>
        <v/>
      </c>
      <c r="JJ606" s="1681" t="str">
        <f t="shared" si="238"/>
        <v/>
      </c>
      <c r="JK606" s="1681" t="str">
        <f t="shared" si="239"/>
        <v/>
      </c>
      <c r="JL606" s="1681" t="str">
        <f t="shared" si="240"/>
        <v/>
      </c>
      <c r="JM606" s="1681" t="str">
        <f t="shared" si="241"/>
        <v/>
      </c>
      <c r="JN606" s="1681" t="str">
        <f t="shared" si="242"/>
        <v/>
      </c>
      <c r="JO606" s="1681" t="str">
        <f t="shared" si="243"/>
        <v/>
      </c>
      <c r="JP606" s="1681" t="str">
        <f t="shared" si="244"/>
        <v/>
      </c>
      <c r="JQ606" s="1681" t="str">
        <f t="shared" si="245"/>
        <v/>
      </c>
      <c r="JR606" s="1681" t="str">
        <f t="shared" si="246"/>
        <v/>
      </c>
      <c r="JS606" s="1681" t="str">
        <f t="shared" si="247"/>
        <v/>
      </c>
      <c r="JT606" s="1681" t="str">
        <f t="shared" si="248"/>
        <v/>
      </c>
      <c r="JU606" s="1681" t="str">
        <f t="shared" si="249"/>
        <v/>
      </c>
      <c r="JV606" s="1681" t="str">
        <f t="shared" si="250"/>
        <v/>
      </c>
      <c r="JW606" s="1681" t="str">
        <f t="shared" si="251"/>
        <v/>
      </c>
      <c r="JX606" s="1681" t="str">
        <f t="shared" si="252"/>
        <v/>
      </c>
      <c r="JY606" s="1681" t="str">
        <f t="shared" si="253"/>
        <v/>
      </c>
      <c r="JZ606" s="1681" t="str">
        <f t="shared" si="254"/>
        <v/>
      </c>
      <c r="KA606" s="1681" t="str">
        <f t="shared" si="255"/>
        <v/>
      </c>
      <c r="KB606" s="1681" t="str">
        <f t="shared" si="256"/>
        <v/>
      </c>
      <c r="KC606" s="1681" t="str">
        <f t="shared" si="257"/>
        <v/>
      </c>
      <c r="KD606" s="1681" t="str">
        <f t="shared" si="258"/>
        <v/>
      </c>
      <c r="KE606" s="1681" t="str">
        <f t="shared" si="259"/>
        <v/>
      </c>
      <c r="KF606" s="1681" t="str">
        <f t="shared" si="260"/>
        <v/>
      </c>
      <c r="KG606" s="1681" t="str">
        <f t="shared" si="261"/>
        <v/>
      </c>
      <c r="KH606" s="1681" t="str">
        <f t="shared" si="262"/>
        <v/>
      </c>
      <c r="KI606" s="1681" t="str">
        <f t="shared" si="263"/>
        <v/>
      </c>
      <c r="KJ606" s="1681" t="str">
        <f t="shared" si="264"/>
        <v/>
      </c>
      <c r="KK606" s="1681" t="str">
        <f t="shared" si="265"/>
        <v/>
      </c>
      <c r="KL606" s="1681" t="str">
        <f t="shared" si="266"/>
        <v/>
      </c>
      <c r="KM606" s="1681" t="str">
        <f t="shared" si="267"/>
        <v/>
      </c>
      <c r="KN606" s="1681" t="str">
        <f t="shared" si="268"/>
        <v/>
      </c>
      <c r="KO606" s="1681" t="str">
        <f t="shared" si="269"/>
        <v/>
      </c>
      <c r="KP606" s="1681" t="str">
        <f t="shared" si="270"/>
        <v/>
      </c>
      <c r="KQ606" s="1681" t="str">
        <f t="shared" si="271"/>
        <v/>
      </c>
      <c r="KR606" s="1681" t="str">
        <f t="shared" si="272"/>
        <v/>
      </c>
      <c r="KS606" s="1681" t="str">
        <f t="shared" si="273"/>
        <v/>
      </c>
      <c r="KT606" s="1681" t="str">
        <f t="shared" si="274"/>
        <v/>
      </c>
      <c r="KU606" s="1681" t="str">
        <f t="shared" si="275"/>
        <v/>
      </c>
      <c r="KV606" s="1681" t="str">
        <f t="shared" si="276"/>
        <v/>
      </c>
      <c r="KW606" s="1681" t="str">
        <f t="shared" si="277"/>
        <v/>
      </c>
      <c r="KX606" s="1681" t="str">
        <f t="shared" si="278"/>
        <v/>
      </c>
      <c r="KY606" s="1681" t="str">
        <f t="shared" si="279"/>
        <v/>
      </c>
      <c r="KZ606" s="1681" t="str">
        <f t="shared" si="280"/>
        <v/>
      </c>
      <c r="LA606" s="1681" t="str">
        <f t="shared" si="281"/>
        <v/>
      </c>
      <c r="LB606" s="1681" t="str">
        <f t="shared" si="282"/>
        <v/>
      </c>
      <c r="LC606" s="1681" t="str">
        <f t="shared" si="283"/>
        <v/>
      </c>
      <c r="LD606" s="1681" t="str">
        <f t="shared" si="284"/>
        <v/>
      </c>
      <c r="LE606" s="1681" t="str">
        <f t="shared" si="285"/>
        <v/>
      </c>
      <c r="LF606" s="1525" t="str">
        <f t="shared" si="286"/>
        <v/>
      </c>
      <c r="LG606" s="1525" t="str">
        <f t="shared" si="287"/>
        <v/>
      </c>
      <c r="LH606" s="1525" t="str">
        <f t="shared" si="288"/>
        <v/>
      </c>
      <c r="LI606" s="1525" t="str">
        <f t="shared" si="289"/>
        <v/>
      </c>
      <c r="LJ606" s="1525" t="str">
        <f t="shared" si="290"/>
        <v/>
      </c>
      <c r="LK606" s="1154" t="str">
        <f t="shared" si="291"/>
        <v/>
      </c>
      <c r="LL606" s="1154" t="str">
        <f t="shared" si="292"/>
        <v/>
      </c>
      <c r="LM606" s="1154" t="str">
        <f t="shared" si="293"/>
        <v/>
      </c>
      <c r="LN606" s="1154" t="str">
        <f t="shared" si="294"/>
        <v/>
      </c>
      <c r="LO606" s="1154" t="str">
        <f t="shared" si="295"/>
        <v/>
      </c>
      <c r="LP606" s="1154" t="str">
        <f t="shared" si="296"/>
        <v/>
      </c>
      <c r="LQ606" s="1154" t="str">
        <f t="shared" si="297"/>
        <v/>
      </c>
      <c r="LR606" s="1154" t="str">
        <f t="shared" si="298"/>
        <v/>
      </c>
      <c r="LS606" s="1154" t="str">
        <f t="shared" si="299"/>
        <v/>
      </c>
      <c r="LT606" s="1154" t="str">
        <f t="shared" si="300"/>
        <v/>
      </c>
      <c r="LU606" s="1154" t="str">
        <f t="shared" si="301"/>
        <v/>
      </c>
      <c r="LV606" s="1154" t="str">
        <f t="shared" si="302"/>
        <v/>
      </c>
      <c r="LW606" s="1154" t="str">
        <f t="shared" si="303"/>
        <v/>
      </c>
      <c r="LX606" s="1154" t="str">
        <f t="shared" si="304"/>
        <v/>
      </c>
      <c r="LY606" s="1154" t="str">
        <f t="shared" si="305"/>
        <v/>
      </c>
      <c r="LZ606" s="1154" t="str">
        <f t="shared" si="306"/>
        <v/>
      </c>
      <c r="MA606" s="1154" t="str">
        <f t="shared" si="307"/>
        <v/>
      </c>
      <c r="MB606" s="1154" t="str">
        <f t="shared" si="308"/>
        <v/>
      </c>
      <c r="MC606" s="1154" t="str">
        <f t="shared" si="309"/>
        <v/>
      </c>
      <c r="MD606" s="1154" t="str">
        <f t="shared" si="310"/>
        <v/>
      </c>
      <c r="ME606" s="1525">
        <f t="shared" si="322"/>
        <v>0</v>
      </c>
      <c r="MF606" s="1525">
        <f t="shared" si="323"/>
        <v>0</v>
      </c>
      <c r="MG606" s="1525">
        <f t="shared" si="324"/>
        <v>0</v>
      </c>
      <c r="MH606" s="1525">
        <f t="shared" si="325"/>
        <v>0</v>
      </c>
      <c r="MI606" s="1525">
        <f t="shared" si="326"/>
        <v>0</v>
      </c>
      <c r="MJ606" s="1525">
        <f t="shared" si="327"/>
        <v>0</v>
      </c>
      <c r="MK606" s="1525">
        <f t="shared" si="328"/>
        <v>0</v>
      </c>
      <c r="ML606" s="1525">
        <f t="shared" si="329"/>
        <v>0</v>
      </c>
      <c r="MM606" s="1525">
        <f t="shared" si="330"/>
        <v>0</v>
      </c>
      <c r="MN606" s="1525">
        <f t="shared" si="331"/>
        <v>0</v>
      </c>
      <c r="MO606" s="1525">
        <f t="shared" si="332"/>
        <v>0</v>
      </c>
      <c r="MP606" s="1525">
        <f t="shared" si="333"/>
        <v>0</v>
      </c>
      <c r="MQ606" s="1525">
        <f t="shared" si="334"/>
        <v>0</v>
      </c>
      <c r="MR606" s="1525">
        <f t="shared" si="335"/>
        <v>0</v>
      </c>
      <c r="MS606" s="1525">
        <f t="shared" si="336"/>
        <v>0</v>
      </c>
    </row>
    <row r="607" spans="1:357" s="1154" customFormat="1" ht="12" customHeight="1">
      <c r="A607" s="1524" t="str">
        <f t="shared" si="1"/>
        <v/>
      </c>
      <c r="B607" s="1682">
        <f>'Part VI-Revenues &amp; Expenses'!B36</f>
        <v>0</v>
      </c>
      <c r="C607" s="1673">
        <f>'Part VI-Revenues &amp; Expenses'!C36</f>
        <v>0</v>
      </c>
      <c r="D607" s="1674">
        <f>'Part VI-Revenues &amp; Expenses'!D36</f>
        <v>0</v>
      </c>
      <c r="E607" s="1675">
        <f>'Part VI-Revenues &amp; Expenses'!E36</f>
        <v>0</v>
      </c>
      <c r="F607" s="1675">
        <f>'Part VI-Revenues &amp; Expenses'!F36</f>
        <v>0</v>
      </c>
      <c r="G607" s="1675">
        <f>'Part VI-Revenues &amp; Expenses'!G36</f>
        <v>0</v>
      </c>
      <c r="H607" s="1675">
        <f>'Part VI-Revenues &amp; Expenses'!H36</f>
        <v>0</v>
      </c>
      <c r="I607" s="1675">
        <f>'Part VI-Revenues &amp; Expenses'!I36</f>
        <v>0</v>
      </c>
      <c r="J607" s="1676">
        <f>'Part VI-Revenues &amp; Expenses'!J36</f>
        <v>0</v>
      </c>
      <c r="K607" s="1677">
        <f>'Part VI-Revenues &amp; Expenses'!K36</f>
        <v>0</v>
      </c>
      <c r="L607" s="1677">
        <f>'Part VI-Revenues &amp; Expenses'!L36</f>
        <v>0</v>
      </c>
      <c r="M607" s="1678">
        <f>'Part VI-Revenues &amp; Expenses'!M36</f>
        <v>0</v>
      </c>
      <c r="N607" s="1678">
        <f>'Part VI-Revenues &amp; Expenses'!N36</f>
        <v>0</v>
      </c>
      <c r="O607" s="1678">
        <f>'Part VI-Revenues &amp; Expenses'!O36</f>
        <v>0</v>
      </c>
      <c r="P607" s="1660">
        <f>'Part VI-Revenues &amp; Expenses'!P36</f>
        <v>0</v>
      </c>
      <c r="Q607" s="1679"/>
      <c r="R607" s="1680"/>
      <c r="S607" s="1679"/>
      <c r="T607" s="1680"/>
      <c r="U607" s="1519"/>
      <c r="V607" s="1519"/>
      <c r="W607" s="1154" t="str">
        <f t="shared" si="2"/>
        <v/>
      </c>
      <c r="X607" s="1154" t="str">
        <f t="shared" si="3"/>
        <v/>
      </c>
      <c r="Y607" s="1154" t="str">
        <f t="shared" si="4"/>
        <v/>
      </c>
      <c r="Z607" s="1154" t="str">
        <f t="shared" si="5"/>
        <v/>
      </c>
      <c r="AA607" s="1154" t="str">
        <f t="shared" si="6"/>
        <v/>
      </c>
      <c r="AB607" s="1154" t="str">
        <f t="shared" si="7"/>
        <v/>
      </c>
      <c r="AC607" s="1154" t="str">
        <f t="shared" si="8"/>
        <v/>
      </c>
      <c r="AD607" s="1154" t="str">
        <f t="shared" si="9"/>
        <v/>
      </c>
      <c r="AE607" s="1154" t="str">
        <f t="shared" si="10"/>
        <v/>
      </c>
      <c r="AF607" s="1154" t="str">
        <f t="shared" si="11"/>
        <v/>
      </c>
      <c r="AG607" s="1154" t="str">
        <f t="shared" si="12"/>
        <v/>
      </c>
      <c r="AH607" s="1154" t="str">
        <f t="shared" si="13"/>
        <v/>
      </c>
      <c r="AI607" s="1154" t="str">
        <f t="shared" si="14"/>
        <v/>
      </c>
      <c r="AJ607" s="1154" t="str">
        <f t="shared" si="15"/>
        <v/>
      </c>
      <c r="AK607" s="1154" t="str">
        <f t="shared" si="16"/>
        <v/>
      </c>
      <c r="AL607" s="1154" t="str">
        <f t="shared" si="17"/>
        <v/>
      </c>
      <c r="AM607" s="1154" t="str">
        <f t="shared" si="18"/>
        <v/>
      </c>
      <c r="AN607" s="1154" t="str">
        <f t="shared" si="19"/>
        <v/>
      </c>
      <c r="AO607" s="1154" t="str">
        <f t="shared" si="20"/>
        <v/>
      </c>
      <c r="AP607" s="1154" t="str">
        <f t="shared" si="21"/>
        <v/>
      </c>
      <c r="AQ607" s="1154" t="str">
        <f t="shared" si="22"/>
        <v/>
      </c>
      <c r="AR607" s="1154" t="str">
        <f t="shared" si="23"/>
        <v/>
      </c>
      <c r="AS607" s="1154" t="str">
        <f t="shared" si="24"/>
        <v/>
      </c>
      <c r="AT607" s="1154" t="str">
        <f t="shared" si="25"/>
        <v/>
      </c>
      <c r="AU607" s="1154" t="str">
        <f t="shared" si="26"/>
        <v/>
      </c>
      <c r="AV607" s="1154" t="str">
        <f t="shared" si="27"/>
        <v/>
      </c>
      <c r="AW607" s="1154" t="str">
        <f t="shared" si="28"/>
        <v/>
      </c>
      <c r="AX607" s="1154" t="str">
        <f t="shared" si="29"/>
        <v/>
      </c>
      <c r="AY607" s="1154" t="str">
        <f t="shared" si="30"/>
        <v/>
      </c>
      <c r="AZ607" s="1154" t="str">
        <f t="shared" si="31"/>
        <v/>
      </c>
      <c r="BA607" s="1154" t="str">
        <f t="shared" si="32"/>
        <v/>
      </c>
      <c r="BB607" s="1154" t="str">
        <f t="shared" si="33"/>
        <v/>
      </c>
      <c r="BC607" s="1154" t="str">
        <f t="shared" si="34"/>
        <v/>
      </c>
      <c r="BD607" s="1154" t="str">
        <f t="shared" si="35"/>
        <v/>
      </c>
      <c r="BE607" s="1154" t="str">
        <f t="shared" si="36"/>
        <v/>
      </c>
      <c r="BF607" s="1154" t="str">
        <f t="shared" si="37"/>
        <v/>
      </c>
      <c r="BG607" s="1154" t="str">
        <f t="shared" si="38"/>
        <v/>
      </c>
      <c r="BH607" s="1154" t="str">
        <f t="shared" si="39"/>
        <v/>
      </c>
      <c r="BI607" s="1154" t="str">
        <f t="shared" si="40"/>
        <v/>
      </c>
      <c r="BJ607" s="1154" t="str">
        <f t="shared" si="41"/>
        <v/>
      </c>
      <c r="BK607" s="1154" t="str">
        <f t="shared" si="42"/>
        <v/>
      </c>
      <c r="BL607" s="1154" t="str">
        <f t="shared" si="43"/>
        <v/>
      </c>
      <c r="BM607" s="1154" t="str">
        <f t="shared" si="44"/>
        <v/>
      </c>
      <c r="BN607" s="1154" t="str">
        <f t="shared" si="45"/>
        <v/>
      </c>
      <c r="BO607" s="1154" t="str">
        <f t="shared" si="46"/>
        <v/>
      </c>
      <c r="BP607" s="1154" t="str">
        <f t="shared" si="47"/>
        <v/>
      </c>
      <c r="BQ607" s="1154" t="str">
        <f t="shared" si="48"/>
        <v/>
      </c>
      <c r="BR607" s="1154" t="str">
        <f t="shared" si="49"/>
        <v/>
      </c>
      <c r="BS607" s="1154" t="str">
        <f t="shared" si="50"/>
        <v/>
      </c>
      <c r="BT607" s="1154" t="str">
        <f t="shared" si="51"/>
        <v/>
      </c>
      <c r="BU607" s="1154" t="str">
        <f t="shared" si="52"/>
        <v/>
      </c>
      <c r="BV607" s="1154" t="str">
        <f t="shared" si="53"/>
        <v/>
      </c>
      <c r="BW607" s="1154" t="str">
        <f t="shared" si="54"/>
        <v/>
      </c>
      <c r="BX607" s="1154" t="str">
        <f t="shared" si="55"/>
        <v/>
      </c>
      <c r="BY607" s="1154" t="str">
        <f t="shared" si="56"/>
        <v/>
      </c>
      <c r="BZ607" s="1154" t="str">
        <f t="shared" si="57"/>
        <v/>
      </c>
      <c r="CA607" s="1154" t="str">
        <f t="shared" si="58"/>
        <v/>
      </c>
      <c r="CB607" s="1154" t="str">
        <f t="shared" si="59"/>
        <v/>
      </c>
      <c r="CC607" s="1154" t="str">
        <f t="shared" si="60"/>
        <v/>
      </c>
      <c r="CD607" s="1154" t="str">
        <f t="shared" si="61"/>
        <v/>
      </c>
      <c r="CE607" s="1154" t="str">
        <f t="shared" si="62"/>
        <v/>
      </c>
      <c r="CF607" s="1154" t="str">
        <f t="shared" si="63"/>
        <v/>
      </c>
      <c r="CG607" s="1154" t="str">
        <f t="shared" si="64"/>
        <v/>
      </c>
      <c r="CH607" s="1154" t="str">
        <f t="shared" si="65"/>
        <v/>
      </c>
      <c r="CI607" s="1154" t="str">
        <f t="shared" si="66"/>
        <v/>
      </c>
      <c r="CJ607" s="1154" t="str">
        <f t="shared" si="67"/>
        <v/>
      </c>
      <c r="CK607" s="1154" t="str">
        <f t="shared" si="68"/>
        <v/>
      </c>
      <c r="CL607" s="1154" t="str">
        <f t="shared" si="69"/>
        <v/>
      </c>
      <c r="CM607" s="1154" t="str">
        <f t="shared" si="70"/>
        <v/>
      </c>
      <c r="CN607" s="1154" t="str">
        <f t="shared" si="71"/>
        <v/>
      </c>
      <c r="CO607" s="1154" t="str">
        <f t="shared" si="72"/>
        <v/>
      </c>
      <c r="CP607" s="1154" t="str">
        <f t="shared" si="73"/>
        <v/>
      </c>
      <c r="CQ607" s="1154" t="str">
        <f t="shared" si="74"/>
        <v/>
      </c>
      <c r="CR607" s="1154" t="str">
        <f t="shared" si="75"/>
        <v/>
      </c>
      <c r="CS607" s="1154" t="str">
        <f t="shared" si="76"/>
        <v/>
      </c>
      <c r="CT607" s="1154" t="str">
        <f t="shared" si="77"/>
        <v/>
      </c>
      <c r="CU607" s="1154" t="str">
        <f t="shared" si="78"/>
        <v/>
      </c>
      <c r="CV607" s="1154" t="str">
        <f t="shared" si="79"/>
        <v/>
      </c>
      <c r="CW607" s="1154" t="str">
        <f t="shared" si="80"/>
        <v/>
      </c>
      <c r="CX607" s="1154" t="str">
        <f t="shared" si="81"/>
        <v/>
      </c>
      <c r="CY607" s="1154" t="str">
        <f t="shared" si="82"/>
        <v/>
      </c>
      <c r="CZ607" s="1154" t="str">
        <f t="shared" si="83"/>
        <v/>
      </c>
      <c r="DA607" s="1154" t="str">
        <f t="shared" si="84"/>
        <v/>
      </c>
      <c r="DB607" s="1154" t="str">
        <f t="shared" si="85"/>
        <v/>
      </c>
      <c r="DC607" s="1154" t="str">
        <f t="shared" si="86"/>
        <v/>
      </c>
      <c r="DD607" s="1154" t="str">
        <f t="shared" si="87"/>
        <v/>
      </c>
      <c r="DE607" s="1154" t="str">
        <f t="shared" si="88"/>
        <v/>
      </c>
      <c r="DF607" s="1154" t="str">
        <f t="shared" si="89"/>
        <v/>
      </c>
      <c r="DG607" s="1154" t="str">
        <f t="shared" si="90"/>
        <v/>
      </c>
      <c r="DH607" s="1154" t="str">
        <f t="shared" si="91"/>
        <v/>
      </c>
      <c r="DI607" s="1154" t="str">
        <f t="shared" si="92"/>
        <v/>
      </c>
      <c r="DJ607" s="1154" t="str">
        <f t="shared" si="93"/>
        <v/>
      </c>
      <c r="DK607" s="1154" t="str">
        <f t="shared" si="94"/>
        <v/>
      </c>
      <c r="DL607" s="1154" t="str">
        <f t="shared" si="95"/>
        <v/>
      </c>
      <c r="DM607" s="1154" t="str">
        <f t="shared" si="96"/>
        <v/>
      </c>
      <c r="DN607" s="1154" t="str">
        <f t="shared" si="97"/>
        <v/>
      </c>
      <c r="DO607" s="1154" t="str">
        <f t="shared" si="98"/>
        <v/>
      </c>
      <c r="DP607" s="1154" t="str">
        <f t="shared" si="99"/>
        <v/>
      </c>
      <c r="DQ607" s="1154" t="str">
        <f t="shared" si="100"/>
        <v/>
      </c>
      <c r="DR607" s="1154" t="str">
        <f t="shared" si="101"/>
        <v/>
      </c>
      <c r="DS607" s="1154" t="str">
        <f t="shared" si="102"/>
        <v/>
      </c>
      <c r="DT607" s="1154" t="str">
        <f t="shared" si="103"/>
        <v/>
      </c>
      <c r="DU607" s="1154" t="str">
        <f t="shared" si="104"/>
        <v/>
      </c>
      <c r="DV607" s="1154" t="str">
        <f t="shared" si="105"/>
        <v/>
      </c>
      <c r="DW607" s="1154" t="str">
        <f t="shared" si="106"/>
        <v/>
      </c>
      <c r="DX607" s="1154" t="str">
        <f t="shared" si="107"/>
        <v/>
      </c>
      <c r="DY607" s="1154" t="str">
        <f t="shared" si="108"/>
        <v/>
      </c>
      <c r="DZ607" s="1154" t="str">
        <f t="shared" si="109"/>
        <v/>
      </c>
      <c r="EA607" s="1154" t="str">
        <f t="shared" si="110"/>
        <v/>
      </c>
      <c r="EB607" s="1154" t="str">
        <f t="shared" si="111"/>
        <v/>
      </c>
      <c r="EC607" s="1154" t="str">
        <f t="shared" si="112"/>
        <v/>
      </c>
      <c r="ED607" s="1154" t="str">
        <f t="shared" si="113"/>
        <v/>
      </c>
      <c r="EE607" s="1154" t="str">
        <f t="shared" si="114"/>
        <v/>
      </c>
      <c r="EF607" s="1154" t="str">
        <f t="shared" si="115"/>
        <v/>
      </c>
      <c r="EG607" s="1154" t="str">
        <f t="shared" si="311"/>
        <v/>
      </c>
      <c r="EH607" s="1154" t="str">
        <f t="shared" si="116"/>
        <v/>
      </c>
      <c r="EI607" s="1154" t="str">
        <f t="shared" si="117"/>
        <v/>
      </c>
      <c r="EJ607" s="1154" t="str">
        <f t="shared" si="118"/>
        <v/>
      </c>
      <c r="EK607" s="1154" t="str">
        <f t="shared" si="119"/>
        <v/>
      </c>
      <c r="EL607" s="1154" t="str">
        <f t="shared" si="120"/>
        <v/>
      </c>
      <c r="EM607" s="1154" t="str">
        <f t="shared" si="121"/>
        <v/>
      </c>
      <c r="EN607" s="1154" t="str">
        <f t="shared" si="122"/>
        <v/>
      </c>
      <c r="EO607" s="1154" t="str">
        <f t="shared" si="123"/>
        <v/>
      </c>
      <c r="EP607" s="1154" t="str">
        <f t="shared" si="124"/>
        <v/>
      </c>
      <c r="EQ607" s="1154" t="str">
        <f t="shared" si="125"/>
        <v/>
      </c>
      <c r="ER607" s="1154" t="str">
        <f t="shared" si="126"/>
        <v/>
      </c>
      <c r="ES607" s="1154" t="str">
        <f t="shared" si="127"/>
        <v/>
      </c>
      <c r="ET607" s="1154" t="str">
        <f t="shared" si="128"/>
        <v/>
      </c>
      <c r="EU607" s="1154" t="str">
        <f t="shared" si="129"/>
        <v/>
      </c>
      <c r="EV607" s="1154" t="str">
        <f t="shared" si="130"/>
        <v/>
      </c>
      <c r="EW607" s="1154" t="str">
        <f t="shared" si="312"/>
        <v/>
      </c>
      <c r="EX607" s="1154" t="str">
        <f t="shared" si="313"/>
        <v/>
      </c>
      <c r="EY607" s="1154" t="str">
        <f t="shared" si="314"/>
        <v/>
      </c>
      <c r="EZ607" s="1154" t="str">
        <f t="shared" si="315"/>
        <v/>
      </c>
      <c r="FA607" s="1154" t="str">
        <f t="shared" si="316"/>
        <v/>
      </c>
      <c r="FB607" s="1154" t="str">
        <f t="shared" si="131"/>
        <v/>
      </c>
      <c r="FC607" s="1154" t="str">
        <f t="shared" si="132"/>
        <v/>
      </c>
      <c r="FD607" s="1154" t="str">
        <f t="shared" si="133"/>
        <v/>
      </c>
      <c r="FE607" s="1154" t="str">
        <f t="shared" si="134"/>
        <v/>
      </c>
      <c r="FF607" s="1154" t="str">
        <f t="shared" si="135"/>
        <v/>
      </c>
      <c r="FG607" s="1154" t="str">
        <f t="shared" si="317"/>
        <v/>
      </c>
      <c r="FH607" s="1154" t="str">
        <f t="shared" si="318"/>
        <v/>
      </c>
      <c r="FI607" s="1154" t="str">
        <f t="shared" si="319"/>
        <v/>
      </c>
      <c r="FJ607" s="1154" t="str">
        <f t="shared" si="320"/>
        <v/>
      </c>
      <c r="FK607" s="1154" t="str">
        <f t="shared" si="321"/>
        <v/>
      </c>
      <c r="FL607" s="1154" t="str">
        <f t="shared" si="136"/>
        <v/>
      </c>
      <c r="FM607" s="1154" t="str">
        <f t="shared" si="137"/>
        <v/>
      </c>
      <c r="FN607" s="1154" t="str">
        <f t="shared" si="138"/>
        <v/>
      </c>
      <c r="FO607" s="1154" t="str">
        <f t="shared" si="139"/>
        <v/>
      </c>
      <c r="FP607" s="1154" t="str">
        <f t="shared" si="140"/>
        <v/>
      </c>
      <c r="FQ607" s="1154" t="str">
        <f t="shared" si="141"/>
        <v/>
      </c>
      <c r="FR607" s="1154" t="str">
        <f t="shared" si="142"/>
        <v/>
      </c>
      <c r="FS607" s="1154" t="str">
        <f t="shared" si="143"/>
        <v/>
      </c>
      <c r="FT607" s="1154" t="str">
        <f t="shared" si="144"/>
        <v/>
      </c>
      <c r="FU607" s="1154" t="str">
        <f t="shared" si="145"/>
        <v/>
      </c>
      <c r="FV607" s="1154" t="str">
        <f t="shared" si="146"/>
        <v/>
      </c>
      <c r="FW607" s="1154" t="str">
        <f t="shared" si="147"/>
        <v/>
      </c>
      <c r="FX607" s="1154" t="str">
        <f t="shared" si="148"/>
        <v/>
      </c>
      <c r="FY607" s="1154" t="str">
        <f t="shared" si="149"/>
        <v/>
      </c>
      <c r="FZ607" s="1154" t="str">
        <f t="shared" si="150"/>
        <v/>
      </c>
      <c r="GA607" s="1154" t="str">
        <f t="shared" si="151"/>
        <v/>
      </c>
      <c r="GB607" s="1154" t="str">
        <f t="shared" si="152"/>
        <v/>
      </c>
      <c r="GC607" s="1154" t="str">
        <f t="shared" si="153"/>
        <v/>
      </c>
      <c r="GD607" s="1154" t="str">
        <f t="shared" si="154"/>
        <v/>
      </c>
      <c r="GE607" s="1154" t="str">
        <f t="shared" si="155"/>
        <v/>
      </c>
      <c r="GF607" s="1154" t="str">
        <f t="shared" si="156"/>
        <v/>
      </c>
      <c r="GG607" s="1154" t="str">
        <f t="shared" si="157"/>
        <v/>
      </c>
      <c r="GH607" s="1154" t="str">
        <f t="shared" si="158"/>
        <v/>
      </c>
      <c r="GI607" s="1154" t="str">
        <f t="shared" si="159"/>
        <v/>
      </c>
      <c r="GJ607" s="1154" t="str">
        <f t="shared" si="160"/>
        <v/>
      </c>
      <c r="GK607" s="1154" t="str">
        <f t="shared" si="161"/>
        <v/>
      </c>
      <c r="GL607" s="1154" t="str">
        <f t="shared" si="162"/>
        <v/>
      </c>
      <c r="GM607" s="1154" t="str">
        <f t="shared" si="163"/>
        <v/>
      </c>
      <c r="GN607" s="1154" t="str">
        <f t="shared" si="164"/>
        <v/>
      </c>
      <c r="GO607" s="1154" t="str">
        <f t="shared" si="165"/>
        <v/>
      </c>
      <c r="GP607" s="1154" t="str">
        <f t="shared" si="166"/>
        <v/>
      </c>
      <c r="GQ607" s="1154" t="str">
        <f t="shared" si="167"/>
        <v/>
      </c>
      <c r="GR607" s="1154" t="str">
        <f t="shared" si="168"/>
        <v/>
      </c>
      <c r="GS607" s="1154" t="str">
        <f t="shared" si="169"/>
        <v/>
      </c>
      <c r="GT607" s="1154" t="str">
        <f t="shared" si="170"/>
        <v/>
      </c>
      <c r="GU607" s="1154" t="str">
        <f t="shared" si="171"/>
        <v/>
      </c>
      <c r="GV607" s="1154" t="str">
        <f t="shared" si="172"/>
        <v/>
      </c>
      <c r="GW607" s="1154" t="str">
        <f t="shared" si="173"/>
        <v/>
      </c>
      <c r="GX607" s="1154" t="str">
        <f t="shared" si="174"/>
        <v/>
      </c>
      <c r="GY607" s="1154" t="str">
        <f t="shared" si="175"/>
        <v/>
      </c>
      <c r="GZ607" s="1154" t="str">
        <f t="shared" si="176"/>
        <v/>
      </c>
      <c r="HA607" s="1154" t="str">
        <f t="shared" si="177"/>
        <v/>
      </c>
      <c r="HB607" s="1154" t="str">
        <f t="shared" si="178"/>
        <v/>
      </c>
      <c r="HC607" s="1154" t="str">
        <f t="shared" si="179"/>
        <v/>
      </c>
      <c r="HD607" s="1154" t="str">
        <f t="shared" si="180"/>
        <v/>
      </c>
      <c r="HE607" s="1154" t="str">
        <f t="shared" si="181"/>
        <v/>
      </c>
      <c r="HF607" s="1154" t="str">
        <f t="shared" si="182"/>
        <v/>
      </c>
      <c r="HG607" s="1154" t="str">
        <f t="shared" si="183"/>
        <v/>
      </c>
      <c r="HH607" s="1154" t="str">
        <f t="shared" si="184"/>
        <v/>
      </c>
      <c r="HI607" s="1154" t="str">
        <f t="shared" si="185"/>
        <v/>
      </c>
      <c r="HJ607" s="1154" t="str">
        <f t="shared" si="186"/>
        <v/>
      </c>
      <c r="HK607" s="1154" t="str">
        <f t="shared" si="187"/>
        <v/>
      </c>
      <c r="HL607" s="1154" t="str">
        <f t="shared" si="188"/>
        <v/>
      </c>
      <c r="HM607" s="1154" t="str">
        <f t="shared" si="189"/>
        <v/>
      </c>
      <c r="HN607" s="1154" t="str">
        <f t="shared" si="190"/>
        <v/>
      </c>
      <c r="HO607" s="1154" t="str">
        <f t="shared" si="191"/>
        <v/>
      </c>
      <c r="HP607" s="1154" t="str">
        <f t="shared" si="192"/>
        <v/>
      </c>
      <c r="HQ607" s="1154" t="str">
        <f t="shared" si="193"/>
        <v/>
      </c>
      <c r="HR607" s="1154" t="str">
        <f t="shared" si="194"/>
        <v/>
      </c>
      <c r="HS607" s="1154" t="str">
        <f t="shared" si="195"/>
        <v/>
      </c>
      <c r="HT607" s="1154" t="str">
        <f t="shared" si="196"/>
        <v/>
      </c>
      <c r="HU607" s="1154" t="str">
        <f t="shared" si="197"/>
        <v/>
      </c>
      <c r="HV607" s="1154" t="str">
        <f t="shared" si="198"/>
        <v/>
      </c>
      <c r="HW607" s="1154" t="str">
        <f t="shared" si="199"/>
        <v/>
      </c>
      <c r="HX607" s="1154" t="str">
        <f t="shared" si="200"/>
        <v/>
      </c>
      <c r="HY607" s="1681" t="str">
        <f t="shared" si="201"/>
        <v/>
      </c>
      <c r="HZ607" s="1681" t="str">
        <f t="shared" si="202"/>
        <v/>
      </c>
      <c r="IA607" s="1681" t="str">
        <f t="shared" si="203"/>
        <v/>
      </c>
      <c r="IB607" s="1681" t="str">
        <f t="shared" si="204"/>
        <v/>
      </c>
      <c r="IC607" s="1681" t="str">
        <f t="shared" si="205"/>
        <v/>
      </c>
      <c r="ID607" s="1681" t="str">
        <f t="shared" si="206"/>
        <v/>
      </c>
      <c r="IE607" s="1681" t="str">
        <f t="shared" si="207"/>
        <v/>
      </c>
      <c r="IF607" s="1681" t="str">
        <f t="shared" si="208"/>
        <v/>
      </c>
      <c r="IG607" s="1681" t="str">
        <f t="shared" si="209"/>
        <v/>
      </c>
      <c r="IH607" s="1681" t="str">
        <f t="shared" si="210"/>
        <v/>
      </c>
      <c r="II607" s="1681" t="str">
        <f t="shared" si="211"/>
        <v/>
      </c>
      <c r="IJ607" s="1681" t="str">
        <f t="shared" si="212"/>
        <v/>
      </c>
      <c r="IK607" s="1681" t="str">
        <f t="shared" si="213"/>
        <v/>
      </c>
      <c r="IL607" s="1681" t="str">
        <f t="shared" si="214"/>
        <v/>
      </c>
      <c r="IM607" s="1681" t="str">
        <f t="shared" si="215"/>
        <v/>
      </c>
      <c r="IN607" s="1681" t="str">
        <f t="shared" si="216"/>
        <v/>
      </c>
      <c r="IO607" s="1681" t="str">
        <f t="shared" si="217"/>
        <v/>
      </c>
      <c r="IP607" s="1681" t="str">
        <f t="shared" si="218"/>
        <v/>
      </c>
      <c r="IQ607" s="1681" t="str">
        <f t="shared" si="219"/>
        <v/>
      </c>
      <c r="IR607" s="1681" t="str">
        <f t="shared" si="220"/>
        <v/>
      </c>
      <c r="IS607" s="1681" t="str">
        <f t="shared" si="221"/>
        <v/>
      </c>
      <c r="IT607" s="1681" t="str">
        <f t="shared" si="222"/>
        <v/>
      </c>
      <c r="IU607" s="1681" t="str">
        <f t="shared" si="223"/>
        <v/>
      </c>
      <c r="IV607" s="1681" t="str">
        <f t="shared" si="224"/>
        <v/>
      </c>
      <c r="IW607" s="1681" t="str">
        <f t="shared" si="225"/>
        <v/>
      </c>
      <c r="IX607" s="1681" t="str">
        <f t="shared" si="226"/>
        <v/>
      </c>
      <c r="IY607" s="1681" t="str">
        <f t="shared" si="227"/>
        <v/>
      </c>
      <c r="IZ607" s="1681" t="str">
        <f t="shared" si="228"/>
        <v/>
      </c>
      <c r="JA607" s="1681" t="str">
        <f t="shared" si="229"/>
        <v/>
      </c>
      <c r="JB607" s="1681" t="str">
        <f t="shared" si="230"/>
        <v/>
      </c>
      <c r="JC607" s="1681" t="str">
        <f t="shared" si="231"/>
        <v/>
      </c>
      <c r="JD607" s="1681" t="str">
        <f t="shared" si="232"/>
        <v/>
      </c>
      <c r="JE607" s="1681" t="str">
        <f t="shared" si="233"/>
        <v/>
      </c>
      <c r="JF607" s="1681" t="str">
        <f t="shared" si="234"/>
        <v/>
      </c>
      <c r="JG607" s="1681" t="str">
        <f t="shared" si="235"/>
        <v/>
      </c>
      <c r="JH607" s="1681" t="str">
        <f t="shared" si="236"/>
        <v/>
      </c>
      <c r="JI607" s="1681" t="str">
        <f t="shared" si="237"/>
        <v/>
      </c>
      <c r="JJ607" s="1681" t="str">
        <f t="shared" si="238"/>
        <v/>
      </c>
      <c r="JK607" s="1681" t="str">
        <f t="shared" si="239"/>
        <v/>
      </c>
      <c r="JL607" s="1681" t="str">
        <f t="shared" si="240"/>
        <v/>
      </c>
      <c r="JM607" s="1681" t="str">
        <f t="shared" si="241"/>
        <v/>
      </c>
      <c r="JN607" s="1681" t="str">
        <f t="shared" si="242"/>
        <v/>
      </c>
      <c r="JO607" s="1681" t="str">
        <f t="shared" si="243"/>
        <v/>
      </c>
      <c r="JP607" s="1681" t="str">
        <f t="shared" si="244"/>
        <v/>
      </c>
      <c r="JQ607" s="1681" t="str">
        <f t="shared" si="245"/>
        <v/>
      </c>
      <c r="JR607" s="1681" t="str">
        <f t="shared" si="246"/>
        <v/>
      </c>
      <c r="JS607" s="1681" t="str">
        <f t="shared" si="247"/>
        <v/>
      </c>
      <c r="JT607" s="1681" t="str">
        <f t="shared" si="248"/>
        <v/>
      </c>
      <c r="JU607" s="1681" t="str">
        <f t="shared" si="249"/>
        <v/>
      </c>
      <c r="JV607" s="1681" t="str">
        <f t="shared" si="250"/>
        <v/>
      </c>
      <c r="JW607" s="1681" t="str">
        <f t="shared" si="251"/>
        <v/>
      </c>
      <c r="JX607" s="1681" t="str">
        <f t="shared" si="252"/>
        <v/>
      </c>
      <c r="JY607" s="1681" t="str">
        <f t="shared" si="253"/>
        <v/>
      </c>
      <c r="JZ607" s="1681" t="str">
        <f t="shared" si="254"/>
        <v/>
      </c>
      <c r="KA607" s="1681" t="str">
        <f t="shared" si="255"/>
        <v/>
      </c>
      <c r="KB607" s="1681" t="str">
        <f t="shared" si="256"/>
        <v/>
      </c>
      <c r="KC607" s="1681" t="str">
        <f t="shared" si="257"/>
        <v/>
      </c>
      <c r="KD607" s="1681" t="str">
        <f t="shared" si="258"/>
        <v/>
      </c>
      <c r="KE607" s="1681" t="str">
        <f t="shared" si="259"/>
        <v/>
      </c>
      <c r="KF607" s="1681" t="str">
        <f t="shared" si="260"/>
        <v/>
      </c>
      <c r="KG607" s="1681" t="str">
        <f t="shared" si="261"/>
        <v/>
      </c>
      <c r="KH607" s="1681" t="str">
        <f t="shared" si="262"/>
        <v/>
      </c>
      <c r="KI607" s="1681" t="str">
        <f t="shared" si="263"/>
        <v/>
      </c>
      <c r="KJ607" s="1681" t="str">
        <f t="shared" si="264"/>
        <v/>
      </c>
      <c r="KK607" s="1681" t="str">
        <f t="shared" si="265"/>
        <v/>
      </c>
      <c r="KL607" s="1681" t="str">
        <f t="shared" si="266"/>
        <v/>
      </c>
      <c r="KM607" s="1681" t="str">
        <f t="shared" si="267"/>
        <v/>
      </c>
      <c r="KN607" s="1681" t="str">
        <f t="shared" si="268"/>
        <v/>
      </c>
      <c r="KO607" s="1681" t="str">
        <f t="shared" si="269"/>
        <v/>
      </c>
      <c r="KP607" s="1681" t="str">
        <f t="shared" si="270"/>
        <v/>
      </c>
      <c r="KQ607" s="1681" t="str">
        <f t="shared" si="271"/>
        <v/>
      </c>
      <c r="KR607" s="1681" t="str">
        <f t="shared" si="272"/>
        <v/>
      </c>
      <c r="KS607" s="1681" t="str">
        <f t="shared" si="273"/>
        <v/>
      </c>
      <c r="KT607" s="1681" t="str">
        <f t="shared" si="274"/>
        <v/>
      </c>
      <c r="KU607" s="1681" t="str">
        <f t="shared" si="275"/>
        <v/>
      </c>
      <c r="KV607" s="1681" t="str">
        <f t="shared" si="276"/>
        <v/>
      </c>
      <c r="KW607" s="1681" t="str">
        <f t="shared" si="277"/>
        <v/>
      </c>
      <c r="KX607" s="1681" t="str">
        <f t="shared" si="278"/>
        <v/>
      </c>
      <c r="KY607" s="1681" t="str">
        <f t="shared" si="279"/>
        <v/>
      </c>
      <c r="KZ607" s="1681" t="str">
        <f t="shared" si="280"/>
        <v/>
      </c>
      <c r="LA607" s="1681" t="str">
        <f t="shared" si="281"/>
        <v/>
      </c>
      <c r="LB607" s="1681" t="str">
        <f t="shared" si="282"/>
        <v/>
      </c>
      <c r="LC607" s="1681" t="str">
        <f t="shared" si="283"/>
        <v/>
      </c>
      <c r="LD607" s="1681" t="str">
        <f t="shared" si="284"/>
        <v/>
      </c>
      <c r="LE607" s="1681" t="str">
        <f t="shared" si="285"/>
        <v/>
      </c>
      <c r="LF607" s="1525" t="str">
        <f t="shared" si="286"/>
        <v/>
      </c>
      <c r="LG607" s="1525" t="str">
        <f t="shared" si="287"/>
        <v/>
      </c>
      <c r="LH607" s="1525" t="str">
        <f t="shared" si="288"/>
        <v/>
      </c>
      <c r="LI607" s="1525" t="str">
        <f t="shared" si="289"/>
        <v/>
      </c>
      <c r="LJ607" s="1525" t="str">
        <f t="shared" si="290"/>
        <v/>
      </c>
      <c r="LK607" s="1154" t="str">
        <f t="shared" si="291"/>
        <v/>
      </c>
      <c r="LL607" s="1154" t="str">
        <f t="shared" si="292"/>
        <v/>
      </c>
      <c r="LM607" s="1154" t="str">
        <f t="shared" si="293"/>
        <v/>
      </c>
      <c r="LN607" s="1154" t="str">
        <f t="shared" si="294"/>
        <v/>
      </c>
      <c r="LO607" s="1154" t="str">
        <f t="shared" si="295"/>
        <v/>
      </c>
      <c r="LP607" s="1154" t="str">
        <f t="shared" si="296"/>
        <v/>
      </c>
      <c r="LQ607" s="1154" t="str">
        <f t="shared" si="297"/>
        <v/>
      </c>
      <c r="LR607" s="1154" t="str">
        <f t="shared" si="298"/>
        <v/>
      </c>
      <c r="LS607" s="1154" t="str">
        <f t="shared" si="299"/>
        <v/>
      </c>
      <c r="LT607" s="1154" t="str">
        <f t="shared" si="300"/>
        <v/>
      </c>
      <c r="LU607" s="1154" t="str">
        <f t="shared" si="301"/>
        <v/>
      </c>
      <c r="LV607" s="1154" t="str">
        <f t="shared" si="302"/>
        <v/>
      </c>
      <c r="LW607" s="1154" t="str">
        <f t="shared" si="303"/>
        <v/>
      </c>
      <c r="LX607" s="1154" t="str">
        <f t="shared" si="304"/>
        <v/>
      </c>
      <c r="LY607" s="1154" t="str">
        <f t="shared" si="305"/>
        <v/>
      </c>
      <c r="LZ607" s="1154" t="str">
        <f t="shared" si="306"/>
        <v/>
      </c>
      <c r="MA607" s="1154" t="str">
        <f t="shared" si="307"/>
        <v/>
      </c>
      <c r="MB607" s="1154" t="str">
        <f t="shared" si="308"/>
        <v/>
      </c>
      <c r="MC607" s="1154" t="str">
        <f t="shared" si="309"/>
        <v/>
      </c>
      <c r="MD607" s="1154" t="str">
        <f t="shared" si="310"/>
        <v/>
      </c>
      <c r="ME607" s="1525">
        <f t="shared" si="322"/>
        <v>0</v>
      </c>
      <c r="MF607" s="1525">
        <f t="shared" si="323"/>
        <v>0</v>
      </c>
      <c r="MG607" s="1525">
        <f t="shared" si="324"/>
        <v>0</v>
      </c>
      <c r="MH607" s="1525">
        <f t="shared" si="325"/>
        <v>0</v>
      </c>
      <c r="MI607" s="1525">
        <f t="shared" si="326"/>
        <v>0</v>
      </c>
      <c r="MJ607" s="1525">
        <f t="shared" si="327"/>
        <v>0</v>
      </c>
      <c r="MK607" s="1525">
        <f t="shared" si="328"/>
        <v>0</v>
      </c>
      <c r="ML607" s="1525">
        <f t="shared" si="329"/>
        <v>0</v>
      </c>
      <c r="MM607" s="1525">
        <f t="shared" si="330"/>
        <v>0</v>
      </c>
      <c r="MN607" s="1525">
        <f t="shared" si="331"/>
        <v>0</v>
      </c>
      <c r="MO607" s="1525">
        <f t="shared" si="332"/>
        <v>0</v>
      </c>
      <c r="MP607" s="1525">
        <f t="shared" si="333"/>
        <v>0</v>
      </c>
      <c r="MQ607" s="1525">
        <f t="shared" si="334"/>
        <v>0</v>
      </c>
      <c r="MR607" s="1525">
        <f t="shared" si="335"/>
        <v>0</v>
      </c>
      <c r="MS607" s="1525">
        <f t="shared" si="336"/>
        <v>0</v>
      </c>
    </row>
    <row r="608" spans="1:357" s="1154" customFormat="1" ht="12" customHeight="1">
      <c r="A608" s="1524" t="str">
        <f t="shared" si="1"/>
        <v/>
      </c>
      <c r="B608" s="1682">
        <f>'Part VI-Revenues &amp; Expenses'!B37</f>
        <v>0</v>
      </c>
      <c r="C608" s="1673">
        <f>'Part VI-Revenues &amp; Expenses'!C37</f>
        <v>0</v>
      </c>
      <c r="D608" s="1674">
        <f>'Part VI-Revenues &amp; Expenses'!D37</f>
        <v>0</v>
      </c>
      <c r="E608" s="1675">
        <f>'Part VI-Revenues &amp; Expenses'!E37</f>
        <v>0</v>
      </c>
      <c r="F608" s="1675">
        <f>'Part VI-Revenues &amp; Expenses'!F37</f>
        <v>0</v>
      </c>
      <c r="G608" s="1675">
        <f>'Part VI-Revenues &amp; Expenses'!G37</f>
        <v>0</v>
      </c>
      <c r="H608" s="1675">
        <f>'Part VI-Revenues &amp; Expenses'!H37</f>
        <v>0</v>
      </c>
      <c r="I608" s="1675">
        <f>'Part VI-Revenues &amp; Expenses'!I37</f>
        <v>0</v>
      </c>
      <c r="J608" s="1676">
        <f>'Part VI-Revenues &amp; Expenses'!J37</f>
        <v>0</v>
      </c>
      <c r="K608" s="1677">
        <f>'Part VI-Revenues &amp; Expenses'!K37</f>
        <v>0</v>
      </c>
      <c r="L608" s="1677">
        <f>'Part VI-Revenues &amp; Expenses'!L37</f>
        <v>0</v>
      </c>
      <c r="M608" s="1678">
        <f>'Part VI-Revenues &amp; Expenses'!M37</f>
        <v>0</v>
      </c>
      <c r="N608" s="1678">
        <f>'Part VI-Revenues &amp; Expenses'!N37</f>
        <v>0</v>
      </c>
      <c r="O608" s="1678">
        <f>'Part VI-Revenues &amp; Expenses'!O37</f>
        <v>0</v>
      </c>
      <c r="P608" s="1660">
        <f>'Part VI-Revenues &amp; Expenses'!P37</f>
        <v>0</v>
      </c>
      <c r="Q608" s="1679"/>
      <c r="R608" s="1680"/>
      <c r="S608" s="1679"/>
      <c r="T608" s="1680"/>
      <c r="U608" s="1519"/>
      <c r="V608" s="1519"/>
      <c r="W608" s="1154" t="str">
        <f t="shared" si="2"/>
        <v/>
      </c>
      <c r="X608" s="1154" t="str">
        <f t="shared" si="3"/>
        <v/>
      </c>
      <c r="Y608" s="1154" t="str">
        <f t="shared" si="4"/>
        <v/>
      </c>
      <c r="Z608" s="1154" t="str">
        <f t="shared" si="5"/>
        <v/>
      </c>
      <c r="AA608" s="1154" t="str">
        <f t="shared" si="6"/>
        <v/>
      </c>
      <c r="AB608" s="1154" t="str">
        <f t="shared" si="7"/>
        <v/>
      </c>
      <c r="AC608" s="1154" t="str">
        <f t="shared" si="8"/>
        <v/>
      </c>
      <c r="AD608" s="1154" t="str">
        <f t="shared" si="9"/>
        <v/>
      </c>
      <c r="AE608" s="1154" t="str">
        <f t="shared" si="10"/>
        <v/>
      </c>
      <c r="AF608" s="1154" t="str">
        <f t="shared" si="11"/>
        <v/>
      </c>
      <c r="AG608" s="1154" t="str">
        <f t="shared" si="12"/>
        <v/>
      </c>
      <c r="AH608" s="1154" t="str">
        <f t="shared" si="13"/>
        <v/>
      </c>
      <c r="AI608" s="1154" t="str">
        <f t="shared" si="14"/>
        <v/>
      </c>
      <c r="AJ608" s="1154" t="str">
        <f t="shared" si="15"/>
        <v/>
      </c>
      <c r="AK608" s="1154" t="str">
        <f t="shared" si="16"/>
        <v/>
      </c>
      <c r="AL608" s="1154" t="str">
        <f t="shared" si="17"/>
        <v/>
      </c>
      <c r="AM608" s="1154" t="str">
        <f t="shared" si="18"/>
        <v/>
      </c>
      <c r="AN608" s="1154" t="str">
        <f t="shared" si="19"/>
        <v/>
      </c>
      <c r="AO608" s="1154" t="str">
        <f t="shared" si="20"/>
        <v/>
      </c>
      <c r="AP608" s="1154" t="str">
        <f t="shared" si="21"/>
        <v/>
      </c>
      <c r="AQ608" s="1154" t="str">
        <f t="shared" si="22"/>
        <v/>
      </c>
      <c r="AR608" s="1154" t="str">
        <f t="shared" si="23"/>
        <v/>
      </c>
      <c r="AS608" s="1154" t="str">
        <f t="shared" si="24"/>
        <v/>
      </c>
      <c r="AT608" s="1154" t="str">
        <f t="shared" si="25"/>
        <v/>
      </c>
      <c r="AU608" s="1154" t="str">
        <f t="shared" si="26"/>
        <v/>
      </c>
      <c r="AV608" s="1154" t="str">
        <f t="shared" si="27"/>
        <v/>
      </c>
      <c r="AW608" s="1154" t="str">
        <f t="shared" si="28"/>
        <v/>
      </c>
      <c r="AX608" s="1154" t="str">
        <f t="shared" si="29"/>
        <v/>
      </c>
      <c r="AY608" s="1154" t="str">
        <f t="shared" si="30"/>
        <v/>
      </c>
      <c r="AZ608" s="1154" t="str">
        <f t="shared" si="31"/>
        <v/>
      </c>
      <c r="BA608" s="1154" t="str">
        <f t="shared" si="32"/>
        <v/>
      </c>
      <c r="BB608" s="1154" t="str">
        <f t="shared" si="33"/>
        <v/>
      </c>
      <c r="BC608" s="1154" t="str">
        <f t="shared" si="34"/>
        <v/>
      </c>
      <c r="BD608" s="1154" t="str">
        <f t="shared" si="35"/>
        <v/>
      </c>
      <c r="BE608" s="1154" t="str">
        <f t="shared" si="36"/>
        <v/>
      </c>
      <c r="BF608" s="1154" t="str">
        <f t="shared" si="37"/>
        <v/>
      </c>
      <c r="BG608" s="1154" t="str">
        <f t="shared" si="38"/>
        <v/>
      </c>
      <c r="BH608" s="1154" t="str">
        <f t="shared" si="39"/>
        <v/>
      </c>
      <c r="BI608" s="1154" t="str">
        <f t="shared" si="40"/>
        <v/>
      </c>
      <c r="BJ608" s="1154" t="str">
        <f t="shared" si="41"/>
        <v/>
      </c>
      <c r="BK608" s="1154" t="str">
        <f t="shared" si="42"/>
        <v/>
      </c>
      <c r="BL608" s="1154" t="str">
        <f t="shared" si="43"/>
        <v/>
      </c>
      <c r="BM608" s="1154" t="str">
        <f t="shared" si="44"/>
        <v/>
      </c>
      <c r="BN608" s="1154" t="str">
        <f t="shared" si="45"/>
        <v/>
      </c>
      <c r="BO608" s="1154" t="str">
        <f t="shared" si="46"/>
        <v/>
      </c>
      <c r="BP608" s="1154" t="str">
        <f t="shared" si="47"/>
        <v/>
      </c>
      <c r="BQ608" s="1154" t="str">
        <f t="shared" si="48"/>
        <v/>
      </c>
      <c r="BR608" s="1154" t="str">
        <f t="shared" si="49"/>
        <v/>
      </c>
      <c r="BS608" s="1154" t="str">
        <f t="shared" si="50"/>
        <v/>
      </c>
      <c r="BT608" s="1154" t="str">
        <f t="shared" si="51"/>
        <v/>
      </c>
      <c r="BU608" s="1154" t="str">
        <f t="shared" si="52"/>
        <v/>
      </c>
      <c r="BV608" s="1154" t="str">
        <f t="shared" si="53"/>
        <v/>
      </c>
      <c r="BW608" s="1154" t="str">
        <f t="shared" si="54"/>
        <v/>
      </c>
      <c r="BX608" s="1154" t="str">
        <f t="shared" si="55"/>
        <v/>
      </c>
      <c r="BY608" s="1154" t="str">
        <f t="shared" si="56"/>
        <v/>
      </c>
      <c r="BZ608" s="1154" t="str">
        <f t="shared" si="57"/>
        <v/>
      </c>
      <c r="CA608" s="1154" t="str">
        <f t="shared" si="58"/>
        <v/>
      </c>
      <c r="CB608" s="1154" t="str">
        <f t="shared" si="59"/>
        <v/>
      </c>
      <c r="CC608" s="1154" t="str">
        <f t="shared" si="60"/>
        <v/>
      </c>
      <c r="CD608" s="1154" t="str">
        <f t="shared" si="61"/>
        <v/>
      </c>
      <c r="CE608" s="1154" t="str">
        <f t="shared" si="62"/>
        <v/>
      </c>
      <c r="CF608" s="1154" t="str">
        <f t="shared" si="63"/>
        <v/>
      </c>
      <c r="CG608" s="1154" t="str">
        <f t="shared" si="64"/>
        <v/>
      </c>
      <c r="CH608" s="1154" t="str">
        <f t="shared" si="65"/>
        <v/>
      </c>
      <c r="CI608" s="1154" t="str">
        <f t="shared" si="66"/>
        <v/>
      </c>
      <c r="CJ608" s="1154" t="str">
        <f t="shared" si="67"/>
        <v/>
      </c>
      <c r="CK608" s="1154" t="str">
        <f t="shared" si="68"/>
        <v/>
      </c>
      <c r="CL608" s="1154" t="str">
        <f t="shared" si="69"/>
        <v/>
      </c>
      <c r="CM608" s="1154" t="str">
        <f t="shared" si="70"/>
        <v/>
      </c>
      <c r="CN608" s="1154" t="str">
        <f t="shared" si="71"/>
        <v/>
      </c>
      <c r="CO608" s="1154" t="str">
        <f t="shared" si="72"/>
        <v/>
      </c>
      <c r="CP608" s="1154" t="str">
        <f t="shared" si="73"/>
        <v/>
      </c>
      <c r="CQ608" s="1154" t="str">
        <f t="shared" si="74"/>
        <v/>
      </c>
      <c r="CR608" s="1154" t="str">
        <f t="shared" si="75"/>
        <v/>
      </c>
      <c r="CS608" s="1154" t="str">
        <f t="shared" si="76"/>
        <v/>
      </c>
      <c r="CT608" s="1154" t="str">
        <f t="shared" si="77"/>
        <v/>
      </c>
      <c r="CU608" s="1154" t="str">
        <f t="shared" si="78"/>
        <v/>
      </c>
      <c r="CV608" s="1154" t="str">
        <f t="shared" si="79"/>
        <v/>
      </c>
      <c r="CW608" s="1154" t="str">
        <f t="shared" si="80"/>
        <v/>
      </c>
      <c r="CX608" s="1154" t="str">
        <f t="shared" si="81"/>
        <v/>
      </c>
      <c r="CY608" s="1154" t="str">
        <f t="shared" si="82"/>
        <v/>
      </c>
      <c r="CZ608" s="1154" t="str">
        <f t="shared" si="83"/>
        <v/>
      </c>
      <c r="DA608" s="1154" t="str">
        <f t="shared" si="84"/>
        <v/>
      </c>
      <c r="DB608" s="1154" t="str">
        <f t="shared" si="85"/>
        <v/>
      </c>
      <c r="DC608" s="1154" t="str">
        <f t="shared" si="86"/>
        <v/>
      </c>
      <c r="DD608" s="1154" t="str">
        <f t="shared" si="87"/>
        <v/>
      </c>
      <c r="DE608" s="1154" t="str">
        <f t="shared" si="88"/>
        <v/>
      </c>
      <c r="DF608" s="1154" t="str">
        <f t="shared" si="89"/>
        <v/>
      </c>
      <c r="DG608" s="1154" t="str">
        <f t="shared" si="90"/>
        <v/>
      </c>
      <c r="DH608" s="1154" t="str">
        <f t="shared" si="91"/>
        <v/>
      </c>
      <c r="DI608" s="1154" t="str">
        <f t="shared" si="92"/>
        <v/>
      </c>
      <c r="DJ608" s="1154" t="str">
        <f t="shared" si="93"/>
        <v/>
      </c>
      <c r="DK608" s="1154" t="str">
        <f t="shared" si="94"/>
        <v/>
      </c>
      <c r="DL608" s="1154" t="str">
        <f t="shared" si="95"/>
        <v/>
      </c>
      <c r="DM608" s="1154" t="str">
        <f t="shared" si="96"/>
        <v/>
      </c>
      <c r="DN608" s="1154" t="str">
        <f t="shared" si="97"/>
        <v/>
      </c>
      <c r="DO608" s="1154" t="str">
        <f t="shared" si="98"/>
        <v/>
      </c>
      <c r="DP608" s="1154" t="str">
        <f t="shared" si="99"/>
        <v/>
      </c>
      <c r="DQ608" s="1154" t="str">
        <f t="shared" si="100"/>
        <v/>
      </c>
      <c r="DR608" s="1154" t="str">
        <f t="shared" si="101"/>
        <v/>
      </c>
      <c r="DS608" s="1154" t="str">
        <f t="shared" si="102"/>
        <v/>
      </c>
      <c r="DT608" s="1154" t="str">
        <f t="shared" si="103"/>
        <v/>
      </c>
      <c r="DU608" s="1154" t="str">
        <f t="shared" si="104"/>
        <v/>
      </c>
      <c r="DV608" s="1154" t="str">
        <f t="shared" si="105"/>
        <v/>
      </c>
      <c r="DW608" s="1154" t="str">
        <f t="shared" si="106"/>
        <v/>
      </c>
      <c r="DX608" s="1154" t="str">
        <f t="shared" si="107"/>
        <v/>
      </c>
      <c r="DY608" s="1154" t="str">
        <f t="shared" si="108"/>
        <v/>
      </c>
      <c r="DZ608" s="1154" t="str">
        <f t="shared" si="109"/>
        <v/>
      </c>
      <c r="EA608" s="1154" t="str">
        <f t="shared" si="110"/>
        <v/>
      </c>
      <c r="EB608" s="1154" t="str">
        <f t="shared" si="111"/>
        <v/>
      </c>
      <c r="EC608" s="1154" t="str">
        <f t="shared" si="112"/>
        <v/>
      </c>
      <c r="ED608" s="1154" t="str">
        <f t="shared" si="113"/>
        <v/>
      </c>
      <c r="EE608" s="1154" t="str">
        <f t="shared" si="114"/>
        <v/>
      </c>
      <c r="EF608" s="1154" t="str">
        <f t="shared" si="115"/>
        <v/>
      </c>
      <c r="EG608" s="1154" t="str">
        <f t="shared" si="311"/>
        <v/>
      </c>
      <c r="EH608" s="1154" t="str">
        <f t="shared" si="116"/>
        <v/>
      </c>
      <c r="EI608" s="1154" t="str">
        <f t="shared" si="117"/>
        <v/>
      </c>
      <c r="EJ608" s="1154" t="str">
        <f t="shared" si="118"/>
        <v/>
      </c>
      <c r="EK608" s="1154" t="str">
        <f t="shared" si="119"/>
        <v/>
      </c>
      <c r="EL608" s="1154" t="str">
        <f t="shared" si="120"/>
        <v/>
      </c>
      <c r="EM608" s="1154" t="str">
        <f t="shared" si="121"/>
        <v/>
      </c>
      <c r="EN608" s="1154" t="str">
        <f t="shared" si="122"/>
        <v/>
      </c>
      <c r="EO608" s="1154" t="str">
        <f t="shared" si="123"/>
        <v/>
      </c>
      <c r="EP608" s="1154" t="str">
        <f t="shared" si="124"/>
        <v/>
      </c>
      <c r="EQ608" s="1154" t="str">
        <f t="shared" si="125"/>
        <v/>
      </c>
      <c r="ER608" s="1154" t="str">
        <f t="shared" si="126"/>
        <v/>
      </c>
      <c r="ES608" s="1154" t="str">
        <f t="shared" si="127"/>
        <v/>
      </c>
      <c r="ET608" s="1154" t="str">
        <f t="shared" si="128"/>
        <v/>
      </c>
      <c r="EU608" s="1154" t="str">
        <f t="shared" si="129"/>
        <v/>
      </c>
      <c r="EV608" s="1154" t="str">
        <f t="shared" si="130"/>
        <v/>
      </c>
      <c r="EW608" s="1154" t="str">
        <f t="shared" si="312"/>
        <v/>
      </c>
      <c r="EX608" s="1154" t="str">
        <f t="shared" si="313"/>
        <v/>
      </c>
      <c r="EY608" s="1154" t="str">
        <f t="shared" si="314"/>
        <v/>
      </c>
      <c r="EZ608" s="1154" t="str">
        <f t="shared" si="315"/>
        <v/>
      </c>
      <c r="FA608" s="1154" t="str">
        <f t="shared" si="316"/>
        <v/>
      </c>
      <c r="FB608" s="1154" t="str">
        <f t="shared" si="131"/>
        <v/>
      </c>
      <c r="FC608" s="1154" t="str">
        <f t="shared" si="132"/>
        <v/>
      </c>
      <c r="FD608" s="1154" t="str">
        <f t="shared" si="133"/>
        <v/>
      </c>
      <c r="FE608" s="1154" t="str">
        <f t="shared" si="134"/>
        <v/>
      </c>
      <c r="FF608" s="1154" t="str">
        <f t="shared" si="135"/>
        <v/>
      </c>
      <c r="FG608" s="1154" t="str">
        <f t="shared" si="317"/>
        <v/>
      </c>
      <c r="FH608" s="1154" t="str">
        <f t="shared" si="318"/>
        <v/>
      </c>
      <c r="FI608" s="1154" t="str">
        <f t="shared" si="319"/>
        <v/>
      </c>
      <c r="FJ608" s="1154" t="str">
        <f t="shared" si="320"/>
        <v/>
      </c>
      <c r="FK608" s="1154" t="str">
        <f t="shared" si="321"/>
        <v/>
      </c>
      <c r="FL608" s="1154" t="str">
        <f t="shared" si="136"/>
        <v/>
      </c>
      <c r="FM608" s="1154" t="str">
        <f t="shared" si="137"/>
        <v/>
      </c>
      <c r="FN608" s="1154" t="str">
        <f t="shared" si="138"/>
        <v/>
      </c>
      <c r="FO608" s="1154" t="str">
        <f t="shared" si="139"/>
        <v/>
      </c>
      <c r="FP608" s="1154" t="str">
        <f t="shared" si="140"/>
        <v/>
      </c>
      <c r="FQ608" s="1154" t="str">
        <f t="shared" si="141"/>
        <v/>
      </c>
      <c r="FR608" s="1154" t="str">
        <f t="shared" si="142"/>
        <v/>
      </c>
      <c r="FS608" s="1154" t="str">
        <f t="shared" si="143"/>
        <v/>
      </c>
      <c r="FT608" s="1154" t="str">
        <f t="shared" si="144"/>
        <v/>
      </c>
      <c r="FU608" s="1154" t="str">
        <f t="shared" si="145"/>
        <v/>
      </c>
      <c r="FV608" s="1154" t="str">
        <f t="shared" si="146"/>
        <v/>
      </c>
      <c r="FW608" s="1154" t="str">
        <f t="shared" si="147"/>
        <v/>
      </c>
      <c r="FX608" s="1154" t="str">
        <f t="shared" si="148"/>
        <v/>
      </c>
      <c r="FY608" s="1154" t="str">
        <f t="shared" si="149"/>
        <v/>
      </c>
      <c r="FZ608" s="1154" t="str">
        <f t="shared" si="150"/>
        <v/>
      </c>
      <c r="GA608" s="1154" t="str">
        <f t="shared" si="151"/>
        <v/>
      </c>
      <c r="GB608" s="1154" t="str">
        <f t="shared" si="152"/>
        <v/>
      </c>
      <c r="GC608" s="1154" t="str">
        <f t="shared" si="153"/>
        <v/>
      </c>
      <c r="GD608" s="1154" t="str">
        <f t="shared" si="154"/>
        <v/>
      </c>
      <c r="GE608" s="1154" t="str">
        <f t="shared" si="155"/>
        <v/>
      </c>
      <c r="GF608" s="1154" t="str">
        <f t="shared" si="156"/>
        <v/>
      </c>
      <c r="GG608" s="1154" t="str">
        <f t="shared" si="157"/>
        <v/>
      </c>
      <c r="GH608" s="1154" t="str">
        <f t="shared" si="158"/>
        <v/>
      </c>
      <c r="GI608" s="1154" t="str">
        <f t="shared" si="159"/>
        <v/>
      </c>
      <c r="GJ608" s="1154" t="str">
        <f t="shared" si="160"/>
        <v/>
      </c>
      <c r="GK608" s="1154" t="str">
        <f t="shared" si="161"/>
        <v/>
      </c>
      <c r="GL608" s="1154" t="str">
        <f t="shared" si="162"/>
        <v/>
      </c>
      <c r="GM608" s="1154" t="str">
        <f t="shared" si="163"/>
        <v/>
      </c>
      <c r="GN608" s="1154" t="str">
        <f t="shared" si="164"/>
        <v/>
      </c>
      <c r="GO608" s="1154" t="str">
        <f t="shared" si="165"/>
        <v/>
      </c>
      <c r="GP608" s="1154" t="str">
        <f t="shared" si="166"/>
        <v/>
      </c>
      <c r="GQ608" s="1154" t="str">
        <f t="shared" si="167"/>
        <v/>
      </c>
      <c r="GR608" s="1154" t="str">
        <f t="shared" si="168"/>
        <v/>
      </c>
      <c r="GS608" s="1154" t="str">
        <f t="shared" si="169"/>
        <v/>
      </c>
      <c r="GT608" s="1154" t="str">
        <f t="shared" si="170"/>
        <v/>
      </c>
      <c r="GU608" s="1154" t="str">
        <f t="shared" si="171"/>
        <v/>
      </c>
      <c r="GV608" s="1154" t="str">
        <f t="shared" si="172"/>
        <v/>
      </c>
      <c r="GW608" s="1154" t="str">
        <f t="shared" si="173"/>
        <v/>
      </c>
      <c r="GX608" s="1154" t="str">
        <f t="shared" si="174"/>
        <v/>
      </c>
      <c r="GY608" s="1154" t="str">
        <f t="shared" si="175"/>
        <v/>
      </c>
      <c r="GZ608" s="1154" t="str">
        <f t="shared" si="176"/>
        <v/>
      </c>
      <c r="HA608" s="1154" t="str">
        <f t="shared" si="177"/>
        <v/>
      </c>
      <c r="HB608" s="1154" t="str">
        <f t="shared" si="178"/>
        <v/>
      </c>
      <c r="HC608" s="1154" t="str">
        <f t="shared" si="179"/>
        <v/>
      </c>
      <c r="HD608" s="1154" t="str">
        <f t="shared" si="180"/>
        <v/>
      </c>
      <c r="HE608" s="1154" t="str">
        <f t="shared" si="181"/>
        <v/>
      </c>
      <c r="HF608" s="1154" t="str">
        <f t="shared" si="182"/>
        <v/>
      </c>
      <c r="HG608" s="1154" t="str">
        <f t="shared" si="183"/>
        <v/>
      </c>
      <c r="HH608" s="1154" t="str">
        <f t="shared" si="184"/>
        <v/>
      </c>
      <c r="HI608" s="1154" t="str">
        <f t="shared" si="185"/>
        <v/>
      </c>
      <c r="HJ608" s="1154" t="str">
        <f t="shared" si="186"/>
        <v/>
      </c>
      <c r="HK608" s="1154" t="str">
        <f t="shared" si="187"/>
        <v/>
      </c>
      <c r="HL608" s="1154" t="str">
        <f t="shared" si="188"/>
        <v/>
      </c>
      <c r="HM608" s="1154" t="str">
        <f t="shared" si="189"/>
        <v/>
      </c>
      <c r="HN608" s="1154" t="str">
        <f t="shared" si="190"/>
        <v/>
      </c>
      <c r="HO608" s="1154" t="str">
        <f t="shared" si="191"/>
        <v/>
      </c>
      <c r="HP608" s="1154" t="str">
        <f t="shared" si="192"/>
        <v/>
      </c>
      <c r="HQ608" s="1154" t="str">
        <f t="shared" si="193"/>
        <v/>
      </c>
      <c r="HR608" s="1154" t="str">
        <f t="shared" si="194"/>
        <v/>
      </c>
      <c r="HS608" s="1154" t="str">
        <f t="shared" si="195"/>
        <v/>
      </c>
      <c r="HT608" s="1154" t="str">
        <f t="shared" si="196"/>
        <v/>
      </c>
      <c r="HU608" s="1154" t="str">
        <f t="shared" si="197"/>
        <v/>
      </c>
      <c r="HV608" s="1154" t="str">
        <f t="shared" si="198"/>
        <v/>
      </c>
      <c r="HW608" s="1154" t="str">
        <f t="shared" si="199"/>
        <v/>
      </c>
      <c r="HX608" s="1154" t="str">
        <f t="shared" si="200"/>
        <v/>
      </c>
      <c r="HY608" s="1681" t="str">
        <f t="shared" si="201"/>
        <v/>
      </c>
      <c r="HZ608" s="1681" t="str">
        <f t="shared" si="202"/>
        <v/>
      </c>
      <c r="IA608" s="1681" t="str">
        <f t="shared" si="203"/>
        <v/>
      </c>
      <c r="IB608" s="1681" t="str">
        <f t="shared" si="204"/>
        <v/>
      </c>
      <c r="IC608" s="1681" t="str">
        <f t="shared" si="205"/>
        <v/>
      </c>
      <c r="ID608" s="1681" t="str">
        <f t="shared" si="206"/>
        <v/>
      </c>
      <c r="IE608" s="1681" t="str">
        <f t="shared" si="207"/>
        <v/>
      </c>
      <c r="IF608" s="1681" t="str">
        <f t="shared" si="208"/>
        <v/>
      </c>
      <c r="IG608" s="1681" t="str">
        <f t="shared" si="209"/>
        <v/>
      </c>
      <c r="IH608" s="1681" t="str">
        <f t="shared" si="210"/>
        <v/>
      </c>
      <c r="II608" s="1681" t="str">
        <f t="shared" si="211"/>
        <v/>
      </c>
      <c r="IJ608" s="1681" t="str">
        <f t="shared" si="212"/>
        <v/>
      </c>
      <c r="IK608" s="1681" t="str">
        <f t="shared" si="213"/>
        <v/>
      </c>
      <c r="IL608" s="1681" t="str">
        <f t="shared" si="214"/>
        <v/>
      </c>
      <c r="IM608" s="1681" t="str">
        <f t="shared" si="215"/>
        <v/>
      </c>
      <c r="IN608" s="1681" t="str">
        <f t="shared" si="216"/>
        <v/>
      </c>
      <c r="IO608" s="1681" t="str">
        <f t="shared" si="217"/>
        <v/>
      </c>
      <c r="IP608" s="1681" t="str">
        <f t="shared" si="218"/>
        <v/>
      </c>
      <c r="IQ608" s="1681" t="str">
        <f t="shared" si="219"/>
        <v/>
      </c>
      <c r="IR608" s="1681" t="str">
        <f t="shared" si="220"/>
        <v/>
      </c>
      <c r="IS608" s="1681" t="str">
        <f t="shared" si="221"/>
        <v/>
      </c>
      <c r="IT608" s="1681" t="str">
        <f t="shared" si="222"/>
        <v/>
      </c>
      <c r="IU608" s="1681" t="str">
        <f t="shared" si="223"/>
        <v/>
      </c>
      <c r="IV608" s="1681" t="str">
        <f t="shared" si="224"/>
        <v/>
      </c>
      <c r="IW608" s="1681" t="str">
        <f t="shared" si="225"/>
        <v/>
      </c>
      <c r="IX608" s="1681" t="str">
        <f t="shared" si="226"/>
        <v/>
      </c>
      <c r="IY608" s="1681" t="str">
        <f t="shared" si="227"/>
        <v/>
      </c>
      <c r="IZ608" s="1681" t="str">
        <f t="shared" si="228"/>
        <v/>
      </c>
      <c r="JA608" s="1681" t="str">
        <f t="shared" si="229"/>
        <v/>
      </c>
      <c r="JB608" s="1681" t="str">
        <f t="shared" si="230"/>
        <v/>
      </c>
      <c r="JC608" s="1681" t="str">
        <f t="shared" si="231"/>
        <v/>
      </c>
      <c r="JD608" s="1681" t="str">
        <f t="shared" si="232"/>
        <v/>
      </c>
      <c r="JE608" s="1681" t="str">
        <f t="shared" si="233"/>
        <v/>
      </c>
      <c r="JF608" s="1681" t="str">
        <f t="shared" si="234"/>
        <v/>
      </c>
      <c r="JG608" s="1681" t="str">
        <f t="shared" si="235"/>
        <v/>
      </c>
      <c r="JH608" s="1681" t="str">
        <f t="shared" si="236"/>
        <v/>
      </c>
      <c r="JI608" s="1681" t="str">
        <f t="shared" si="237"/>
        <v/>
      </c>
      <c r="JJ608" s="1681" t="str">
        <f t="shared" si="238"/>
        <v/>
      </c>
      <c r="JK608" s="1681" t="str">
        <f t="shared" si="239"/>
        <v/>
      </c>
      <c r="JL608" s="1681" t="str">
        <f t="shared" si="240"/>
        <v/>
      </c>
      <c r="JM608" s="1681" t="str">
        <f t="shared" si="241"/>
        <v/>
      </c>
      <c r="JN608" s="1681" t="str">
        <f t="shared" si="242"/>
        <v/>
      </c>
      <c r="JO608" s="1681" t="str">
        <f t="shared" si="243"/>
        <v/>
      </c>
      <c r="JP608" s="1681" t="str">
        <f t="shared" si="244"/>
        <v/>
      </c>
      <c r="JQ608" s="1681" t="str">
        <f t="shared" si="245"/>
        <v/>
      </c>
      <c r="JR608" s="1681" t="str">
        <f t="shared" si="246"/>
        <v/>
      </c>
      <c r="JS608" s="1681" t="str">
        <f t="shared" si="247"/>
        <v/>
      </c>
      <c r="JT608" s="1681" t="str">
        <f t="shared" si="248"/>
        <v/>
      </c>
      <c r="JU608" s="1681" t="str">
        <f t="shared" si="249"/>
        <v/>
      </c>
      <c r="JV608" s="1681" t="str">
        <f t="shared" si="250"/>
        <v/>
      </c>
      <c r="JW608" s="1681" t="str">
        <f t="shared" si="251"/>
        <v/>
      </c>
      <c r="JX608" s="1681" t="str">
        <f t="shared" si="252"/>
        <v/>
      </c>
      <c r="JY608" s="1681" t="str">
        <f t="shared" si="253"/>
        <v/>
      </c>
      <c r="JZ608" s="1681" t="str">
        <f t="shared" si="254"/>
        <v/>
      </c>
      <c r="KA608" s="1681" t="str">
        <f t="shared" si="255"/>
        <v/>
      </c>
      <c r="KB608" s="1681" t="str">
        <f t="shared" si="256"/>
        <v/>
      </c>
      <c r="KC608" s="1681" t="str">
        <f t="shared" si="257"/>
        <v/>
      </c>
      <c r="KD608" s="1681" t="str">
        <f t="shared" si="258"/>
        <v/>
      </c>
      <c r="KE608" s="1681" t="str">
        <f t="shared" si="259"/>
        <v/>
      </c>
      <c r="KF608" s="1681" t="str">
        <f t="shared" si="260"/>
        <v/>
      </c>
      <c r="KG608" s="1681" t="str">
        <f t="shared" si="261"/>
        <v/>
      </c>
      <c r="KH608" s="1681" t="str">
        <f t="shared" si="262"/>
        <v/>
      </c>
      <c r="KI608" s="1681" t="str">
        <f t="shared" si="263"/>
        <v/>
      </c>
      <c r="KJ608" s="1681" t="str">
        <f t="shared" si="264"/>
        <v/>
      </c>
      <c r="KK608" s="1681" t="str">
        <f t="shared" si="265"/>
        <v/>
      </c>
      <c r="KL608" s="1681" t="str">
        <f t="shared" si="266"/>
        <v/>
      </c>
      <c r="KM608" s="1681" t="str">
        <f t="shared" si="267"/>
        <v/>
      </c>
      <c r="KN608" s="1681" t="str">
        <f t="shared" si="268"/>
        <v/>
      </c>
      <c r="KO608" s="1681" t="str">
        <f t="shared" si="269"/>
        <v/>
      </c>
      <c r="KP608" s="1681" t="str">
        <f t="shared" si="270"/>
        <v/>
      </c>
      <c r="KQ608" s="1681" t="str">
        <f t="shared" si="271"/>
        <v/>
      </c>
      <c r="KR608" s="1681" t="str">
        <f t="shared" si="272"/>
        <v/>
      </c>
      <c r="KS608" s="1681" t="str">
        <f t="shared" si="273"/>
        <v/>
      </c>
      <c r="KT608" s="1681" t="str">
        <f t="shared" si="274"/>
        <v/>
      </c>
      <c r="KU608" s="1681" t="str">
        <f t="shared" si="275"/>
        <v/>
      </c>
      <c r="KV608" s="1681" t="str">
        <f t="shared" si="276"/>
        <v/>
      </c>
      <c r="KW608" s="1681" t="str">
        <f t="shared" si="277"/>
        <v/>
      </c>
      <c r="KX608" s="1681" t="str">
        <f t="shared" si="278"/>
        <v/>
      </c>
      <c r="KY608" s="1681" t="str">
        <f t="shared" si="279"/>
        <v/>
      </c>
      <c r="KZ608" s="1681" t="str">
        <f t="shared" si="280"/>
        <v/>
      </c>
      <c r="LA608" s="1681" t="str">
        <f t="shared" si="281"/>
        <v/>
      </c>
      <c r="LB608" s="1681" t="str">
        <f t="shared" si="282"/>
        <v/>
      </c>
      <c r="LC608" s="1681" t="str">
        <f t="shared" si="283"/>
        <v/>
      </c>
      <c r="LD608" s="1681" t="str">
        <f t="shared" si="284"/>
        <v/>
      </c>
      <c r="LE608" s="1681" t="str">
        <f t="shared" si="285"/>
        <v/>
      </c>
      <c r="LF608" s="1525" t="str">
        <f t="shared" si="286"/>
        <v/>
      </c>
      <c r="LG608" s="1525" t="str">
        <f t="shared" si="287"/>
        <v/>
      </c>
      <c r="LH608" s="1525" t="str">
        <f t="shared" si="288"/>
        <v/>
      </c>
      <c r="LI608" s="1525" t="str">
        <f t="shared" si="289"/>
        <v/>
      </c>
      <c r="LJ608" s="1525" t="str">
        <f t="shared" si="290"/>
        <v/>
      </c>
      <c r="LK608" s="1154" t="str">
        <f t="shared" si="291"/>
        <v/>
      </c>
      <c r="LL608" s="1154" t="str">
        <f t="shared" si="292"/>
        <v/>
      </c>
      <c r="LM608" s="1154" t="str">
        <f t="shared" si="293"/>
        <v/>
      </c>
      <c r="LN608" s="1154" t="str">
        <f t="shared" si="294"/>
        <v/>
      </c>
      <c r="LO608" s="1154" t="str">
        <f t="shared" si="295"/>
        <v/>
      </c>
      <c r="LP608" s="1154" t="str">
        <f t="shared" si="296"/>
        <v/>
      </c>
      <c r="LQ608" s="1154" t="str">
        <f t="shared" si="297"/>
        <v/>
      </c>
      <c r="LR608" s="1154" t="str">
        <f t="shared" si="298"/>
        <v/>
      </c>
      <c r="LS608" s="1154" t="str">
        <f t="shared" si="299"/>
        <v/>
      </c>
      <c r="LT608" s="1154" t="str">
        <f t="shared" si="300"/>
        <v/>
      </c>
      <c r="LU608" s="1154" t="str">
        <f t="shared" si="301"/>
        <v/>
      </c>
      <c r="LV608" s="1154" t="str">
        <f t="shared" si="302"/>
        <v/>
      </c>
      <c r="LW608" s="1154" t="str">
        <f t="shared" si="303"/>
        <v/>
      </c>
      <c r="LX608" s="1154" t="str">
        <f t="shared" si="304"/>
        <v/>
      </c>
      <c r="LY608" s="1154" t="str">
        <f t="shared" si="305"/>
        <v/>
      </c>
      <c r="LZ608" s="1154" t="str">
        <f t="shared" si="306"/>
        <v/>
      </c>
      <c r="MA608" s="1154" t="str">
        <f t="shared" si="307"/>
        <v/>
      </c>
      <c r="MB608" s="1154" t="str">
        <f t="shared" si="308"/>
        <v/>
      </c>
      <c r="MC608" s="1154" t="str">
        <f t="shared" si="309"/>
        <v/>
      </c>
      <c r="MD608" s="1154" t="str">
        <f t="shared" si="310"/>
        <v/>
      </c>
      <c r="ME608" s="1525">
        <f t="shared" si="322"/>
        <v>0</v>
      </c>
      <c r="MF608" s="1525">
        <f t="shared" si="323"/>
        <v>0</v>
      </c>
      <c r="MG608" s="1525">
        <f t="shared" si="324"/>
        <v>0</v>
      </c>
      <c r="MH608" s="1525">
        <f t="shared" si="325"/>
        <v>0</v>
      </c>
      <c r="MI608" s="1525">
        <f t="shared" si="326"/>
        <v>0</v>
      </c>
      <c r="MJ608" s="1525">
        <f t="shared" si="327"/>
        <v>0</v>
      </c>
      <c r="MK608" s="1525">
        <f t="shared" si="328"/>
        <v>0</v>
      </c>
      <c r="ML608" s="1525">
        <f t="shared" si="329"/>
        <v>0</v>
      </c>
      <c r="MM608" s="1525">
        <f t="shared" si="330"/>
        <v>0</v>
      </c>
      <c r="MN608" s="1525">
        <f t="shared" si="331"/>
        <v>0</v>
      </c>
      <c r="MO608" s="1525">
        <f t="shared" si="332"/>
        <v>0</v>
      </c>
      <c r="MP608" s="1525">
        <f t="shared" si="333"/>
        <v>0</v>
      </c>
      <c r="MQ608" s="1525">
        <f t="shared" si="334"/>
        <v>0</v>
      </c>
      <c r="MR608" s="1525">
        <f t="shared" si="335"/>
        <v>0</v>
      </c>
      <c r="MS608" s="1525">
        <f t="shared" si="336"/>
        <v>0</v>
      </c>
    </row>
    <row r="609" spans="1:358" s="1154" customFormat="1" ht="12" customHeight="1">
      <c r="A609" s="1524" t="str">
        <f t="shared" si="1"/>
        <v/>
      </c>
      <c r="B609" s="1682">
        <f>'Part VI-Revenues &amp; Expenses'!B38</f>
        <v>0</v>
      </c>
      <c r="C609" s="1673">
        <f>'Part VI-Revenues &amp; Expenses'!C38</f>
        <v>0</v>
      </c>
      <c r="D609" s="1674">
        <f>'Part VI-Revenues &amp; Expenses'!D38</f>
        <v>0</v>
      </c>
      <c r="E609" s="1675">
        <f>'Part VI-Revenues &amp; Expenses'!E38</f>
        <v>0</v>
      </c>
      <c r="F609" s="1675">
        <f>'Part VI-Revenues &amp; Expenses'!F38</f>
        <v>0</v>
      </c>
      <c r="G609" s="1675">
        <f>'Part VI-Revenues &amp; Expenses'!G38</f>
        <v>0</v>
      </c>
      <c r="H609" s="1675">
        <f>'Part VI-Revenues &amp; Expenses'!H38</f>
        <v>0</v>
      </c>
      <c r="I609" s="1675">
        <f>'Part VI-Revenues &amp; Expenses'!I38</f>
        <v>0</v>
      </c>
      <c r="J609" s="1676">
        <f>'Part VI-Revenues &amp; Expenses'!J38</f>
        <v>0</v>
      </c>
      <c r="K609" s="1677">
        <f>'Part VI-Revenues &amp; Expenses'!K38</f>
        <v>0</v>
      </c>
      <c r="L609" s="1677">
        <f>'Part VI-Revenues &amp; Expenses'!L38</f>
        <v>0</v>
      </c>
      <c r="M609" s="1678">
        <f>'Part VI-Revenues &amp; Expenses'!M38</f>
        <v>0</v>
      </c>
      <c r="N609" s="1678">
        <f>'Part VI-Revenues &amp; Expenses'!N38</f>
        <v>0</v>
      </c>
      <c r="O609" s="1678">
        <f>'Part VI-Revenues &amp; Expenses'!O38</f>
        <v>0</v>
      </c>
      <c r="P609" s="1660">
        <f>'Part VI-Revenues &amp; Expenses'!P38</f>
        <v>0</v>
      </c>
      <c r="Q609" s="1679"/>
      <c r="R609" s="1680"/>
      <c r="S609" s="1679"/>
      <c r="T609" s="1680"/>
      <c r="U609" s="1519"/>
      <c r="V609" s="1519"/>
      <c r="W609" s="1154" t="str">
        <f t="shared" si="2"/>
        <v/>
      </c>
      <c r="X609" s="1154" t="str">
        <f t="shared" si="3"/>
        <v/>
      </c>
      <c r="Y609" s="1154" t="str">
        <f t="shared" si="4"/>
        <v/>
      </c>
      <c r="Z609" s="1154" t="str">
        <f t="shared" si="5"/>
        <v/>
      </c>
      <c r="AA609" s="1154" t="str">
        <f t="shared" si="6"/>
        <v/>
      </c>
      <c r="AB609" s="1154" t="str">
        <f t="shared" si="7"/>
        <v/>
      </c>
      <c r="AC609" s="1154" t="str">
        <f t="shared" si="8"/>
        <v/>
      </c>
      <c r="AD609" s="1154" t="str">
        <f t="shared" si="9"/>
        <v/>
      </c>
      <c r="AE609" s="1154" t="str">
        <f t="shared" si="10"/>
        <v/>
      </c>
      <c r="AF609" s="1154" t="str">
        <f t="shared" si="11"/>
        <v/>
      </c>
      <c r="AG609" s="1154" t="str">
        <f t="shared" si="12"/>
        <v/>
      </c>
      <c r="AH609" s="1154" t="str">
        <f t="shared" si="13"/>
        <v/>
      </c>
      <c r="AI609" s="1154" t="str">
        <f t="shared" si="14"/>
        <v/>
      </c>
      <c r="AJ609" s="1154" t="str">
        <f t="shared" si="15"/>
        <v/>
      </c>
      <c r="AK609" s="1154" t="str">
        <f t="shared" si="16"/>
        <v/>
      </c>
      <c r="AL609" s="1154" t="str">
        <f t="shared" si="17"/>
        <v/>
      </c>
      <c r="AM609" s="1154" t="str">
        <f t="shared" si="18"/>
        <v/>
      </c>
      <c r="AN609" s="1154" t="str">
        <f t="shared" si="19"/>
        <v/>
      </c>
      <c r="AO609" s="1154" t="str">
        <f t="shared" si="20"/>
        <v/>
      </c>
      <c r="AP609" s="1154" t="str">
        <f t="shared" si="21"/>
        <v/>
      </c>
      <c r="AQ609" s="1154" t="str">
        <f t="shared" si="22"/>
        <v/>
      </c>
      <c r="AR609" s="1154" t="str">
        <f t="shared" si="23"/>
        <v/>
      </c>
      <c r="AS609" s="1154" t="str">
        <f t="shared" si="24"/>
        <v/>
      </c>
      <c r="AT609" s="1154" t="str">
        <f t="shared" si="25"/>
        <v/>
      </c>
      <c r="AU609" s="1154" t="str">
        <f t="shared" si="26"/>
        <v/>
      </c>
      <c r="AV609" s="1154" t="str">
        <f t="shared" si="27"/>
        <v/>
      </c>
      <c r="AW609" s="1154" t="str">
        <f t="shared" si="28"/>
        <v/>
      </c>
      <c r="AX609" s="1154" t="str">
        <f t="shared" si="29"/>
        <v/>
      </c>
      <c r="AY609" s="1154" t="str">
        <f t="shared" si="30"/>
        <v/>
      </c>
      <c r="AZ609" s="1154" t="str">
        <f t="shared" si="31"/>
        <v/>
      </c>
      <c r="BA609" s="1154" t="str">
        <f t="shared" si="32"/>
        <v/>
      </c>
      <c r="BB609" s="1154" t="str">
        <f t="shared" si="33"/>
        <v/>
      </c>
      <c r="BC609" s="1154" t="str">
        <f t="shared" si="34"/>
        <v/>
      </c>
      <c r="BD609" s="1154" t="str">
        <f t="shared" si="35"/>
        <v/>
      </c>
      <c r="BE609" s="1154" t="str">
        <f t="shared" si="36"/>
        <v/>
      </c>
      <c r="BF609" s="1154" t="str">
        <f t="shared" si="37"/>
        <v/>
      </c>
      <c r="BG609" s="1154" t="str">
        <f t="shared" si="38"/>
        <v/>
      </c>
      <c r="BH609" s="1154" t="str">
        <f t="shared" si="39"/>
        <v/>
      </c>
      <c r="BI609" s="1154" t="str">
        <f t="shared" si="40"/>
        <v/>
      </c>
      <c r="BJ609" s="1154" t="str">
        <f t="shared" si="41"/>
        <v/>
      </c>
      <c r="BK609" s="1154" t="str">
        <f t="shared" si="42"/>
        <v/>
      </c>
      <c r="BL609" s="1154" t="str">
        <f t="shared" si="43"/>
        <v/>
      </c>
      <c r="BM609" s="1154" t="str">
        <f t="shared" si="44"/>
        <v/>
      </c>
      <c r="BN609" s="1154" t="str">
        <f t="shared" si="45"/>
        <v/>
      </c>
      <c r="BO609" s="1154" t="str">
        <f t="shared" si="46"/>
        <v/>
      </c>
      <c r="BP609" s="1154" t="str">
        <f t="shared" si="47"/>
        <v/>
      </c>
      <c r="BQ609" s="1154" t="str">
        <f t="shared" si="48"/>
        <v/>
      </c>
      <c r="BR609" s="1154" t="str">
        <f t="shared" si="49"/>
        <v/>
      </c>
      <c r="BS609" s="1154" t="str">
        <f t="shared" si="50"/>
        <v/>
      </c>
      <c r="BT609" s="1154" t="str">
        <f t="shared" si="51"/>
        <v/>
      </c>
      <c r="BU609" s="1154" t="str">
        <f t="shared" si="52"/>
        <v/>
      </c>
      <c r="BV609" s="1154" t="str">
        <f t="shared" si="53"/>
        <v/>
      </c>
      <c r="BW609" s="1154" t="str">
        <f t="shared" si="54"/>
        <v/>
      </c>
      <c r="BX609" s="1154" t="str">
        <f t="shared" si="55"/>
        <v/>
      </c>
      <c r="BY609" s="1154" t="str">
        <f t="shared" si="56"/>
        <v/>
      </c>
      <c r="BZ609" s="1154" t="str">
        <f t="shared" si="57"/>
        <v/>
      </c>
      <c r="CA609" s="1154" t="str">
        <f t="shared" si="58"/>
        <v/>
      </c>
      <c r="CB609" s="1154" t="str">
        <f t="shared" si="59"/>
        <v/>
      </c>
      <c r="CC609" s="1154" t="str">
        <f t="shared" si="60"/>
        <v/>
      </c>
      <c r="CD609" s="1154" t="str">
        <f t="shared" si="61"/>
        <v/>
      </c>
      <c r="CE609" s="1154" t="str">
        <f t="shared" si="62"/>
        <v/>
      </c>
      <c r="CF609" s="1154" t="str">
        <f t="shared" si="63"/>
        <v/>
      </c>
      <c r="CG609" s="1154" t="str">
        <f t="shared" si="64"/>
        <v/>
      </c>
      <c r="CH609" s="1154" t="str">
        <f t="shared" si="65"/>
        <v/>
      </c>
      <c r="CI609" s="1154" t="str">
        <f t="shared" si="66"/>
        <v/>
      </c>
      <c r="CJ609" s="1154" t="str">
        <f t="shared" si="67"/>
        <v/>
      </c>
      <c r="CK609" s="1154" t="str">
        <f t="shared" si="68"/>
        <v/>
      </c>
      <c r="CL609" s="1154" t="str">
        <f t="shared" si="69"/>
        <v/>
      </c>
      <c r="CM609" s="1154" t="str">
        <f t="shared" si="70"/>
        <v/>
      </c>
      <c r="CN609" s="1154" t="str">
        <f t="shared" si="71"/>
        <v/>
      </c>
      <c r="CO609" s="1154" t="str">
        <f t="shared" si="72"/>
        <v/>
      </c>
      <c r="CP609" s="1154" t="str">
        <f t="shared" si="73"/>
        <v/>
      </c>
      <c r="CQ609" s="1154" t="str">
        <f t="shared" si="74"/>
        <v/>
      </c>
      <c r="CR609" s="1154" t="str">
        <f t="shared" si="75"/>
        <v/>
      </c>
      <c r="CS609" s="1154" t="str">
        <f t="shared" si="76"/>
        <v/>
      </c>
      <c r="CT609" s="1154" t="str">
        <f t="shared" si="77"/>
        <v/>
      </c>
      <c r="CU609" s="1154" t="str">
        <f t="shared" si="78"/>
        <v/>
      </c>
      <c r="CV609" s="1154" t="str">
        <f t="shared" si="79"/>
        <v/>
      </c>
      <c r="CW609" s="1154" t="str">
        <f t="shared" si="80"/>
        <v/>
      </c>
      <c r="CX609" s="1154" t="str">
        <f t="shared" si="81"/>
        <v/>
      </c>
      <c r="CY609" s="1154" t="str">
        <f t="shared" si="82"/>
        <v/>
      </c>
      <c r="CZ609" s="1154" t="str">
        <f t="shared" si="83"/>
        <v/>
      </c>
      <c r="DA609" s="1154" t="str">
        <f t="shared" si="84"/>
        <v/>
      </c>
      <c r="DB609" s="1154" t="str">
        <f t="shared" si="85"/>
        <v/>
      </c>
      <c r="DC609" s="1154" t="str">
        <f t="shared" si="86"/>
        <v/>
      </c>
      <c r="DD609" s="1154" t="str">
        <f t="shared" si="87"/>
        <v/>
      </c>
      <c r="DE609" s="1154" t="str">
        <f t="shared" si="88"/>
        <v/>
      </c>
      <c r="DF609" s="1154" t="str">
        <f t="shared" si="89"/>
        <v/>
      </c>
      <c r="DG609" s="1154" t="str">
        <f t="shared" si="90"/>
        <v/>
      </c>
      <c r="DH609" s="1154" t="str">
        <f t="shared" si="91"/>
        <v/>
      </c>
      <c r="DI609" s="1154" t="str">
        <f t="shared" si="92"/>
        <v/>
      </c>
      <c r="DJ609" s="1154" t="str">
        <f t="shared" si="93"/>
        <v/>
      </c>
      <c r="DK609" s="1154" t="str">
        <f t="shared" si="94"/>
        <v/>
      </c>
      <c r="DL609" s="1154" t="str">
        <f t="shared" si="95"/>
        <v/>
      </c>
      <c r="DM609" s="1154" t="str">
        <f t="shared" si="96"/>
        <v/>
      </c>
      <c r="DN609" s="1154" t="str">
        <f t="shared" si="97"/>
        <v/>
      </c>
      <c r="DO609" s="1154" t="str">
        <f t="shared" si="98"/>
        <v/>
      </c>
      <c r="DP609" s="1154" t="str">
        <f t="shared" si="99"/>
        <v/>
      </c>
      <c r="DQ609" s="1154" t="str">
        <f t="shared" si="100"/>
        <v/>
      </c>
      <c r="DR609" s="1154" t="str">
        <f t="shared" si="101"/>
        <v/>
      </c>
      <c r="DS609" s="1154" t="str">
        <f t="shared" si="102"/>
        <v/>
      </c>
      <c r="DT609" s="1154" t="str">
        <f t="shared" si="103"/>
        <v/>
      </c>
      <c r="DU609" s="1154" t="str">
        <f t="shared" si="104"/>
        <v/>
      </c>
      <c r="DV609" s="1154" t="str">
        <f t="shared" si="105"/>
        <v/>
      </c>
      <c r="DW609" s="1154" t="str">
        <f t="shared" si="106"/>
        <v/>
      </c>
      <c r="DX609" s="1154" t="str">
        <f t="shared" si="107"/>
        <v/>
      </c>
      <c r="DY609" s="1154" t="str">
        <f t="shared" si="108"/>
        <v/>
      </c>
      <c r="DZ609" s="1154" t="str">
        <f t="shared" si="109"/>
        <v/>
      </c>
      <c r="EA609" s="1154" t="str">
        <f t="shared" si="110"/>
        <v/>
      </c>
      <c r="EB609" s="1154" t="str">
        <f t="shared" si="111"/>
        <v/>
      </c>
      <c r="EC609" s="1154" t="str">
        <f t="shared" si="112"/>
        <v/>
      </c>
      <c r="ED609" s="1154" t="str">
        <f t="shared" si="113"/>
        <v/>
      </c>
      <c r="EE609" s="1154" t="str">
        <f t="shared" si="114"/>
        <v/>
      </c>
      <c r="EF609" s="1154" t="str">
        <f t="shared" si="115"/>
        <v/>
      </c>
      <c r="EG609" s="1154" t="str">
        <f t="shared" si="311"/>
        <v/>
      </c>
      <c r="EH609" s="1154" t="str">
        <f t="shared" si="116"/>
        <v/>
      </c>
      <c r="EI609" s="1154" t="str">
        <f t="shared" si="117"/>
        <v/>
      </c>
      <c r="EJ609" s="1154" t="str">
        <f t="shared" si="118"/>
        <v/>
      </c>
      <c r="EK609" s="1154" t="str">
        <f t="shared" si="119"/>
        <v/>
      </c>
      <c r="EL609" s="1154" t="str">
        <f t="shared" si="120"/>
        <v/>
      </c>
      <c r="EM609" s="1154" t="str">
        <f t="shared" si="121"/>
        <v/>
      </c>
      <c r="EN609" s="1154" t="str">
        <f t="shared" si="122"/>
        <v/>
      </c>
      <c r="EO609" s="1154" t="str">
        <f t="shared" si="123"/>
        <v/>
      </c>
      <c r="EP609" s="1154" t="str">
        <f t="shared" si="124"/>
        <v/>
      </c>
      <c r="EQ609" s="1154" t="str">
        <f t="shared" si="125"/>
        <v/>
      </c>
      <c r="ER609" s="1154" t="str">
        <f t="shared" si="126"/>
        <v/>
      </c>
      <c r="ES609" s="1154" t="str">
        <f t="shared" si="127"/>
        <v/>
      </c>
      <c r="ET609" s="1154" t="str">
        <f t="shared" si="128"/>
        <v/>
      </c>
      <c r="EU609" s="1154" t="str">
        <f t="shared" si="129"/>
        <v/>
      </c>
      <c r="EV609" s="1154" t="str">
        <f t="shared" si="130"/>
        <v/>
      </c>
      <c r="EW609" s="1154" t="str">
        <f t="shared" si="312"/>
        <v/>
      </c>
      <c r="EX609" s="1154" t="str">
        <f t="shared" si="313"/>
        <v/>
      </c>
      <c r="EY609" s="1154" t="str">
        <f t="shared" si="314"/>
        <v/>
      </c>
      <c r="EZ609" s="1154" t="str">
        <f t="shared" si="315"/>
        <v/>
      </c>
      <c r="FA609" s="1154" t="str">
        <f t="shared" si="316"/>
        <v/>
      </c>
      <c r="FB609" s="1154" t="str">
        <f t="shared" si="131"/>
        <v/>
      </c>
      <c r="FC609" s="1154" t="str">
        <f t="shared" si="132"/>
        <v/>
      </c>
      <c r="FD609" s="1154" t="str">
        <f t="shared" si="133"/>
        <v/>
      </c>
      <c r="FE609" s="1154" t="str">
        <f t="shared" si="134"/>
        <v/>
      </c>
      <c r="FF609" s="1154" t="str">
        <f t="shared" si="135"/>
        <v/>
      </c>
      <c r="FG609" s="1154" t="str">
        <f t="shared" si="317"/>
        <v/>
      </c>
      <c r="FH609" s="1154" t="str">
        <f t="shared" si="318"/>
        <v/>
      </c>
      <c r="FI609" s="1154" t="str">
        <f t="shared" si="319"/>
        <v/>
      </c>
      <c r="FJ609" s="1154" t="str">
        <f t="shared" si="320"/>
        <v/>
      </c>
      <c r="FK609" s="1154" t="str">
        <f t="shared" si="321"/>
        <v/>
      </c>
      <c r="FL609" s="1154" t="str">
        <f t="shared" si="136"/>
        <v/>
      </c>
      <c r="FM609" s="1154" t="str">
        <f t="shared" si="137"/>
        <v/>
      </c>
      <c r="FN609" s="1154" t="str">
        <f t="shared" si="138"/>
        <v/>
      </c>
      <c r="FO609" s="1154" t="str">
        <f t="shared" si="139"/>
        <v/>
      </c>
      <c r="FP609" s="1154" t="str">
        <f t="shared" si="140"/>
        <v/>
      </c>
      <c r="FQ609" s="1154" t="str">
        <f t="shared" si="141"/>
        <v/>
      </c>
      <c r="FR609" s="1154" t="str">
        <f t="shared" si="142"/>
        <v/>
      </c>
      <c r="FS609" s="1154" t="str">
        <f t="shared" si="143"/>
        <v/>
      </c>
      <c r="FT609" s="1154" t="str">
        <f t="shared" si="144"/>
        <v/>
      </c>
      <c r="FU609" s="1154" t="str">
        <f t="shared" si="145"/>
        <v/>
      </c>
      <c r="FV609" s="1154" t="str">
        <f t="shared" si="146"/>
        <v/>
      </c>
      <c r="FW609" s="1154" t="str">
        <f t="shared" si="147"/>
        <v/>
      </c>
      <c r="FX609" s="1154" t="str">
        <f t="shared" si="148"/>
        <v/>
      </c>
      <c r="FY609" s="1154" t="str">
        <f t="shared" si="149"/>
        <v/>
      </c>
      <c r="FZ609" s="1154" t="str">
        <f t="shared" si="150"/>
        <v/>
      </c>
      <c r="GA609" s="1154" t="str">
        <f t="shared" si="151"/>
        <v/>
      </c>
      <c r="GB609" s="1154" t="str">
        <f t="shared" si="152"/>
        <v/>
      </c>
      <c r="GC609" s="1154" t="str">
        <f t="shared" si="153"/>
        <v/>
      </c>
      <c r="GD609" s="1154" t="str">
        <f t="shared" si="154"/>
        <v/>
      </c>
      <c r="GE609" s="1154" t="str">
        <f t="shared" si="155"/>
        <v/>
      </c>
      <c r="GF609" s="1154" t="str">
        <f t="shared" si="156"/>
        <v/>
      </c>
      <c r="GG609" s="1154" t="str">
        <f t="shared" si="157"/>
        <v/>
      </c>
      <c r="GH609" s="1154" t="str">
        <f t="shared" si="158"/>
        <v/>
      </c>
      <c r="GI609" s="1154" t="str">
        <f t="shared" si="159"/>
        <v/>
      </c>
      <c r="GJ609" s="1154" t="str">
        <f t="shared" si="160"/>
        <v/>
      </c>
      <c r="GK609" s="1154" t="str">
        <f t="shared" si="161"/>
        <v/>
      </c>
      <c r="GL609" s="1154" t="str">
        <f t="shared" si="162"/>
        <v/>
      </c>
      <c r="GM609" s="1154" t="str">
        <f t="shared" si="163"/>
        <v/>
      </c>
      <c r="GN609" s="1154" t="str">
        <f t="shared" si="164"/>
        <v/>
      </c>
      <c r="GO609" s="1154" t="str">
        <f t="shared" si="165"/>
        <v/>
      </c>
      <c r="GP609" s="1154" t="str">
        <f t="shared" si="166"/>
        <v/>
      </c>
      <c r="GQ609" s="1154" t="str">
        <f t="shared" si="167"/>
        <v/>
      </c>
      <c r="GR609" s="1154" t="str">
        <f t="shared" si="168"/>
        <v/>
      </c>
      <c r="GS609" s="1154" t="str">
        <f t="shared" si="169"/>
        <v/>
      </c>
      <c r="GT609" s="1154" t="str">
        <f t="shared" si="170"/>
        <v/>
      </c>
      <c r="GU609" s="1154" t="str">
        <f t="shared" si="171"/>
        <v/>
      </c>
      <c r="GV609" s="1154" t="str">
        <f t="shared" si="172"/>
        <v/>
      </c>
      <c r="GW609" s="1154" t="str">
        <f t="shared" si="173"/>
        <v/>
      </c>
      <c r="GX609" s="1154" t="str">
        <f t="shared" si="174"/>
        <v/>
      </c>
      <c r="GY609" s="1154" t="str">
        <f t="shared" si="175"/>
        <v/>
      </c>
      <c r="GZ609" s="1154" t="str">
        <f t="shared" si="176"/>
        <v/>
      </c>
      <c r="HA609" s="1154" t="str">
        <f t="shared" si="177"/>
        <v/>
      </c>
      <c r="HB609" s="1154" t="str">
        <f t="shared" si="178"/>
        <v/>
      </c>
      <c r="HC609" s="1154" t="str">
        <f t="shared" si="179"/>
        <v/>
      </c>
      <c r="HD609" s="1154" t="str">
        <f t="shared" si="180"/>
        <v/>
      </c>
      <c r="HE609" s="1154" t="str">
        <f t="shared" si="181"/>
        <v/>
      </c>
      <c r="HF609" s="1154" t="str">
        <f t="shared" si="182"/>
        <v/>
      </c>
      <c r="HG609" s="1154" t="str">
        <f t="shared" si="183"/>
        <v/>
      </c>
      <c r="HH609" s="1154" t="str">
        <f t="shared" si="184"/>
        <v/>
      </c>
      <c r="HI609" s="1154" t="str">
        <f t="shared" si="185"/>
        <v/>
      </c>
      <c r="HJ609" s="1154" t="str">
        <f t="shared" si="186"/>
        <v/>
      </c>
      <c r="HK609" s="1154" t="str">
        <f t="shared" si="187"/>
        <v/>
      </c>
      <c r="HL609" s="1154" t="str">
        <f t="shared" si="188"/>
        <v/>
      </c>
      <c r="HM609" s="1154" t="str">
        <f t="shared" si="189"/>
        <v/>
      </c>
      <c r="HN609" s="1154" t="str">
        <f t="shared" si="190"/>
        <v/>
      </c>
      <c r="HO609" s="1154" t="str">
        <f t="shared" si="191"/>
        <v/>
      </c>
      <c r="HP609" s="1154" t="str">
        <f t="shared" si="192"/>
        <v/>
      </c>
      <c r="HQ609" s="1154" t="str">
        <f t="shared" si="193"/>
        <v/>
      </c>
      <c r="HR609" s="1154" t="str">
        <f t="shared" si="194"/>
        <v/>
      </c>
      <c r="HS609" s="1154" t="str">
        <f t="shared" si="195"/>
        <v/>
      </c>
      <c r="HT609" s="1154" t="str">
        <f t="shared" si="196"/>
        <v/>
      </c>
      <c r="HU609" s="1154" t="str">
        <f t="shared" si="197"/>
        <v/>
      </c>
      <c r="HV609" s="1154" t="str">
        <f t="shared" si="198"/>
        <v/>
      </c>
      <c r="HW609" s="1154" t="str">
        <f t="shared" si="199"/>
        <v/>
      </c>
      <c r="HX609" s="1154" t="str">
        <f t="shared" si="200"/>
        <v/>
      </c>
      <c r="HY609" s="1681" t="str">
        <f t="shared" si="201"/>
        <v/>
      </c>
      <c r="HZ609" s="1681" t="str">
        <f t="shared" si="202"/>
        <v/>
      </c>
      <c r="IA609" s="1681" t="str">
        <f t="shared" si="203"/>
        <v/>
      </c>
      <c r="IB609" s="1681" t="str">
        <f t="shared" si="204"/>
        <v/>
      </c>
      <c r="IC609" s="1681" t="str">
        <f t="shared" si="205"/>
        <v/>
      </c>
      <c r="ID609" s="1681" t="str">
        <f t="shared" si="206"/>
        <v/>
      </c>
      <c r="IE609" s="1681" t="str">
        <f t="shared" si="207"/>
        <v/>
      </c>
      <c r="IF609" s="1681" t="str">
        <f t="shared" si="208"/>
        <v/>
      </c>
      <c r="IG609" s="1681" t="str">
        <f t="shared" si="209"/>
        <v/>
      </c>
      <c r="IH609" s="1681" t="str">
        <f t="shared" si="210"/>
        <v/>
      </c>
      <c r="II609" s="1681" t="str">
        <f t="shared" si="211"/>
        <v/>
      </c>
      <c r="IJ609" s="1681" t="str">
        <f t="shared" si="212"/>
        <v/>
      </c>
      <c r="IK609" s="1681" t="str">
        <f t="shared" si="213"/>
        <v/>
      </c>
      <c r="IL609" s="1681" t="str">
        <f t="shared" si="214"/>
        <v/>
      </c>
      <c r="IM609" s="1681" t="str">
        <f t="shared" si="215"/>
        <v/>
      </c>
      <c r="IN609" s="1681" t="str">
        <f t="shared" si="216"/>
        <v/>
      </c>
      <c r="IO609" s="1681" t="str">
        <f t="shared" si="217"/>
        <v/>
      </c>
      <c r="IP609" s="1681" t="str">
        <f t="shared" si="218"/>
        <v/>
      </c>
      <c r="IQ609" s="1681" t="str">
        <f t="shared" si="219"/>
        <v/>
      </c>
      <c r="IR609" s="1681" t="str">
        <f t="shared" si="220"/>
        <v/>
      </c>
      <c r="IS609" s="1681" t="str">
        <f t="shared" si="221"/>
        <v/>
      </c>
      <c r="IT609" s="1681" t="str">
        <f t="shared" si="222"/>
        <v/>
      </c>
      <c r="IU609" s="1681" t="str">
        <f t="shared" si="223"/>
        <v/>
      </c>
      <c r="IV609" s="1681" t="str">
        <f t="shared" si="224"/>
        <v/>
      </c>
      <c r="IW609" s="1681" t="str">
        <f t="shared" si="225"/>
        <v/>
      </c>
      <c r="IX609" s="1681" t="str">
        <f t="shared" si="226"/>
        <v/>
      </c>
      <c r="IY609" s="1681" t="str">
        <f t="shared" si="227"/>
        <v/>
      </c>
      <c r="IZ609" s="1681" t="str">
        <f t="shared" si="228"/>
        <v/>
      </c>
      <c r="JA609" s="1681" t="str">
        <f t="shared" si="229"/>
        <v/>
      </c>
      <c r="JB609" s="1681" t="str">
        <f t="shared" si="230"/>
        <v/>
      </c>
      <c r="JC609" s="1681" t="str">
        <f t="shared" si="231"/>
        <v/>
      </c>
      <c r="JD609" s="1681" t="str">
        <f t="shared" si="232"/>
        <v/>
      </c>
      <c r="JE609" s="1681" t="str">
        <f t="shared" si="233"/>
        <v/>
      </c>
      <c r="JF609" s="1681" t="str">
        <f t="shared" si="234"/>
        <v/>
      </c>
      <c r="JG609" s="1681" t="str">
        <f t="shared" si="235"/>
        <v/>
      </c>
      <c r="JH609" s="1681" t="str">
        <f t="shared" si="236"/>
        <v/>
      </c>
      <c r="JI609" s="1681" t="str">
        <f t="shared" si="237"/>
        <v/>
      </c>
      <c r="JJ609" s="1681" t="str">
        <f t="shared" si="238"/>
        <v/>
      </c>
      <c r="JK609" s="1681" t="str">
        <f t="shared" si="239"/>
        <v/>
      </c>
      <c r="JL609" s="1681" t="str">
        <f t="shared" si="240"/>
        <v/>
      </c>
      <c r="JM609" s="1681" t="str">
        <f t="shared" si="241"/>
        <v/>
      </c>
      <c r="JN609" s="1681" t="str">
        <f t="shared" si="242"/>
        <v/>
      </c>
      <c r="JO609" s="1681" t="str">
        <f t="shared" si="243"/>
        <v/>
      </c>
      <c r="JP609" s="1681" t="str">
        <f t="shared" si="244"/>
        <v/>
      </c>
      <c r="JQ609" s="1681" t="str">
        <f t="shared" si="245"/>
        <v/>
      </c>
      <c r="JR609" s="1681" t="str">
        <f t="shared" si="246"/>
        <v/>
      </c>
      <c r="JS609" s="1681" t="str">
        <f t="shared" si="247"/>
        <v/>
      </c>
      <c r="JT609" s="1681" t="str">
        <f t="shared" si="248"/>
        <v/>
      </c>
      <c r="JU609" s="1681" t="str">
        <f t="shared" si="249"/>
        <v/>
      </c>
      <c r="JV609" s="1681" t="str">
        <f t="shared" si="250"/>
        <v/>
      </c>
      <c r="JW609" s="1681" t="str">
        <f t="shared" si="251"/>
        <v/>
      </c>
      <c r="JX609" s="1681" t="str">
        <f t="shared" si="252"/>
        <v/>
      </c>
      <c r="JY609" s="1681" t="str">
        <f t="shared" si="253"/>
        <v/>
      </c>
      <c r="JZ609" s="1681" t="str">
        <f t="shared" si="254"/>
        <v/>
      </c>
      <c r="KA609" s="1681" t="str">
        <f t="shared" si="255"/>
        <v/>
      </c>
      <c r="KB609" s="1681" t="str">
        <f t="shared" si="256"/>
        <v/>
      </c>
      <c r="KC609" s="1681" t="str">
        <f t="shared" si="257"/>
        <v/>
      </c>
      <c r="KD609" s="1681" t="str">
        <f t="shared" si="258"/>
        <v/>
      </c>
      <c r="KE609" s="1681" t="str">
        <f t="shared" si="259"/>
        <v/>
      </c>
      <c r="KF609" s="1681" t="str">
        <f t="shared" si="260"/>
        <v/>
      </c>
      <c r="KG609" s="1681" t="str">
        <f t="shared" si="261"/>
        <v/>
      </c>
      <c r="KH609" s="1681" t="str">
        <f t="shared" si="262"/>
        <v/>
      </c>
      <c r="KI609" s="1681" t="str">
        <f t="shared" si="263"/>
        <v/>
      </c>
      <c r="KJ609" s="1681" t="str">
        <f t="shared" si="264"/>
        <v/>
      </c>
      <c r="KK609" s="1681" t="str">
        <f t="shared" si="265"/>
        <v/>
      </c>
      <c r="KL609" s="1681" t="str">
        <f t="shared" si="266"/>
        <v/>
      </c>
      <c r="KM609" s="1681" t="str">
        <f t="shared" si="267"/>
        <v/>
      </c>
      <c r="KN609" s="1681" t="str">
        <f t="shared" si="268"/>
        <v/>
      </c>
      <c r="KO609" s="1681" t="str">
        <f t="shared" si="269"/>
        <v/>
      </c>
      <c r="KP609" s="1681" t="str">
        <f t="shared" si="270"/>
        <v/>
      </c>
      <c r="KQ609" s="1681" t="str">
        <f t="shared" si="271"/>
        <v/>
      </c>
      <c r="KR609" s="1681" t="str">
        <f t="shared" si="272"/>
        <v/>
      </c>
      <c r="KS609" s="1681" t="str">
        <f t="shared" si="273"/>
        <v/>
      </c>
      <c r="KT609" s="1681" t="str">
        <f t="shared" si="274"/>
        <v/>
      </c>
      <c r="KU609" s="1681" t="str">
        <f t="shared" si="275"/>
        <v/>
      </c>
      <c r="KV609" s="1681" t="str">
        <f t="shared" si="276"/>
        <v/>
      </c>
      <c r="KW609" s="1681" t="str">
        <f t="shared" si="277"/>
        <v/>
      </c>
      <c r="KX609" s="1681" t="str">
        <f t="shared" si="278"/>
        <v/>
      </c>
      <c r="KY609" s="1681" t="str">
        <f t="shared" si="279"/>
        <v/>
      </c>
      <c r="KZ609" s="1681" t="str">
        <f t="shared" si="280"/>
        <v/>
      </c>
      <c r="LA609" s="1681" t="str">
        <f t="shared" si="281"/>
        <v/>
      </c>
      <c r="LB609" s="1681" t="str">
        <f t="shared" si="282"/>
        <v/>
      </c>
      <c r="LC609" s="1681" t="str">
        <f t="shared" si="283"/>
        <v/>
      </c>
      <c r="LD609" s="1681" t="str">
        <f t="shared" si="284"/>
        <v/>
      </c>
      <c r="LE609" s="1681" t="str">
        <f t="shared" si="285"/>
        <v/>
      </c>
      <c r="LF609" s="1525" t="str">
        <f t="shared" si="286"/>
        <v/>
      </c>
      <c r="LG609" s="1525" t="str">
        <f t="shared" si="287"/>
        <v/>
      </c>
      <c r="LH609" s="1525" t="str">
        <f t="shared" si="288"/>
        <v/>
      </c>
      <c r="LI609" s="1525" t="str">
        <f t="shared" si="289"/>
        <v/>
      </c>
      <c r="LJ609" s="1525" t="str">
        <f t="shared" si="290"/>
        <v/>
      </c>
      <c r="LK609" s="1154" t="str">
        <f t="shared" si="291"/>
        <v/>
      </c>
      <c r="LL609" s="1154" t="str">
        <f t="shared" si="292"/>
        <v/>
      </c>
      <c r="LM609" s="1154" t="str">
        <f t="shared" si="293"/>
        <v/>
      </c>
      <c r="LN609" s="1154" t="str">
        <f t="shared" si="294"/>
        <v/>
      </c>
      <c r="LO609" s="1154" t="str">
        <f t="shared" si="295"/>
        <v/>
      </c>
      <c r="LP609" s="1154" t="str">
        <f t="shared" si="296"/>
        <v/>
      </c>
      <c r="LQ609" s="1154" t="str">
        <f t="shared" si="297"/>
        <v/>
      </c>
      <c r="LR609" s="1154" t="str">
        <f t="shared" si="298"/>
        <v/>
      </c>
      <c r="LS609" s="1154" t="str">
        <f t="shared" si="299"/>
        <v/>
      </c>
      <c r="LT609" s="1154" t="str">
        <f t="shared" si="300"/>
        <v/>
      </c>
      <c r="LU609" s="1154" t="str">
        <f t="shared" si="301"/>
        <v/>
      </c>
      <c r="LV609" s="1154" t="str">
        <f t="shared" si="302"/>
        <v/>
      </c>
      <c r="LW609" s="1154" t="str">
        <f t="shared" si="303"/>
        <v/>
      </c>
      <c r="LX609" s="1154" t="str">
        <f t="shared" si="304"/>
        <v/>
      </c>
      <c r="LY609" s="1154" t="str">
        <f t="shared" si="305"/>
        <v/>
      </c>
      <c r="LZ609" s="1154" t="str">
        <f t="shared" si="306"/>
        <v/>
      </c>
      <c r="MA609" s="1154" t="str">
        <f t="shared" si="307"/>
        <v/>
      </c>
      <c r="MB609" s="1154" t="str">
        <f t="shared" si="308"/>
        <v/>
      </c>
      <c r="MC609" s="1154" t="str">
        <f t="shared" si="309"/>
        <v/>
      </c>
      <c r="MD609" s="1154" t="str">
        <f t="shared" si="310"/>
        <v/>
      </c>
      <c r="ME609" s="1525">
        <f t="shared" si="322"/>
        <v>0</v>
      </c>
      <c r="MF609" s="1525">
        <f t="shared" si="323"/>
        <v>0</v>
      </c>
      <c r="MG609" s="1525">
        <f t="shared" si="324"/>
        <v>0</v>
      </c>
      <c r="MH609" s="1525">
        <f t="shared" si="325"/>
        <v>0</v>
      </c>
      <c r="MI609" s="1525">
        <f t="shared" si="326"/>
        <v>0</v>
      </c>
      <c r="MJ609" s="1525">
        <f t="shared" si="327"/>
        <v>0</v>
      </c>
      <c r="MK609" s="1525">
        <f t="shared" si="328"/>
        <v>0</v>
      </c>
      <c r="ML609" s="1525">
        <f t="shared" si="329"/>
        <v>0</v>
      </c>
      <c r="MM609" s="1525">
        <f t="shared" si="330"/>
        <v>0</v>
      </c>
      <c r="MN609" s="1525">
        <f t="shared" si="331"/>
        <v>0</v>
      </c>
      <c r="MO609" s="1525">
        <f t="shared" si="332"/>
        <v>0</v>
      </c>
      <c r="MP609" s="1525">
        <f t="shared" si="333"/>
        <v>0</v>
      </c>
      <c r="MQ609" s="1525">
        <f t="shared" si="334"/>
        <v>0</v>
      </c>
      <c r="MR609" s="1525">
        <f t="shared" si="335"/>
        <v>0</v>
      </c>
      <c r="MS609" s="1525">
        <f t="shared" si="336"/>
        <v>0</v>
      </c>
    </row>
    <row r="610" spans="1:358" s="1154" customFormat="1" ht="12" customHeight="1">
      <c r="A610" s="1524" t="str">
        <f t="shared" si="1"/>
        <v/>
      </c>
      <c r="B610" s="1682">
        <f>'Part VI-Revenues &amp; Expenses'!B39</f>
        <v>0</v>
      </c>
      <c r="C610" s="1673">
        <f>'Part VI-Revenues &amp; Expenses'!C39</f>
        <v>0</v>
      </c>
      <c r="D610" s="1674">
        <f>'Part VI-Revenues &amp; Expenses'!D39</f>
        <v>0</v>
      </c>
      <c r="E610" s="1675">
        <f>'Part VI-Revenues &amp; Expenses'!E39</f>
        <v>0</v>
      </c>
      <c r="F610" s="1675">
        <f>'Part VI-Revenues &amp; Expenses'!F39</f>
        <v>0</v>
      </c>
      <c r="G610" s="1675">
        <f>'Part VI-Revenues &amp; Expenses'!G39</f>
        <v>0</v>
      </c>
      <c r="H610" s="1675">
        <f>'Part VI-Revenues &amp; Expenses'!H39</f>
        <v>0</v>
      </c>
      <c r="I610" s="1675">
        <f>'Part VI-Revenues &amp; Expenses'!I39</f>
        <v>0</v>
      </c>
      <c r="J610" s="1676">
        <f>'Part VI-Revenues &amp; Expenses'!J39</f>
        <v>0</v>
      </c>
      <c r="K610" s="1677">
        <f>'Part VI-Revenues &amp; Expenses'!K39</f>
        <v>0</v>
      </c>
      <c r="L610" s="1677">
        <f>'Part VI-Revenues &amp; Expenses'!L39</f>
        <v>0</v>
      </c>
      <c r="M610" s="1678">
        <f>'Part VI-Revenues &amp; Expenses'!M39</f>
        <v>0</v>
      </c>
      <c r="N610" s="1678">
        <f>'Part VI-Revenues &amp; Expenses'!N39</f>
        <v>0</v>
      </c>
      <c r="O610" s="1678">
        <f>'Part VI-Revenues &amp; Expenses'!O39</f>
        <v>0</v>
      </c>
      <c r="P610" s="1660">
        <f>'Part VI-Revenues &amp; Expenses'!P39</f>
        <v>0</v>
      </c>
      <c r="Q610" s="1679"/>
      <c r="R610" s="1680"/>
      <c r="S610" s="1679"/>
      <c r="T610" s="1680"/>
      <c r="U610" s="1519"/>
      <c r="V610" s="1519"/>
      <c r="W610" s="1154" t="str">
        <f t="shared" si="2"/>
        <v/>
      </c>
      <c r="X610" s="1154" t="str">
        <f t="shared" si="3"/>
        <v/>
      </c>
      <c r="Y610" s="1154" t="str">
        <f t="shared" si="4"/>
        <v/>
      </c>
      <c r="Z610" s="1154" t="str">
        <f t="shared" si="5"/>
        <v/>
      </c>
      <c r="AA610" s="1154" t="str">
        <f t="shared" si="6"/>
        <v/>
      </c>
      <c r="AB610" s="1154" t="str">
        <f t="shared" si="7"/>
        <v/>
      </c>
      <c r="AC610" s="1154" t="str">
        <f t="shared" si="8"/>
        <v/>
      </c>
      <c r="AD610" s="1154" t="str">
        <f t="shared" si="9"/>
        <v/>
      </c>
      <c r="AE610" s="1154" t="str">
        <f t="shared" si="10"/>
        <v/>
      </c>
      <c r="AF610" s="1154" t="str">
        <f t="shared" si="11"/>
        <v/>
      </c>
      <c r="AG610" s="1154" t="str">
        <f t="shared" si="12"/>
        <v/>
      </c>
      <c r="AH610" s="1154" t="str">
        <f t="shared" si="13"/>
        <v/>
      </c>
      <c r="AI610" s="1154" t="str">
        <f t="shared" si="14"/>
        <v/>
      </c>
      <c r="AJ610" s="1154" t="str">
        <f t="shared" si="15"/>
        <v/>
      </c>
      <c r="AK610" s="1154" t="str">
        <f t="shared" si="16"/>
        <v/>
      </c>
      <c r="AL610" s="1154" t="str">
        <f t="shared" si="17"/>
        <v/>
      </c>
      <c r="AM610" s="1154" t="str">
        <f t="shared" si="18"/>
        <v/>
      </c>
      <c r="AN610" s="1154" t="str">
        <f t="shared" si="19"/>
        <v/>
      </c>
      <c r="AO610" s="1154" t="str">
        <f t="shared" si="20"/>
        <v/>
      </c>
      <c r="AP610" s="1154" t="str">
        <f t="shared" si="21"/>
        <v/>
      </c>
      <c r="AQ610" s="1154" t="str">
        <f t="shared" si="22"/>
        <v/>
      </c>
      <c r="AR610" s="1154" t="str">
        <f t="shared" si="23"/>
        <v/>
      </c>
      <c r="AS610" s="1154" t="str">
        <f t="shared" si="24"/>
        <v/>
      </c>
      <c r="AT610" s="1154" t="str">
        <f t="shared" si="25"/>
        <v/>
      </c>
      <c r="AU610" s="1154" t="str">
        <f t="shared" si="26"/>
        <v/>
      </c>
      <c r="AV610" s="1154" t="str">
        <f t="shared" si="27"/>
        <v/>
      </c>
      <c r="AW610" s="1154" t="str">
        <f t="shared" si="28"/>
        <v/>
      </c>
      <c r="AX610" s="1154" t="str">
        <f t="shared" si="29"/>
        <v/>
      </c>
      <c r="AY610" s="1154" t="str">
        <f t="shared" si="30"/>
        <v/>
      </c>
      <c r="AZ610" s="1154" t="str">
        <f t="shared" si="31"/>
        <v/>
      </c>
      <c r="BA610" s="1154" t="str">
        <f t="shared" si="32"/>
        <v/>
      </c>
      <c r="BB610" s="1154" t="str">
        <f t="shared" si="33"/>
        <v/>
      </c>
      <c r="BC610" s="1154" t="str">
        <f t="shared" si="34"/>
        <v/>
      </c>
      <c r="BD610" s="1154" t="str">
        <f t="shared" si="35"/>
        <v/>
      </c>
      <c r="BE610" s="1154" t="str">
        <f t="shared" si="36"/>
        <v/>
      </c>
      <c r="BF610" s="1154" t="str">
        <f t="shared" si="37"/>
        <v/>
      </c>
      <c r="BG610" s="1154" t="str">
        <f t="shared" si="38"/>
        <v/>
      </c>
      <c r="BH610" s="1154" t="str">
        <f t="shared" si="39"/>
        <v/>
      </c>
      <c r="BI610" s="1154" t="str">
        <f t="shared" si="40"/>
        <v/>
      </c>
      <c r="BJ610" s="1154" t="str">
        <f t="shared" si="41"/>
        <v/>
      </c>
      <c r="BK610" s="1154" t="str">
        <f t="shared" si="42"/>
        <v/>
      </c>
      <c r="BL610" s="1154" t="str">
        <f t="shared" si="43"/>
        <v/>
      </c>
      <c r="BM610" s="1154" t="str">
        <f t="shared" si="44"/>
        <v/>
      </c>
      <c r="BN610" s="1154" t="str">
        <f t="shared" si="45"/>
        <v/>
      </c>
      <c r="BO610" s="1154" t="str">
        <f t="shared" si="46"/>
        <v/>
      </c>
      <c r="BP610" s="1154" t="str">
        <f t="shared" si="47"/>
        <v/>
      </c>
      <c r="BQ610" s="1154" t="str">
        <f t="shared" si="48"/>
        <v/>
      </c>
      <c r="BR610" s="1154" t="str">
        <f t="shared" si="49"/>
        <v/>
      </c>
      <c r="BS610" s="1154" t="str">
        <f t="shared" si="50"/>
        <v/>
      </c>
      <c r="BT610" s="1154" t="str">
        <f t="shared" si="51"/>
        <v/>
      </c>
      <c r="BU610" s="1154" t="str">
        <f t="shared" si="52"/>
        <v/>
      </c>
      <c r="BV610" s="1154" t="str">
        <f t="shared" si="53"/>
        <v/>
      </c>
      <c r="BW610" s="1154" t="str">
        <f t="shared" si="54"/>
        <v/>
      </c>
      <c r="BX610" s="1154" t="str">
        <f t="shared" si="55"/>
        <v/>
      </c>
      <c r="BY610" s="1154" t="str">
        <f t="shared" si="56"/>
        <v/>
      </c>
      <c r="BZ610" s="1154" t="str">
        <f t="shared" si="57"/>
        <v/>
      </c>
      <c r="CA610" s="1154" t="str">
        <f t="shared" si="58"/>
        <v/>
      </c>
      <c r="CB610" s="1154" t="str">
        <f t="shared" si="59"/>
        <v/>
      </c>
      <c r="CC610" s="1154" t="str">
        <f t="shared" si="60"/>
        <v/>
      </c>
      <c r="CD610" s="1154" t="str">
        <f t="shared" si="61"/>
        <v/>
      </c>
      <c r="CE610" s="1154" t="str">
        <f t="shared" si="62"/>
        <v/>
      </c>
      <c r="CF610" s="1154" t="str">
        <f t="shared" si="63"/>
        <v/>
      </c>
      <c r="CG610" s="1154" t="str">
        <f t="shared" si="64"/>
        <v/>
      </c>
      <c r="CH610" s="1154" t="str">
        <f t="shared" si="65"/>
        <v/>
      </c>
      <c r="CI610" s="1154" t="str">
        <f t="shared" si="66"/>
        <v/>
      </c>
      <c r="CJ610" s="1154" t="str">
        <f t="shared" si="67"/>
        <v/>
      </c>
      <c r="CK610" s="1154" t="str">
        <f t="shared" si="68"/>
        <v/>
      </c>
      <c r="CL610" s="1154" t="str">
        <f t="shared" si="69"/>
        <v/>
      </c>
      <c r="CM610" s="1154" t="str">
        <f t="shared" si="70"/>
        <v/>
      </c>
      <c r="CN610" s="1154" t="str">
        <f t="shared" si="71"/>
        <v/>
      </c>
      <c r="CO610" s="1154" t="str">
        <f t="shared" si="72"/>
        <v/>
      </c>
      <c r="CP610" s="1154" t="str">
        <f t="shared" si="73"/>
        <v/>
      </c>
      <c r="CQ610" s="1154" t="str">
        <f t="shared" si="74"/>
        <v/>
      </c>
      <c r="CR610" s="1154" t="str">
        <f t="shared" si="75"/>
        <v/>
      </c>
      <c r="CS610" s="1154" t="str">
        <f t="shared" si="76"/>
        <v/>
      </c>
      <c r="CT610" s="1154" t="str">
        <f t="shared" si="77"/>
        <v/>
      </c>
      <c r="CU610" s="1154" t="str">
        <f t="shared" si="78"/>
        <v/>
      </c>
      <c r="CV610" s="1154" t="str">
        <f t="shared" si="79"/>
        <v/>
      </c>
      <c r="CW610" s="1154" t="str">
        <f t="shared" si="80"/>
        <v/>
      </c>
      <c r="CX610" s="1154" t="str">
        <f t="shared" si="81"/>
        <v/>
      </c>
      <c r="CY610" s="1154" t="str">
        <f t="shared" si="82"/>
        <v/>
      </c>
      <c r="CZ610" s="1154" t="str">
        <f t="shared" si="83"/>
        <v/>
      </c>
      <c r="DA610" s="1154" t="str">
        <f t="shared" si="84"/>
        <v/>
      </c>
      <c r="DB610" s="1154" t="str">
        <f t="shared" si="85"/>
        <v/>
      </c>
      <c r="DC610" s="1154" t="str">
        <f t="shared" si="86"/>
        <v/>
      </c>
      <c r="DD610" s="1154" t="str">
        <f t="shared" si="87"/>
        <v/>
      </c>
      <c r="DE610" s="1154" t="str">
        <f t="shared" si="88"/>
        <v/>
      </c>
      <c r="DF610" s="1154" t="str">
        <f t="shared" si="89"/>
        <v/>
      </c>
      <c r="DG610" s="1154" t="str">
        <f t="shared" si="90"/>
        <v/>
      </c>
      <c r="DH610" s="1154" t="str">
        <f t="shared" si="91"/>
        <v/>
      </c>
      <c r="DI610" s="1154" t="str">
        <f t="shared" si="92"/>
        <v/>
      </c>
      <c r="DJ610" s="1154" t="str">
        <f t="shared" si="93"/>
        <v/>
      </c>
      <c r="DK610" s="1154" t="str">
        <f t="shared" si="94"/>
        <v/>
      </c>
      <c r="DL610" s="1154" t="str">
        <f t="shared" si="95"/>
        <v/>
      </c>
      <c r="DM610" s="1154" t="str">
        <f t="shared" si="96"/>
        <v/>
      </c>
      <c r="DN610" s="1154" t="str">
        <f t="shared" si="97"/>
        <v/>
      </c>
      <c r="DO610" s="1154" t="str">
        <f t="shared" si="98"/>
        <v/>
      </c>
      <c r="DP610" s="1154" t="str">
        <f t="shared" si="99"/>
        <v/>
      </c>
      <c r="DQ610" s="1154" t="str">
        <f t="shared" si="100"/>
        <v/>
      </c>
      <c r="DR610" s="1154" t="str">
        <f t="shared" si="101"/>
        <v/>
      </c>
      <c r="DS610" s="1154" t="str">
        <f t="shared" si="102"/>
        <v/>
      </c>
      <c r="DT610" s="1154" t="str">
        <f t="shared" si="103"/>
        <v/>
      </c>
      <c r="DU610" s="1154" t="str">
        <f t="shared" si="104"/>
        <v/>
      </c>
      <c r="DV610" s="1154" t="str">
        <f t="shared" si="105"/>
        <v/>
      </c>
      <c r="DW610" s="1154" t="str">
        <f t="shared" si="106"/>
        <v/>
      </c>
      <c r="DX610" s="1154" t="str">
        <f t="shared" si="107"/>
        <v/>
      </c>
      <c r="DY610" s="1154" t="str">
        <f t="shared" si="108"/>
        <v/>
      </c>
      <c r="DZ610" s="1154" t="str">
        <f t="shared" si="109"/>
        <v/>
      </c>
      <c r="EA610" s="1154" t="str">
        <f t="shared" si="110"/>
        <v/>
      </c>
      <c r="EB610" s="1154" t="str">
        <f t="shared" si="111"/>
        <v/>
      </c>
      <c r="EC610" s="1154" t="str">
        <f t="shared" si="112"/>
        <v/>
      </c>
      <c r="ED610" s="1154" t="str">
        <f t="shared" si="113"/>
        <v/>
      </c>
      <c r="EE610" s="1154" t="str">
        <f t="shared" si="114"/>
        <v/>
      </c>
      <c r="EF610" s="1154" t="str">
        <f t="shared" si="115"/>
        <v/>
      </c>
      <c r="EG610" s="1154" t="str">
        <f t="shared" si="311"/>
        <v/>
      </c>
      <c r="EH610" s="1154" t="str">
        <f t="shared" si="116"/>
        <v/>
      </c>
      <c r="EI610" s="1154" t="str">
        <f t="shared" si="117"/>
        <v/>
      </c>
      <c r="EJ610" s="1154" t="str">
        <f t="shared" si="118"/>
        <v/>
      </c>
      <c r="EK610" s="1154" t="str">
        <f t="shared" si="119"/>
        <v/>
      </c>
      <c r="EL610" s="1154" t="str">
        <f t="shared" si="120"/>
        <v/>
      </c>
      <c r="EM610" s="1154" t="str">
        <f t="shared" si="121"/>
        <v/>
      </c>
      <c r="EN610" s="1154" t="str">
        <f t="shared" si="122"/>
        <v/>
      </c>
      <c r="EO610" s="1154" t="str">
        <f t="shared" si="123"/>
        <v/>
      </c>
      <c r="EP610" s="1154" t="str">
        <f t="shared" si="124"/>
        <v/>
      </c>
      <c r="EQ610" s="1154" t="str">
        <f t="shared" si="125"/>
        <v/>
      </c>
      <c r="ER610" s="1154" t="str">
        <f t="shared" si="126"/>
        <v/>
      </c>
      <c r="ES610" s="1154" t="str">
        <f t="shared" si="127"/>
        <v/>
      </c>
      <c r="ET610" s="1154" t="str">
        <f t="shared" si="128"/>
        <v/>
      </c>
      <c r="EU610" s="1154" t="str">
        <f t="shared" si="129"/>
        <v/>
      </c>
      <c r="EV610" s="1154" t="str">
        <f t="shared" si="130"/>
        <v/>
      </c>
      <c r="EW610" s="1154" t="str">
        <f t="shared" si="312"/>
        <v/>
      </c>
      <c r="EX610" s="1154" t="str">
        <f t="shared" si="313"/>
        <v/>
      </c>
      <c r="EY610" s="1154" t="str">
        <f t="shared" si="314"/>
        <v/>
      </c>
      <c r="EZ610" s="1154" t="str">
        <f t="shared" si="315"/>
        <v/>
      </c>
      <c r="FA610" s="1154" t="str">
        <f t="shared" si="316"/>
        <v/>
      </c>
      <c r="FB610" s="1154" t="str">
        <f t="shared" si="131"/>
        <v/>
      </c>
      <c r="FC610" s="1154" t="str">
        <f t="shared" si="132"/>
        <v/>
      </c>
      <c r="FD610" s="1154" t="str">
        <f t="shared" si="133"/>
        <v/>
      </c>
      <c r="FE610" s="1154" t="str">
        <f t="shared" si="134"/>
        <v/>
      </c>
      <c r="FF610" s="1154" t="str">
        <f t="shared" si="135"/>
        <v/>
      </c>
      <c r="FG610" s="1154" t="str">
        <f t="shared" si="317"/>
        <v/>
      </c>
      <c r="FH610" s="1154" t="str">
        <f t="shared" si="318"/>
        <v/>
      </c>
      <c r="FI610" s="1154" t="str">
        <f t="shared" si="319"/>
        <v/>
      </c>
      <c r="FJ610" s="1154" t="str">
        <f t="shared" si="320"/>
        <v/>
      </c>
      <c r="FK610" s="1154" t="str">
        <f t="shared" si="321"/>
        <v/>
      </c>
      <c r="FL610" s="1154" t="str">
        <f t="shared" si="136"/>
        <v/>
      </c>
      <c r="FM610" s="1154" t="str">
        <f t="shared" si="137"/>
        <v/>
      </c>
      <c r="FN610" s="1154" t="str">
        <f t="shared" si="138"/>
        <v/>
      </c>
      <c r="FO610" s="1154" t="str">
        <f t="shared" si="139"/>
        <v/>
      </c>
      <c r="FP610" s="1154" t="str">
        <f t="shared" si="140"/>
        <v/>
      </c>
      <c r="FQ610" s="1154" t="str">
        <f t="shared" si="141"/>
        <v/>
      </c>
      <c r="FR610" s="1154" t="str">
        <f t="shared" si="142"/>
        <v/>
      </c>
      <c r="FS610" s="1154" t="str">
        <f t="shared" si="143"/>
        <v/>
      </c>
      <c r="FT610" s="1154" t="str">
        <f t="shared" si="144"/>
        <v/>
      </c>
      <c r="FU610" s="1154" t="str">
        <f t="shared" si="145"/>
        <v/>
      </c>
      <c r="FV610" s="1154" t="str">
        <f t="shared" si="146"/>
        <v/>
      </c>
      <c r="FW610" s="1154" t="str">
        <f t="shared" si="147"/>
        <v/>
      </c>
      <c r="FX610" s="1154" t="str">
        <f t="shared" si="148"/>
        <v/>
      </c>
      <c r="FY610" s="1154" t="str">
        <f t="shared" si="149"/>
        <v/>
      </c>
      <c r="FZ610" s="1154" t="str">
        <f t="shared" si="150"/>
        <v/>
      </c>
      <c r="GA610" s="1154" t="str">
        <f t="shared" si="151"/>
        <v/>
      </c>
      <c r="GB610" s="1154" t="str">
        <f t="shared" si="152"/>
        <v/>
      </c>
      <c r="GC610" s="1154" t="str">
        <f t="shared" si="153"/>
        <v/>
      </c>
      <c r="GD610" s="1154" t="str">
        <f t="shared" si="154"/>
        <v/>
      </c>
      <c r="GE610" s="1154" t="str">
        <f t="shared" si="155"/>
        <v/>
      </c>
      <c r="GF610" s="1154" t="str">
        <f t="shared" si="156"/>
        <v/>
      </c>
      <c r="GG610" s="1154" t="str">
        <f t="shared" si="157"/>
        <v/>
      </c>
      <c r="GH610" s="1154" t="str">
        <f t="shared" si="158"/>
        <v/>
      </c>
      <c r="GI610" s="1154" t="str">
        <f t="shared" si="159"/>
        <v/>
      </c>
      <c r="GJ610" s="1154" t="str">
        <f t="shared" si="160"/>
        <v/>
      </c>
      <c r="GK610" s="1154" t="str">
        <f t="shared" si="161"/>
        <v/>
      </c>
      <c r="GL610" s="1154" t="str">
        <f t="shared" si="162"/>
        <v/>
      </c>
      <c r="GM610" s="1154" t="str">
        <f t="shared" si="163"/>
        <v/>
      </c>
      <c r="GN610" s="1154" t="str">
        <f t="shared" si="164"/>
        <v/>
      </c>
      <c r="GO610" s="1154" t="str">
        <f t="shared" si="165"/>
        <v/>
      </c>
      <c r="GP610" s="1154" t="str">
        <f t="shared" si="166"/>
        <v/>
      </c>
      <c r="GQ610" s="1154" t="str">
        <f t="shared" si="167"/>
        <v/>
      </c>
      <c r="GR610" s="1154" t="str">
        <f t="shared" si="168"/>
        <v/>
      </c>
      <c r="GS610" s="1154" t="str">
        <f t="shared" si="169"/>
        <v/>
      </c>
      <c r="GT610" s="1154" t="str">
        <f t="shared" si="170"/>
        <v/>
      </c>
      <c r="GU610" s="1154" t="str">
        <f t="shared" si="171"/>
        <v/>
      </c>
      <c r="GV610" s="1154" t="str">
        <f t="shared" si="172"/>
        <v/>
      </c>
      <c r="GW610" s="1154" t="str">
        <f t="shared" si="173"/>
        <v/>
      </c>
      <c r="GX610" s="1154" t="str">
        <f t="shared" si="174"/>
        <v/>
      </c>
      <c r="GY610" s="1154" t="str">
        <f t="shared" si="175"/>
        <v/>
      </c>
      <c r="GZ610" s="1154" t="str">
        <f t="shared" si="176"/>
        <v/>
      </c>
      <c r="HA610" s="1154" t="str">
        <f t="shared" si="177"/>
        <v/>
      </c>
      <c r="HB610" s="1154" t="str">
        <f t="shared" si="178"/>
        <v/>
      </c>
      <c r="HC610" s="1154" t="str">
        <f t="shared" si="179"/>
        <v/>
      </c>
      <c r="HD610" s="1154" t="str">
        <f t="shared" si="180"/>
        <v/>
      </c>
      <c r="HE610" s="1154" t="str">
        <f t="shared" si="181"/>
        <v/>
      </c>
      <c r="HF610" s="1154" t="str">
        <f t="shared" si="182"/>
        <v/>
      </c>
      <c r="HG610" s="1154" t="str">
        <f t="shared" si="183"/>
        <v/>
      </c>
      <c r="HH610" s="1154" t="str">
        <f t="shared" si="184"/>
        <v/>
      </c>
      <c r="HI610" s="1154" t="str">
        <f t="shared" si="185"/>
        <v/>
      </c>
      <c r="HJ610" s="1154" t="str">
        <f t="shared" si="186"/>
        <v/>
      </c>
      <c r="HK610" s="1154" t="str">
        <f t="shared" si="187"/>
        <v/>
      </c>
      <c r="HL610" s="1154" t="str">
        <f t="shared" si="188"/>
        <v/>
      </c>
      <c r="HM610" s="1154" t="str">
        <f t="shared" si="189"/>
        <v/>
      </c>
      <c r="HN610" s="1154" t="str">
        <f t="shared" si="190"/>
        <v/>
      </c>
      <c r="HO610" s="1154" t="str">
        <f t="shared" si="191"/>
        <v/>
      </c>
      <c r="HP610" s="1154" t="str">
        <f t="shared" si="192"/>
        <v/>
      </c>
      <c r="HQ610" s="1154" t="str">
        <f t="shared" si="193"/>
        <v/>
      </c>
      <c r="HR610" s="1154" t="str">
        <f t="shared" si="194"/>
        <v/>
      </c>
      <c r="HS610" s="1154" t="str">
        <f t="shared" si="195"/>
        <v/>
      </c>
      <c r="HT610" s="1154" t="str">
        <f t="shared" si="196"/>
        <v/>
      </c>
      <c r="HU610" s="1154" t="str">
        <f t="shared" si="197"/>
        <v/>
      </c>
      <c r="HV610" s="1154" t="str">
        <f t="shared" si="198"/>
        <v/>
      </c>
      <c r="HW610" s="1154" t="str">
        <f t="shared" si="199"/>
        <v/>
      </c>
      <c r="HX610" s="1154" t="str">
        <f t="shared" si="200"/>
        <v/>
      </c>
      <c r="HY610" s="1681" t="str">
        <f t="shared" si="201"/>
        <v/>
      </c>
      <c r="HZ610" s="1681" t="str">
        <f t="shared" si="202"/>
        <v/>
      </c>
      <c r="IA610" s="1681" t="str">
        <f t="shared" si="203"/>
        <v/>
      </c>
      <c r="IB610" s="1681" t="str">
        <f t="shared" si="204"/>
        <v/>
      </c>
      <c r="IC610" s="1681" t="str">
        <f t="shared" si="205"/>
        <v/>
      </c>
      <c r="ID610" s="1681" t="str">
        <f t="shared" si="206"/>
        <v/>
      </c>
      <c r="IE610" s="1681" t="str">
        <f t="shared" si="207"/>
        <v/>
      </c>
      <c r="IF610" s="1681" t="str">
        <f t="shared" si="208"/>
        <v/>
      </c>
      <c r="IG610" s="1681" t="str">
        <f t="shared" si="209"/>
        <v/>
      </c>
      <c r="IH610" s="1681" t="str">
        <f t="shared" si="210"/>
        <v/>
      </c>
      <c r="II610" s="1681" t="str">
        <f t="shared" si="211"/>
        <v/>
      </c>
      <c r="IJ610" s="1681" t="str">
        <f t="shared" si="212"/>
        <v/>
      </c>
      <c r="IK610" s="1681" t="str">
        <f t="shared" si="213"/>
        <v/>
      </c>
      <c r="IL610" s="1681" t="str">
        <f t="shared" si="214"/>
        <v/>
      </c>
      <c r="IM610" s="1681" t="str">
        <f t="shared" si="215"/>
        <v/>
      </c>
      <c r="IN610" s="1681" t="str">
        <f t="shared" si="216"/>
        <v/>
      </c>
      <c r="IO610" s="1681" t="str">
        <f t="shared" si="217"/>
        <v/>
      </c>
      <c r="IP610" s="1681" t="str">
        <f t="shared" si="218"/>
        <v/>
      </c>
      <c r="IQ610" s="1681" t="str">
        <f t="shared" si="219"/>
        <v/>
      </c>
      <c r="IR610" s="1681" t="str">
        <f t="shared" si="220"/>
        <v/>
      </c>
      <c r="IS610" s="1681" t="str">
        <f t="shared" si="221"/>
        <v/>
      </c>
      <c r="IT610" s="1681" t="str">
        <f t="shared" si="222"/>
        <v/>
      </c>
      <c r="IU610" s="1681" t="str">
        <f t="shared" si="223"/>
        <v/>
      </c>
      <c r="IV610" s="1681" t="str">
        <f t="shared" si="224"/>
        <v/>
      </c>
      <c r="IW610" s="1681" t="str">
        <f t="shared" si="225"/>
        <v/>
      </c>
      <c r="IX610" s="1681" t="str">
        <f t="shared" si="226"/>
        <v/>
      </c>
      <c r="IY610" s="1681" t="str">
        <f t="shared" si="227"/>
        <v/>
      </c>
      <c r="IZ610" s="1681" t="str">
        <f t="shared" si="228"/>
        <v/>
      </c>
      <c r="JA610" s="1681" t="str">
        <f t="shared" si="229"/>
        <v/>
      </c>
      <c r="JB610" s="1681" t="str">
        <f t="shared" si="230"/>
        <v/>
      </c>
      <c r="JC610" s="1681" t="str">
        <f t="shared" si="231"/>
        <v/>
      </c>
      <c r="JD610" s="1681" t="str">
        <f t="shared" si="232"/>
        <v/>
      </c>
      <c r="JE610" s="1681" t="str">
        <f t="shared" si="233"/>
        <v/>
      </c>
      <c r="JF610" s="1681" t="str">
        <f t="shared" si="234"/>
        <v/>
      </c>
      <c r="JG610" s="1681" t="str">
        <f t="shared" si="235"/>
        <v/>
      </c>
      <c r="JH610" s="1681" t="str">
        <f t="shared" si="236"/>
        <v/>
      </c>
      <c r="JI610" s="1681" t="str">
        <f t="shared" si="237"/>
        <v/>
      </c>
      <c r="JJ610" s="1681" t="str">
        <f t="shared" si="238"/>
        <v/>
      </c>
      <c r="JK610" s="1681" t="str">
        <f t="shared" si="239"/>
        <v/>
      </c>
      <c r="JL610" s="1681" t="str">
        <f t="shared" si="240"/>
        <v/>
      </c>
      <c r="JM610" s="1681" t="str">
        <f t="shared" si="241"/>
        <v/>
      </c>
      <c r="JN610" s="1681" t="str">
        <f t="shared" si="242"/>
        <v/>
      </c>
      <c r="JO610" s="1681" t="str">
        <f t="shared" si="243"/>
        <v/>
      </c>
      <c r="JP610" s="1681" t="str">
        <f t="shared" si="244"/>
        <v/>
      </c>
      <c r="JQ610" s="1681" t="str">
        <f t="shared" si="245"/>
        <v/>
      </c>
      <c r="JR610" s="1681" t="str">
        <f t="shared" si="246"/>
        <v/>
      </c>
      <c r="JS610" s="1681" t="str">
        <f t="shared" si="247"/>
        <v/>
      </c>
      <c r="JT610" s="1681" t="str">
        <f t="shared" si="248"/>
        <v/>
      </c>
      <c r="JU610" s="1681" t="str">
        <f t="shared" si="249"/>
        <v/>
      </c>
      <c r="JV610" s="1681" t="str">
        <f t="shared" si="250"/>
        <v/>
      </c>
      <c r="JW610" s="1681" t="str">
        <f t="shared" si="251"/>
        <v/>
      </c>
      <c r="JX610" s="1681" t="str">
        <f t="shared" si="252"/>
        <v/>
      </c>
      <c r="JY610" s="1681" t="str">
        <f t="shared" si="253"/>
        <v/>
      </c>
      <c r="JZ610" s="1681" t="str">
        <f t="shared" si="254"/>
        <v/>
      </c>
      <c r="KA610" s="1681" t="str">
        <f t="shared" si="255"/>
        <v/>
      </c>
      <c r="KB610" s="1681" t="str">
        <f t="shared" si="256"/>
        <v/>
      </c>
      <c r="KC610" s="1681" t="str">
        <f t="shared" si="257"/>
        <v/>
      </c>
      <c r="KD610" s="1681" t="str">
        <f t="shared" si="258"/>
        <v/>
      </c>
      <c r="KE610" s="1681" t="str">
        <f t="shared" si="259"/>
        <v/>
      </c>
      <c r="KF610" s="1681" t="str">
        <f t="shared" si="260"/>
        <v/>
      </c>
      <c r="KG610" s="1681" t="str">
        <f t="shared" si="261"/>
        <v/>
      </c>
      <c r="KH610" s="1681" t="str">
        <f t="shared" si="262"/>
        <v/>
      </c>
      <c r="KI610" s="1681" t="str">
        <f t="shared" si="263"/>
        <v/>
      </c>
      <c r="KJ610" s="1681" t="str">
        <f t="shared" si="264"/>
        <v/>
      </c>
      <c r="KK610" s="1681" t="str">
        <f t="shared" si="265"/>
        <v/>
      </c>
      <c r="KL610" s="1681" t="str">
        <f t="shared" si="266"/>
        <v/>
      </c>
      <c r="KM610" s="1681" t="str">
        <f t="shared" si="267"/>
        <v/>
      </c>
      <c r="KN610" s="1681" t="str">
        <f t="shared" si="268"/>
        <v/>
      </c>
      <c r="KO610" s="1681" t="str">
        <f t="shared" si="269"/>
        <v/>
      </c>
      <c r="KP610" s="1681" t="str">
        <f t="shared" si="270"/>
        <v/>
      </c>
      <c r="KQ610" s="1681" t="str">
        <f t="shared" si="271"/>
        <v/>
      </c>
      <c r="KR610" s="1681" t="str">
        <f t="shared" si="272"/>
        <v/>
      </c>
      <c r="KS610" s="1681" t="str">
        <f t="shared" si="273"/>
        <v/>
      </c>
      <c r="KT610" s="1681" t="str">
        <f t="shared" si="274"/>
        <v/>
      </c>
      <c r="KU610" s="1681" t="str">
        <f t="shared" si="275"/>
        <v/>
      </c>
      <c r="KV610" s="1681" t="str">
        <f t="shared" si="276"/>
        <v/>
      </c>
      <c r="KW610" s="1681" t="str">
        <f t="shared" si="277"/>
        <v/>
      </c>
      <c r="KX610" s="1681" t="str">
        <f t="shared" si="278"/>
        <v/>
      </c>
      <c r="KY610" s="1681" t="str">
        <f t="shared" si="279"/>
        <v/>
      </c>
      <c r="KZ610" s="1681" t="str">
        <f t="shared" si="280"/>
        <v/>
      </c>
      <c r="LA610" s="1681" t="str">
        <f t="shared" si="281"/>
        <v/>
      </c>
      <c r="LB610" s="1681" t="str">
        <f t="shared" si="282"/>
        <v/>
      </c>
      <c r="LC610" s="1681" t="str">
        <f t="shared" si="283"/>
        <v/>
      </c>
      <c r="LD610" s="1681" t="str">
        <f t="shared" si="284"/>
        <v/>
      </c>
      <c r="LE610" s="1681" t="str">
        <f t="shared" si="285"/>
        <v/>
      </c>
      <c r="LF610" s="1525" t="str">
        <f t="shared" si="286"/>
        <v/>
      </c>
      <c r="LG610" s="1525" t="str">
        <f t="shared" si="287"/>
        <v/>
      </c>
      <c r="LH610" s="1525" t="str">
        <f t="shared" si="288"/>
        <v/>
      </c>
      <c r="LI610" s="1525" t="str">
        <f t="shared" si="289"/>
        <v/>
      </c>
      <c r="LJ610" s="1525" t="str">
        <f t="shared" si="290"/>
        <v/>
      </c>
      <c r="LK610" s="1154" t="str">
        <f t="shared" si="291"/>
        <v/>
      </c>
      <c r="LL610" s="1154" t="str">
        <f t="shared" si="292"/>
        <v/>
      </c>
      <c r="LM610" s="1154" t="str">
        <f t="shared" si="293"/>
        <v/>
      </c>
      <c r="LN610" s="1154" t="str">
        <f t="shared" si="294"/>
        <v/>
      </c>
      <c r="LO610" s="1154" t="str">
        <f t="shared" si="295"/>
        <v/>
      </c>
      <c r="LP610" s="1154" t="str">
        <f t="shared" si="296"/>
        <v/>
      </c>
      <c r="LQ610" s="1154" t="str">
        <f t="shared" si="297"/>
        <v/>
      </c>
      <c r="LR610" s="1154" t="str">
        <f t="shared" si="298"/>
        <v/>
      </c>
      <c r="LS610" s="1154" t="str">
        <f t="shared" si="299"/>
        <v/>
      </c>
      <c r="LT610" s="1154" t="str">
        <f t="shared" si="300"/>
        <v/>
      </c>
      <c r="LU610" s="1154" t="str">
        <f t="shared" si="301"/>
        <v/>
      </c>
      <c r="LV610" s="1154" t="str">
        <f t="shared" si="302"/>
        <v/>
      </c>
      <c r="LW610" s="1154" t="str">
        <f t="shared" si="303"/>
        <v/>
      </c>
      <c r="LX610" s="1154" t="str">
        <f t="shared" si="304"/>
        <v/>
      </c>
      <c r="LY610" s="1154" t="str">
        <f t="shared" si="305"/>
        <v/>
      </c>
      <c r="LZ610" s="1154" t="str">
        <f t="shared" si="306"/>
        <v/>
      </c>
      <c r="MA610" s="1154" t="str">
        <f t="shared" si="307"/>
        <v/>
      </c>
      <c r="MB610" s="1154" t="str">
        <f t="shared" si="308"/>
        <v/>
      </c>
      <c r="MC610" s="1154" t="str">
        <f t="shared" si="309"/>
        <v/>
      </c>
      <c r="MD610" s="1154" t="str">
        <f t="shared" si="310"/>
        <v/>
      </c>
      <c r="ME610" s="1525">
        <f t="shared" si="322"/>
        <v>0</v>
      </c>
      <c r="MF610" s="1525">
        <f t="shared" si="323"/>
        <v>0</v>
      </c>
      <c r="MG610" s="1525">
        <f t="shared" si="324"/>
        <v>0</v>
      </c>
      <c r="MH610" s="1525">
        <f t="shared" si="325"/>
        <v>0</v>
      </c>
      <c r="MI610" s="1525">
        <f t="shared" si="326"/>
        <v>0</v>
      </c>
      <c r="MJ610" s="1525">
        <f t="shared" si="327"/>
        <v>0</v>
      </c>
      <c r="MK610" s="1525">
        <f t="shared" si="328"/>
        <v>0</v>
      </c>
      <c r="ML610" s="1525">
        <f t="shared" si="329"/>
        <v>0</v>
      </c>
      <c r="MM610" s="1525">
        <f t="shared" si="330"/>
        <v>0</v>
      </c>
      <c r="MN610" s="1525">
        <f t="shared" si="331"/>
        <v>0</v>
      </c>
      <c r="MO610" s="1525">
        <f t="shared" si="332"/>
        <v>0</v>
      </c>
      <c r="MP610" s="1525">
        <f t="shared" si="333"/>
        <v>0</v>
      </c>
      <c r="MQ610" s="1525">
        <f t="shared" si="334"/>
        <v>0</v>
      </c>
      <c r="MR610" s="1525">
        <f t="shared" si="335"/>
        <v>0</v>
      </c>
      <c r="MS610" s="1525">
        <f t="shared" si="336"/>
        <v>0</v>
      </c>
    </row>
    <row r="611" spans="1:358" s="1154" customFormat="1" ht="12" customHeight="1">
      <c r="A611" s="1524" t="str">
        <f t="shared" si="1"/>
        <v/>
      </c>
      <c r="B611" s="1682">
        <f>'Part VI-Revenues &amp; Expenses'!B40</f>
        <v>0</v>
      </c>
      <c r="C611" s="1673">
        <f>'Part VI-Revenues &amp; Expenses'!C40</f>
        <v>0</v>
      </c>
      <c r="D611" s="1674">
        <f>'Part VI-Revenues &amp; Expenses'!D40</f>
        <v>0</v>
      </c>
      <c r="E611" s="1675">
        <f>'Part VI-Revenues &amp; Expenses'!E40</f>
        <v>0</v>
      </c>
      <c r="F611" s="1675">
        <f>'Part VI-Revenues &amp; Expenses'!F40</f>
        <v>0</v>
      </c>
      <c r="G611" s="1675">
        <f>'Part VI-Revenues &amp; Expenses'!G40</f>
        <v>0</v>
      </c>
      <c r="H611" s="1675">
        <f>'Part VI-Revenues &amp; Expenses'!H40</f>
        <v>0</v>
      </c>
      <c r="I611" s="1675">
        <f>'Part VI-Revenues &amp; Expenses'!I40</f>
        <v>0</v>
      </c>
      <c r="J611" s="1676">
        <f>'Part VI-Revenues &amp; Expenses'!J40</f>
        <v>0</v>
      </c>
      <c r="K611" s="1677">
        <f>'Part VI-Revenues &amp; Expenses'!K40</f>
        <v>0</v>
      </c>
      <c r="L611" s="1677">
        <f>'Part VI-Revenues &amp; Expenses'!L40</f>
        <v>0</v>
      </c>
      <c r="M611" s="1678">
        <f>'Part VI-Revenues &amp; Expenses'!M40</f>
        <v>0</v>
      </c>
      <c r="N611" s="1678">
        <f>'Part VI-Revenues &amp; Expenses'!N40</f>
        <v>0</v>
      </c>
      <c r="O611" s="1678">
        <f>'Part VI-Revenues &amp; Expenses'!O40</f>
        <v>0</v>
      </c>
      <c r="P611" s="1660">
        <f>'Part VI-Revenues &amp; Expenses'!P40</f>
        <v>0</v>
      </c>
      <c r="Q611" s="1679"/>
      <c r="R611" s="1680"/>
      <c r="S611" s="1679"/>
      <c r="T611" s="1680"/>
      <c r="U611" s="1519"/>
      <c r="V611" s="1519"/>
      <c r="W611" s="1154" t="str">
        <f t="shared" si="2"/>
        <v/>
      </c>
      <c r="X611" s="1154" t="str">
        <f t="shared" si="3"/>
        <v/>
      </c>
      <c r="Y611" s="1154" t="str">
        <f t="shared" si="4"/>
        <v/>
      </c>
      <c r="Z611" s="1154" t="str">
        <f t="shared" si="5"/>
        <v/>
      </c>
      <c r="AA611" s="1154" t="str">
        <f t="shared" si="6"/>
        <v/>
      </c>
      <c r="AB611" s="1154" t="str">
        <f t="shared" si="7"/>
        <v/>
      </c>
      <c r="AC611" s="1154" t="str">
        <f t="shared" si="8"/>
        <v/>
      </c>
      <c r="AD611" s="1154" t="str">
        <f t="shared" si="9"/>
        <v/>
      </c>
      <c r="AE611" s="1154" t="str">
        <f t="shared" si="10"/>
        <v/>
      </c>
      <c r="AF611" s="1154" t="str">
        <f t="shared" si="11"/>
        <v/>
      </c>
      <c r="AG611" s="1154" t="str">
        <f t="shared" si="12"/>
        <v/>
      </c>
      <c r="AH611" s="1154" t="str">
        <f t="shared" si="13"/>
        <v/>
      </c>
      <c r="AI611" s="1154" t="str">
        <f t="shared" si="14"/>
        <v/>
      </c>
      <c r="AJ611" s="1154" t="str">
        <f t="shared" si="15"/>
        <v/>
      </c>
      <c r="AK611" s="1154" t="str">
        <f t="shared" si="16"/>
        <v/>
      </c>
      <c r="AL611" s="1154" t="str">
        <f t="shared" si="17"/>
        <v/>
      </c>
      <c r="AM611" s="1154" t="str">
        <f t="shared" si="18"/>
        <v/>
      </c>
      <c r="AN611" s="1154" t="str">
        <f t="shared" si="19"/>
        <v/>
      </c>
      <c r="AO611" s="1154" t="str">
        <f t="shared" si="20"/>
        <v/>
      </c>
      <c r="AP611" s="1154" t="str">
        <f t="shared" si="21"/>
        <v/>
      </c>
      <c r="AQ611" s="1154" t="str">
        <f t="shared" si="22"/>
        <v/>
      </c>
      <c r="AR611" s="1154" t="str">
        <f t="shared" si="23"/>
        <v/>
      </c>
      <c r="AS611" s="1154" t="str">
        <f t="shared" si="24"/>
        <v/>
      </c>
      <c r="AT611" s="1154" t="str">
        <f t="shared" si="25"/>
        <v/>
      </c>
      <c r="AU611" s="1154" t="str">
        <f t="shared" si="26"/>
        <v/>
      </c>
      <c r="AV611" s="1154" t="str">
        <f t="shared" si="27"/>
        <v/>
      </c>
      <c r="AW611" s="1154" t="str">
        <f t="shared" si="28"/>
        <v/>
      </c>
      <c r="AX611" s="1154" t="str">
        <f t="shared" si="29"/>
        <v/>
      </c>
      <c r="AY611" s="1154" t="str">
        <f t="shared" si="30"/>
        <v/>
      </c>
      <c r="AZ611" s="1154" t="str">
        <f t="shared" si="31"/>
        <v/>
      </c>
      <c r="BA611" s="1154" t="str">
        <f t="shared" si="32"/>
        <v/>
      </c>
      <c r="BB611" s="1154" t="str">
        <f t="shared" si="33"/>
        <v/>
      </c>
      <c r="BC611" s="1154" t="str">
        <f t="shared" si="34"/>
        <v/>
      </c>
      <c r="BD611" s="1154" t="str">
        <f t="shared" si="35"/>
        <v/>
      </c>
      <c r="BE611" s="1154" t="str">
        <f t="shared" si="36"/>
        <v/>
      </c>
      <c r="BF611" s="1154" t="str">
        <f t="shared" si="37"/>
        <v/>
      </c>
      <c r="BG611" s="1154" t="str">
        <f t="shared" si="38"/>
        <v/>
      </c>
      <c r="BH611" s="1154" t="str">
        <f t="shared" si="39"/>
        <v/>
      </c>
      <c r="BI611" s="1154" t="str">
        <f t="shared" si="40"/>
        <v/>
      </c>
      <c r="BJ611" s="1154" t="str">
        <f t="shared" si="41"/>
        <v/>
      </c>
      <c r="BK611" s="1154" t="str">
        <f t="shared" si="42"/>
        <v/>
      </c>
      <c r="BL611" s="1154" t="str">
        <f t="shared" si="43"/>
        <v/>
      </c>
      <c r="BM611" s="1154" t="str">
        <f t="shared" si="44"/>
        <v/>
      </c>
      <c r="BN611" s="1154" t="str">
        <f t="shared" si="45"/>
        <v/>
      </c>
      <c r="BO611" s="1154" t="str">
        <f t="shared" si="46"/>
        <v/>
      </c>
      <c r="BP611" s="1154" t="str">
        <f t="shared" si="47"/>
        <v/>
      </c>
      <c r="BQ611" s="1154" t="str">
        <f t="shared" si="48"/>
        <v/>
      </c>
      <c r="BR611" s="1154" t="str">
        <f t="shared" si="49"/>
        <v/>
      </c>
      <c r="BS611" s="1154" t="str">
        <f t="shared" si="50"/>
        <v/>
      </c>
      <c r="BT611" s="1154" t="str">
        <f t="shared" si="51"/>
        <v/>
      </c>
      <c r="BU611" s="1154" t="str">
        <f t="shared" si="52"/>
        <v/>
      </c>
      <c r="BV611" s="1154" t="str">
        <f t="shared" si="53"/>
        <v/>
      </c>
      <c r="BW611" s="1154" t="str">
        <f t="shared" si="54"/>
        <v/>
      </c>
      <c r="BX611" s="1154" t="str">
        <f t="shared" si="55"/>
        <v/>
      </c>
      <c r="BY611" s="1154" t="str">
        <f t="shared" si="56"/>
        <v/>
      </c>
      <c r="BZ611" s="1154" t="str">
        <f t="shared" si="57"/>
        <v/>
      </c>
      <c r="CA611" s="1154" t="str">
        <f t="shared" si="58"/>
        <v/>
      </c>
      <c r="CB611" s="1154" t="str">
        <f t="shared" si="59"/>
        <v/>
      </c>
      <c r="CC611" s="1154" t="str">
        <f t="shared" si="60"/>
        <v/>
      </c>
      <c r="CD611" s="1154" t="str">
        <f t="shared" si="61"/>
        <v/>
      </c>
      <c r="CE611" s="1154" t="str">
        <f t="shared" si="62"/>
        <v/>
      </c>
      <c r="CF611" s="1154" t="str">
        <f t="shared" si="63"/>
        <v/>
      </c>
      <c r="CG611" s="1154" t="str">
        <f t="shared" si="64"/>
        <v/>
      </c>
      <c r="CH611" s="1154" t="str">
        <f t="shared" si="65"/>
        <v/>
      </c>
      <c r="CI611" s="1154" t="str">
        <f t="shared" si="66"/>
        <v/>
      </c>
      <c r="CJ611" s="1154" t="str">
        <f t="shared" si="67"/>
        <v/>
      </c>
      <c r="CK611" s="1154" t="str">
        <f t="shared" si="68"/>
        <v/>
      </c>
      <c r="CL611" s="1154" t="str">
        <f t="shared" si="69"/>
        <v/>
      </c>
      <c r="CM611" s="1154" t="str">
        <f t="shared" si="70"/>
        <v/>
      </c>
      <c r="CN611" s="1154" t="str">
        <f t="shared" si="71"/>
        <v/>
      </c>
      <c r="CO611" s="1154" t="str">
        <f t="shared" si="72"/>
        <v/>
      </c>
      <c r="CP611" s="1154" t="str">
        <f t="shared" si="73"/>
        <v/>
      </c>
      <c r="CQ611" s="1154" t="str">
        <f t="shared" si="74"/>
        <v/>
      </c>
      <c r="CR611" s="1154" t="str">
        <f t="shared" si="75"/>
        <v/>
      </c>
      <c r="CS611" s="1154" t="str">
        <f t="shared" si="76"/>
        <v/>
      </c>
      <c r="CT611" s="1154" t="str">
        <f t="shared" si="77"/>
        <v/>
      </c>
      <c r="CU611" s="1154" t="str">
        <f t="shared" si="78"/>
        <v/>
      </c>
      <c r="CV611" s="1154" t="str">
        <f t="shared" si="79"/>
        <v/>
      </c>
      <c r="CW611" s="1154" t="str">
        <f t="shared" si="80"/>
        <v/>
      </c>
      <c r="CX611" s="1154" t="str">
        <f t="shared" si="81"/>
        <v/>
      </c>
      <c r="CY611" s="1154" t="str">
        <f t="shared" si="82"/>
        <v/>
      </c>
      <c r="CZ611" s="1154" t="str">
        <f t="shared" si="83"/>
        <v/>
      </c>
      <c r="DA611" s="1154" t="str">
        <f t="shared" si="84"/>
        <v/>
      </c>
      <c r="DB611" s="1154" t="str">
        <f t="shared" si="85"/>
        <v/>
      </c>
      <c r="DC611" s="1154" t="str">
        <f t="shared" si="86"/>
        <v/>
      </c>
      <c r="DD611" s="1154" t="str">
        <f t="shared" si="87"/>
        <v/>
      </c>
      <c r="DE611" s="1154" t="str">
        <f t="shared" si="88"/>
        <v/>
      </c>
      <c r="DF611" s="1154" t="str">
        <f t="shared" si="89"/>
        <v/>
      </c>
      <c r="DG611" s="1154" t="str">
        <f t="shared" si="90"/>
        <v/>
      </c>
      <c r="DH611" s="1154" t="str">
        <f t="shared" si="91"/>
        <v/>
      </c>
      <c r="DI611" s="1154" t="str">
        <f t="shared" si="92"/>
        <v/>
      </c>
      <c r="DJ611" s="1154" t="str">
        <f t="shared" si="93"/>
        <v/>
      </c>
      <c r="DK611" s="1154" t="str">
        <f t="shared" si="94"/>
        <v/>
      </c>
      <c r="DL611" s="1154" t="str">
        <f t="shared" si="95"/>
        <v/>
      </c>
      <c r="DM611" s="1154" t="str">
        <f t="shared" si="96"/>
        <v/>
      </c>
      <c r="DN611" s="1154" t="str">
        <f t="shared" si="97"/>
        <v/>
      </c>
      <c r="DO611" s="1154" t="str">
        <f t="shared" si="98"/>
        <v/>
      </c>
      <c r="DP611" s="1154" t="str">
        <f t="shared" si="99"/>
        <v/>
      </c>
      <c r="DQ611" s="1154" t="str">
        <f t="shared" si="100"/>
        <v/>
      </c>
      <c r="DR611" s="1154" t="str">
        <f t="shared" si="101"/>
        <v/>
      </c>
      <c r="DS611" s="1154" t="str">
        <f t="shared" si="102"/>
        <v/>
      </c>
      <c r="DT611" s="1154" t="str">
        <f t="shared" si="103"/>
        <v/>
      </c>
      <c r="DU611" s="1154" t="str">
        <f t="shared" si="104"/>
        <v/>
      </c>
      <c r="DV611" s="1154" t="str">
        <f t="shared" si="105"/>
        <v/>
      </c>
      <c r="DW611" s="1154" t="str">
        <f t="shared" si="106"/>
        <v/>
      </c>
      <c r="DX611" s="1154" t="str">
        <f t="shared" si="107"/>
        <v/>
      </c>
      <c r="DY611" s="1154" t="str">
        <f t="shared" si="108"/>
        <v/>
      </c>
      <c r="DZ611" s="1154" t="str">
        <f t="shared" si="109"/>
        <v/>
      </c>
      <c r="EA611" s="1154" t="str">
        <f t="shared" si="110"/>
        <v/>
      </c>
      <c r="EB611" s="1154" t="str">
        <f t="shared" si="111"/>
        <v/>
      </c>
      <c r="EC611" s="1154" t="str">
        <f t="shared" si="112"/>
        <v/>
      </c>
      <c r="ED611" s="1154" t="str">
        <f t="shared" si="113"/>
        <v/>
      </c>
      <c r="EE611" s="1154" t="str">
        <f t="shared" si="114"/>
        <v/>
      </c>
      <c r="EF611" s="1154" t="str">
        <f t="shared" si="115"/>
        <v/>
      </c>
      <c r="EG611" s="1154" t="str">
        <f t="shared" si="311"/>
        <v/>
      </c>
      <c r="EH611" s="1154" t="str">
        <f t="shared" si="116"/>
        <v/>
      </c>
      <c r="EI611" s="1154" t="str">
        <f t="shared" si="117"/>
        <v/>
      </c>
      <c r="EJ611" s="1154" t="str">
        <f t="shared" si="118"/>
        <v/>
      </c>
      <c r="EK611" s="1154" t="str">
        <f t="shared" si="119"/>
        <v/>
      </c>
      <c r="EL611" s="1154" t="str">
        <f t="shared" si="120"/>
        <v/>
      </c>
      <c r="EM611" s="1154" t="str">
        <f t="shared" si="121"/>
        <v/>
      </c>
      <c r="EN611" s="1154" t="str">
        <f t="shared" si="122"/>
        <v/>
      </c>
      <c r="EO611" s="1154" t="str">
        <f t="shared" si="123"/>
        <v/>
      </c>
      <c r="EP611" s="1154" t="str">
        <f t="shared" si="124"/>
        <v/>
      </c>
      <c r="EQ611" s="1154" t="str">
        <f t="shared" si="125"/>
        <v/>
      </c>
      <c r="ER611" s="1154" t="str">
        <f t="shared" si="126"/>
        <v/>
      </c>
      <c r="ES611" s="1154" t="str">
        <f t="shared" si="127"/>
        <v/>
      </c>
      <c r="ET611" s="1154" t="str">
        <f t="shared" si="128"/>
        <v/>
      </c>
      <c r="EU611" s="1154" t="str">
        <f t="shared" si="129"/>
        <v/>
      </c>
      <c r="EV611" s="1154" t="str">
        <f t="shared" si="130"/>
        <v/>
      </c>
      <c r="EW611" s="1154" t="str">
        <f t="shared" si="312"/>
        <v/>
      </c>
      <c r="EX611" s="1154" t="str">
        <f t="shared" si="313"/>
        <v/>
      </c>
      <c r="EY611" s="1154" t="str">
        <f t="shared" si="314"/>
        <v/>
      </c>
      <c r="EZ611" s="1154" t="str">
        <f t="shared" si="315"/>
        <v/>
      </c>
      <c r="FA611" s="1154" t="str">
        <f t="shared" si="316"/>
        <v/>
      </c>
      <c r="FB611" s="1154" t="str">
        <f t="shared" si="131"/>
        <v/>
      </c>
      <c r="FC611" s="1154" t="str">
        <f t="shared" si="132"/>
        <v/>
      </c>
      <c r="FD611" s="1154" t="str">
        <f t="shared" si="133"/>
        <v/>
      </c>
      <c r="FE611" s="1154" t="str">
        <f t="shared" si="134"/>
        <v/>
      </c>
      <c r="FF611" s="1154" t="str">
        <f t="shared" si="135"/>
        <v/>
      </c>
      <c r="FG611" s="1154" t="str">
        <f t="shared" si="317"/>
        <v/>
      </c>
      <c r="FH611" s="1154" t="str">
        <f t="shared" si="318"/>
        <v/>
      </c>
      <c r="FI611" s="1154" t="str">
        <f t="shared" si="319"/>
        <v/>
      </c>
      <c r="FJ611" s="1154" t="str">
        <f t="shared" si="320"/>
        <v/>
      </c>
      <c r="FK611" s="1154" t="str">
        <f t="shared" si="321"/>
        <v/>
      </c>
      <c r="FL611" s="1154" t="str">
        <f t="shared" si="136"/>
        <v/>
      </c>
      <c r="FM611" s="1154" t="str">
        <f t="shared" si="137"/>
        <v/>
      </c>
      <c r="FN611" s="1154" t="str">
        <f t="shared" si="138"/>
        <v/>
      </c>
      <c r="FO611" s="1154" t="str">
        <f t="shared" si="139"/>
        <v/>
      </c>
      <c r="FP611" s="1154" t="str">
        <f t="shared" si="140"/>
        <v/>
      </c>
      <c r="FQ611" s="1154" t="str">
        <f t="shared" si="141"/>
        <v/>
      </c>
      <c r="FR611" s="1154" t="str">
        <f t="shared" si="142"/>
        <v/>
      </c>
      <c r="FS611" s="1154" t="str">
        <f t="shared" si="143"/>
        <v/>
      </c>
      <c r="FT611" s="1154" t="str">
        <f t="shared" si="144"/>
        <v/>
      </c>
      <c r="FU611" s="1154" t="str">
        <f t="shared" si="145"/>
        <v/>
      </c>
      <c r="FV611" s="1154" t="str">
        <f t="shared" si="146"/>
        <v/>
      </c>
      <c r="FW611" s="1154" t="str">
        <f t="shared" si="147"/>
        <v/>
      </c>
      <c r="FX611" s="1154" t="str">
        <f t="shared" si="148"/>
        <v/>
      </c>
      <c r="FY611" s="1154" t="str">
        <f t="shared" si="149"/>
        <v/>
      </c>
      <c r="FZ611" s="1154" t="str">
        <f t="shared" si="150"/>
        <v/>
      </c>
      <c r="GA611" s="1154" t="str">
        <f t="shared" si="151"/>
        <v/>
      </c>
      <c r="GB611" s="1154" t="str">
        <f t="shared" si="152"/>
        <v/>
      </c>
      <c r="GC611" s="1154" t="str">
        <f t="shared" si="153"/>
        <v/>
      </c>
      <c r="GD611" s="1154" t="str">
        <f t="shared" si="154"/>
        <v/>
      </c>
      <c r="GE611" s="1154" t="str">
        <f t="shared" si="155"/>
        <v/>
      </c>
      <c r="GF611" s="1154" t="str">
        <f t="shared" si="156"/>
        <v/>
      </c>
      <c r="GG611" s="1154" t="str">
        <f t="shared" si="157"/>
        <v/>
      </c>
      <c r="GH611" s="1154" t="str">
        <f t="shared" si="158"/>
        <v/>
      </c>
      <c r="GI611" s="1154" t="str">
        <f t="shared" si="159"/>
        <v/>
      </c>
      <c r="GJ611" s="1154" t="str">
        <f t="shared" si="160"/>
        <v/>
      </c>
      <c r="GK611" s="1154" t="str">
        <f t="shared" si="161"/>
        <v/>
      </c>
      <c r="GL611" s="1154" t="str">
        <f t="shared" si="162"/>
        <v/>
      </c>
      <c r="GM611" s="1154" t="str">
        <f t="shared" si="163"/>
        <v/>
      </c>
      <c r="GN611" s="1154" t="str">
        <f t="shared" si="164"/>
        <v/>
      </c>
      <c r="GO611" s="1154" t="str">
        <f t="shared" si="165"/>
        <v/>
      </c>
      <c r="GP611" s="1154" t="str">
        <f t="shared" si="166"/>
        <v/>
      </c>
      <c r="GQ611" s="1154" t="str">
        <f t="shared" si="167"/>
        <v/>
      </c>
      <c r="GR611" s="1154" t="str">
        <f t="shared" si="168"/>
        <v/>
      </c>
      <c r="GS611" s="1154" t="str">
        <f t="shared" si="169"/>
        <v/>
      </c>
      <c r="GT611" s="1154" t="str">
        <f t="shared" si="170"/>
        <v/>
      </c>
      <c r="GU611" s="1154" t="str">
        <f t="shared" si="171"/>
        <v/>
      </c>
      <c r="GV611" s="1154" t="str">
        <f t="shared" si="172"/>
        <v/>
      </c>
      <c r="GW611" s="1154" t="str">
        <f t="shared" si="173"/>
        <v/>
      </c>
      <c r="GX611" s="1154" t="str">
        <f t="shared" si="174"/>
        <v/>
      </c>
      <c r="GY611" s="1154" t="str">
        <f t="shared" si="175"/>
        <v/>
      </c>
      <c r="GZ611" s="1154" t="str">
        <f t="shared" si="176"/>
        <v/>
      </c>
      <c r="HA611" s="1154" t="str">
        <f t="shared" si="177"/>
        <v/>
      </c>
      <c r="HB611" s="1154" t="str">
        <f t="shared" si="178"/>
        <v/>
      </c>
      <c r="HC611" s="1154" t="str">
        <f t="shared" si="179"/>
        <v/>
      </c>
      <c r="HD611" s="1154" t="str">
        <f t="shared" si="180"/>
        <v/>
      </c>
      <c r="HE611" s="1154" t="str">
        <f t="shared" si="181"/>
        <v/>
      </c>
      <c r="HF611" s="1154" t="str">
        <f t="shared" si="182"/>
        <v/>
      </c>
      <c r="HG611" s="1154" t="str">
        <f t="shared" si="183"/>
        <v/>
      </c>
      <c r="HH611" s="1154" t="str">
        <f t="shared" si="184"/>
        <v/>
      </c>
      <c r="HI611" s="1154" t="str">
        <f t="shared" si="185"/>
        <v/>
      </c>
      <c r="HJ611" s="1154" t="str">
        <f t="shared" si="186"/>
        <v/>
      </c>
      <c r="HK611" s="1154" t="str">
        <f t="shared" si="187"/>
        <v/>
      </c>
      <c r="HL611" s="1154" t="str">
        <f t="shared" si="188"/>
        <v/>
      </c>
      <c r="HM611" s="1154" t="str">
        <f t="shared" si="189"/>
        <v/>
      </c>
      <c r="HN611" s="1154" t="str">
        <f t="shared" si="190"/>
        <v/>
      </c>
      <c r="HO611" s="1154" t="str">
        <f t="shared" si="191"/>
        <v/>
      </c>
      <c r="HP611" s="1154" t="str">
        <f t="shared" si="192"/>
        <v/>
      </c>
      <c r="HQ611" s="1154" t="str">
        <f t="shared" si="193"/>
        <v/>
      </c>
      <c r="HR611" s="1154" t="str">
        <f t="shared" si="194"/>
        <v/>
      </c>
      <c r="HS611" s="1154" t="str">
        <f t="shared" si="195"/>
        <v/>
      </c>
      <c r="HT611" s="1154" t="str">
        <f t="shared" si="196"/>
        <v/>
      </c>
      <c r="HU611" s="1154" t="str">
        <f t="shared" si="197"/>
        <v/>
      </c>
      <c r="HV611" s="1154" t="str">
        <f t="shared" si="198"/>
        <v/>
      </c>
      <c r="HW611" s="1154" t="str">
        <f t="shared" si="199"/>
        <v/>
      </c>
      <c r="HX611" s="1154" t="str">
        <f t="shared" si="200"/>
        <v/>
      </c>
      <c r="HY611" s="1681" t="str">
        <f t="shared" si="201"/>
        <v/>
      </c>
      <c r="HZ611" s="1681" t="str">
        <f t="shared" si="202"/>
        <v/>
      </c>
      <c r="IA611" s="1681" t="str">
        <f t="shared" si="203"/>
        <v/>
      </c>
      <c r="IB611" s="1681" t="str">
        <f t="shared" si="204"/>
        <v/>
      </c>
      <c r="IC611" s="1681" t="str">
        <f t="shared" si="205"/>
        <v/>
      </c>
      <c r="ID611" s="1681" t="str">
        <f t="shared" si="206"/>
        <v/>
      </c>
      <c r="IE611" s="1681" t="str">
        <f t="shared" si="207"/>
        <v/>
      </c>
      <c r="IF611" s="1681" t="str">
        <f t="shared" si="208"/>
        <v/>
      </c>
      <c r="IG611" s="1681" t="str">
        <f t="shared" si="209"/>
        <v/>
      </c>
      <c r="IH611" s="1681" t="str">
        <f t="shared" si="210"/>
        <v/>
      </c>
      <c r="II611" s="1681" t="str">
        <f t="shared" si="211"/>
        <v/>
      </c>
      <c r="IJ611" s="1681" t="str">
        <f t="shared" si="212"/>
        <v/>
      </c>
      <c r="IK611" s="1681" t="str">
        <f t="shared" si="213"/>
        <v/>
      </c>
      <c r="IL611" s="1681" t="str">
        <f t="shared" si="214"/>
        <v/>
      </c>
      <c r="IM611" s="1681" t="str">
        <f t="shared" si="215"/>
        <v/>
      </c>
      <c r="IN611" s="1681" t="str">
        <f t="shared" si="216"/>
        <v/>
      </c>
      <c r="IO611" s="1681" t="str">
        <f t="shared" si="217"/>
        <v/>
      </c>
      <c r="IP611" s="1681" t="str">
        <f t="shared" si="218"/>
        <v/>
      </c>
      <c r="IQ611" s="1681" t="str">
        <f t="shared" si="219"/>
        <v/>
      </c>
      <c r="IR611" s="1681" t="str">
        <f t="shared" si="220"/>
        <v/>
      </c>
      <c r="IS611" s="1681" t="str">
        <f t="shared" si="221"/>
        <v/>
      </c>
      <c r="IT611" s="1681" t="str">
        <f t="shared" si="222"/>
        <v/>
      </c>
      <c r="IU611" s="1681" t="str">
        <f t="shared" si="223"/>
        <v/>
      </c>
      <c r="IV611" s="1681" t="str">
        <f t="shared" si="224"/>
        <v/>
      </c>
      <c r="IW611" s="1681" t="str">
        <f t="shared" si="225"/>
        <v/>
      </c>
      <c r="IX611" s="1681" t="str">
        <f t="shared" si="226"/>
        <v/>
      </c>
      <c r="IY611" s="1681" t="str">
        <f t="shared" si="227"/>
        <v/>
      </c>
      <c r="IZ611" s="1681" t="str">
        <f t="shared" si="228"/>
        <v/>
      </c>
      <c r="JA611" s="1681" t="str">
        <f t="shared" si="229"/>
        <v/>
      </c>
      <c r="JB611" s="1681" t="str">
        <f t="shared" si="230"/>
        <v/>
      </c>
      <c r="JC611" s="1681" t="str">
        <f t="shared" si="231"/>
        <v/>
      </c>
      <c r="JD611" s="1681" t="str">
        <f t="shared" si="232"/>
        <v/>
      </c>
      <c r="JE611" s="1681" t="str">
        <f t="shared" si="233"/>
        <v/>
      </c>
      <c r="JF611" s="1681" t="str">
        <f t="shared" si="234"/>
        <v/>
      </c>
      <c r="JG611" s="1681" t="str">
        <f t="shared" si="235"/>
        <v/>
      </c>
      <c r="JH611" s="1681" t="str">
        <f t="shared" si="236"/>
        <v/>
      </c>
      <c r="JI611" s="1681" t="str">
        <f t="shared" si="237"/>
        <v/>
      </c>
      <c r="JJ611" s="1681" t="str">
        <f t="shared" si="238"/>
        <v/>
      </c>
      <c r="JK611" s="1681" t="str">
        <f t="shared" si="239"/>
        <v/>
      </c>
      <c r="JL611" s="1681" t="str">
        <f t="shared" si="240"/>
        <v/>
      </c>
      <c r="JM611" s="1681" t="str">
        <f t="shared" si="241"/>
        <v/>
      </c>
      <c r="JN611" s="1681" t="str">
        <f t="shared" si="242"/>
        <v/>
      </c>
      <c r="JO611" s="1681" t="str">
        <f t="shared" si="243"/>
        <v/>
      </c>
      <c r="JP611" s="1681" t="str">
        <f t="shared" si="244"/>
        <v/>
      </c>
      <c r="JQ611" s="1681" t="str">
        <f t="shared" si="245"/>
        <v/>
      </c>
      <c r="JR611" s="1681" t="str">
        <f t="shared" si="246"/>
        <v/>
      </c>
      <c r="JS611" s="1681" t="str">
        <f t="shared" si="247"/>
        <v/>
      </c>
      <c r="JT611" s="1681" t="str">
        <f t="shared" si="248"/>
        <v/>
      </c>
      <c r="JU611" s="1681" t="str">
        <f t="shared" si="249"/>
        <v/>
      </c>
      <c r="JV611" s="1681" t="str">
        <f t="shared" si="250"/>
        <v/>
      </c>
      <c r="JW611" s="1681" t="str">
        <f t="shared" si="251"/>
        <v/>
      </c>
      <c r="JX611" s="1681" t="str">
        <f t="shared" si="252"/>
        <v/>
      </c>
      <c r="JY611" s="1681" t="str">
        <f t="shared" si="253"/>
        <v/>
      </c>
      <c r="JZ611" s="1681" t="str">
        <f t="shared" si="254"/>
        <v/>
      </c>
      <c r="KA611" s="1681" t="str">
        <f t="shared" si="255"/>
        <v/>
      </c>
      <c r="KB611" s="1681" t="str">
        <f t="shared" si="256"/>
        <v/>
      </c>
      <c r="KC611" s="1681" t="str">
        <f t="shared" si="257"/>
        <v/>
      </c>
      <c r="KD611" s="1681" t="str">
        <f t="shared" si="258"/>
        <v/>
      </c>
      <c r="KE611" s="1681" t="str">
        <f t="shared" si="259"/>
        <v/>
      </c>
      <c r="KF611" s="1681" t="str">
        <f t="shared" si="260"/>
        <v/>
      </c>
      <c r="KG611" s="1681" t="str">
        <f t="shared" si="261"/>
        <v/>
      </c>
      <c r="KH611" s="1681" t="str">
        <f t="shared" si="262"/>
        <v/>
      </c>
      <c r="KI611" s="1681" t="str">
        <f t="shared" si="263"/>
        <v/>
      </c>
      <c r="KJ611" s="1681" t="str">
        <f t="shared" si="264"/>
        <v/>
      </c>
      <c r="KK611" s="1681" t="str">
        <f t="shared" si="265"/>
        <v/>
      </c>
      <c r="KL611" s="1681" t="str">
        <f t="shared" si="266"/>
        <v/>
      </c>
      <c r="KM611" s="1681" t="str">
        <f t="shared" si="267"/>
        <v/>
      </c>
      <c r="KN611" s="1681" t="str">
        <f t="shared" si="268"/>
        <v/>
      </c>
      <c r="KO611" s="1681" t="str">
        <f t="shared" si="269"/>
        <v/>
      </c>
      <c r="KP611" s="1681" t="str">
        <f t="shared" si="270"/>
        <v/>
      </c>
      <c r="KQ611" s="1681" t="str">
        <f t="shared" si="271"/>
        <v/>
      </c>
      <c r="KR611" s="1681" t="str">
        <f t="shared" si="272"/>
        <v/>
      </c>
      <c r="KS611" s="1681" t="str">
        <f t="shared" si="273"/>
        <v/>
      </c>
      <c r="KT611" s="1681" t="str">
        <f t="shared" si="274"/>
        <v/>
      </c>
      <c r="KU611" s="1681" t="str">
        <f t="shared" si="275"/>
        <v/>
      </c>
      <c r="KV611" s="1681" t="str">
        <f t="shared" si="276"/>
        <v/>
      </c>
      <c r="KW611" s="1681" t="str">
        <f t="shared" si="277"/>
        <v/>
      </c>
      <c r="KX611" s="1681" t="str">
        <f t="shared" si="278"/>
        <v/>
      </c>
      <c r="KY611" s="1681" t="str">
        <f t="shared" si="279"/>
        <v/>
      </c>
      <c r="KZ611" s="1681" t="str">
        <f t="shared" si="280"/>
        <v/>
      </c>
      <c r="LA611" s="1681" t="str">
        <f t="shared" si="281"/>
        <v/>
      </c>
      <c r="LB611" s="1681" t="str">
        <f t="shared" si="282"/>
        <v/>
      </c>
      <c r="LC611" s="1681" t="str">
        <f t="shared" si="283"/>
        <v/>
      </c>
      <c r="LD611" s="1681" t="str">
        <f t="shared" si="284"/>
        <v/>
      </c>
      <c r="LE611" s="1681" t="str">
        <f t="shared" si="285"/>
        <v/>
      </c>
      <c r="LF611" s="1525" t="str">
        <f t="shared" si="286"/>
        <v/>
      </c>
      <c r="LG611" s="1525" t="str">
        <f t="shared" si="287"/>
        <v/>
      </c>
      <c r="LH611" s="1525" t="str">
        <f t="shared" si="288"/>
        <v/>
      </c>
      <c r="LI611" s="1525" t="str">
        <f t="shared" si="289"/>
        <v/>
      </c>
      <c r="LJ611" s="1525" t="str">
        <f t="shared" si="290"/>
        <v/>
      </c>
      <c r="LK611" s="1154" t="str">
        <f t="shared" si="291"/>
        <v/>
      </c>
      <c r="LL611" s="1154" t="str">
        <f t="shared" si="292"/>
        <v/>
      </c>
      <c r="LM611" s="1154" t="str">
        <f t="shared" si="293"/>
        <v/>
      </c>
      <c r="LN611" s="1154" t="str">
        <f t="shared" si="294"/>
        <v/>
      </c>
      <c r="LO611" s="1154" t="str">
        <f t="shared" si="295"/>
        <v/>
      </c>
      <c r="LP611" s="1154" t="str">
        <f t="shared" si="296"/>
        <v/>
      </c>
      <c r="LQ611" s="1154" t="str">
        <f t="shared" si="297"/>
        <v/>
      </c>
      <c r="LR611" s="1154" t="str">
        <f t="shared" si="298"/>
        <v/>
      </c>
      <c r="LS611" s="1154" t="str">
        <f t="shared" si="299"/>
        <v/>
      </c>
      <c r="LT611" s="1154" t="str">
        <f t="shared" si="300"/>
        <v/>
      </c>
      <c r="LU611" s="1154" t="str">
        <f t="shared" si="301"/>
        <v/>
      </c>
      <c r="LV611" s="1154" t="str">
        <f t="shared" si="302"/>
        <v/>
      </c>
      <c r="LW611" s="1154" t="str">
        <f t="shared" si="303"/>
        <v/>
      </c>
      <c r="LX611" s="1154" t="str">
        <f t="shared" si="304"/>
        <v/>
      </c>
      <c r="LY611" s="1154" t="str">
        <f t="shared" si="305"/>
        <v/>
      </c>
      <c r="LZ611" s="1154" t="str">
        <f t="shared" si="306"/>
        <v/>
      </c>
      <c r="MA611" s="1154" t="str">
        <f t="shared" si="307"/>
        <v/>
      </c>
      <c r="MB611" s="1154" t="str">
        <f t="shared" si="308"/>
        <v/>
      </c>
      <c r="MC611" s="1154" t="str">
        <f t="shared" si="309"/>
        <v/>
      </c>
      <c r="MD611" s="1154" t="str">
        <f t="shared" si="310"/>
        <v/>
      </c>
      <c r="ME611" s="1525">
        <f t="shared" si="322"/>
        <v>0</v>
      </c>
      <c r="MF611" s="1525">
        <f t="shared" si="323"/>
        <v>0</v>
      </c>
      <c r="MG611" s="1525">
        <f t="shared" si="324"/>
        <v>0</v>
      </c>
      <c r="MH611" s="1525">
        <f t="shared" si="325"/>
        <v>0</v>
      </c>
      <c r="MI611" s="1525">
        <f t="shared" si="326"/>
        <v>0</v>
      </c>
      <c r="MJ611" s="1525">
        <f t="shared" si="327"/>
        <v>0</v>
      </c>
      <c r="MK611" s="1525">
        <f t="shared" si="328"/>
        <v>0</v>
      </c>
      <c r="ML611" s="1525">
        <f t="shared" si="329"/>
        <v>0</v>
      </c>
      <c r="MM611" s="1525">
        <f t="shared" si="330"/>
        <v>0</v>
      </c>
      <c r="MN611" s="1525">
        <f t="shared" si="331"/>
        <v>0</v>
      </c>
      <c r="MO611" s="1525">
        <f t="shared" si="332"/>
        <v>0</v>
      </c>
      <c r="MP611" s="1525">
        <f t="shared" si="333"/>
        <v>0</v>
      </c>
      <c r="MQ611" s="1525">
        <f t="shared" si="334"/>
        <v>0</v>
      </c>
      <c r="MR611" s="1525">
        <f t="shared" si="335"/>
        <v>0</v>
      </c>
      <c r="MS611" s="1525">
        <f t="shared" si="336"/>
        <v>0</v>
      </c>
    </row>
    <row r="612" spans="1:358" s="1154" customFormat="1" ht="12" customHeight="1">
      <c r="A612" s="1524" t="str">
        <f t="shared" si="1"/>
        <v/>
      </c>
      <c r="B612" s="1682">
        <f>'Part VI-Revenues &amp; Expenses'!B41</f>
        <v>0</v>
      </c>
      <c r="C612" s="1673">
        <f>'Part VI-Revenues &amp; Expenses'!C41</f>
        <v>0</v>
      </c>
      <c r="D612" s="1674">
        <f>'Part VI-Revenues &amp; Expenses'!D41</f>
        <v>0</v>
      </c>
      <c r="E612" s="1675">
        <f>'Part VI-Revenues &amp; Expenses'!E41</f>
        <v>0</v>
      </c>
      <c r="F612" s="1675">
        <f>'Part VI-Revenues &amp; Expenses'!F41</f>
        <v>0</v>
      </c>
      <c r="G612" s="1675">
        <f>'Part VI-Revenues &amp; Expenses'!G41</f>
        <v>0</v>
      </c>
      <c r="H612" s="1675">
        <f>'Part VI-Revenues &amp; Expenses'!H41</f>
        <v>0</v>
      </c>
      <c r="I612" s="1675">
        <f>'Part VI-Revenues &amp; Expenses'!I41</f>
        <v>0</v>
      </c>
      <c r="J612" s="1676">
        <f>'Part VI-Revenues &amp; Expenses'!J41</f>
        <v>0</v>
      </c>
      <c r="K612" s="1677">
        <f>'Part VI-Revenues &amp; Expenses'!K41</f>
        <v>0</v>
      </c>
      <c r="L612" s="1677">
        <f>'Part VI-Revenues &amp; Expenses'!L41</f>
        <v>0</v>
      </c>
      <c r="M612" s="1678">
        <f>'Part VI-Revenues &amp; Expenses'!M41</f>
        <v>0</v>
      </c>
      <c r="N612" s="1678">
        <f>'Part VI-Revenues &amp; Expenses'!N41</f>
        <v>0</v>
      </c>
      <c r="O612" s="1678">
        <f>'Part VI-Revenues &amp; Expenses'!O41</f>
        <v>0</v>
      </c>
      <c r="P612" s="1660">
        <f>'Part VI-Revenues &amp; Expenses'!P41</f>
        <v>0</v>
      </c>
      <c r="Q612" s="1679"/>
      <c r="R612" s="1680"/>
      <c r="S612" s="1679"/>
      <c r="T612" s="1680"/>
      <c r="U612" s="1519"/>
      <c r="V612" s="1519"/>
      <c r="W612" s="1154" t="str">
        <f t="shared" si="2"/>
        <v/>
      </c>
      <c r="X612" s="1154" t="str">
        <f t="shared" si="3"/>
        <v/>
      </c>
      <c r="Y612" s="1154" t="str">
        <f t="shared" si="4"/>
        <v/>
      </c>
      <c r="Z612" s="1154" t="str">
        <f t="shared" si="5"/>
        <v/>
      </c>
      <c r="AA612" s="1154" t="str">
        <f t="shared" si="6"/>
        <v/>
      </c>
      <c r="AB612" s="1154" t="str">
        <f t="shared" si="7"/>
        <v/>
      </c>
      <c r="AC612" s="1154" t="str">
        <f t="shared" si="8"/>
        <v/>
      </c>
      <c r="AD612" s="1154" t="str">
        <f t="shared" si="9"/>
        <v/>
      </c>
      <c r="AE612" s="1154" t="str">
        <f t="shared" si="10"/>
        <v/>
      </c>
      <c r="AF612" s="1154" t="str">
        <f t="shared" si="11"/>
        <v/>
      </c>
      <c r="AG612" s="1154" t="str">
        <f t="shared" si="12"/>
        <v/>
      </c>
      <c r="AH612" s="1154" t="str">
        <f t="shared" si="13"/>
        <v/>
      </c>
      <c r="AI612" s="1154" t="str">
        <f t="shared" si="14"/>
        <v/>
      </c>
      <c r="AJ612" s="1154" t="str">
        <f t="shared" si="15"/>
        <v/>
      </c>
      <c r="AK612" s="1154" t="str">
        <f t="shared" si="16"/>
        <v/>
      </c>
      <c r="AL612" s="1154" t="str">
        <f t="shared" si="17"/>
        <v/>
      </c>
      <c r="AM612" s="1154" t="str">
        <f t="shared" si="18"/>
        <v/>
      </c>
      <c r="AN612" s="1154" t="str">
        <f t="shared" si="19"/>
        <v/>
      </c>
      <c r="AO612" s="1154" t="str">
        <f t="shared" si="20"/>
        <v/>
      </c>
      <c r="AP612" s="1154" t="str">
        <f t="shared" si="21"/>
        <v/>
      </c>
      <c r="AQ612" s="1154" t="str">
        <f t="shared" si="22"/>
        <v/>
      </c>
      <c r="AR612" s="1154" t="str">
        <f t="shared" si="23"/>
        <v/>
      </c>
      <c r="AS612" s="1154" t="str">
        <f t="shared" si="24"/>
        <v/>
      </c>
      <c r="AT612" s="1154" t="str">
        <f t="shared" si="25"/>
        <v/>
      </c>
      <c r="AU612" s="1154" t="str">
        <f t="shared" si="26"/>
        <v/>
      </c>
      <c r="AV612" s="1154" t="str">
        <f t="shared" si="27"/>
        <v/>
      </c>
      <c r="AW612" s="1154" t="str">
        <f t="shared" si="28"/>
        <v/>
      </c>
      <c r="AX612" s="1154" t="str">
        <f t="shared" si="29"/>
        <v/>
      </c>
      <c r="AY612" s="1154" t="str">
        <f t="shared" si="30"/>
        <v/>
      </c>
      <c r="AZ612" s="1154" t="str">
        <f t="shared" si="31"/>
        <v/>
      </c>
      <c r="BA612" s="1154" t="str">
        <f t="shared" si="32"/>
        <v/>
      </c>
      <c r="BB612" s="1154" t="str">
        <f t="shared" si="33"/>
        <v/>
      </c>
      <c r="BC612" s="1154" t="str">
        <f t="shared" si="34"/>
        <v/>
      </c>
      <c r="BD612" s="1154" t="str">
        <f t="shared" si="35"/>
        <v/>
      </c>
      <c r="BE612" s="1154" t="str">
        <f t="shared" si="36"/>
        <v/>
      </c>
      <c r="BF612" s="1154" t="str">
        <f t="shared" si="37"/>
        <v/>
      </c>
      <c r="BG612" s="1154" t="str">
        <f t="shared" si="38"/>
        <v/>
      </c>
      <c r="BH612" s="1154" t="str">
        <f t="shared" si="39"/>
        <v/>
      </c>
      <c r="BI612" s="1154" t="str">
        <f t="shared" si="40"/>
        <v/>
      </c>
      <c r="BJ612" s="1154" t="str">
        <f t="shared" si="41"/>
        <v/>
      </c>
      <c r="BK612" s="1154" t="str">
        <f t="shared" si="42"/>
        <v/>
      </c>
      <c r="BL612" s="1154" t="str">
        <f t="shared" si="43"/>
        <v/>
      </c>
      <c r="BM612" s="1154" t="str">
        <f t="shared" si="44"/>
        <v/>
      </c>
      <c r="BN612" s="1154" t="str">
        <f t="shared" si="45"/>
        <v/>
      </c>
      <c r="BO612" s="1154" t="str">
        <f t="shared" si="46"/>
        <v/>
      </c>
      <c r="BP612" s="1154" t="str">
        <f t="shared" si="47"/>
        <v/>
      </c>
      <c r="BQ612" s="1154" t="str">
        <f t="shared" si="48"/>
        <v/>
      </c>
      <c r="BR612" s="1154" t="str">
        <f t="shared" si="49"/>
        <v/>
      </c>
      <c r="BS612" s="1154" t="str">
        <f t="shared" si="50"/>
        <v/>
      </c>
      <c r="BT612" s="1154" t="str">
        <f t="shared" si="51"/>
        <v/>
      </c>
      <c r="BU612" s="1154" t="str">
        <f t="shared" si="52"/>
        <v/>
      </c>
      <c r="BV612" s="1154" t="str">
        <f t="shared" si="53"/>
        <v/>
      </c>
      <c r="BW612" s="1154" t="str">
        <f t="shared" si="54"/>
        <v/>
      </c>
      <c r="BX612" s="1154" t="str">
        <f t="shared" si="55"/>
        <v/>
      </c>
      <c r="BY612" s="1154" t="str">
        <f t="shared" si="56"/>
        <v/>
      </c>
      <c r="BZ612" s="1154" t="str">
        <f t="shared" si="57"/>
        <v/>
      </c>
      <c r="CA612" s="1154" t="str">
        <f t="shared" si="58"/>
        <v/>
      </c>
      <c r="CB612" s="1154" t="str">
        <f t="shared" si="59"/>
        <v/>
      </c>
      <c r="CC612" s="1154" t="str">
        <f t="shared" si="60"/>
        <v/>
      </c>
      <c r="CD612" s="1154" t="str">
        <f t="shared" si="61"/>
        <v/>
      </c>
      <c r="CE612" s="1154" t="str">
        <f t="shared" si="62"/>
        <v/>
      </c>
      <c r="CF612" s="1154" t="str">
        <f t="shared" si="63"/>
        <v/>
      </c>
      <c r="CG612" s="1154" t="str">
        <f t="shared" si="64"/>
        <v/>
      </c>
      <c r="CH612" s="1154" t="str">
        <f t="shared" si="65"/>
        <v/>
      </c>
      <c r="CI612" s="1154" t="str">
        <f t="shared" si="66"/>
        <v/>
      </c>
      <c r="CJ612" s="1154" t="str">
        <f t="shared" si="67"/>
        <v/>
      </c>
      <c r="CK612" s="1154" t="str">
        <f t="shared" si="68"/>
        <v/>
      </c>
      <c r="CL612" s="1154" t="str">
        <f t="shared" si="69"/>
        <v/>
      </c>
      <c r="CM612" s="1154" t="str">
        <f t="shared" si="70"/>
        <v/>
      </c>
      <c r="CN612" s="1154" t="str">
        <f t="shared" si="71"/>
        <v/>
      </c>
      <c r="CO612" s="1154" t="str">
        <f t="shared" si="72"/>
        <v/>
      </c>
      <c r="CP612" s="1154" t="str">
        <f t="shared" si="73"/>
        <v/>
      </c>
      <c r="CQ612" s="1154" t="str">
        <f t="shared" si="74"/>
        <v/>
      </c>
      <c r="CR612" s="1154" t="str">
        <f t="shared" si="75"/>
        <v/>
      </c>
      <c r="CS612" s="1154" t="str">
        <f t="shared" si="76"/>
        <v/>
      </c>
      <c r="CT612" s="1154" t="str">
        <f t="shared" si="77"/>
        <v/>
      </c>
      <c r="CU612" s="1154" t="str">
        <f t="shared" si="78"/>
        <v/>
      </c>
      <c r="CV612" s="1154" t="str">
        <f t="shared" si="79"/>
        <v/>
      </c>
      <c r="CW612" s="1154" t="str">
        <f t="shared" si="80"/>
        <v/>
      </c>
      <c r="CX612" s="1154" t="str">
        <f t="shared" si="81"/>
        <v/>
      </c>
      <c r="CY612" s="1154" t="str">
        <f t="shared" si="82"/>
        <v/>
      </c>
      <c r="CZ612" s="1154" t="str">
        <f t="shared" si="83"/>
        <v/>
      </c>
      <c r="DA612" s="1154" t="str">
        <f t="shared" si="84"/>
        <v/>
      </c>
      <c r="DB612" s="1154" t="str">
        <f t="shared" si="85"/>
        <v/>
      </c>
      <c r="DC612" s="1154" t="str">
        <f t="shared" si="86"/>
        <v/>
      </c>
      <c r="DD612" s="1154" t="str">
        <f t="shared" si="87"/>
        <v/>
      </c>
      <c r="DE612" s="1154" t="str">
        <f t="shared" si="88"/>
        <v/>
      </c>
      <c r="DF612" s="1154" t="str">
        <f t="shared" si="89"/>
        <v/>
      </c>
      <c r="DG612" s="1154" t="str">
        <f t="shared" si="90"/>
        <v/>
      </c>
      <c r="DH612" s="1154" t="str">
        <f t="shared" si="91"/>
        <v/>
      </c>
      <c r="DI612" s="1154" t="str">
        <f t="shared" si="92"/>
        <v/>
      </c>
      <c r="DJ612" s="1154" t="str">
        <f t="shared" si="93"/>
        <v/>
      </c>
      <c r="DK612" s="1154" t="str">
        <f t="shared" si="94"/>
        <v/>
      </c>
      <c r="DL612" s="1154" t="str">
        <f t="shared" si="95"/>
        <v/>
      </c>
      <c r="DM612" s="1154" t="str">
        <f t="shared" si="96"/>
        <v/>
      </c>
      <c r="DN612" s="1154" t="str">
        <f t="shared" si="97"/>
        <v/>
      </c>
      <c r="DO612" s="1154" t="str">
        <f t="shared" si="98"/>
        <v/>
      </c>
      <c r="DP612" s="1154" t="str">
        <f t="shared" si="99"/>
        <v/>
      </c>
      <c r="DQ612" s="1154" t="str">
        <f t="shared" si="100"/>
        <v/>
      </c>
      <c r="DR612" s="1154" t="str">
        <f t="shared" si="101"/>
        <v/>
      </c>
      <c r="DS612" s="1154" t="str">
        <f t="shared" si="102"/>
        <v/>
      </c>
      <c r="DT612" s="1154" t="str">
        <f t="shared" si="103"/>
        <v/>
      </c>
      <c r="DU612" s="1154" t="str">
        <f t="shared" si="104"/>
        <v/>
      </c>
      <c r="DV612" s="1154" t="str">
        <f t="shared" si="105"/>
        <v/>
      </c>
      <c r="DW612" s="1154" t="str">
        <f t="shared" si="106"/>
        <v/>
      </c>
      <c r="DX612" s="1154" t="str">
        <f t="shared" si="107"/>
        <v/>
      </c>
      <c r="DY612" s="1154" t="str">
        <f t="shared" si="108"/>
        <v/>
      </c>
      <c r="DZ612" s="1154" t="str">
        <f t="shared" si="109"/>
        <v/>
      </c>
      <c r="EA612" s="1154" t="str">
        <f t="shared" si="110"/>
        <v/>
      </c>
      <c r="EB612" s="1154" t="str">
        <f t="shared" si="111"/>
        <v/>
      </c>
      <c r="EC612" s="1154" t="str">
        <f t="shared" si="112"/>
        <v/>
      </c>
      <c r="ED612" s="1154" t="str">
        <f t="shared" si="113"/>
        <v/>
      </c>
      <c r="EE612" s="1154" t="str">
        <f t="shared" si="114"/>
        <v/>
      </c>
      <c r="EF612" s="1154" t="str">
        <f t="shared" si="115"/>
        <v/>
      </c>
      <c r="EG612" s="1154" t="str">
        <f t="shared" si="311"/>
        <v/>
      </c>
      <c r="EH612" s="1154" t="str">
        <f t="shared" si="116"/>
        <v/>
      </c>
      <c r="EI612" s="1154" t="str">
        <f t="shared" si="117"/>
        <v/>
      </c>
      <c r="EJ612" s="1154" t="str">
        <f t="shared" si="118"/>
        <v/>
      </c>
      <c r="EK612" s="1154" t="str">
        <f t="shared" si="119"/>
        <v/>
      </c>
      <c r="EL612" s="1154" t="str">
        <f t="shared" si="120"/>
        <v/>
      </c>
      <c r="EM612" s="1154" t="str">
        <f t="shared" si="121"/>
        <v/>
      </c>
      <c r="EN612" s="1154" t="str">
        <f t="shared" si="122"/>
        <v/>
      </c>
      <c r="EO612" s="1154" t="str">
        <f t="shared" si="123"/>
        <v/>
      </c>
      <c r="EP612" s="1154" t="str">
        <f t="shared" si="124"/>
        <v/>
      </c>
      <c r="EQ612" s="1154" t="str">
        <f t="shared" si="125"/>
        <v/>
      </c>
      <c r="ER612" s="1154" t="str">
        <f t="shared" si="126"/>
        <v/>
      </c>
      <c r="ES612" s="1154" t="str">
        <f t="shared" si="127"/>
        <v/>
      </c>
      <c r="ET612" s="1154" t="str">
        <f t="shared" si="128"/>
        <v/>
      </c>
      <c r="EU612" s="1154" t="str">
        <f t="shared" si="129"/>
        <v/>
      </c>
      <c r="EV612" s="1154" t="str">
        <f t="shared" si="130"/>
        <v/>
      </c>
      <c r="EW612" s="1154" t="str">
        <f t="shared" si="312"/>
        <v/>
      </c>
      <c r="EX612" s="1154" t="str">
        <f t="shared" si="313"/>
        <v/>
      </c>
      <c r="EY612" s="1154" t="str">
        <f t="shared" si="314"/>
        <v/>
      </c>
      <c r="EZ612" s="1154" t="str">
        <f t="shared" si="315"/>
        <v/>
      </c>
      <c r="FA612" s="1154" t="str">
        <f t="shared" si="316"/>
        <v/>
      </c>
      <c r="FB612" s="1154" t="str">
        <f t="shared" si="131"/>
        <v/>
      </c>
      <c r="FC612" s="1154" t="str">
        <f t="shared" si="132"/>
        <v/>
      </c>
      <c r="FD612" s="1154" t="str">
        <f t="shared" si="133"/>
        <v/>
      </c>
      <c r="FE612" s="1154" t="str">
        <f t="shared" si="134"/>
        <v/>
      </c>
      <c r="FF612" s="1154" t="str">
        <f t="shared" si="135"/>
        <v/>
      </c>
      <c r="FG612" s="1154" t="str">
        <f t="shared" si="317"/>
        <v/>
      </c>
      <c r="FH612" s="1154" t="str">
        <f t="shared" si="318"/>
        <v/>
      </c>
      <c r="FI612" s="1154" t="str">
        <f t="shared" si="319"/>
        <v/>
      </c>
      <c r="FJ612" s="1154" t="str">
        <f t="shared" si="320"/>
        <v/>
      </c>
      <c r="FK612" s="1154" t="str">
        <f t="shared" si="321"/>
        <v/>
      </c>
      <c r="FL612" s="1154" t="str">
        <f t="shared" si="136"/>
        <v/>
      </c>
      <c r="FM612" s="1154" t="str">
        <f t="shared" si="137"/>
        <v/>
      </c>
      <c r="FN612" s="1154" t="str">
        <f t="shared" si="138"/>
        <v/>
      </c>
      <c r="FO612" s="1154" t="str">
        <f t="shared" si="139"/>
        <v/>
      </c>
      <c r="FP612" s="1154" t="str">
        <f t="shared" si="140"/>
        <v/>
      </c>
      <c r="FQ612" s="1154" t="str">
        <f t="shared" si="141"/>
        <v/>
      </c>
      <c r="FR612" s="1154" t="str">
        <f t="shared" si="142"/>
        <v/>
      </c>
      <c r="FS612" s="1154" t="str">
        <f t="shared" si="143"/>
        <v/>
      </c>
      <c r="FT612" s="1154" t="str">
        <f t="shared" si="144"/>
        <v/>
      </c>
      <c r="FU612" s="1154" t="str">
        <f t="shared" si="145"/>
        <v/>
      </c>
      <c r="FV612" s="1154" t="str">
        <f t="shared" si="146"/>
        <v/>
      </c>
      <c r="FW612" s="1154" t="str">
        <f t="shared" si="147"/>
        <v/>
      </c>
      <c r="FX612" s="1154" t="str">
        <f t="shared" si="148"/>
        <v/>
      </c>
      <c r="FY612" s="1154" t="str">
        <f t="shared" si="149"/>
        <v/>
      </c>
      <c r="FZ612" s="1154" t="str">
        <f t="shared" si="150"/>
        <v/>
      </c>
      <c r="GA612" s="1154" t="str">
        <f t="shared" si="151"/>
        <v/>
      </c>
      <c r="GB612" s="1154" t="str">
        <f t="shared" si="152"/>
        <v/>
      </c>
      <c r="GC612" s="1154" t="str">
        <f t="shared" si="153"/>
        <v/>
      </c>
      <c r="GD612" s="1154" t="str">
        <f t="shared" si="154"/>
        <v/>
      </c>
      <c r="GE612" s="1154" t="str">
        <f t="shared" si="155"/>
        <v/>
      </c>
      <c r="GF612" s="1154" t="str">
        <f t="shared" si="156"/>
        <v/>
      </c>
      <c r="GG612" s="1154" t="str">
        <f t="shared" si="157"/>
        <v/>
      </c>
      <c r="GH612" s="1154" t="str">
        <f t="shared" si="158"/>
        <v/>
      </c>
      <c r="GI612" s="1154" t="str">
        <f t="shared" si="159"/>
        <v/>
      </c>
      <c r="GJ612" s="1154" t="str">
        <f t="shared" si="160"/>
        <v/>
      </c>
      <c r="GK612" s="1154" t="str">
        <f t="shared" si="161"/>
        <v/>
      </c>
      <c r="GL612" s="1154" t="str">
        <f t="shared" si="162"/>
        <v/>
      </c>
      <c r="GM612" s="1154" t="str">
        <f t="shared" si="163"/>
        <v/>
      </c>
      <c r="GN612" s="1154" t="str">
        <f t="shared" si="164"/>
        <v/>
      </c>
      <c r="GO612" s="1154" t="str">
        <f t="shared" si="165"/>
        <v/>
      </c>
      <c r="GP612" s="1154" t="str">
        <f t="shared" si="166"/>
        <v/>
      </c>
      <c r="GQ612" s="1154" t="str">
        <f t="shared" si="167"/>
        <v/>
      </c>
      <c r="GR612" s="1154" t="str">
        <f t="shared" si="168"/>
        <v/>
      </c>
      <c r="GS612" s="1154" t="str">
        <f t="shared" si="169"/>
        <v/>
      </c>
      <c r="GT612" s="1154" t="str">
        <f t="shared" si="170"/>
        <v/>
      </c>
      <c r="GU612" s="1154" t="str">
        <f t="shared" si="171"/>
        <v/>
      </c>
      <c r="GV612" s="1154" t="str">
        <f t="shared" si="172"/>
        <v/>
      </c>
      <c r="GW612" s="1154" t="str">
        <f t="shared" si="173"/>
        <v/>
      </c>
      <c r="GX612" s="1154" t="str">
        <f t="shared" si="174"/>
        <v/>
      </c>
      <c r="GY612" s="1154" t="str">
        <f t="shared" si="175"/>
        <v/>
      </c>
      <c r="GZ612" s="1154" t="str">
        <f t="shared" si="176"/>
        <v/>
      </c>
      <c r="HA612" s="1154" t="str">
        <f t="shared" si="177"/>
        <v/>
      </c>
      <c r="HB612" s="1154" t="str">
        <f t="shared" si="178"/>
        <v/>
      </c>
      <c r="HC612" s="1154" t="str">
        <f t="shared" si="179"/>
        <v/>
      </c>
      <c r="HD612" s="1154" t="str">
        <f t="shared" si="180"/>
        <v/>
      </c>
      <c r="HE612" s="1154" t="str">
        <f t="shared" si="181"/>
        <v/>
      </c>
      <c r="HF612" s="1154" t="str">
        <f t="shared" si="182"/>
        <v/>
      </c>
      <c r="HG612" s="1154" t="str">
        <f t="shared" si="183"/>
        <v/>
      </c>
      <c r="HH612" s="1154" t="str">
        <f t="shared" si="184"/>
        <v/>
      </c>
      <c r="HI612" s="1154" t="str">
        <f t="shared" si="185"/>
        <v/>
      </c>
      <c r="HJ612" s="1154" t="str">
        <f t="shared" si="186"/>
        <v/>
      </c>
      <c r="HK612" s="1154" t="str">
        <f t="shared" si="187"/>
        <v/>
      </c>
      <c r="HL612" s="1154" t="str">
        <f t="shared" si="188"/>
        <v/>
      </c>
      <c r="HM612" s="1154" t="str">
        <f t="shared" si="189"/>
        <v/>
      </c>
      <c r="HN612" s="1154" t="str">
        <f t="shared" si="190"/>
        <v/>
      </c>
      <c r="HO612" s="1154" t="str">
        <f t="shared" si="191"/>
        <v/>
      </c>
      <c r="HP612" s="1154" t="str">
        <f t="shared" si="192"/>
        <v/>
      </c>
      <c r="HQ612" s="1154" t="str">
        <f t="shared" si="193"/>
        <v/>
      </c>
      <c r="HR612" s="1154" t="str">
        <f t="shared" si="194"/>
        <v/>
      </c>
      <c r="HS612" s="1154" t="str">
        <f t="shared" si="195"/>
        <v/>
      </c>
      <c r="HT612" s="1154" t="str">
        <f t="shared" si="196"/>
        <v/>
      </c>
      <c r="HU612" s="1154" t="str">
        <f t="shared" si="197"/>
        <v/>
      </c>
      <c r="HV612" s="1154" t="str">
        <f t="shared" si="198"/>
        <v/>
      </c>
      <c r="HW612" s="1154" t="str">
        <f t="shared" si="199"/>
        <v/>
      </c>
      <c r="HX612" s="1154" t="str">
        <f t="shared" si="200"/>
        <v/>
      </c>
      <c r="HY612" s="1681" t="str">
        <f t="shared" si="201"/>
        <v/>
      </c>
      <c r="HZ612" s="1681" t="str">
        <f t="shared" si="202"/>
        <v/>
      </c>
      <c r="IA612" s="1681" t="str">
        <f t="shared" si="203"/>
        <v/>
      </c>
      <c r="IB612" s="1681" t="str">
        <f t="shared" si="204"/>
        <v/>
      </c>
      <c r="IC612" s="1681" t="str">
        <f t="shared" si="205"/>
        <v/>
      </c>
      <c r="ID612" s="1681" t="str">
        <f t="shared" si="206"/>
        <v/>
      </c>
      <c r="IE612" s="1681" t="str">
        <f t="shared" si="207"/>
        <v/>
      </c>
      <c r="IF612" s="1681" t="str">
        <f t="shared" si="208"/>
        <v/>
      </c>
      <c r="IG612" s="1681" t="str">
        <f t="shared" si="209"/>
        <v/>
      </c>
      <c r="IH612" s="1681" t="str">
        <f t="shared" si="210"/>
        <v/>
      </c>
      <c r="II612" s="1681" t="str">
        <f t="shared" si="211"/>
        <v/>
      </c>
      <c r="IJ612" s="1681" t="str">
        <f t="shared" si="212"/>
        <v/>
      </c>
      <c r="IK612" s="1681" t="str">
        <f t="shared" si="213"/>
        <v/>
      </c>
      <c r="IL612" s="1681" t="str">
        <f t="shared" si="214"/>
        <v/>
      </c>
      <c r="IM612" s="1681" t="str">
        <f t="shared" si="215"/>
        <v/>
      </c>
      <c r="IN612" s="1681" t="str">
        <f t="shared" si="216"/>
        <v/>
      </c>
      <c r="IO612" s="1681" t="str">
        <f t="shared" si="217"/>
        <v/>
      </c>
      <c r="IP612" s="1681" t="str">
        <f t="shared" si="218"/>
        <v/>
      </c>
      <c r="IQ612" s="1681" t="str">
        <f t="shared" si="219"/>
        <v/>
      </c>
      <c r="IR612" s="1681" t="str">
        <f t="shared" si="220"/>
        <v/>
      </c>
      <c r="IS612" s="1681" t="str">
        <f t="shared" si="221"/>
        <v/>
      </c>
      <c r="IT612" s="1681" t="str">
        <f t="shared" si="222"/>
        <v/>
      </c>
      <c r="IU612" s="1681" t="str">
        <f t="shared" si="223"/>
        <v/>
      </c>
      <c r="IV612" s="1681" t="str">
        <f t="shared" si="224"/>
        <v/>
      </c>
      <c r="IW612" s="1681" t="str">
        <f t="shared" si="225"/>
        <v/>
      </c>
      <c r="IX612" s="1681" t="str">
        <f t="shared" si="226"/>
        <v/>
      </c>
      <c r="IY612" s="1681" t="str">
        <f t="shared" si="227"/>
        <v/>
      </c>
      <c r="IZ612" s="1681" t="str">
        <f t="shared" si="228"/>
        <v/>
      </c>
      <c r="JA612" s="1681" t="str">
        <f t="shared" si="229"/>
        <v/>
      </c>
      <c r="JB612" s="1681" t="str">
        <f t="shared" si="230"/>
        <v/>
      </c>
      <c r="JC612" s="1681" t="str">
        <f t="shared" si="231"/>
        <v/>
      </c>
      <c r="JD612" s="1681" t="str">
        <f t="shared" si="232"/>
        <v/>
      </c>
      <c r="JE612" s="1681" t="str">
        <f t="shared" si="233"/>
        <v/>
      </c>
      <c r="JF612" s="1681" t="str">
        <f t="shared" si="234"/>
        <v/>
      </c>
      <c r="JG612" s="1681" t="str">
        <f t="shared" si="235"/>
        <v/>
      </c>
      <c r="JH612" s="1681" t="str">
        <f t="shared" si="236"/>
        <v/>
      </c>
      <c r="JI612" s="1681" t="str">
        <f t="shared" si="237"/>
        <v/>
      </c>
      <c r="JJ612" s="1681" t="str">
        <f t="shared" si="238"/>
        <v/>
      </c>
      <c r="JK612" s="1681" t="str">
        <f t="shared" si="239"/>
        <v/>
      </c>
      <c r="JL612" s="1681" t="str">
        <f t="shared" si="240"/>
        <v/>
      </c>
      <c r="JM612" s="1681" t="str">
        <f t="shared" si="241"/>
        <v/>
      </c>
      <c r="JN612" s="1681" t="str">
        <f t="shared" si="242"/>
        <v/>
      </c>
      <c r="JO612" s="1681" t="str">
        <f t="shared" si="243"/>
        <v/>
      </c>
      <c r="JP612" s="1681" t="str">
        <f t="shared" si="244"/>
        <v/>
      </c>
      <c r="JQ612" s="1681" t="str">
        <f t="shared" si="245"/>
        <v/>
      </c>
      <c r="JR612" s="1681" t="str">
        <f t="shared" si="246"/>
        <v/>
      </c>
      <c r="JS612" s="1681" t="str">
        <f t="shared" si="247"/>
        <v/>
      </c>
      <c r="JT612" s="1681" t="str">
        <f t="shared" si="248"/>
        <v/>
      </c>
      <c r="JU612" s="1681" t="str">
        <f t="shared" si="249"/>
        <v/>
      </c>
      <c r="JV612" s="1681" t="str">
        <f t="shared" si="250"/>
        <v/>
      </c>
      <c r="JW612" s="1681" t="str">
        <f t="shared" si="251"/>
        <v/>
      </c>
      <c r="JX612" s="1681" t="str">
        <f t="shared" si="252"/>
        <v/>
      </c>
      <c r="JY612" s="1681" t="str">
        <f t="shared" si="253"/>
        <v/>
      </c>
      <c r="JZ612" s="1681" t="str">
        <f t="shared" si="254"/>
        <v/>
      </c>
      <c r="KA612" s="1681" t="str">
        <f t="shared" si="255"/>
        <v/>
      </c>
      <c r="KB612" s="1681" t="str">
        <f t="shared" si="256"/>
        <v/>
      </c>
      <c r="KC612" s="1681" t="str">
        <f t="shared" si="257"/>
        <v/>
      </c>
      <c r="KD612" s="1681" t="str">
        <f t="shared" si="258"/>
        <v/>
      </c>
      <c r="KE612" s="1681" t="str">
        <f t="shared" si="259"/>
        <v/>
      </c>
      <c r="KF612" s="1681" t="str">
        <f t="shared" si="260"/>
        <v/>
      </c>
      <c r="KG612" s="1681" t="str">
        <f t="shared" si="261"/>
        <v/>
      </c>
      <c r="KH612" s="1681" t="str">
        <f t="shared" si="262"/>
        <v/>
      </c>
      <c r="KI612" s="1681" t="str">
        <f t="shared" si="263"/>
        <v/>
      </c>
      <c r="KJ612" s="1681" t="str">
        <f t="shared" si="264"/>
        <v/>
      </c>
      <c r="KK612" s="1681" t="str">
        <f t="shared" si="265"/>
        <v/>
      </c>
      <c r="KL612" s="1681" t="str">
        <f t="shared" si="266"/>
        <v/>
      </c>
      <c r="KM612" s="1681" t="str">
        <f t="shared" si="267"/>
        <v/>
      </c>
      <c r="KN612" s="1681" t="str">
        <f t="shared" si="268"/>
        <v/>
      </c>
      <c r="KO612" s="1681" t="str">
        <f t="shared" si="269"/>
        <v/>
      </c>
      <c r="KP612" s="1681" t="str">
        <f t="shared" si="270"/>
        <v/>
      </c>
      <c r="KQ612" s="1681" t="str">
        <f t="shared" si="271"/>
        <v/>
      </c>
      <c r="KR612" s="1681" t="str">
        <f t="shared" si="272"/>
        <v/>
      </c>
      <c r="KS612" s="1681" t="str">
        <f t="shared" si="273"/>
        <v/>
      </c>
      <c r="KT612" s="1681" t="str">
        <f t="shared" si="274"/>
        <v/>
      </c>
      <c r="KU612" s="1681" t="str">
        <f t="shared" si="275"/>
        <v/>
      </c>
      <c r="KV612" s="1681" t="str">
        <f t="shared" si="276"/>
        <v/>
      </c>
      <c r="KW612" s="1681" t="str">
        <f t="shared" si="277"/>
        <v/>
      </c>
      <c r="KX612" s="1681" t="str">
        <f t="shared" si="278"/>
        <v/>
      </c>
      <c r="KY612" s="1681" t="str">
        <f t="shared" si="279"/>
        <v/>
      </c>
      <c r="KZ612" s="1681" t="str">
        <f t="shared" si="280"/>
        <v/>
      </c>
      <c r="LA612" s="1681" t="str">
        <f t="shared" si="281"/>
        <v/>
      </c>
      <c r="LB612" s="1681" t="str">
        <f t="shared" si="282"/>
        <v/>
      </c>
      <c r="LC612" s="1681" t="str">
        <f t="shared" si="283"/>
        <v/>
      </c>
      <c r="LD612" s="1681" t="str">
        <f t="shared" si="284"/>
        <v/>
      </c>
      <c r="LE612" s="1681" t="str">
        <f t="shared" si="285"/>
        <v/>
      </c>
      <c r="LF612" s="1525" t="str">
        <f t="shared" si="286"/>
        <v/>
      </c>
      <c r="LG612" s="1525" t="str">
        <f t="shared" si="287"/>
        <v/>
      </c>
      <c r="LH612" s="1525" t="str">
        <f t="shared" si="288"/>
        <v/>
      </c>
      <c r="LI612" s="1525" t="str">
        <f t="shared" si="289"/>
        <v/>
      </c>
      <c r="LJ612" s="1525" t="str">
        <f t="shared" si="290"/>
        <v/>
      </c>
      <c r="LK612" s="1154" t="str">
        <f t="shared" si="291"/>
        <v/>
      </c>
      <c r="LL612" s="1154" t="str">
        <f t="shared" si="292"/>
        <v/>
      </c>
      <c r="LM612" s="1154" t="str">
        <f t="shared" si="293"/>
        <v/>
      </c>
      <c r="LN612" s="1154" t="str">
        <f t="shared" si="294"/>
        <v/>
      </c>
      <c r="LO612" s="1154" t="str">
        <f t="shared" si="295"/>
        <v/>
      </c>
      <c r="LP612" s="1154" t="str">
        <f t="shared" si="296"/>
        <v/>
      </c>
      <c r="LQ612" s="1154" t="str">
        <f t="shared" si="297"/>
        <v/>
      </c>
      <c r="LR612" s="1154" t="str">
        <f t="shared" si="298"/>
        <v/>
      </c>
      <c r="LS612" s="1154" t="str">
        <f t="shared" si="299"/>
        <v/>
      </c>
      <c r="LT612" s="1154" t="str">
        <f t="shared" si="300"/>
        <v/>
      </c>
      <c r="LU612" s="1154" t="str">
        <f t="shared" si="301"/>
        <v/>
      </c>
      <c r="LV612" s="1154" t="str">
        <f t="shared" si="302"/>
        <v/>
      </c>
      <c r="LW612" s="1154" t="str">
        <f t="shared" si="303"/>
        <v/>
      </c>
      <c r="LX612" s="1154" t="str">
        <f t="shared" si="304"/>
        <v/>
      </c>
      <c r="LY612" s="1154" t="str">
        <f t="shared" si="305"/>
        <v/>
      </c>
      <c r="LZ612" s="1154" t="str">
        <f t="shared" si="306"/>
        <v/>
      </c>
      <c r="MA612" s="1154" t="str">
        <f t="shared" si="307"/>
        <v/>
      </c>
      <c r="MB612" s="1154" t="str">
        <f t="shared" si="308"/>
        <v/>
      </c>
      <c r="MC612" s="1154" t="str">
        <f t="shared" si="309"/>
        <v/>
      </c>
      <c r="MD612" s="1154" t="str">
        <f t="shared" si="310"/>
        <v/>
      </c>
      <c r="ME612" s="1525">
        <f t="shared" si="322"/>
        <v>0</v>
      </c>
      <c r="MF612" s="1525">
        <f t="shared" si="323"/>
        <v>0</v>
      </c>
      <c r="MG612" s="1525">
        <f t="shared" si="324"/>
        <v>0</v>
      </c>
      <c r="MH612" s="1525">
        <f t="shared" si="325"/>
        <v>0</v>
      </c>
      <c r="MI612" s="1525">
        <f t="shared" si="326"/>
        <v>0</v>
      </c>
      <c r="MJ612" s="1525">
        <f t="shared" si="327"/>
        <v>0</v>
      </c>
      <c r="MK612" s="1525">
        <f t="shared" si="328"/>
        <v>0</v>
      </c>
      <c r="ML612" s="1525">
        <f t="shared" si="329"/>
        <v>0</v>
      </c>
      <c r="MM612" s="1525">
        <f t="shared" si="330"/>
        <v>0</v>
      </c>
      <c r="MN612" s="1525">
        <f t="shared" si="331"/>
        <v>0</v>
      </c>
      <c r="MO612" s="1525">
        <f t="shared" si="332"/>
        <v>0</v>
      </c>
      <c r="MP612" s="1525">
        <f t="shared" si="333"/>
        <v>0</v>
      </c>
      <c r="MQ612" s="1525">
        <f t="shared" si="334"/>
        <v>0</v>
      </c>
      <c r="MR612" s="1525">
        <f t="shared" si="335"/>
        <v>0</v>
      </c>
      <c r="MS612" s="1525">
        <f t="shared" si="336"/>
        <v>0</v>
      </c>
    </row>
    <row r="613" spans="1:358" s="1154" customFormat="1" ht="12" customHeight="1">
      <c r="A613" s="1524" t="str">
        <f t="shared" si="1"/>
        <v/>
      </c>
      <c r="B613" s="1682">
        <f>'Part VI-Revenues &amp; Expenses'!B42</f>
        <v>0</v>
      </c>
      <c r="C613" s="1673">
        <f>'Part VI-Revenues &amp; Expenses'!C42</f>
        <v>0</v>
      </c>
      <c r="D613" s="1674">
        <f>'Part VI-Revenues &amp; Expenses'!D42</f>
        <v>0</v>
      </c>
      <c r="E613" s="1675">
        <f>'Part VI-Revenues &amp; Expenses'!E42</f>
        <v>0</v>
      </c>
      <c r="F613" s="1675">
        <f>'Part VI-Revenues &amp; Expenses'!F42</f>
        <v>0</v>
      </c>
      <c r="G613" s="1675">
        <f>'Part VI-Revenues &amp; Expenses'!G42</f>
        <v>0</v>
      </c>
      <c r="H613" s="1675">
        <f>'Part VI-Revenues &amp; Expenses'!H42</f>
        <v>0</v>
      </c>
      <c r="I613" s="1675">
        <f>'Part VI-Revenues &amp; Expenses'!I42</f>
        <v>0</v>
      </c>
      <c r="J613" s="1676">
        <f>'Part VI-Revenues &amp; Expenses'!J42</f>
        <v>0</v>
      </c>
      <c r="K613" s="1677">
        <f>'Part VI-Revenues &amp; Expenses'!K42</f>
        <v>0</v>
      </c>
      <c r="L613" s="1677">
        <f>'Part VI-Revenues &amp; Expenses'!L42</f>
        <v>0</v>
      </c>
      <c r="M613" s="1678">
        <f>'Part VI-Revenues &amp; Expenses'!M42</f>
        <v>0</v>
      </c>
      <c r="N613" s="1678">
        <f>'Part VI-Revenues &amp; Expenses'!N42</f>
        <v>0</v>
      </c>
      <c r="O613" s="1678">
        <f>'Part VI-Revenues &amp; Expenses'!O42</f>
        <v>0</v>
      </c>
      <c r="P613" s="1660">
        <f>'Part VI-Revenues &amp; Expenses'!P42</f>
        <v>0</v>
      </c>
      <c r="Q613" s="1679"/>
      <c r="R613" s="1680"/>
      <c r="S613" s="1679"/>
      <c r="T613" s="1680"/>
      <c r="U613" s="1519"/>
      <c r="V613" s="1519"/>
      <c r="W613" s="1154" t="str">
        <f t="shared" si="2"/>
        <v/>
      </c>
      <c r="X613" s="1154" t="str">
        <f t="shared" si="3"/>
        <v/>
      </c>
      <c r="Y613" s="1154" t="str">
        <f t="shared" si="4"/>
        <v/>
      </c>
      <c r="Z613" s="1154" t="str">
        <f t="shared" si="5"/>
        <v/>
      </c>
      <c r="AA613" s="1154" t="str">
        <f t="shared" si="6"/>
        <v/>
      </c>
      <c r="AB613" s="1154" t="str">
        <f t="shared" si="7"/>
        <v/>
      </c>
      <c r="AC613" s="1154" t="str">
        <f t="shared" si="8"/>
        <v/>
      </c>
      <c r="AD613" s="1154" t="str">
        <f t="shared" si="9"/>
        <v/>
      </c>
      <c r="AE613" s="1154" t="str">
        <f t="shared" si="10"/>
        <v/>
      </c>
      <c r="AF613" s="1154" t="str">
        <f t="shared" si="11"/>
        <v/>
      </c>
      <c r="AG613" s="1154" t="str">
        <f t="shared" si="12"/>
        <v/>
      </c>
      <c r="AH613" s="1154" t="str">
        <f t="shared" si="13"/>
        <v/>
      </c>
      <c r="AI613" s="1154" t="str">
        <f t="shared" si="14"/>
        <v/>
      </c>
      <c r="AJ613" s="1154" t="str">
        <f t="shared" si="15"/>
        <v/>
      </c>
      <c r="AK613" s="1154" t="str">
        <f t="shared" si="16"/>
        <v/>
      </c>
      <c r="AL613" s="1154" t="str">
        <f t="shared" si="17"/>
        <v/>
      </c>
      <c r="AM613" s="1154" t="str">
        <f t="shared" si="18"/>
        <v/>
      </c>
      <c r="AN613" s="1154" t="str">
        <f t="shared" si="19"/>
        <v/>
      </c>
      <c r="AO613" s="1154" t="str">
        <f t="shared" si="20"/>
        <v/>
      </c>
      <c r="AP613" s="1154" t="str">
        <f t="shared" si="21"/>
        <v/>
      </c>
      <c r="AQ613" s="1154" t="str">
        <f t="shared" si="22"/>
        <v/>
      </c>
      <c r="AR613" s="1154" t="str">
        <f t="shared" si="23"/>
        <v/>
      </c>
      <c r="AS613" s="1154" t="str">
        <f t="shared" si="24"/>
        <v/>
      </c>
      <c r="AT613" s="1154" t="str">
        <f t="shared" si="25"/>
        <v/>
      </c>
      <c r="AU613" s="1154" t="str">
        <f t="shared" si="26"/>
        <v/>
      </c>
      <c r="AV613" s="1154" t="str">
        <f t="shared" si="27"/>
        <v/>
      </c>
      <c r="AW613" s="1154" t="str">
        <f t="shared" si="28"/>
        <v/>
      </c>
      <c r="AX613" s="1154" t="str">
        <f t="shared" si="29"/>
        <v/>
      </c>
      <c r="AY613" s="1154" t="str">
        <f t="shared" si="30"/>
        <v/>
      </c>
      <c r="AZ613" s="1154" t="str">
        <f t="shared" si="31"/>
        <v/>
      </c>
      <c r="BA613" s="1154" t="str">
        <f t="shared" si="32"/>
        <v/>
      </c>
      <c r="BB613" s="1154" t="str">
        <f t="shared" si="33"/>
        <v/>
      </c>
      <c r="BC613" s="1154" t="str">
        <f t="shared" si="34"/>
        <v/>
      </c>
      <c r="BD613" s="1154" t="str">
        <f t="shared" si="35"/>
        <v/>
      </c>
      <c r="BE613" s="1154" t="str">
        <f t="shared" si="36"/>
        <v/>
      </c>
      <c r="BF613" s="1154" t="str">
        <f t="shared" si="37"/>
        <v/>
      </c>
      <c r="BG613" s="1154" t="str">
        <f t="shared" si="38"/>
        <v/>
      </c>
      <c r="BH613" s="1154" t="str">
        <f t="shared" si="39"/>
        <v/>
      </c>
      <c r="BI613" s="1154" t="str">
        <f t="shared" si="40"/>
        <v/>
      </c>
      <c r="BJ613" s="1154" t="str">
        <f t="shared" si="41"/>
        <v/>
      </c>
      <c r="BK613" s="1154" t="str">
        <f t="shared" si="42"/>
        <v/>
      </c>
      <c r="BL613" s="1154" t="str">
        <f t="shared" si="43"/>
        <v/>
      </c>
      <c r="BM613" s="1154" t="str">
        <f t="shared" si="44"/>
        <v/>
      </c>
      <c r="BN613" s="1154" t="str">
        <f t="shared" si="45"/>
        <v/>
      </c>
      <c r="BO613" s="1154" t="str">
        <f t="shared" si="46"/>
        <v/>
      </c>
      <c r="BP613" s="1154" t="str">
        <f t="shared" si="47"/>
        <v/>
      </c>
      <c r="BQ613" s="1154" t="str">
        <f t="shared" si="48"/>
        <v/>
      </c>
      <c r="BR613" s="1154" t="str">
        <f t="shared" si="49"/>
        <v/>
      </c>
      <c r="BS613" s="1154" t="str">
        <f t="shared" si="50"/>
        <v/>
      </c>
      <c r="BT613" s="1154" t="str">
        <f t="shared" si="51"/>
        <v/>
      </c>
      <c r="BU613" s="1154" t="str">
        <f t="shared" si="52"/>
        <v/>
      </c>
      <c r="BV613" s="1154" t="str">
        <f t="shared" si="53"/>
        <v/>
      </c>
      <c r="BW613" s="1154" t="str">
        <f t="shared" si="54"/>
        <v/>
      </c>
      <c r="BX613" s="1154" t="str">
        <f t="shared" si="55"/>
        <v/>
      </c>
      <c r="BY613" s="1154" t="str">
        <f t="shared" si="56"/>
        <v/>
      </c>
      <c r="BZ613" s="1154" t="str">
        <f t="shared" si="57"/>
        <v/>
      </c>
      <c r="CA613" s="1154" t="str">
        <f t="shared" si="58"/>
        <v/>
      </c>
      <c r="CB613" s="1154" t="str">
        <f t="shared" si="59"/>
        <v/>
      </c>
      <c r="CC613" s="1154" t="str">
        <f t="shared" si="60"/>
        <v/>
      </c>
      <c r="CD613" s="1154" t="str">
        <f t="shared" si="61"/>
        <v/>
      </c>
      <c r="CE613" s="1154" t="str">
        <f t="shared" si="62"/>
        <v/>
      </c>
      <c r="CF613" s="1154" t="str">
        <f t="shared" si="63"/>
        <v/>
      </c>
      <c r="CG613" s="1154" t="str">
        <f t="shared" si="64"/>
        <v/>
      </c>
      <c r="CH613" s="1154" t="str">
        <f t="shared" si="65"/>
        <v/>
      </c>
      <c r="CI613" s="1154" t="str">
        <f t="shared" si="66"/>
        <v/>
      </c>
      <c r="CJ613" s="1154" t="str">
        <f t="shared" si="67"/>
        <v/>
      </c>
      <c r="CK613" s="1154" t="str">
        <f t="shared" si="68"/>
        <v/>
      </c>
      <c r="CL613" s="1154" t="str">
        <f t="shared" si="69"/>
        <v/>
      </c>
      <c r="CM613" s="1154" t="str">
        <f t="shared" si="70"/>
        <v/>
      </c>
      <c r="CN613" s="1154" t="str">
        <f t="shared" si="71"/>
        <v/>
      </c>
      <c r="CO613" s="1154" t="str">
        <f t="shared" si="72"/>
        <v/>
      </c>
      <c r="CP613" s="1154" t="str">
        <f t="shared" si="73"/>
        <v/>
      </c>
      <c r="CQ613" s="1154" t="str">
        <f t="shared" si="74"/>
        <v/>
      </c>
      <c r="CR613" s="1154" t="str">
        <f t="shared" si="75"/>
        <v/>
      </c>
      <c r="CS613" s="1154" t="str">
        <f t="shared" si="76"/>
        <v/>
      </c>
      <c r="CT613" s="1154" t="str">
        <f t="shared" si="77"/>
        <v/>
      </c>
      <c r="CU613" s="1154" t="str">
        <f t="shared" si="78"/>
        <v/>
      </c>
      <c r="CV613" s="1154" t="str">
        <f t="shared" si="79"/>
        <v/>
      </c>
      <c r="CW613" s="1154" t="str">
        <f t="shared" si="80"/>
        <v/>
      </c>
      <c r="CX613" s="1154" t="str">
        <f t="shared" si="81"/>
        <v/>
      </c>
      <c r="CY613" s="1154" t="str">
        <f t="shared" si="82"/>
        <v/>
      </c>
      <c r="CZ613" s="1154" t="str">
        <f t="shared" si="83"/>
        <v/>
      </c>
      <c r="DA613" s="1154" t="str">
        <f t="shared" si="84"/>
        <v/>
      </c>
      <c r="DB613" s="1154" t="str">
        <f t="shared" si="85"/>
        <v/>
      </c>
      <c r="DC613" s="1154" t="str">
        <f t="shared" si="86"/>
        <v/>
      </c>
      <c r="DD613" s="1154" t="str">
        <f t="shared" si="87"/>
        <v/>
      </c>
      <c r="DE613" s="1154" t="str">
        <f t="shared" si="88"/>
        <v/>
      </c>
      <c r="DF613" s="1154" t="str">
        <f t="shared" si="89"/>
        <v/>
      </c>
      <c r="DG613" s="1154" t="str">
        <f t="shared" si="90"/>
        <v/>
      </c>
      <c r="DH613" s="1154" t="str">
        <f t="shared" si="91"/>
        <v/>
      </c>
      <c r="DI613" s="1154" t="str">
        <f t="shared" si="92"/>
        <v/>
      </c>
      <c r="DJ613" s="1154" t="str">
        <f t="shared" si="93"/>
        <v/>
      </c>
      <c r="DK613" s="1154" t="str">
        <f t="shared" si="94"/>
        <v/>
      </c>
      <c r="DL613" s="1154" t="str">
        <f t="shared" si="95"/>
        <v/>
      </c>
      <c r="DM613" s="1154" t="str">
        <f t="shared" si="96"/>
        <v/>
      </c>
      <c r="DN613" s="1154" t="str">
        <f t="shared" si="97"/>
        <v/>
      </c>
      <c r="DO613" s="1154" t="str">
        <f t="shared" si="98"/>
        <v/>
      </c>
      <c r="DP613" s="1154" t="str">
        <f t="shared" si="99"/>
        <v/>
      </c>
      <c r="DQ613" s="1154" t="str">
        <f t="shared" si="100"/>
        <v/>
      </c>
      <c r="DR613" s="1154" t="str">
        <f t="shared" si="101"/>
        <v/>
      </c>
      <c r="DS613" s="1154" t="str">
        <f t="shared" si="102"/>
        <v/>
      </c>
      <c r="DT613" s="1154" t="str">
        <f t="shared" si="103"/>
        <v/>
      </c>
      <c r="DU613" s="1154" t="str">
        <f t="shared" si="104"/>
        <v/>
      </c>
      <c r="DV613" s="1154" t="str">
        <f t="shared" si="105"/>
        <v/>
      </c>
      <c r="DW613" s="1154" t="str">
        <f t="shared" si="106"/>
        <v/>
      </c>
      <c r="DX613" s="1154" t="str">
        <f t="shared" si="107"/>
        <v/>
      </c>
      <c r="DY613" s="1154" t="str">
        <f t="shared" si="108"/>
        <v/>
      </c>
      <c r="DZ613" s="1154" t="str">
        <f t="shared" si="109"/>
        <v/>
      </c>
      <c r="EA613" s="1154" t="str">
        <f t="shared" si="110"/>
        <v/>
      </c>
      <c r="EB613" s="1154" t="str">
        <f t="shared" si="111"/>
        <v/>
      </c>
      <c r="EC613" s="1154" t="str">
        <f t="shared" si="112"/>
        <v/>
      </c>
      <c r="ED613" s="1154" t="str">
        <f t="shared" si="113"/>
        <v/>
      </c>
      <c r="EE613" s="1154" t="str">
        <f t="shared" si="114"/>
        <v/>
      </c>
      <c r="EF613" s="1154" t="str">
        <f t="shared" si="115"/>
        <v/>
      </c>
      <c r="EG613" s="1154" t="str">
        <f t="shared" si="311"/>
        <v/>
      </c>
      <c r="EH613" s="1154" t="str">
        <f t="shared" si="116"/>
        <v/>
      </c>
      <c r="EI613" s="1154" t="str">
        <f t="shared" si="117"/>
        <v/>
      </c>
      <c r="EJ613" s="1154" t="str">
        <f t="shared" si="118"/>
        <v/>
      </c>
      <c r="EK613" s="1154" t="str">
        <f t="shared" si="119"/>
        <v/>
      </c>
      <c r="EL613" s="1154" t="str">
        <f t="shared" si="120"/>
        <v/>
      </c>
      <c r="EM613" s="1154" t="str">
        <f t="shared" si="121"/>
        <v/>
      </c>
      <c r="EN613" s="1154" t="str">
        <f t="shared" si="122"/>
        <v/>
      </c>
      <c r="EO613" s="1154" t="str">
        <f t="shared" si="123"/>
        <v/>
      </c>
      <c r="EP613" s="1154" t="str">
        <f t="shared" si="124"/>
        <v/>
      </c>
      <c r="EQ613" s="1154" t="str">
        <f t="shared" si="125"/>
        <v/>
      </c>
      <c r="ER613" s="1154" t="str">
        <f t="shared" si="126"/>
        <v/>
      </c>
      <c r="ES613" s="1154" t="str">
        <f t="shared" si="127"/>
        <v/>
      </c>
      <c r="ET613" s="1154" t="str">
        <f t="shared" si="128"/>
        <v/>
      </c>
      <c r="EU613" s="1154" t="str">
        <f t="shared" si="129"/>
        <v/>
      </c>
      <c r="EV613" s="1154" t="str">
        <f t="shared" si="130"/>
        <v/>
      </c>
      <c r="EW613" s="1154" t="str">
        <f t="shared" si="312"/>
        <v/>
      </c>
      <c r="EX613" s="1154" t="str">
        <f t="shared" si="313"/>
        <v/>
      </c>
      <c r="EY613" s="1154" t="str">
        <f t="shared" si="314"/>
        <v/>
      </c>
      <c r="EZ613" s="1154" t="str">
        <f t="shared" si="315"/>
        <v/>
      </c>
      <c r="FA613" s="1154" t="str">
        <f t="shared" si="316"/>
        <v/>
      </c>
      <c r="FB613" s="1154" t="str">
        <f t="shared" si="131"/>
        <v/>
      </c>
      <c r="FC613" s="1154" t="str">
        <f t="shared" si="132"/>
        <v/>
      </c>
      <c r="FD613" s="1154" t="str">
        <f t="shared" si="133"/>
        <v/>
      </c>
      <c r="FE613" s="1154" t="str">
        <f t="shared" si="134"/>
        <v/>
      </c>
      <c r="FF613" s="1154" t="str">
        <f t="shared" si="135"/>
        <v/>
      </c>
      <c r="FG613" s="1154" t="str">
        <f t="shared" si="317"/>
        <v/>
      </c>
      <c r="FH613" s="1154" t="str">
        <f t="shared" si="318"/>
        <v/>
      </c>
      <c r="FI613" s="1154" t="str">
        <f t="shared" si="319"/>
        <v/>
      </c>
      <c r="FJ613" s="1154" t="str">
        <f t="shared" si="320"/>
        <v/>
      </c>
      <c r="FK613" s="1154" t="str">
        <f t="shared" si="321"/>
        <v/>
      </c>
      <c r="FL613" s="1154" t="str">
        <f t="shared" si="136"/>
        <v/>
      </c>
      <c r="FM613" s="1154" t="str">
        <f t="shared" si="137"/>
        <v/>
      </c>
      <c r="FN613" s="1154" t="str">
        <f t="shared" si="138"/>
        <v/>
      </c>
      <c r="FO613" s="1154" t="str">
        <f t="shared" si="139"/>
        <v/>
      </c>
      <c r="FP613" s="1154" t="str">
        <f t="shared" si="140"/>
        <v/>
      </c>
      <c r="FQ613" s="1154" t="str">
        <f t="shared" si="141"/>
        <v/>
      </c>
      <c r="FR613" s="1154" t="str">
        <f t="shared" si="142"/>
        <v/>
      </c>
      <c r="FS613" s="1154" t="str">
        <f t="shared" si="143"/>
        <v/>
      </c>
      <c r="FT613" s="1154" t="str">
        <f t="shared" si="144"/>
        <v/>
      </c>
      <c r="FU613" s="1154" t="str">
        <f t="shared" si="145"/>
        <v/>
      </c>
      <c r="FV613" s="1154" t="str">
        <f t="shared" si="146"/>
        <v/>
      </c>
      <c r="FW613" s="1154" t="str">
        <f t="shared" si="147"/>
        <v/>
      </c>
      <c r="FX613" s="1154" t="str">
        <f t="shared" si="148"/>
        <v/>
      </c>
      <c r="FY613" s="1154" t="str">
        <f t="shared" si="149"/>
        <v/>
      </c>
      <c r="FZ613" s="1154" t="str">
        <f t="shared" si="150"/>
        <v/>
      </c>
      <c r="GA613" s="1154" t="str">
        <f t="shared" si="151"/>
        <v/>
      </c>
      <c r="GB613" s="1154" t="str">
        <f t="shared" si="152"/>
        <v/>
      </c>
      <c r="GC613" s="1154" t="str">
        <f t="shared" si="153"/>
        <v/>
      </c>
      <c r="GD613" s="1154" t="str">
        <f t="shared" si="154"/>
        <v/>
      </c>
      <c r="GE613" s="1154" t="str">
        <f t="shared" si="155"/>
        <v/>
      </c>
      <c r="GF613" s="1154" t="str">
        <f t="shared" si="156"/>
        <v/>
      </c>
      <c r="GG613" s="1154" t="str">
        <f t="shared" si="157"/>
        <v/>
      </c>
      <c r="GH613" s="1154" t="str">
        <f t="shared" si="158"/>
        <v/>
      </c>
      <c r="GI613" s="1154" t="str">
        <f t="shared" si="159"/>
        <v/>
      </c>
      <c r="GJ613" s="1154" t="str">
        <f t="shared" si="160"/>
        <v/>
      </c>
      <c r="GK613" s="1154" t="str">
        <f t="shared" si="161"/>
        <v/>
      </c>
      <c r="GL613" s="1154" t="str">
        <f t="shared" si="162"/>
        <v/>
      </c>
      <c r="GM613" s="1154" t="str">
        <f t="shared" si="163"/>
        <v/>
      </c>
      <c r="GN613" s="1154" t="str">
        <f t="shared" si="164"/>
        <v/>
      </c>
      <c r="GO613" s="1154" t="str">
        <f t="shared" si="165"/>
        <v/>
      </c>
      <c r="GP613" s="1154" t="str">
        <f t="shared" si="166"/>
        <v/>
      </c>
      <c r="GQ613" s="1154" t="str">
        <f t="shared" si="167"/>
        <v/>
      </c>
      <c r="GR613" s="1154" t="str">
        <f t="shared" si="168"/>
        <v/>
      </c>
      <c r="GS613" s="1154" t="str">
        <f t="shared" si="169"/>
        <v/>
      </c>
      <c r="GT613" s="1154" t="str">
        <f t="shared" si="170"/>
        <v/>
      </c>
      <c r="GU613" s="1154" t="str">
        <f t="shared" si="171"/>
        <v/>
      </c>
      <c r="GV613" s="1154" t="str">
        <f t="shared" si="172"/>
        <v/>
      </c>
      <c r="GW613" s="1154" t="str">
        <f t="shared" si="173"/>
        <v/>
      </c>
      <c r="GX613" s="1154" t="str">
        <f t="shared" si="174"/>
        <v/>
      </c>
      <c r="GY613" s="1154" t="str">
        <f t="shared" si="175"/>
        <v/>
      </c>
      <c r="GZ613" s="1154" t="str">
        <f t="shared" si="176"/>
        <v/>
      </c>
      <c r="HA613" s="1154" t="str">
        <f t="shared" si="177"/>
        <v/>
      </c>
      <c r="HB613" s="1154" t="str">
        <f t="shared" si="178"/>
        <v/>
      </c>
      <c r="HC613" s="1154" t="str">
        <f t="shared" si="179"/>
        <v/>
      </c>
      <c r="HD613" s="1154" t="str">
        <f t="shared" si="180"/>
        <v/>
      </c>
      <c r="HE613" s="1154" t="str">
        <f t="shared" si="181"/>
        <v/>
      </c>
      <c r="HF613" s="1154" t="str">
        <f t="shared" si="182"/>
        <v/>
      </c>
      <c r="HG613" s="1154" t="str">
        <f t="shared" si="183"/>
        <v/>
      </c>
      <c r="HH613" s="1154" t="str">
        <f t="shared" si="184"/>
        <v/>
      </c>
      <c r="HI613" s="1154" t="str">
        <f t="shared" si="185"/>
        <v/>
      </c>
      <c r="HJ613" s="1154" t="str">
        <f t="shared" si="186"/>
        <v/>
      </c>
      <c r="HK613" s="1154" t="str">
        <f t="shared" si="187"/>
        <v/>
      </c>
      <c r="HL613" s="1154" t="str">
        <f t="shared" si="188"/>
        <v/>
      </c>
      <c r="HM613" s="1154" t="str">
        <f t="shared" si="189"/>
        <v/>
      </c>
      <c r="HN613" s="1154" t="str">
        <f t="shared" si="190"/>
        <v/>
      </c>
      <c r="HO613" s="1154" t="str">
        <f t="shared" si="191"/>
        <v/>
      </c>
      <c r="HP613" s="1154" t="str">
        <f t="shared" si="192"/>
        <v/>
      </c>
      <c r="HQ613" s="1154" t="str">
        <f t="shared" si="193"/>
        <v/>
      </c>
      <c r="HR613" s="1154" t="str">
        <f t="shared" si="194"/>
        <v/>
      </c>
      <c r="HS613" s="1154" t="str">
        <f t="shared" si="195"/>
        <v/>
      </c>
      <c r="HT613" s="1154" t="str">
        <f t="shared" si="196"/>
        <v/>
      </c>
      <c r="HU613" s="1154" t="str">
        <f t="shared" si="197"/>
        <v/>
      </c>
      <c r="HV613" s="1154" t="str">
        <f t="shared" si="198"/>
        <v/>
      </c>
      <c r="HW613" s="1154" t="str">
        <f t="shared" si="199"/>
        <v/>
      </c>
      <c r="HX613" s="1154" t="str">
        <f t="shared" si="200"/>
        <v/>
      </c>
      <c r="HY613" s="1681" t="str">
        <f t="shared" si="201"/>
        <v/>
      </c>
      <c r="HZ613" s="1681" t="str">
        <f t="shared" si="202"/>
        <v/>
      </c>
      <c r="IA613" s="1681" t="str">
        <f t="shared" si="203"/>
        <v/>
      </c>
      <c r="IB613" s="1681" t="str">
        <f t="shared" si="204"/>
        <v/>
      </c>
      <c r="IC613" s="1681" t="str">
        <f t="shared" si="205"/>
        <v/>
      </c>
      <c r="ID613" s="1681" t="str">
        <f t="shared" si="206"/>
        <v/>
      </c>
      <c r="IE613" s="1681" t="str">
        <f t="shared" si="207"/>
        <v/>
      </c>
      <c r="IF613" s="1681" t="str">
        <f t="shared" si="208"/>
        <v/>
      </c>
      <c r="IG613" s="1681" t="str">
        <f t="shared" si="209"/>
        <v/>
      </c>
      <c r="IH613" s="1681" t="str">
        <f t="shared" si="210"/>
        <v/>
      </c>
      <c r="II613" s="1681" t="str">
        <f t="shared" si="211"/>
        <v/>
      </c>
      <c r="IJ613" s="1681" t="str">
        <f t="shared" si="212"/>
        <v/>
      </c>
      <c r="IK613" s="1681" t="str">
        <f t="shared" si="213"/>
        <v/>
      </c>
      <c r="IL613" s="1681" t="str">
        <f t="shared" si="214"/>
        <v/>
      </c>
      <c r="IM613" s="1681" t="str">
        <f t="shared" si="215"/>
        <v/>
      </c>
      <c r="IN613" s="1681" t="str">
        <f t="shared" si="216"/>
        <v/>
      </c>
      <c r="IO613" s="1681" t="str">
        <f t="shared" si="217"/>
        <v/>
      </c>
      <c r="IP613" s="1681" t="str">
        <f t="shared" si="218"/>
        <v/>
      </c>
      <c r="IQ613" s="1681" t="str">
        <f t="shared" si="219"/>
        <v/>
      </c>
      <c r="IR613" s="1681" t="str">
        <f t="shared" si="220"/>
        <v/>
      </c>
      <c r="IS613" s="1681" t="str">
        <f t="shared" si="221"/>
        <v/>
      </c>
      <c r="IT613" s="1681" t="str">
        <f t="shared" si="222"/>
        <v/>
      </c>
      <c r="IU613" s="1681" t="str">
        <f t="shared" si="223"/>
        <v/>
      </c>
      <c r="IV613" s="1681" t="str">
        <f t="shared" si="224"/>
        <v/>
      </c>
      <c r="IW613" s="1681" t="str">
        <f t="shared" si="225"/>
        <v/>
      </c>
      <c r="IX613" s="1681" t="str">
        <f t="shared" si="226"/>
        <v/>
      </c>
      <c r="IY613" s="1681" t="str">
        <f t="shared" si="227"/>
        <v/>
      </c>
      <c r="IZ613" s="1681" t="str">
        <f t="shared" si="228"/>
        <v/>
      </c>
      <c r="JA613" s="1681" t="str">
        <f t="shared" si="229"/>
        <v/>
      </c>
      <c r="JB613" s="1681" t="str">
        <f t="shared" si="230"/>
        <v/>
      </c>
      <c r="JC613" s="1681" t="str">
        <f t="shared" si="231"/>
        <v/>
      </c>
      <c r="JD613" s="1681" t="str">
        <f t="shared" si="232"/>
        <v/>
      </c>
      <c r="JE613" s="1681" t="str">
        <f t="shared" si="233"/>
        <v/>
      </c>
      <c r="JF613" s="1681" t="str">
        <f t="shared" si="234"/>
        <v/>
      </c>
      <c r="JG613" s="1681" t="str">
        <f t="shared" si="235"/>
        <v/>
      </c>
      <c r="JH613" s="1681" t="str">
        <f t="shared" si="236"/>
        <v/>
      </c>
      <c r="JI613" s="1681" t="str">
        <f t="shared" si="237"/>
        <v/>
      </c>
      <c r="JJ613" s="1681" t="str">
        <f t="shared" si="238"/>
        <v/>
      </c>
      <c r="JK613" s="1681" t="str">
        <f t="shared" si="239"/>
        <v/>
      </c>
      <c r="JL613" s="1681" t="str">
        <f t="shared" si="240"/>
        <v/>
      </c>
      <c r="JM613" s="1681" t="str">
        <f t="shared" si="241"/>
        <v/>
      </c>
      <c r="JN613" s="1681" t="str">
        <f t="shared" si="242"/>
        <v/>
      </c>
      <c r="JO613" s="1681" t="str">
        <f t="shared" si="243"/>
        <v/>
      </c>
      <c r="JP613" s="1681" t="str">
        <f t="shared" si="244"/>
        <v/>
      </c>
      <c r="JQ613" s="1681" t="str">
        <f t="shared" si="245"/>
        <v/>
      </c>
      <c r="JR613" s="1681" t="str">
        <f t="shared" si="246"/>
        <v/>
      </c>
      <c r="JS613" s="1681" t="str">
        <f t="shared" si="247"/>
        <v/>
      </c>
      <c r="JT613" s="1681" t="str">
        <f t="shared" si="248"/>
        <v/>
      </c>
      <c r="JU613" s="1681" t="str">
        <f t="shared" si="249"/>
        <v/>
      </c>
      <c r="JV613" s="1681" t="str">
        <f t="shared" si="250"/>
        <v/>
      </c>
      <c r="JW613" s="1681" t="str">
        <f t="shared" si="251"/>
        <v/>
      </c>
      <c r="JX613" s="1681" t="str">
        <f t="shared" si="252"/>
        <v/>
      </c>
      <c r="JY613" s="1681" t="str">
        <f t="shared" si="253"/>
        <v/>
      </c>
      <c r="JZ613" s="1681" t="str">
        <f t="shared" si="254"/>
        <v/>
      </c>
      <c r="KA613" s="1681" t="str">
        <f t="shared" si="255"/>
        <v/>
      </c>
      <c r="KB613" s="1681" t="str">
        <f t="shared" si="256"/>
        <v/>
      </c>
      <c r="KC613" s="1681" t="str">
        <f t="shared" si="257"/>
        <v/>
      </c>
      <c r="KD613" s="1681" t="str">
        <f t="shared" si="258"/>
        <v/>
      </c>
      <c r="KE613" s="1681" t="str">
        <f t="shared" si="259"/>
        <v/>
      </c>
      <c r="KF613" s="1681" t="str">
        <f t="shared" si="260"/>
        <v/>
      </c>
      <c r="KG613" s="1681" t="str">
        <f t="shared" si="261"/>
        <v/>
      </c>
      <c r="KH613" s="1681" t="str">
        <f t="shared" si="262"/>
        <v/>
      </c>
      <c r="KI613" s="1681" t="str">
        <f t="shared" si="263"/>
        <v/>
      </c>
      <c r="KJ613" s="1681" t="str">
        <f t="shared" si="264"/>
        <v/>
      </c>
      <c r="KK613" s="1681" t="str">
        <f t="shared" si="265"/>
        <v/>
      </c>
      <c r="KL613" s="1681" t="str">
        <f t="shared" si="266"/>
        <v/>
      </c>
      <c r="KM613" s="1681" t="str">
        <f t="shared" si="267"/>
        <v/>
      </c>
      <c r="KN613" s="1681" t="str">
        <f t="shared" si="268"/>
        <v/>
      </c>
      <c r="KO613" s="1681" t="str">
        <f t="shared" si="269"/>
        <v/>
      </c>
      <c r="KP613" s="1681" t="str">
        <f t="shared" si="270"/>
        <v/>
      </c>
      <c r="KQ613" s="1681" t="str">
        <f t="shared" si="271"/>
        <v/>
      </c>
      <c r="KR613" s="1681" t="str">
        <f t="shared" si="272"/>
        <v/>
      </c>
      <c r="KS613" s="1681" t="str">
        <f t="shared" si="273"/>
        <v/>
      </c>
      <c r="KT613" s="1681" t="str">
        <f t="shared" si="274"/>
        <v/>
      </c>
      <c r="KU613" s="1681" t="str">
        <f t="shared" si="275"/>
        <v/>
      </c>
      <c r="KV613" s="1681" t="str">
        <f t="shared" si="276"/>
        <v/>
      </c>
      <c r="KW613" s="1681" t="str">
        <f t="shared" si="277"/>
        <v/>
      </c>
      <c r="KX613" s="1681" t="str">
        <f t="shared" si="278"/>
        <v/>
      </c>
      <c r="KY613" s="1681" t="str">
        <f t="shared" si="279"/>
        <v/>
      </c>
      <c r="KZ613" s="1681" t="str">
        <f t="shared" si="280"/>
        <v/>
      </c>
      <c r="LA613" s="1681" t="str">
        <f t="shared" si="281"/>
        <v/>
      </c>
      <c r="LB613" s="1681" t="str">
        <f t="shared" si="282"/>
        <v/>
      </c>
      <c r="LC613" s="1681" t="str">
        <f t="shared" si="283"/>
        <v/>
      </c>
      <c r="LD613" s="1681" t="str">
        <f t="shared" si="284"/>
        <v/>
      </c>
      <c r="LE613" s="1681" t="str">
        <f t="shared" si="285"/>
        <v/>
      </c>
      <c r="LF613" s="1525" t="str">
        <f t="shared" si="286"/>
        <v/>
      </c>
      <c r="LG613" s="1525" t="str">
        <f t="shared" si="287"/>
        <v/>
      </c>
      <c r="LH613" s="1525" t="str">
        <f t="shared" si="288"/>
        <v/>
      </c>
      <c r="LI613" s="1525" t="str">
        <f t="shared" si="289"/>
        <v/>
      </c>
      <c r="LJ613" s="1525" t="str">
        <f t="shared" si="290"/>
        <v/>
      </c>
      <c r="LK613" s="1154" t="str">
        <f t="shared" si="291"/>
        <v/>
      </c>
      <c r="LL613" s="1154" t="str">
        <f t="shared" si="292"/>
        <v/>
      </c>
      <c r="LM613" s="1154" t="str">
        <f t="shared" si="293"/>
        <v/>
      </c>
      <c r="LN613" s="1154" t="str">
        <f t="shared" si="294"/>
        <v/>
      </c>
      <c r="LO613" s="1154" t="str">
        <f t="shared" si="295"/>
        <v/>
      </c>
      <c r="LP613" s="1154" t="str">
        <f t="shared" si="296"/>
        <v/>
      </c>
      <c r="LQ613" s="1154" t="str">
        <f t="shared" si="297"/>
        <v/>
      </c>
      <c r="LR613" s="1154" t="str">
        <f t="shared" si="298"/>
        <v/>
      </c>
      <c r="LS613" s="1154" t="str">
        <f t="shared" si="299"/>
        <v/>
      </c>
      <c r="LT613" s="1154" t="str">
        <f t="shared" si="300"/>
        <v/>
      </c>
      <c r="LU613" s="1154" t="str">
        <f t="shared" si="301"/>
        <v/>
      </c>
      <c r="LV613" s="1154" t="str">
        <f t="shared" si="302"/>
        <v/>
      </c>
      <c r="LW613" s="1154" t="str">
        <f t="shared" si="303"/>
        <v/>
      </c>
      <c r="LX613" s="1154" t="str">
        <f t="shared" si="304"/>
        <v/>
      </c>
      <c r="LY613" s="1154" t="str">
        <f t="shared" si="305"/>
        <v/>
      </c>
      <c r="LZ613" s="1154" t="str">
        <f t="shared" si="306"/>
        <v/>
      </c>
      <c r="MA613" s="1154" t="str">
        <f t="shared" si="307"/>
        <v/>
      </c>
      <c r="MB613" s="1154" t="str">
        <f t="shared" si="308"/>
        <v/>
      </c>
      <c r="MC613" s="1154" t="str">
        <f t="shared" si="309"/>
        <v/>
      </c>
      <c r="MD613" s="1154" t="str">
        <f t="shared" si="310"/>
        <v/>
      </c>
      <c r="ME613" s="1525">
        <f t="shared" si="322"/>
        <v>0</v>
      </c>
      <c r="MF613" s="1525">
        <f t="shared" si="323"/>
        <v>0</v>
      </c>
      <c r="MG613" s="1525">
        <f t="shared" si="324"/>
        <v>0</v>
      </c>
      <c r="MH613" s="1525">
        <f t="shared" si="325"/>
        <v>0</v>
      </c>
      <c r="MI613" s="1525">
        <f t="shared" si="326"/>
        <v>0</v>
      </c>
      <c r="MJ613" s="1525">
        <f t="shared" si="327"/>
        <v>0</v>
      </c>
      <c r="MK613" s="1525">
        <f t="shared" si="328"/>
        <v>0</v>
      </c>
      <c r="ML613" s="1525">
        <f t="shared" si="329"/>
        <v>0</v>
      </c>
      <c r="MM613" s="1525">
        <f t="shared" si="330"/>
        <v>0</v>
      </c>
      <c r="MN613" s="1525">
        <f t="shared" si="331"/>
        <v>0</v>
      </c>
      <c r="MO613" s="1525">
        <f t="shared" si="332"/>
        <v>0</v>
      </c>
      <c r="MP613" s="1525">
        <f t="shared" si="333"/>
        <v>0</v>
      </c>
      <c r="MQ613" s="1525">
        <f t="shared" si="334"/>
        <v>0</v>
      </c>
      <c r="MR613" s="1525">
        <f t="shared" si="335"/>
        <v>0</v>
      </c>
      <c r="MS613" s="1525">
        <f t="shared" si="336"/>
        <v>0</v>
      </c>
    </row>
    <row r="614" spans="1:358" s="1154" customFormat="1" ht="12" customHeight="1">
      <c r="A614" s="1524" t="str">
        <f t="shared" si="1"/>
        <v/>
      </c>
      <c r="B614" s="1682">
        <f>'Part VI-Revenues &amp; Expenses'!B43</f>
        <v>0</v>
      </c>
      <c r="C614" s="1673">
        <f>'Part VI-Revenues &amp; Expenses'!C43</f>
        <v>0</v>
      </c>
      <c r="D614" s="1674">
        <f>'Part VI-Revenues &amp; Expenses'!D43</f>
        <v>0</v>
      </c>
      <c r="E614" s="1675">
        <f>'Part VI-Revenues &amp; Expenses'!E43</f>
        <v>0</v>
      </c>
      <c r="F614" s="1675">
        <f>'Part VI-Revenues &amp; Expenses'!F43</f>
        <v>0</v>
      </c>
      <c r="G614" s="1675">
        <f>'Part VI-Revenues &amp; Expenses'!G43</f>
        <v>0</v>
      </c>
      <c r="H614" s="1675">
        <f>'Part VI-Revenues &amp; Expenses'!H43</f>
        <v>0</v>
      </c>
      <c r="I614" s="1675">
        <f>'Part VI-Revenues &amp; Expenses'!I43</f>
        <v>0</v>
      </c>
      <c r="J614" s="1676">
        <f>'Part VI-Revenues &amp; Expenses'!J43</f>
        <v>0</v>
      </c>
      <c r="K614" s="1677">
        <f>'Part VI-Revenues &amp; Expenses'!K43</f>
        <v>0</v>
      </c>
      <c r="L614" s="1677">
        <f>'Part VI-Revenues &amp; Expenses'!L43</f>
        <v>0</v>
      </c>
      <c r="M614" s="1678">
        <f>'Part VI-Revenues &amp; Expenses'!M43</f>
        <v>0</v>
      </c>
      <c r="N614" s="1678">
        <f>'Part VI-Revenues &amp; Expenses'!N43</f>
        <v>0</v>
      </c>
      <c r="O614" s="1678">
        <f>'Part VI-Revenues &amp; Expenses'!O43</f>
        <v>0</v>
      </c>
      <c r="P614" s="1660">
        <f>'Part VI-Revenues &amp; Expenses'!P43</f>
        <v>0</v>
      </c>
      <c r="Q614" s="1679"/>
      <c r="R614" s="1680"/>
      <c r="S614" s="1679"/>
      <c r="T614" s="1680"/>
      <c r="U614" s="1519"/>
      <c r="V614" s="1519"/>
      <c r="W614" s="1154" t="str">
        <f t="shared" si="2"/>
        <v/>
      </c>
      <c r="X614" s="1154" t="str">
        <f t="shared" si="3"/>
        <v/>
      </c>
      <c r="Y614" s="1154" t="str">
        <f t="shared" si="4"/>
        <v/>
      </c>
      <c r="Z614" s="1154" t="str">
        <f t="shared" si="5"/>
        <v/>
      </c>
      <c r="AA614" s="1154" t="str">
        <f t="shared" si="6"/>
        <v/>
      </c>
      <c r="AB614" s="1154" t="str">
        <f t="shared" si="7"/>
        <v/>
      </c>
      <c r="AC614" s="1154" t="str">
        <f t="shared" si="8"/>
        <v/>
      </c>
      <c r="AD614" s="1154" t="str">
        <f t="shared" si="9"/>
        <v/>
      </c>
      <c r="AE614" s="1154" t="str">
        <f t="shared" si="10"/>
        <v/>
      </c>
      <c r="AF614" s="1154" t="str">
        <f t="shared" si="11"/>
        <v/>
      </c>
      <c r="AG614" s="1154" t="str">
        <f t="shared" si="12"/>
        <v/>
      </c>
      <c r="AH614" s="1154" t="str">
        <f t="shared" si="13"/>
        <v/>
      </c>
      <c r="AI614" s="1154" t="str">
        <f t="shared" si="14"/>
        <v/>
      </c>
      <c r="AJ614" s="1154" t="str">
        <f t="shared" si="15"/>
        <v/>
      </c>
      <c r="AK614" s="1154" t="str">
        <f t="shared" si="16"/>
        <v/>
      </c>
      <c r="AL614" s="1154" t="str">
        <f t="shared" si="17"/>
        <v/>
      </c>
      <c r="AM614" s="1154" t="str">
        <f t="shared" si="18"/>
        <v/>
      </c>
      <c r="AN614" s="1154" t="str">
        <f t="shared" si="19"/>
        <v/>
      </c>
      <c r="AO614" s="1154" t="str">
        <f t="shared" si="20"/>
        <v/>
      </c>
      <c r="AP614" s="1154" t="str">
        <f t="shared" si="21"/>
        <v/>
      </c>
      <c r="AQ614" s="1154" t="str">
        <f t="shared" si="22"/>
        <v/>
      </c>
      <c r="AR614" s="1154" t="str">
        <f t="shared" si="23"/>
        <v/>
      </c>
      <c r="AS614" s="1154" t="str">
        <f t="shared" si="24"/>
        <v/>
      </c>
      <c r="AT614" s="1154" t="str">
        <f t="shared" si="25"/>
        <v/>
      </c>
      <c r="AU614" s="1154" t="str">
        <f t="shared" si="26"/>
        <v/>
      </c>
      <c r="AV614" s="1154" t="str">
        <f t="shared" si="27"/>
        <v/>
      </c>
      <c r="AW614" s="1154" t="str">
        <f t="shared" si="28"/>
        <v/>
      </c>
      <c r="AX614" s="1154" t="str">
        <f t="shared" si="29"/>
        <v/>
      </c>
      <c r="AY614" s="1154" t="str">
        <f t="shared" si="30"/>
        <v/>
      </c>
      <c r="AZ614" s="1154" t="str">
        <f t="shared" si="31"/>
        <v/>
      </c>
      <c r="BA614" s="1154" t="str">
        <f t="shared" si="32"/>
        <v/>
      </c>
      <c r="BB614" s="1154" t="str">
        <f t="shared" si="33"/>
        <v/>
      </c>
      <c r="BC614" s="1154" t="str">
        <f t="shared" si="34"/>
        <v/>
      </c>
      <c r="BD614" s="1154" t="str">
        <f t="shared" si="35"/>
        <v/>
      </c>
      <c r="BE614" s="1154" t="str">
        <f t="shared" si="36"/>
        <v/>
      </c>
      <c r="BF614" s="1154" t="str">
        <f t="shared" si="37"/>
        <v/>
      </c>
      <c r="BG614" s="1154" t="str">
        <f t="shared" si="38"/>
        <v/>
      </c>
      <c r="BH614" s="1154" t="str">
        <f t="shared" si="39"/>
        <v/>
      </c>
      <c r="BI614" s="1154" t="str">
        <f t="shared" si="40"/>
        <v/>
      </c>
      <c r="BJ614" s="1154" t="str">
        <f t="shared" si="41"/>
        <v/>
      </c>
      <c r="BK614" s="1154" t="str">
        <f t="shared" si="42"/>
        <v/>
      </c>
      <c r="BL614" s="1154" t="str">
        <f t="shared" si="43"/>
        <v/>
      </c>
      <c r="BM614" s="1154" t="str">
        <f t="shared" si="44"/>
        <v/>
      </c>
      <c r="BN614" s="1154" t="str">
        <f t="shared" si="45"/>
        <v/>
      </c>
      <c r="BO614" s="1154" t="str">
        <f t="shared" si="46"/>
        <v/>
      </c>
      <c r="BP614" s="1154" t="str">
        <f t="shared" si="47"/>
        <v/>
      </c>
      <c r="BQ614" s="1154" t="str">
        <f t="shared" si="48"/>
        <v/>
      </c>
      <c r="BR614" s="1154" t="str">
        <f t="shared" si="49"/>
        <v/>
      </c>
      <c r="BS614" s="1154" t="str">
        <f t="shared" si="50"/>
        <v/>
      </c>
      <c r="BT614" s="1154" t="str">
        <f t="shared" si="51"/>
        <v/>
      </c>
      <c r="BU614" s="1154" t="str">
        <f t="shared" si="52"/>
        <v/>
      </c>
      <c r="BV614" s="1154" t="str">
        <f t="shared" si="53"/>
        <v/>
      </c>
      <c r="BW614" s="1154" t="str">
        <f t="shared" si="54"/>
        <v/>
      </c>
      <c r="BX614" s="1154" t="str">
        <f t="shared" si="55"/>
        <v/>
      </c>
      <c r="BY614" s="1154" t="str">
        <f t="shared" si="56"/>
        <v/>
      </c>
      <c r="BZ614" s="1154" t="str">
        <f t="shared" si="57"/>
        <v/>
      </c>
      <c r="CA614" s="1154" t="str">
        <f t="shared" si="58"/>
        <v/>
      </c>
      <c r="CB614" s="1154" t="str">
        <f t="shared" si="59"/>
        <v/>
      </c>
      <c r="CC614" s="1154" t="str">
        <f t="shared" si="60"/>
        <v/>
      </c>
      <c r="CD614" s="1154" t="str">
        <f t="shared" si="61"/>
        <v/>
      </c>
      <c r="CE614" s="1154" t="str">
        <f t="shared" si="62"/>
        <v/>
      </c>
      <c r="CF614" s="1154" t="str">
        <f t="shared" si="63"/>
        <v/>
      </c>
      <c r="CG614" s="1154" t="str">
        <f t="shared" si="64"/>
        <v/>
      </c>
      <c r="CH614" s="1154" t="str">
        <f t="shared" si="65"/>
        <v/>
      </c>
      <c r="CI614" s="1154" t="str">
        <f t="shared" si="66"/>
        <v/>
      </c>
      <c r="CJ614" s="1154" t="str">
        <f t="shared" si="67"/>
        <v/>
      </c>
      <c r="CK614" s="1154" t="str">
        <f t="shared" si="68"/>
        <v/>
      </c>
      <c r="CL614" s="1154" t="str">
        <f t="shared" si="69"/>
        <v/>
      </c>
      <c r="CM614" s="1154" t="str">
        <f t="shared" si="70"/>
        <v/>
      </c>
      <c r="CN614" s="1154" t="str">
        <f t="shared" si="71"/>
        <v/>
      </c>
      <c r="CO614" s="1154" t="str">
        <f t="shared" si="72"/>
        <v/>
      </c>
      <c r="CP614" s="1154" t="str">
        <f t="shared" si="73"/>
        <v/>
      </c>
      <c r="CQ614" s="1154" t="str">
        <f t="shared" si="74"/>
        <v/>
      </c>
      <c r="CR614" s="1154" t="str">
        <f t="shared" si="75"/>
        <v/>
      </c>
      <c r="CS614" s="1154" t="str">
        <f t="shared" si="76"/>
        <v/>
      </c>
      <c r="CT614" s="1154" t="str">
        <f t="shared" si="77"/>
        <v/>
      </c>
      <c r="CU614" s="1154" t="str">
        <f t="shared" si="78"/>
        <v/>
      </c>
      <c r="CV614" s="1154" t="str">
        <f t="shared" si="79"/>
        <v/>
      </c>
      <c r="CW614" s="1154" t="str">
        <f t="shared" si="80"/>
        <v/>
      </c>
      <c r="CX614" s="1154" t="str">
        <f t="shared" si="81"/>
        <v/>
      </c>
      <c r="CY614" s="1154" t="str">
        <f t="shared" si="82"/>
        <v/>
      </c>
      <c r="CZ614" s="1154" t="str">
        <f t="shared" si="83"/>
        <v/>
      </c>
      <c r="DA614" s="1154" t="str">
        <f t="shared" si="84"/>
        <v/>
      </c>
      <c r="DB614" s="1154" t="str">
        <f t="shared" si="85"/>
        <v/>
      </c>
      <c r="DC614" s="1154" t="str">
        <f t="shared" si="86"/>
        <v/>
      </c>
      <c r="DD614" s="1154" t="str">
        <f t="shared" si="87"/>
        <v/>
      </c>
      <c r="DE614" s="1154" t="str">
        <f t="shared" si="88"/>
        <v/>
      </c>
      <c r="DF614" s="1154" t="str">
        <f t="shared" si="89"/>
        <v/>
      </c>
      <c r="DG614" s="1154" t="str">
        <f t="shared" si="90"/>
        <v/>
      </c>
      <c r="DH614" s="1154" t="str">
        <f t="shared" si="91"/>
        <v/>
      </c>
      <c r="DI614" s="1154" t="str">
        <f t="shared" si="92"/>
        <v/>
      </c>
      <c r="DJ614" s="1154" t="str">
        <f t="shared" si="93"/>
        <v/>
      </c>
      <c r="DK614" s="1154" t="str">
        <f t="shared" si="94"/>
        <v/>
      </c>
      <c r="DL614" s="1154" t="str">
        <f t="shared" si="95"/>
        <v/>
      </c>
      <c r="DM614" s="1154" t="str">
        <f t="shared" si="96"/>
        <v/>
      </c>
      <c r="DN614" s="1154" t="str">
        <f t="shared" si="97"/>
        <v/>
      </c>
      <c r="DO614" s="1154" t="str">
        <f t="shared" si="98"/>
        <v/>
      </c>
      <c r="DP614" s="1154" t="str">
        <f t="shared" si="99"/>
        <v/>
      </c>
      <c r="DQ614" s="1154" t="str">
        <f t="shared" si="100"/>
        <v/>
      </c>
      <c r="DR614" s="1154" t="str">
        <f t="shared" si="101"/>
        <v/>
      </c>
      <c r="DS614" s="1154" t="str">
        <f t="shared" si="102"/>
        <v/>
      </c>
      <c r="DT614" s="1154" t="str">
        <f t="shared" si="103"/>
        <v/>
      </c>
      <c r="DU614" s="1154" t="str">
        <f t="shared" si="104"/>
        <v/>
      </c>
      <c r="DV614" s="1154" t="str">
        <f t="shared" si="105"/>
        <v/>
      </c>
      <c r="DW614" s="1154" t="str">
        <f t="shared" si="106"/>
        <v/>
      </c>
      <c r="DX614" s="1154" t="str">
        <f t="shared" si="107"/>
        <v/>
      </c>
      <c r="DY614" s="1154" t="str">
        <f t="shared" si="108"/>
        <v/>
      </c>
      <c r="DZ614" s="1154" t="str">
        <f t="shared" si="109"/>
        <v/>
      </c>
      <c r="EA614" s="1154" t="str">
        <f t="shared" si="110"/>
        <v/>
      </c>
      <c r="EB614" s="1154" t="str">
        <f t="shared" si="111"/>
        <v/>
      </c>
      <c r="EC614" s="1154" t="str">
        <f t="shared" si="112"/>
        <v/>
      </c>
      <c r="ED614" s="1154" t="str">
        <f t="shared" si="113"/>
        <v/>
      </c>
      <c r="EE614" s="1154" t="str">
        <f t="shared" si="114"/>
        <v/>
      </c>
      <c r="EF614" s="1154" t="str">
        <f t="shared" si="115"/>
        <v/>
      </c>
      <c r="EG614" s="1154" t="str">
        <f t="shared" si="311"/>
        <v/>
      </c>
      <c r="EH614" s="1154" t="str">
        <f t="shared" si="116"/>
        <v/>
      </c>
      <c r="EI614" s="1154" t="str">
        <f t="shared" si="117"/>
        <v/>
      </c>
      <c r="EJ614" s="1154" t="str">
        <f t="shared" si="118"/>
        <v/>
      </c>
      <c r="EK614" s="1154" t="str">
        <f t="shared" si="119"/>
        <v/>
      </c>
      <c r="EL614" s="1154" t="str">
        <f t="shared" si="120"/>
        <v/>
      </c>
      <c r="EM614" s="1154" t="str">
        <f t="shared" si="121"/>
        <v/>
      </c>
      <c r="EN614" s="1154" t="str">
        <f t="shared" si="122"/>
        <v/>
      </c>
      <c r="EO614" s="1154" t="str">
        <f t="shared" si="123"/>
        <v/>
      </c>
      <c r="EP614" s="1154" t="str">
        <f t="shared" si="124"/>
        <v/>
      </c>
      <c r="EQ614" s="1154" t="str">
        <f t="shared" si="125"/>
        <v/>
      </c>
      <c r="ER614" s="1154" t="str">
        <f t="shared" si="126"/>
        <v/>
      </c>
      <c r="ES614" s="1154" t="str">
        <f t="shared" si="127"/>
        <v/>
      </c>
      <c r="ET614" s="1154" t="str">
        <f t="shared" si="128"/>
        <v/>
      </c>
      <c r="EU614" s="1154" t="str">
        <f t="shared" si="129"/>
        <v/>
      </c>
      <c r="EV614" s="1154" t="str">
        <f t="shared" si="130"/>
        <v/>
      </c>
      <c r="EW614" s="1154" t="str">
        <f t="shared" si="312"/>
        <v/>
      </c>
      <c r="EX614" s="1154" t="str">
        <f t="shared" si="313"/>
        <v/>
      </c>
      <c r="EY614" s="1154" t="str">
        <f t="shared" si="314"/>
        <v/>
      </c>
      <c r="EZ614" s="1154" t="str">
        <f t="shared" si="315"/>
        <v/>
      </c>
      <c r="FA614" s="1154" t="str">
        <f t="shared" si="316"/>
        <v/>
      </c>
      <c r="FB614" s="1154" t="str">
        <f t="shared" si="131"/>
        <v/>
      </c>
      <c r="FC614" s="1154" t="str">
        <f t="shared" si="132"/>
        <v/>
      </c>
      <c r="FD614" s="1154" t="str">
        <f t="shared" si="133"/>
        <v/>
      </c>
      <c r="FE614" s="1154" t="str">
        <f t="shared" si="134"/>
        <v/>
      </c>
      <c r="FF614" s="1154" t="str">
        <f t="shared" si="135"/>
        <v/>
      </c>
      <c r="FG614" s="1154" t="str">
        <f t="shared" si="317"/>
        <v/>
      </c>
      <c r="FH614" s="1154" t="str">
        <f t="shared" si="318"/>
        <v/>
      </c>
      <c r="FI614" s="1154" t="str">
        <f t="shared" si="319"/>
        <v/>
      </c>
      <c r="FJ614" s="1154" t="str">
        <f t="shared" si="320"/>
        <v/>
      </c>
      <c r="FK614" s="1154" t="str">
        <f t="shared" si="321"/>
        <v/>
      </c>
      <c r="FL614" s="1154" t="str">
        <f t="shared" si="136"/>
        <v/>
      </c>
      <c r="FM614" s="1154" t="str">
        <f t="shared" si="137"/>
        <v/>
      </c>
      <c r="FN614" s="1154" t="str">
        <f t="shared" si="138"/>
        <v/>
      </c>
      <c r="FO614" s="1154" t="str">
        <f t="shared" si="139"/>
        <v/>
      </c>
      <c r="FP614" s="1154" t="str">
        <f t="shared" si="140"/>
        <v/>
      </c>
      <c r="FQ614" s="1154" t="str">
        <f t="shared" si="141"/>
        <v/>
      </c>
      <c r="FR614" s="1154" t="str">
        <f t="shared" si="142"/>
        <v/>
      </c>
      <c r="FS614" s="1154" t="str">
        <f t="shared" si="143"/>
        <v/>
      </c>
      <c r="FT614" s="1154" t="str">
        <f t="shared" si="144"/>
        <v/>
      </c>
      <c r="FU614" s="1154" t="str">
        <f t="shared" si="145"/>
        <v/>
      </c>
      <c r="FV614" s="1154" t="str">
        <f t="shared" si="146"/>
        <v/>
      </c>
      <c r="FW614" s="1154" t="str">
        <f t="shared" si="147"/>
        <v/>
      </c>
      <c r="FX614" s="1154" t="str">
        <f t="shared" si="148"/>
        <v/>
      </c>
      <c r="FY614" s="1154" t="str">
        <f t="shared" si="149"/>
        <v/>
      </c>
      <c r="FZ614" s="1154" t="str">
        <f t="shared" si="150"/>
        <v/>
      </c>
      <c r="GA614" s="1154" t="str">
        <f t="shared" si="151"/>
        <v/>
      </c>
      <c r="GB614" s="1154" t="str">
        <f t="shared" si="152"/>
        <v/>
      </c>
      <c r="GC614" s="1154" t="str">
        <f t="shared" si="153"/>
        <v/>
      </c>
      <c r="GD614" s="1154" t="str">
        <f t="shared" si="154"/>
        <v/>
      </c>
      <c r="GE614" s="1154" t="str">
        <f t="shared" si="155"/>
        <v/>
      </c>
      <c r="GF614" s="1154" t="str">
        <f t="shared" si="156"/>
        <v/>
      </c>
      <c r="GG614" s="1154" t="str">
        <f t="shared" si="157"/>
        <v/>
      </c>
      <c r="GH614" s="1154" t="str">
        <f t="shared" si="158"/>
        <v/>
      </c>
      <c r="GI614" s="1154" t="str">
        <f t="shared" si="159"/>
        <v/>
      </c>
      <c r="GJ614" s="1154" t="str">
        <f t="shared" si="160"/>
        <v/>
      </c>
      <c r="GK614" s="1154" t="str">
        <f t="shared" si="161"/>
        <v/>
      </c>
      <c r="GL614" s="1154" t="str">
        <f t="shared" si="162"/>
        <v/>
      </c>
      <c r="GM614" s="1154" t="str">
        <f t="shared" si="163"/>
        <v/>
      </c>
      <c r="GN614" s="1154" t="str">
        <f t="shared" si="164"/>
        <v/>
      </c>
      <c r="GO614" s="1154" t="str">
        <f t="shared" si="165"/>
        <v/>
      </c>
      <c r="GP614" s="1154" t="str">
        <f t="shared" si="166"/>
        <v/>
      </c>
      <c r="GQ614" s="1154" t="str">
        <f t="shared" si="167"/>
        <v/>
      </c>
      <c r="GR614" s="1154" t="str">
        <f t="shared" si="168"/>
        <v/>
      </c>
      <c r="GS614" s="1154" t="str">
        <f t="shared" si="169"/>
        <v/>
      </c>
      <c r="GT614" s="1154" t="str">
        <f t="shared" si="170"/>
        <v/>
      </c>
      <c r="GU614" s="1154" t="str">
        <f t="shared" si="171"/>
        <v/>
      </c>
      <c r="GV614" s="1154" t="str">
        <f t="shared" si="172"/>
        <v/>
      </c>
      <c r="GW614" s="1154" t="str">
        <f t="shared" si="173"/>
        <v/>
      </c>
      <c r="GX614" s="1154" t="str">
        <f t="shared" si="174"/>
        <v/>
      </c>
      <c r="GY614" s="1154" t="str">
        <f t="shared" si="175"/>
        <v/>
      </c>
      <c r="GZ614" s="1154" t="str">
        <f t="shared" si="176"/>
        <v/>
      </c>
      <c r="HA614" s="1154" t="str">
        <f t="shared" si="177"/>
        <v/>
      </c>
      <c r="HB614" s="1154" t="str">
        <f t="shared" si="178"/>
        <v/>
      </c>
      <c r="HC614" s="1154" t="str">
        <f t="shared" si="179"/>
        <v/>
      </c>
      <c r="HD614" s="1154" t="str">
        <f t="shared" si="180"/>
        <v/>
      </c>
      <c r="HE614" s="1154" t="str">
        <f t="shared" si="181"/>
        <v/>
      </c>
      <c r="HF614" s="1154" t="str">
        <f t="shared" si="182"/>
        <v/>
      </c>
      <c r="HG614" s="1154" t="str">
        <f t="shared" si="183"/>
        <v/>
      </c>
      <c r="HH614" s="1154" t="str">
        <f t="shared" si="184"/>
        <v/>
      </c>
      <c r="HI614" s="1154" t="str">
        <f t="shared" si="185"/>
        <v/>
      </c>
      <c r="HJ614" s="1154" t="str">
        <f t="shared" si="186"/>
        <v/>
      </c>
      <c r="HK614" s="1154" t="str">
        <f t="shared" si="187"/>
        <v/>
      </c>
      <c r="HL614" s="1154" t="str">
        <f t="shared" si="188"/>
        <v/>
      </c>
      <c r="HM614" s="1154" t="str">
        <f t="shared" si="189"/>
        <v/>
      </c>
      <c r="HN614" s="1154" t="str">
        <f t="shared" si="190"/>
        <v/>
      </c>
      <c r="HO614" s="1154" t="str">
        <f t="shared" si="191"/>
        <v/>
      </c>
      <c r="HP614" s="1154" t="str">
        <f t="shared" si="192"/>
        <v/>
      </c>
      <c r="HQ614" s="1154" t="str">
        <f t="shared" si="193"/>
        <v/>
      </c>
      <c r="HR614" s="1154" t="str">
        <f t="shared" si="194"/>
        <v/>
      </c>
      <c r="HS614" s="1154" t="str">
        <f t="shared" si="195"/>
        <v/>
      </c>
      <c r="HT614" s="1154" t="str">
        <f t="shared" si="196"/>
        <v/>
      </c>
      <c r="HU614" s="1154" t="str">
        <f t="shared" si="197"/>
        <v/>
      </c>
      <c r="HV614" s="1154" t="str">
        <f t="shared" si="198"/>
        <v/>
      </c>
      <c r="HW614" s="1154" t="str">
        <f t="shared" si="199"/>
        <v/>
      </c>
      <c r="HX614" s="1154" t="str">
        <f t="shared" si="200"/>
        <v/>
      </c>
      <c r="HY614" s="1681" t="str">
        <f t="shared" si="201"/>
        <v/>
      </c>
      <c r="HZ614" s="1681" t="str">
        <f t="shared" si="202"/>
        <v/>
      </c>
      <c r="IA614" s="1681" t="str">
        <f t="shared" si="203"/>
        <v/>
      </c>
      <c r="IB614" s="1681" t="str">
        <f t="shared" si="204"/>
        <v/>
      </c>
      <c r="IC614" s="1681" t="str">
        <f t="shared" si="205"/>
        <v/>
      </c>
      <c r="ID614" s="1681" t="str">
        <f t="shared" si="206"/>
        <v/>
      </c>
      <c r="IE614" s="1681" t="str">
        <f t="shared" si="207"/>
        <v/>
      </c>
      <c r="IF614" s="1681" t="str">
        <f t="shared" si="208"/>
        <v/>
      </c>
      <c r="IG614" s="1681" t="str">
        <f t="shared" si="209"/>
        <v/>
      </c>
      <c r="IH614" s="1681" t="str">
        <f t="shared" si="210"/>
        <v/>
      </c>
      <c r="II614" s="1681" t="str">
        <f t="shared" si="211"/>
        <v/>
      </c>
      <c r="IJ614" s="1681" t="str">
        <f t="shared" si="212"/>
        <v/>
      </c>
      <c r="IK614" s="1681" t="str">
        <f t="shared" si="213"/>
        <v/>
      </c>
      <c r="IL614" s="1681" t="str">
        <f t="shared" si="214"/>
        <v/>
      </c>
      <c r="IM614" s="1681" t="str">
        <f t="shared" si="215"/>
        <v/>
      </c>
      <c r="IN614" s="1681" t="str">
        <f t="shared" si="216"/>
        <v/>
      </c>
      <c r="IO614" s="1681" t="str">
        <f t="shared" si="217"/>
        <v/>
      </c>
      <c r="IP614" s="1681" t="str">
        <f t="shared" si="218"/>
        <v/>
      </c>
      <c r="IQ614" s="1681" t="str">
        <f t="shared" si="219"/>
        <v/>
      </c>
      <c r="IR614" s="1681" t="str">
        <f t="shared" si="220"/>
        <v/>
      </c>
      <c r="IS614" s="1681" t="str">
        <f t="shared" si="221"/>
        <v/>
      </c>
      <c r="IT614" s="1681" t="str">
        <f t="shared" si="222"/>
        <v/>
      </c>
      <c r="IU614" s="1681" t="str">
        <f t="shared" si="223"/>
        <v/>
      </c>
      <c r="IV614" s="1681" t="str">
        <f t="shared" si="224"/>
        <v/>
      </c>
      <c r="IW614" s="1681" t="str">
        <f t="shared" si="225"/>
        <v/>
      </c>
      <c r="IX614" s="1681" t="str">
        <f t="shared" si="226"/>
        <v/>
      </c>
      <c r="IY614" s="1681" t="str">
        <f t="shared" si="227"/>
        <v/>
      </c>
      <c r="IZ614" s="1681" t="str">
        <f t="shared" si="228"/>
        <v/>
      </c>
      <c r="JA614" s="1681" t="str">
        <f t="shared" si="229"/>
        <v/>
      </c>
      <c r="JB614" s="1681" t="str">
        <f t="shared" si="230"/>
        <v/>
      </c>
      <c r="JC614" s="1681" t="str">
        <f t="shared" si="231"/>
        <v/>
      </c>
      <c r="JD614" s="1681" t="str">
        <f t="shared" si="232"/>
        <v/>
      </c>
      <c r="JE614" s="1681" t="str">
        <f t="shared" si="233"/>
        <v/>
      </c>
      <c r="JF614" s="1681" t="str">
        <f t="shared" si="234"/>
        <v/>
      </c>
      <c r="JG614" s="1681" t="str">
        <f t="shared" si="235"/>
        <v/>
      </c>
      <c r="JH614" s="1681" t="str">
        <f t="shared" si="236"/>
        <v/>
      </c>
      <c r="JI614" s="1681" t="str">
        <f t="shared" si="237"/>
        <v/>
      </c>
      <c r="JJ614" s="1681" t="str">
        <f t="shared" si="238"/>
        <v/>
      </c>
      <c r="JK614" s="1681" t="str">
        <f t="shared" si="239"/>
        <v/>
      </c>
      <c r="JL614" s="1681" t="str">
        <f t="shared" si="240"/>
        <v/>
      </c>
      <c r="JM614" s="1681" t="str">
        <f t="shared" si="241"/>
        <v/>
      </c>
      <c r="JN614" s="1681" t="str">
        <f t="shared" si="242"/>
        <v/>
      </c>
      <c r="JO614" s="1681" t="str">
        <f t="shared" si="243"/>
        <v/>
      </c>
      <c r="JP614" s="1681" t="str">
        <f t="shared" si="244"/>
        <v/>
      </c>
      <c r="JQ614" s="1681" t="str">
        <f t="shared" si="245"/>
        <v/>
      </c>
      <c r="JR614" s="1681" t="str">
        <f t="shared" si="246"/>
        <v/>
      </c>
      <c r="JS614" s="1681" t="str">
        <f t="shared" si="247"/>
        <v/>
      </c>
      <c r="JT614" s="1681" t="str">
        <f t="shared" si="248"/>
        <v/>
      </c>
      <c r="JU614" s="1681" t="str">
        <f t="shared" si="249"/>
        <v/>
      </c>
      <c r="JV614" s="1681" t="str">
        <f t="shared" si="250"/>
        <v/>
      </c>
      <c r="JW614" s="1681" t="str">
        <f t="shared" si="251"/>
        <v/>
      </c>
      <c r="JX614" s="1681" t="str">
        <f t="shared" si="252"/>
        <v/>
      </c>
      <c r="JY614" s="1681" t="str">
        <f t="shared" si="253"/>
        <v/>
      </c>
      <c r="JZ614" s="1681" t="str">
        <f t="shared" si="254"/>
        <v/>
      </c>
      <c r="KA614" s="1681" t="str">
        <f t="shared" si="255"/>
        <v/>
      </c>
      <c r="KB614" s="1681" t="str">
        <f t="shared" si="256"/>
        <v/>
      </c>
      <c r="KC614" s="1681" t="str">
        <f t="shared" si="257"/>
        <v/>
      </c>
      <c r="KD614" s="1681" t="str">
        <f t="shared" si="258"/>
        <v/>
      </c>
      <c r="KE614" s="1681" t="str">
        <f t="shared" si="259"/>
        <v/>
      </c>
      <c r="KF614" s="1681" t="str">
        <f t="shared" si="260"/>
        <v/>
      </c>
      <c r="KG614" s="1681" t="str">
        <f t="shared" si="261"/>
        <v/>
      </c>
      <c r="KH614" s="1681" t="str">
        <f t="shared" si="262"/>
        <v/>
      </c>
      <c r="KI614" s="1681" t="str">
        <f t="shared" si="263"/>
        <v/>
      </c>
      <c r="KJ614" s="1681" t="str">
        <f t="shared" si="264"/>
        <v/>
      </c>
      <c r="KK614" s="1681" t="str">
        <f t="shared" si="265"/>
        <v/>
      </c>
      <c r="KL614" s="1681" t="str">
        <f t="shared" si="266"/>
        <v/>
      </c>
      <c r="KM614" s="1681" t="str">
        <f t="shared" si="267"/>
        <v/>
      </c>
      <c r="KN614" s="1681" t="str">
        <f t="shared" si="268"/>
        <v/>
      </c>
      <c r="KO614" s="1681" t="str">
        <f t="shared" si="269"/>
        <v/>
      </c>
      <c r="KP614" s="1681" t="str">
        <f t="shared" si="270"/>
        <v/>
      </c>
      <c r="KQ614" s="1681" t="str">
        <f t="shared" si="271"/>
        <v/>
      </c>
      <c r="KR614" s="1681" t="str">
        <f t="shared" si="272"/>
        <v/>
      </c>
      <c r="KS614" s="1681" t="str">
        <f t="shared" si="273"/>
        <v/>
      </c>
      <c r="KT614" s="1681" t="str">
        <f t="shared" si="274"/>
        <v/>
      </c>
      <c r="KU614" s="1681" t="str">
        <f t="shared" si="275"/>
        <v/>
      </c>
      <c r="KV614" s="1681" t="str">
        <f t="shared" si="276"/>
        <v/>
      </c>
      <c r="KW614" s="1681" t="str">
        <f t="shared" si="277"/>
        <v/>
      </c>
      <c r="KX614" s="1681" t="str">
        <f t="shared" si="278"/>
        <v/>
      </c>
      <c r="KY614" s="1681" t="str">
        <f t="shared" si="279"/>
        <v/>
      </c>
      <c r="KZ614" s="1681" t="str">
        <f t="shared" si="280"/>
        <v/>
      </c>
      <c r="LA614" s="1681" t="str">
        <f t="shared" si="281"/>
        <v/>
      </c>
      <c r="LB614" s="1681" t="str">
        <f t="shared" si="282"/>
        <v/>
      </c>
      <c r="LC614" s="1681" t="str">
        <f t="shared" si="283"/>
        <v/>
      </c>
      <c r="LD614" s="1681" t="str">
        <f t="shared" si="284"/>
        <v/>
      </c>
      <c r="LE614" s="1681" t="str">
        <f t="shared" si="285"/>
        <v/>
      </c>
      <c r="LF614" s="1525" t="str">
        <f t="shared" si="286"/>
        <v/>
      </c>
      <c r="LG614" s="1525" t="str">
        <f t="shared" si="287"/>
        <v/>
      </c>
      <c r="LH614" s="1525" t="str">
        <f t="shared" si="288"/>
        <v/>
      </c>
      <c r="LI614" s="1525" t="str">
        <f t="shared" si="289"/>
        <v/>
      </c>
      <c r="LJ614" s="1525" t="str">
        <f t="shared" si="290"/>
        <v/>
      </c>
      <c r="LK614" s="1154" t="str">
        <f t="shared" si="291"/>
        <v/>
      </c>
      <c r="LL614" s="1154" t="str">
        <f t="shared" si="292"/>
        <v/>
      </c>
      <c r="LM614" s="1154" t="str">
        <f t="shared" si="293"/>
        <v/>
      </c>
      <c r="LN614" s="1154" t="str">
        <f t="shared" si="294"/>
        <v/>
      </c>
      <c r="LO614" s="1154" t="str">
        <f t="shared" si="295"/>
        <v/>
      </c>
      <c r="LP614" s="1154" t="str">
        <f t="shared" si="296"/>
        <v/>
      </c>
      <c r="LQ614" s="1154" t="str">
        <f t="shared" si="297"/>
        <v/>
      </c>
      <c r="LR614" s="1154" t="str">
        <f t="shared" si="298"/>
        <v/>
      </c>
      <c r="LS614" s="1154" t="str">
        <f t="shared" si="299"/>
        <v/>
      </c>
      <c r="LT614" s="1154" t="str">
        <f t="shared" si="300"/>
        <v/>
      </c>
      <c r="LU614" s="1154" t="str">
        <f t="shared" si="301"/>
        <v/>
      </c>
      <c r="LV614" s="1154" t="str">
        <f t="shared" si="302"/>
        <v/>
      </c>
      <c r="LW614" s="1154" t="str">
        <f t="shared" si="303"/>
        <v/>
      </c>
      <c r="LX614" s="1154" t="str">
        <f t="shared" si="304"/>
        <v/>
      </c>
      <c r="LY614" s="1154" t="str">
        <f t="shared" si="305"/>
        <v/>
      </c>
      <c r="LZ614" s="1154" t="str">
        <f t="shared" si="306"/>
        <v/>
      </c>
      <c r="MA614" s="1154" t="str">
        <f t="shared" si="307"/>
        <v/>
      </c>
      <c r="MB614" s="1154" t="str">
        <f t="shared" si="308"/>
        <v/>
      </c>
      <c r="MC614" s="1154" t="str">
        <f t="shared" si="309"/>
        <v/>
      </c>
      <c r="MD614" s="1154" t="str">
        <f t="shared" si="310"/>
        <v/>
      </c>
      <c r="ME614" s="1525">
        <f t="shared" si="322"/>
        <v>0</v>
      </c>
      <c r="MF614" s="1525">
        <f t="shared" si="323"/>
        <v>0</v>
      </c>
      <c r="MG614" s="1525">
        <f t="shared" si="324"/>
        <v>0</v>
      </c>
      <c r="MH614" s="1525">
        <f t="shared" si="325"/>
        <v>0</v>
      </c>
      <c r="MI614" s="1525">
        <f t="shared" si="326"/>
        <v>0</v>
      </c>
      <c r="MJ614" s="1525">
        <f t="shared" si="327"/>
        <v>0</v>
      </c>
      <c r="MK614" s="1525">
        <f t="shared" si="328"/>
        <v>0</v>
      </c>
      <c r="ML614" s="1525">
        <f t="shared" si="329"/>
        <v>0</v>
      </c>
      <c r="MM614" s="1525">
        <f t="shared" si="330"/>
        <v>0</v>
      </c>
      <c r="MN614" s="1525">
        <f t="shared" si="331"/>
        <v>0</v>
      </c>
      <c r="MO614" s="1525">
        <f t="shared" si="332"/>
        <v>0</v>
      </c>
      <c r="MP614" s="1525">
        <f t="shared" si="333"/>
        <v>0</v>
      </c>
      <c r="MQ614" s="1525">
        <f t="shared" si="334"/>
        <v>0</v>
      </c>
      <c r="MR614" s="1525">
        <f t="shared" si="335"/>
        <v>0</v>
      </c>
      <c r="MS614" s="1525">
        <f t="shared" si="336"/>
        <v>0</v>
      </c>
    </row>
    <row r="615" spans="1:358" s="1154" customFormat="1" ht="12" customHeight="1">
      <c r="A615" s="1524" t="str">
        <f t="shared" si="1"/>
        <v/>
      </c>
      <c r="B615" s="1682">
        <f>'Part VI-Revenues &amp; Expenses'!B44</f>
        <v>0</v>
      </c>
      <c r="C615" s="1673">
        <f>'Part VI-Revenues &amp; Expenses'!C44</f>
        <v>0</v>
      </c>
      <c r="D615" s="1674">
        <f>'Part VI-Revenues &amp; Expenses'!D44</f>
        <v>0</v>
      </c>
      <c r="E615" s="1675">
        <f>'Part VI-Revenues &amp; Expenses'!E44</f>
        <v>0</v>
      </c>
      <c r="F615" s="1675">
        <f>'Part VI-Revenues &amp; Expenses'!F44</f>
        <v>0</v>
      </c>
      <c r="G615" s="1675">
        <f>'Part VI-Revenues &amp; Expenses'!G44</f>
        <v>0</v>
      </c>
      <c r="H615" s="1675">
        <f>'Part VI-Revenues &amp; Expenses'!H44</f>
        <v>0</v>
      </c>
      <c r="I615" s="1675">
        <f>'Part VI-Revenues &amp; Expenses'!I44</f>
        <v>0</v>
      </c>
      <c r="J615" s="1676">
        <f>'Part VI-Revenues &amp; Expenses'!J44</f>
        <v>0</v>
      </c>
      <c r="K615" s="1677">
        <f>'Part VI-Revenues &amp; Expenses'!K44</f>
        <v>0</v>
      </c>
      <c r="L615" s="1677">
        <f>'Part VI-Revenues &amp; Expenses'!L44</f>
        <v>0</v>
      </c>
      <c r="M615" s="1678">
        <f>'Part VI-Revenues &amp; Expenses'!M44</f>
        <v>0</v>
      </c>
      <c r="N615" s="1678">
        <f>'Part VI-Revenues &amp; Expenses'!N44</f>
        <v>0</v>
      </c>
      <c r="O615" s="1678">
        <f>'Part VI-Revenues &amp; Expenses'!O44</f>
        <v>0</v>
      </c>
      <c r="P615" s="1660">
        <f>'Part VI-Revenues &amp; Expenses'!P44</f>
        <v>0</v>
      </c>
      <c r="Q615" s="1679"/>
      <c r="R615" s="1680"/>
      <c r="S615" s="1679"/>
      <c r="T615" s="1680"/>
      <c r="U615" s="1519"/>
      <c r="V615" s="1519"/>
      <c r="W615" s="1154" t="str">
        <f t="shared" si="2"/>
        <v/>
      </c>
      <c r="X615" s="1154" t="str">
        <f t="shared" si="3"/>
        <v/>
      </c>
      <c r="Y615" s="1154" t="str">
        <f t="shared" si="4"/>
        <v/>
      </c>
      <c r="Z615" s="1154" t="str">
        <f t="shared" si="5"/>
        <v/>
      </c>
      <c r="AA615" s="1154" t="str">
        <f t="shared" si="6"/>
        <v/>
      </c>
      <c r="AB615" s="1154" t="str">
        <f t="shared" si="7"/>
        <v/>
      </c>
      <c r="AC615" s="1154" t="str">
        <f t="shared" si="8"/>
        <v/>
      </c>
      <c r="AD615" s="1154" t="str">
        <f t="shared" si="9"/>
        <v/>
      </c>
      <c r="AE615" s="1154" t="str">
        <f t="shared" si="10"/>
        <v/>
      </c>
      <c r="AF615" s="1154" t="str">
        <f t="shared" si="11"/>
        <v/>
      </c>
      <c r="AG615" s="1154" t="str">
        <f t="shared" si="12"/>
        <v/>
      </c>
      <c r="AH615" s="1154" t="str">
        <f t="shared" si="13"/>
        <v/>
      </c>
      <c r="AI615" s="1154" t="str">
        <f t="shared" si="14"/>
        <v/>
      </c>
      <c r="AJ615" s="1154" t="str">
        <f t="shared" si="15"/>
        <v/>
      </c>
      <c r="AK615" s="1154" t="str">
        <f t="shared" si="16"/>
        <v/>
      </c>
      <c r="AL615" s="1154" t="str">
        <f t="shared" si="17"/>
        <v/>
      </c>
      <c r="AM615" s="1154" t="str">
        <f t="shared" si="18"/>
        <v/>
      </c>
      <c r="AN615" s="1154" t="str">
        <f t="shared" si="19"/>
        <v/>
      </c>
      <c r="AO615" s="1154" t="str">
        <f t="shared" si="20"/>
        <v/>
      </c>
      <c r="AP615" s="1154" t="str">
        <f t="shared" si="21"/>
        <v/>
      </c>
      <c r="AQ615" s="1154" t="str">
        <f t="shared" si="22"/>
        <v/>
      </c>
      <c r="AR615" s="1154" t="str">
        <f t="shared" si="23"/>
        <v/>
      </c>
      <c r="AS615" s="1154" t="str">
        <f t="shared" si="24"/>
        <v/>
      </c>
      <c r="AT615" s="1154" t="str">
        <f t="shared" si="25"/>
        <v/>
      </c>
      <c r="AU615" s="1154" t="str">
        <f t="shared" si="26"/>
        <v/>
      </c>
      <c r="AV615" s="1154" t="str">
        <f t="shared" si="27"/>
        <v/>
      </c>
      <c r="AW615" s="1154" t="str">
        <f t="shared" si="28"/>
        <v/>
      </c>
      <c r="AX615" s="1154" t="str">
        <f t="shared" si="29"/>
        <v/>
      </c>
      <c r="AY615" s="1154" t="str">
        <f t="shared" si="30"/>
        <v/>
      </c>
      <c r="AZ615" s="1154" t="str">
        <f t="shared" si="31"/>
        <v/>
      </c>
      <c r="BA615" s="1154" t="str">
        <f t="shared" si="32"/>
        <v/>
      </c>
      <c r="BB615" s="1154" t="str">
        <f t="shared" si="33"/>
        <v/>
      </c>
      <c r="BC615" s="1154" t="str">
        <f t="shared" si="34"/>
        <v/>
      </c>
      <c r="BD615" s="1154" t="str">
        <f t="shared" si="35"/>
        <v/>
      </c>
      <c r="BE615" s="1154" t="str">
        <f t="shared" si="36"/>
        <v/>
      </c>
      <c r="BF615" s="1154" t="str">
        <f t="shared" si="37"/>
        <v/>
      </c>
      <c r="BG615" s="1154" t="str">
        <f t="shared" si="38"/>
        <v/>
      </c>
      <c r="BH615" s="1154" t="str">
        <f t="shared" si="39"/>
        <v/>
      </c>
      <c r="BI615" s="1154" t="str">
        <f t="shared" si="40"/>
        <v/>
      </c>
      <c r="BJ615" s="1154" t="str">
        <f t="shared" si="41"/>
        <v/>
      </c>
      <c r="BK615" s="1154" t="str">
        <f t="shared" si="42"/>
        <v/>
      </c>
      <c r="BL615" s="1154" t="str">
        <f t="shared" si="43"/>
        <v/>
      </c>
      <c r="BM615" s="1154" t="str">
        <f t="shared" si="44"/>
        <v/>
      </c>
      <c r="BN615" s="1154" t="str">
        <f t="shared" si="45"/>
        <v/>
      </c>
      <c r="BO615" s="1154" t="str">
        <f t="shared" si="46"/>
        <v/>
      </c>
      <c r="BP615" s="1154" t="str">
        <f t="shared" si="47"/>
        <v/>
      </c>
      <c r="BQ615" s="1154" t="str">
        <f t="shared" si="48"/>
        <v/>
      </c>
      <c r="BR615" s="1154" t="str">
        <f t="shared" si="49"/>
        <v/>
      </c>
      <c r="BS615" s="1154" t="str">
        <f t="shared" si="50"/>
        <v/>
      </c>
      <c r="BT615" s="1154" t="str">
        <f t="shared" si="51"/>
        <v/>
      </c>
      <c r="BU615" s="1154" t="str">
        <f t="shared" si="52"/>
        <v/>
      </c>
      <c r="BV615" s="1154" t="str">
        <f t="shared" si="53"/>
        <v/>
      </c>
      <c r="BW615" s="1154" t="str">
        <f t="shared" si="54"/>
        <v/>
      </c>
      <c r="BX615" s="1154" t="str">
        <f t="shared" si="55"/>
        <v/>
      </c>
      <c r="BY615" s="1154" t="str">
        <f t="shared" si="56"/>
        <v/>
      </c>
      <c r="BZ615" s="1154" t="str">
        <f t="shared" si="57"/>
        <v/>
      </c>
      <c r="CA615" s="1154" t="str">
        <f t="shared" si="58"/>
        <v/>
      </c>
      <c r="CB615" s="1154" t="str">
        <f t="shared" si="59"/>
        <v/>
      </c>
      <c r="CC615" s="1154" t="str">
        <f t="shared" si="60"/>
        <v/>
      </c>
      <c r="CD615" s="1154" t="str">
        <f t="shared" si="61"/>
        <v/>
      </c>
      <c r="CE615" s="1154" t="str">
        <f t="shared" si="62"/>
        <v/>
      </c>
      <c r="CF615" s="1154" t="str">
        <f t="shared" si="63"/>
        <v/>
      </c>
      <c r="CG615" s="1154" t="str">
        <f t="shared" si="64"/>
        <v/>
      </c>
      <c r="CH615" s="1154" t="str">
        <f t="shared" si="65"/>
        <v/>
      </c>
      <c r="CI615" s="1154" t="str">
        <f t="shared" si="66"/>
        <v/>
      </c>
      <c r="CJ615" s="1154" t="str">
        <f t="shared" si="67"/>
        <v/>
      </c>
      <c r="CK615" s="1154" t="str">
        <f t="shared" si="68"/>
        <v/>
      </c>
      <c r="CL615" s="1154" t="str">
        <f t="shared" si="69"/>
        <v/>
      </c>
      <c r="CM615" s="1154" t="str">
        <f t="shared" si="70"/>
        <v/>
      </c>
      <c r="CN615" s="1154" t="str">
        <f t="shared" si="71"/>
        <v/>
      </c>
      <c r="CO615" s="1154" t="str">
        <f t="shared" si="72"/>
        <v/>
      </c>
      <c r="CP615" s="1154" t="str">
        <f t="shared" si="73"/>
        <v/>
      </c>
      <c r="CQ615" s="1154" t="str">
        <f t="shared" si="74"/>
        <v/>
      </c>
      <c r="CR615" s="1154" t="str">
        <f t="shared" si="75"/>
        <v/>
      </c>
      <c r="CS615" s="1154" t="str">
        <f t="shared" si="76"/>
        <v/>
      </c>
      <c r="CT615" s="1154" t="str">
        <f t="shared" si="77"/>
        <v/>
      </c>
      <c r="CU615" s="1154" t="str">
        <f t="shared" si="78"/>
        <v/>
      </c>
      <c r="CV615" s="1154" t="str">
        <f t="shared" si="79"/>
        <v/>
      </c>
      <c r="CW615" s="1154" t="str">
        <f t="shared" si="80"/>
        <v/>
      </c>
      <c r="CX615" s="1154" t="str">
        <f t="shared" si="81"/>
        <v/>
      </c>
      <c r="CY615" s="1154" t="str">
        <f t="shared" si="82"/>
        <v/>
      </c>
      <c r="CZ615" s="1154" t="str">
        <f t="shared" si="83"/>
        <v/>
      </c>
      <c r="DA615" s="1154" t="str">
        <f t="shared" si="84"/>
        <v/>
      </c>
      <c r="DB615" s="1154" t="str">
        <f t="shared" si="85"/>
        <v/>
      </c>
      <c r="DC615" s="1154" t="str">
        <f t="shared" si="86"/>
        <v/>
      </c>
      <c r="DD615" s="1154" t="str">
        <f t="shared" si="87"/>
        <v/>
      </c>
      <c r="DE615" s="1154" t="str">
        <f t="shared" si="88"/>
        <v/>
      </c>
      <c r="DF615" s="1154" t="str">
        <f t="shared" si="89"/>
        <v/>
      </c>
      <c r="DG615" s="1154" t="str">
        <f t="shared" si="90"/>
        <v/>
      </c>
      <c r="DH615" s="1154" t="str">
        <f t="shared" si="91"/>
        <v/>
      </c>
      <c r="DI615" s="1154" t="str">
        <f t="shared" si="92"/>
        <v/>
      </c>
      <c r="DJ615" s="1154" t="str">
        <f t="shared" si="93"/>
        <v/>
      </c>
      <c r="DK615" s="1154" t="str">
        <f t="shared" si="94"/>
        <v/>
      </c>
      <c r="DL615" s="1154" t="str">
        <f t="shared" si="95"/>
        <v/>
      </c>
      <c r="DM615" s="1154" t="str">
        <f t="shared" si="96"/>
        <v/>
      </c>
      <c r="DN615" s="1154" t="str">
        <f t="shared" si="97"/>
        <v/>
      </c>
      <c r="DO615" s="1154" t="str">
        <f t="shared" si="98"/>
        <v/>
      </c>
      <c r="DP615" s="1154" t="str">
        <f t="shared" si="99"/>
        <v/>
      </c>
      <c r="DQ615" s="1154" t="str">
        <f t="shared" si="100"/>
        <v/>
      </c>
      <c r="DR615" s="1154" t="str">
        <f t="shared" si="101"/>
        <v/>
      </c>
      <c r="DS615" s="1154" t="str">
        <f t="shared" si="102"/>
        <v/>
      </c>
      <c r="DT615" s="1154" t="str">
        <f t="shared" si="103"/>
        <v/>
      </c>
      <c r="DU615" s="1154" t="str">
        <f t="shared" si="104"/>
        <v/>
      </c>
      <c r="DV615" s="1154" t="str">
        <f t="shared" si="105"/>
        <v/>
      </c>
      <c r="DW615" s="1154" t="str">
        <f t="shared" si="106"/>
        <v/>
      </c>
      <c r="DX615" s="1154" t="str">
        <f t="shared" si="107"/>
        <v/>
      </c>
      <c r="DY615" s="1154" t="str">
        <f t="shared" si="108"/>
        <v/>
      </c>
      <c r="DZ615" s="1154" t="str">
        <f t="shared" si="109"/>
        <v/>
      </c>
      <c r="EA615" s="1154" t="str">
        <f t="shared" si="110"/>
        <v/>
      </c>
      <c r="EB615" s="1154" t="str">
        <f t="shared" si="111"/>
        <v/>
      </c>
      <c r="EC615" s="1154" t="str">
        <f t="shared" si="112"/>
        <v/>
      </c>
      <c r="ED615" s="1154" t="str">
        <f t="shared" si="113"/>
        <v/>
      </c>
      <c r="EE615" s="1154" t="str">
        <f t="shared" si="114"/>
        <v/>
      </c>
      <c r="EF615" s="1154" t="str">
        <f t="shared" si="115"/>
        <v/>
      </c>
      <c r="EG615" s="1154" t="str">
        <f t="shared" si="311"/>
        <v/>
      </c>
      <c r="EH615" s="1154" t="str">
        <f t="shared" si="116"/>
        <v/>
      </c>
      <c r="EI615" s="1154" t="str">
        <f t="shared" si="117"/>
        <v/>
      </c>
      <c r="EJ615" s="1154" t="str">
        <f t="shared" si="118"/>
        <v/>
      </c>
      <c r="EK615" s="1154" t="str">
        <f t="shared" si="119"/>
        <v/>
      </c>
      <c r="EL615" s="1154" t="str">
        <f t="shared" si="120"/>
        <v/>
      </c>
      <c r="EM615" s="1154" t="str">
        <f t="shared" si="121"/>
        <v/>
      </c>
      <c r="EN615" s="1154" t="str">
        <f t="shared" si="122"/>
        <v/>
      </c>
      <c r="EO615" s="1154" t="str">
        <f t="shared" si="123"/>
        <v/>
      </c>
      <c r="EP615" s="1154" t="str">
        <f t="shared" si="124"/>
        <v/>
      </c>
      <c r="EQ615" s="1154" t="str">
        <f t="shared" si="125"/>
        <v/>
      </c>
      <c r="ER615" s="1154" t="str">
        <f t="shared" si="126"/>
        <v/>
      </c>
      <c r="ES615" s="1154" t="str">
        <f t="shared" si="127"/>
        <v/>
      </c>
      <c r="ET615" s="1154" t="str">
        <f t="shared" si="128"/>
        <v/>
      </c>
      <c r="EU615" s="1154" t="str">
        <f t="shared" si="129"/>
        <v/>
      </c>
      <c r="EV615" s="1154" t="str">
        <f t="shared" si="130"/>
        <v/>
      </c>
      <c r="EW615" s="1154" t="str">
        <f t="shared" si="312"/>
        <v/>
      </c>
      <c r="EX615" s="1154" t="str">
        <f t="shared" si="313"/>
        <v/>
      </c>
      <c r="EY615" s="1154" t="str">
        <f t="shared" si="314"/>
        <v/>
      </c>
      <c r="EZ615" s="1154" t="str">
        <f t="shared" si="315"/>
        <v/>
      </c>
      <c r="FA615" s="1154" t="str">
        <f t="shared" si="316"/>
        <v/>
      </c>
      <c r="FB615" s="1154" t="str">
        <f t="shared" si="131"/>
        <v/>
      </c>
      <c r="FC615" s="1154" t="str">
        <f t="shared" si="132"/>
        <v/>
      </c>
      <c r="FD615" s="1154" t="str">
        <f t="shared" si="133"/>
        <v/>
      </c>
      <c r="FE615" s="1154" t="str">
        <f t="shared" si="134"/>
        <v/>
      </c>
      <c r="FF615" s="1154" t="str">
        <f t="shared" si="135"/>
        <v/>
      </c>
      <c r="FG615" s="1154" t="str">
        <f t="shared" si="317"/>
        <v/>
      </c>
      <c r="FH615" s="1154" t="str">
        <f t="shared" si="318"/>
        <v/>
      </c>
      <c r="FI615" s="1154" t="str">
        <f t="shared" si="319"/>
        <v/>
      </c>
      <c r="FJ615" s="1154" t="str">
        <f t="shared" si="320"/>
        <v/>
      </c>
      <c r="FK615" s="1154" t="str">
        <f t="shared" si="321"/>
        <v/>
      </c>
      <c r="FL615" s="1154" t="str">
        <f t="shared" si="136"/>
        <v/>
      </c>
      <c r="FM615" s="1154" t="str">
        <f t="shared" si="137"/>
        <v/>
      </c>
      <c r="FN615" s="1154" t="str">
        <f t="shared" si="138"/>
        <v/>
      </c>
      <c r="FO615" s="1154" t="str">
        <f t="shared" si="139"/>
        <v/>
      </c>
      <c r="FP615" s="1154" t="str">
        <f t="shared" si="140"/>
        <v/>
      </c>
      <c r="FQ615" s="1154" t="str">
        <f t="shared" si="141"/>
        <v/>
      </c>
      <c r="FR615" s="1154" t="str">
        <f t="shared" si="142"/>
        <v/>
      </c>
      <c r="FS615" s="1154" t="str">
        <f t="shared" si="143"/>
        <v/>
      </c>
      <c r="FT615" s="1154" t="str">
        <f t="shared" si="144"/>
        <v/>
      </c>
      <c r="FU615" s="1154" t="str">
        <f t="shared" si="145"/>
        <v/>
      </c>
      <c r="FV615" s="1154" t="str">
        <f t="shared" si="146"/>
        <v/>
      </c>
      <c r="FW615" s="1154" t="str">
        <f t="shared" si="147"/>
        <v/>
      </c>
      <c r="FX615" s="1154" t="str">
        <f t="shared" si="148"/>
        <v/>
      </c>
      <c r="FY615" s="1154" t="str">
        <f t="shared" si="149"/>
        <v/>
      </c>
      <c r="FZ615" s="1154" t="str">
        <f t="shared" si="150"/>
        <v/>
      </c>
      <c r="GA615" s="1154" t="str">
        <f t="shared" si="151"/>
        <v/>
      </c>
      <c r="GB615" s="1154" t="str">
        <f t="shared" si="152"/>
        <v/>
      </c>
      <c r="GC615" s="1154" t="str">
        <f t="shared" si="153"/>
        <v/>
      </c>
      <c r="GD615" s="1154" t="str">
        <f t="shared" si="154"/>
        <v/>
      </c>
      <c r="GE615" s="1154" t="str">
        <f t="shared" si="155"/>
        <v/>
      </c>
      <c r="GF615" s="1154" t="str">
        <f t="shared" si="156"/>
        <v/>
      </c>
      <c r="GG615" s="1154" t="str">
        <f t="shared" si="157"/>
        <v/>
      </c>
      <c r="GH615" s="1154" t="str">
        <f t="shared" si="158"/>
        <v/>
      </c>
      <c r="GI615" s="1154" t="str">
        <f t="shared" si="159"/>
        <v/>
      </c>
      <c r="GJ615" s="1154" t="str">
        <f t="shared" si="160"/>
        <v/>
      </c>
      <c r="GK615" s="1154" t="str">
        <f t="shared" si="161"/>
        <v/>
      </c>
      <c r="GL615" s="1154" t="str">
        <f t="shared" si="162"/>
        <v/>
      </c>
      <c r="GM615" s="1154" t="str">
        <f t="shared" si="163"/>
        <v/>
      </c>
      <c r="GN615" s="1154" t="str">
        <f t="shared" si="164"/>
        <v/>
      </c>
      <c r="GO615" s="1154" t="str">
        <f t="shared" si="165"/>
        <v/>
      </c>
      <c r="GP615" s="1154" t="str">
        <f t="shared" si="166"/>
        <v/>
      </c>
      <c r="GQ615" s="1154" t="str">
        <f t="shared" si="167"/>
        <v/>
      </c>
      <c r="GR615" s="1154" t="str">
        <f t="shared" si="168"/>
        <v/>
      </c>
      <c r="GS615" s="1154" t="str">
        <f t="shared" si="169"/>
        <v/>
      </c>
      <c r="GT615" s="1154" t="str">
        <f t="shared" si="170"/>
        <v/>
      </c>
      <c r="GU615" s="1154" t="str">
        <f t="shared" si="171"/>
        <v/>
      </c>
      <c r="GV615" s="1154" t="str">
        <f t="shared" si="172"/>
        <v/>
      </c>
      <c r="GW615" s="1154" t="str">
        <f t="shared" si="173"/>
        <v/>
      </c>
      <c r="GX615" s="1154" t="str">
        <f t="shared" si="174"/>
        <v/>
      </c>
      <c r="GY615" s="1154" t="str">
        <f t="shared" si="175"/>
        <v/>
      </c>
      <c r="GZ615" s="1154" t="str">
        <f t="shared" si="176"/>
        <v/>
      </c>
      <c r="HA615" s="1154" t="str">
        <f t="shared" si="177"/>
        <v/>
      </c>
      <c r="HB615" s="1154" t="str">
        <f t="shared" si="178"/>
        <v/>
      </c>
      <c r="HC615" s="1154" t="str">
        <f t="shared" si="179"/>
        <v/>
      </c>
      <c r="HD615" s="1154" t="str">
        <f t="shared" si="180"/>
        <v/>
      </c>
      <c r="HE615" s="1154" t="str">
        <f t="shared" si="181"/>
        <v/>
      </c>
      <c r="HF615" s="1154" t="str">
        <f t="shared" si="182"/>
        <v/>
      </c>
      <c r="HG615" s="1154" t="str">
        <f t="shared" si="183"/>
        <v/>
      </c>
      <c r="HH615" s="1154" t="str">
        <f t="shared" si="184"/>
        <v/>
      </c>
      <c r="HI615" s="1154" t="str">
        <f t="shared" si="185"/>
        <v/>
      </c>
      <c r="HJ615" s="1154" t="str">
        <f t="shared" si="186"/>
        <v/>
      </c>
      <c r="HK615" s="1154" t="str">
        <f t="shared" si="187"/>
        <v/>
      </c>
      <c r="HL615" s="1154" t="str">
        <f t="shared" si="188"/>
        <v/>
      </c>
      <c r="HM615" s="1154" t="str">
        <f t="shared" si="189"/>
        <v/>
      </c>
      <c r="HN615" s="1154" t="str">
        <f t="shared" si="190"/>
        <v/>
      </c>
      <c r="HO615" s="1154" t="str">
        <f t="shared" si="191"/>
        <v/>
      </c>
      <c r="HP615" s="1154" t="str">
        <f t="shared" si="192"/>
        <v/>
      </c>
      <c r="HQ615" s="1154" t="str">
        <f t="shared" si="193"/>
        <v/>
      </c>
      <c r="HR615" s="1154" t="str">
        <f t="shared" si="194"/>
        <v/>
      </c>
      <c r="HS615" s="1154" t="str">
        <f t="shared" si="195"/>
        <v/>
      </c>
      <c r="HT615" s="1154" t="str">
        <f t="shared" si="196"/>
        <v/>
      </c>
      <c r="HU615" s="1154" t="str">
        <f t="shared" si="197"/>
        <v/>
      </c>
      <c r="HV615" s="1154" t="str">
        <f t="shared" si="198"/>
        <v/>
      </c>
      <c r="HW615" s="1154" t="str">
        <f t="shared" si="199"/>
        <v/>
      </c>
      <c r="HX615" s="1154" t="str">
        <f t="shared" si="200"/>
        <v/>
      </c>
      <c r="HY615" s="1681" t="str">
        <f t="shared" si="201"/>
        <v/>
      </c>
      <c r="HZ615" s="1681" t="str">
        <f t="shared" si="202"/>
        <v/>
      </c>
      <c r="IA615" s="1681" t="str">
        <f t="shared" si="203"/>
        <v/>
      </c>
      <c r="IB615" s="1681" t="str">
        <f t="shared" si="204"/>
        <v/>
      </c>
      <c r="IC615" s="1681" t="str">
        <f t="shared" si="205"/>
        <v/>
      </c>
      <c r="ID615" s="1681" t="str">
        <f t="shared" si="206"/>
        <v/>
      </c>
      <c r="IE615" s="1681" t="str">
        <f t="shared" si="207"/>
        <v/>
      </c>
      <c r="IF615" s="1681" t="str">
        <f t="shared" si="208"/>
        <v/>
      </c>
      <c r="IG615" s="1681" t="str">
        <f t="shared" si="209"/>
        <v/>
      </c>
      <c r="IH615" s="1681" t="str">
        <f t="shared" si="210"/>
        <v/>
      </c>
      <c r="II615" s="1681" t="str">
        <f t="shared" si="211"/>
        <v/>
      </c>
      <c r="IJ615" s="1681" t="str">
        <f t="shared" si="212"/>
        <v/>
      </c>
      <c r="IK615" s="1681" t="str">
        <f t="shared" si="213"/>
        <v/>
      </c>
      <c r="IL615" s="1681" t="str">
        <f t="shared" si="214"/>
        <v/>
      </c>
      <c r="IM615" s="1681" t="str">
        <f t="shared" si="215"/>
        <v/>
      </c>
      <c r="IN615" s="1681" t="str">
        <f t="shared" si="216"/>
        <v/>
      </c>
      <c r="IO615" s="1681" t="str">
        <f t="shared" si="217"/>
        <v/>
      </c>
      <c r="IP615" s="1681" t="str">
        <f t="shared" si="218"/>
        <v/>
      </c>
      <c r="IQ615" s="1681" t="str">
        <f t="shared" si="219"/>
        <v/>
      </c>
      <c r="IR615" s="1681" t="str">
        <f t="shared" si="220"/>
        <v/>
      </c>
      <c r="IS615" s="1681" t="str">
        <f t="shared" si="221"/>
        <v/>
      </c>
      <c r="IT615" s="1681" t="str">
        <f t="shared" si="222"/>
        <v/>
      </c>
      <c r="IU615" s="1681" t="str">
        <f t="shared" si="223"/>
        <v/>
      </c>
      <c r="IV615" s="1681" t="str">
        <f t="shared" si="224"/>
        <v/>
      </c>
      <c r="IW615" s="1681" t="str">
        <f t="shared" si="225"/>
        <v/>
      </c>
      <c r="IX615" s="1681" t="str">
        <f t="shared" si="226"/>
        <v/>
      </c>
      <c r="IY615" s="1681" t="str">
        <f t="shared" si="227"/>
        <v/>
      </c>
      <c r="IZ615" s="1681" t="str">
        <f t="shared" si="228"/>
        <v/>
      </c>
      <c r="JA615" s="1681" t="str">
        <f t="shared" si="229"/>
        <v/>
      </c>
      <c r="JB615" s="1681" t="str">
        <f t="shared" si="230"/>
        <v/>
      </c>
      <c r="JC615" s="1681" t="str">
        <f t="shared" si="231"/>
        <v/>
      </c>
      <c r="JD615" s="1681" t="str">
        <f t="shared" si="232"/>
        <v/>
      </c>
      <c r="JE615" s="1681" t="str">
        <f t="shared" si="233"/>
        <v/>
      </c>
      <c r="JF615" s="1681" t="str">
        <f t="shared" si="234"/>
        <v/>
      </c>
      <c r="JG615" s="1681" t="str">
        <f t="shared" si="235"/>
        <v/>
      </c>
      <c r="JH615" s="1681" t="str">
        <f t="shared" si="236"/>
        <v/>
      </c>
      <c r="JI615" s="1681" t="str">
        <f t="shared" si="237"/>
        <v/>
      </c>
      <c r="JJ615" s="1681" t="str">
        <f t="shared" si="238"/>
        <v/>
      </c>
      <c r="JK615" s="1681" t="str">
        <f t="shared" si="239"/>
        <v/>
      </c>
      <c r="JL615" s="1681" t="str">
        <f t="shared" si="240"/>
        <v/>
      </c>
      <c r="JM615" s="1681" t="str">
        <f t="shared" si="241"/>
        <v/>
      </c>
      <c r="JN615" s="1681" t="str">
        <f t="shared" si="242"/>
        <v/>
      </c>
      <c r="JO615" s="1681" t="str">
        <f t="shared" si="243"/>
        <v/>
      </c>
      <c r="JP615" s="1681" t="str">
        <f t="shared" si="244"/>
        <v/>
      </c>
      <c r="JQ615" s="1681" t="str">
        <f t="shared" si="245"/>
        <v/>
      </c>
      <c r="JR615" s="1681" t="str">
        <f t="shared" si="246"/>
        <v/>
      </c>
      <c r="JS615" s="1681" t="str">
        <f t="shared" si="247"/>
        <v/>
      </c>
      <c r="JT615" s="1681" t="str">
        <f t="shared" si="248"/>
        <v/>
      </c>
      <c r="JU615" s="1681" t="str">
        <f t="shared" si="249"/>
        <v/>
      </c>
      <c r="JV615" s="1681" t="str">
        <f t="shared" si="250"/>
        <v/>
      </c>
      <c r="JW615" s="1681" t="str">
        <f t="shared" si="251"/>
        <v/>
      </c>
      <c r="JX615" s="1681" t="str">
        <f t="shared" si="252"/>
        <v/>
      </c>
      <c r="JY615" s="1681" t="str">
        <f t="shared" si="253"/>
        <v/>
      </c>
      <c r="JZ615" s="1681" t="str">
        <f t="shared" si="254"/>
        <v/>
      </c>
      <c r="KA615" s="1681" t="str">
        <f t="shared" si="255"/>
        <v/>
      </c>
      <c r="KB615" s="1681" t="str">
        <f t="shared" si="256"/>
        <v/>
      </c>
      <c r="KC615" s="1681" t="str">
        <f t="shared" si="257"/>
        <v/>
      </c>
      <c r="KD615" s="1681" t="str">
        <f t="shared" si="258"/>
        <v/>
      </c>
      <c r="KE615" s="1681" t="str">
        <f t="shared" si="259"/>
        <v/>
      </c>
      <c r="KF615" s="1681" t="str">
        <f t="shared" si="260"/>
        <v/>
      </c>
      <c r="KG615" s="1681" t="str">
        <f t="shared" si="261"/>
        <v/>
      </c>
      <c r="KH615" s="1681" t="str">
        <f t="shared" si="262"/>
        <v/>
      </c>
      <c r="KI615" s="1681" t="str">
        <f t="shared" si="263"/>
        <v/>
      </c>
      <c r="KJ615" s="1681" t="str">
        <f t="shared" si="264"/>
        <v/>
      </c>
      <c r="KK615" s="1681" t="str">
        <f t="shared" si="265"/>
        <v/>
      </c>
      <c r="KL615" s="1681" t="str">
        <f t="shared" si="266"/>
        <v/>
      </c>
      <c r="KM615" s="1681" t="str">
        <f t="shared" si="267"/>
        <v/>
      </c>
      <c r="KN615" s="1681" t="str">
        <f t="shared" si="268"/>
        <v/>
      </c>
      <c r="KO615" s="1681" t="str">
        <f t="shared" si="269"/>
        <v/>
      </c>
      <c r="KP615" s="1681" t="str">
        <f t="shared" si="270"/>
        <v/>
      </c>
      <c r="KQ615" s="1681" t="str">
        <f t="shared" si="271"/>
        <v/>
      </c>
      <c r="KR615" s="1681" t="str">
        <f t="shared" si="272"/>
        <v/>
      </c>
      <c r="KS615" s="1681" t="str">
        <f t="shared" si="273"/>
        <v/>
      </c>
      <c r="KT615" s="1681" t="str">
        <f t="shared" si="274"/>
        <v/>
      </c>
      <c r="KU615" s="1681" t="str">
        <f t="shared" si="275"/>
        <v/>
      </c>
      <c r="KV615" s="1681" t="str">
        <f t="shared" si="276"/>
        <v/>
      </c>
      <c r="KW615" s="1681" t="str">
        <f t="shared" si="277"/>
        <v/>
      </c>
      <c r="KX615" s="1681" t="str">
        <f t="shared" si="278"/>
        <v/>
      </c>
      <c r="KY615" s="1681" t="str">
        <f t="shared" si="279"/>
        <v/>
      </c>
      <c r="KZ615" s="1681" t="str">
        <f t="shared" si="280"/>
        <v/>
      </c>
      <c r="LA615" s="1681" t="str">
        <f t="shared" si="281"/>
        <v/>
      </c>
      <c r="LB615" s="1681" t="str">
        <f t="shared" si="282"/>
        <v/>
      </c>
      <c r="LC615" s="1681" t="str">
        <f t="shared" si="283"/>
        <v/>
      </c>
      <c r="LD615" s="1681" t="str">
        <f t="shared" si="284"/>
        <v/>
      </c>
      <c r="LE615" s="1681" t="str">
        <f t="shared" si="285"/>
        <v/>
      </c>
      <c r="LF615" s="1525" t="str">
        <f t="shared" si="286"/>
        <v/>
      </c>
      <c r="LG615" s="1525" t="str">
        <f t="shared" si="287"/>
        <v/>
      </c>
      <c r="LH615" s="1525" t="str">
        <f t="shared" si="288"/>
        <v/>
      </c>
      <c r="LI615" s="1525" t="str">
        <f t="shared" si="289"/>
        <v/>
      </c>
      <c r="LJ615" s="1525" t="str">
        <f t="shared" si="290"/>
        <v/>
      </c>
      <c r="LK615" s="1154" t="str">
        <f t="shared" si="291"/>
        <v/>
      </c>
      <c r="LL615" s="1154" t="str">
        <f t="shared" si="292"/>
        <v/>
      </c>
      <c r="LM615" s="1154" t="str">
        <f t="shared" si="293"/>
        <v/>
      </c>
      <c r="LN615" s="1154" t="str">
        <f t="shared" si="294"/>
        <v/>
      </c>
      <c r="LO615" s="1154" t="str">
        <f t="shared" si="295"/>
        <v/>
      </c>
      <c r="LP615" s="1154" t="str">
        <f t="shared" si="296"/>
        <v/>
      </c>
      <c r="LQ615" s="1154" t="str">
        <f t="shared" si="297"/>
        <v/>
      </c>
      <c r="LR615" s="1154" t="str">
        <f t="shared" si="298"/>
        <v/>
      </c>
      <c r="LS615" s="1154" t="str">
        <f t="shared" si="299"/>
        <v/>
      </c>
      <c r="LT615" s="1154" t="str">
        <f t="shared" si="300"/>
        <v/>
      </c>
      <c r="LU615" s="1154" t="str">
        <f t="shared" si="301"/>
        <v/>
      </c>
      <c r="LV615" s="1154" t="str">
        <f t="shared" si="302"/>
        <v/>
      </c>
      <c r="LW615" s="1154" t="str">
        <f t="shared" si="303"/>
        <v/>
      </c>
      <c r="LX615" s="1154" t="str">
        <f t="shared" si="304"/>
        <v/>
      </c>
      <c r="LY615" s="1154" t="str">
        <f t="shared" si="305"/>
        <v/>
      </c>
      <c r="LZ615" s="1154" t="str">
        <f t="shared" si="306"/>
        <v/>
      </c>
      <c r="MA615" s="1154" t="str">
        <f t="shared" si="307"/>
        <v/>
      </c>
      <c r="MB615" s="1154" t="str">
        <f t="shared" si="308"/>
        <v/>
      </c>
      <c r="MC615" s="1154" t="str">
        <f t="shared" si="309"/>
        <v/>
      </c>
      <c r="MD615" s="1154" t="str">
        <f t="shared" si="310"/>
        <v/>
      </c>
      <c r="ME615" s="1525">
        <f t="shared" si="322"/>
        <v>0</v>
      </c>
      <c r="MF615" s="1525">
        <f t="shared" si="323"/>
        <v>0</v>
      </c>
      <c r="MG615" s="1525">
        <f t="shared" si="324"/>
        <v>0</v>
      </c>
      <c r="MH615" s="1525">
        <f t="shared" si="325"/>
        <v>0</v>
      </c>
      <c r="MI615" s="1525">
        <f t="shared" si="326"/>
        <v>0</v>
      </c>
      <c r="MJ615" s="1525">
        <f t="shared" si="327"/>
        <v>0</v>
      </c>
      <c r="MK615" s="1525">
        <f t="shared" si="328"/>
        <v>0</v>
      </c>
      <c r="ML615" s="1525">
        <f t="shared" si="329"/>
        <v>0</v>
      </c>
      <c r="MM615" s="1525">
        <f t="shared" si="330"/>
        <v>0</v>
      </c>
      <c r="MN615" s="1525">
        <f t="shared" si="331"/>
        <v>0</v>
      </c>
      <c r="MO615" s="1525">
        <f t="shared" si="332"/>
        <v>0</v>
      </c>
      <c r="MP615" s="1525">
        <f t="shared" si="333"/>
        <v>0</v>
      </c>
      <c r="MQ615" s="1525">
        <f t="shared" si="334"/>
        <v>0</v>
      </c>
      <c r="MR615" s="1525">
        <f t="shared" si="335"/>
        <v>0</v>
      </c>
      <c r="MS615" s="1525">
        <f t="shared" si="336"/>
        <v>0</v>
      </c>
    </row>
    <row r="616" spans="1:358" s="1154" customFormat="1" ht="12" customHeight="1">
      <c r="A616" s="1524" t="str">
        <f t="shared" si="1"/>
        <v/>
      </c>
      <c r="B616" s="1682">
        <f>'Part VI-Revenues &amp; Expenses'!B45</f>
        <v>0</v>
      </c>
      <c r="C616" s="1673">
        <f>'Part VI-Revenues &amp; Expenses'!C45</f>
        <v>0</v>
      </c>
      <c r="D616" s="1674">
        <f>'Part VI-Revenues &amp; Expenses'!D45</f>
        <v>0</v>
      </c>
      <c r="E616" s="1675">
        <f>'Part VI-Revenues &amp; Expenses'!E45</f>
        <v>0</v>
      </c>
      <c r="F616" s="1675">
        <f>'Part VI-Revenues &amp; Expenses'!F45</f>
        <v>0</v>
      </c>
      <c r="G616" s="1675">
        <f>'Part VI-Revenues &amp; Expenses'!G45</f>
        <v>0</v>
      </c>
      <c r="H616" s="1675">
        <f>'Part VI-Revenues &amp; Expenses'!H45</f>
        <v>0</v>
      </c>
      <c r="I616" s="1675">
        <f>'Part VI-Revenues &amp; Expenses'!I45</f>
        <v>0</v>
      </c>
      <c r="J616" s="1676">
        <f>'Part VI-Revenues &amp; Expenses'!J45</f>
        <v>0</v>
      </c>
      <c r="K616" s="1677">
        <f>'Part VI-Revenues &amp; Expenses'!K45</f>
        <v>0</v>
      </c>
      <c r="L616" s="1677">
        <f>'Part VI-Revenues &amp; Expenses'!L45</f>
        <v>0</v>
      </c>
      <c r="M616" s="1678">
        <f>'Part VI-Revenues &amp; Expenses'!M45</f>
        <v>0</v>
      </c>
      <c r="N616" s="1678">
        <f>'Part VI-Revenues &amp; Expenses'!N45</f>
        <v>0</v>
      </c>
      <c r="O616" s="1678">
        <f>'Part VI-Revenues &amp; Expenses'!O45</f>
        <v>0</v>
      </c>
      <c r="P616" s="1660">
        <f>'Part VI-Revenues &amp; Expenses'!P45</f>
        <v>0</v>
      </c>
      <c r="Q616" s="1679"/>
      <c r="R616" s="1680"/>
      <c r="S616" s="1679"/>
      <c r="T616" s="1680"/>
      <c r="U616" s="1519"/>
      <c r="V616" s="1519"/>
      <c r="W616" s="1154" t="str">
        <f t="shared" si="2"/>
        <v/>
      </c>
      <c r="X616" s="1154" t="str">
        <f t="shared" si="3"/>
        <v/>
      </c>
      <c r="Y616" s="1154" t="str">
        <f t="shared" si="4"/>
        <v/>
      </c>
      <c r="Z616" s="1154" t="str">
        <f t="shared" si="5"/>
        <v/>
      </c>
      <c r="AA616" s="1154" t="str">
        <f t="shared" si="6"/>
        <v/>
      </c>
      <c r="AB616" s="1154" t="str">
        <f t="shared" si="7"/>
        <v/>
      </c>
      <c r="AC616" s="1154" t="str">
        <f t="shared" si="8"/>
        <v/>
      </c>
      <c r="AD616" s="1154" t="str">
        <f t="shared" si="9"/>
        <v/>
      </c>
      <c r="AE616" s="1154" t="str">
        <f t="shared" si="10"/>
        <v/>
      </c>
      <c r="AF616" s="1154" t="str">
        <f t="shared" si="11"/>
        <v/>
      </c>
      <c r="AG616" s="1154" t="str">
        <f t="shared" si="12"/>
        <v/>
      </c>
      <c r="AH616" s="1154" t="str">
        <f t="shared" si="13"/>
        <v/>
      </c>
      <c r="AI616" s="1154" t="str">
        <f t="shared" si="14"/>
        <v/>
      </c>
      <c r="AJ616" s="1154" t="str">
        <f t="shared" si="15"/>
        <v/>
      </c>
      <c r="AK616" s="1154" t="str">
        <f t="shared" si="16"/>
        <v/>
      </c>
      <c r="AL616" s="1154" t="str">
        <f t="shared" si="17"/>
        <v/>
      </c>
      <c r="AM616" s="1154" t="str">
        <f t="shared" si="18"/>
        <v/>
      </c>
      <c r="AN616" s="1154" t="str">
        <f t="shared" si="19"/>
        <v/>
      </c>
      <c r="AO616" s="1154" t="str">
        <f t="shared" si="20"/>
        <v/>
      </c>
      <c r="AP616" s="1154" t="str">
        <f t="shared" si="21"/>
        <v/>
      </c>
      <c r="AQ616" s="1154" t="str">
        <f t="shared" si="22"/>
        <v/>
      </c>
      <c r="AR616" s="1154" t="str">
        <f t="shared" si="23"/>
        <v/>
      </c>
      <c r="AS616" s="1154" t="str">
        <f t="shared" si="24"/>
        <v/>
      </c>
      <c r="AT616" s="1154" t="str">
        <f t="shared" si="25"/>
        <v/>
      </c>
      <c r="AU616" s="1154" t="str">
        <f t="shared" si="26"/>
        <v/>
      </c>
      <c r="AV616" s="1154" t="str">
        <f t="shared" si="27"/>
        <v/>
      </c>
      <c r="AW616" s="1154" t="str">
        <f t="shared" si="28"/>
        <v/>
      </c>
      <c r="AX616" s="1154" t="str">
        <f t="shared" si="29"/>
        <v/>
      </c>
      <c r="AY616" s="1154" t="str">
        <f t="shared" si="30"/>
        <v/>
      </c>
      <c r="AZ616" s="1154" t="str">
        <f t="shared" si="31"/>
        <v/>
      </c>
      <c r="BA616" s="1154" t="str">
        <f t="shared" si="32"/>
        <v/>
      </c>
      <c r="BB616" s="1154" t="str">
        <f t="shared" si="33"/>
        <v/>
      </c>
      <c r="BC616" s="1154" t="str">
        <f t="shared" si="34"/>
        <v/>
      </c>
      <c r="BD616" s="1154" t="str">
        <f t="shared" si="35"/>
        <v/>
      </c>
      <c r="BE616" s="1154" t="str">
        <f t="shared" si="36"/>
        <v/>
      </c>
      <c r="BF616" s="1154" t="str">
        <f t="shared" si="37"/>
        <v/>
      </c>
      <c r="BG616" s="1154" t="str">
        <f t="shared" si="38"/>
        <v/>
      </c>
      <c r="BH616" s="1154" t="str">
        <f t="shared" si="39"/>
        <v/>
      </c>
      <c r="BI616" s="1154" t="str">
        <f t="shared" si="40"/>
        <v/>
      </c>
      <c r="BJ616" s="1154" t="str">
        <f t="shared" si="41"/>
        <v/>
      </c>
      <c r="BK616" s="1154" t="str">
        <f t="shared" si="42"/>
        <v/>
      </c>
      <c r="BL616" s="1154" t="str">
        <f t="shared" si="43"/>
        <v/>
      </c>
      <c r="BM616" s="1154" t="str">
        <f t="shared" si="44"/>
        <v/>
      </c>
      <c r="BN616" s="1154" t="str">
        <f t="shared" si="45"/>
        <v/>
      </c>
      <c r="BO616" s="1154" t="str">
        <f t="shared" si="46"/>
        <v/>
      </c>
      <c r="BP616" s="1154" t="str">
        <f t="shared" si="47"/>
        <v/>
      </c>
      <c r="BQ616" s="1154" t="str">
        <f t="shared" si="48"/>
        <v/>
      </c>
      <c r="BR616" s="1154" t="str">
        <f t="shared" si="49"/>
        <v/>
      </c>
      <c r="BS616" s="1154" t="str">
        <f t="shared" si="50"/>
        <v/>
      </c>
      <c r="BT616" s="1154" t="str">
        <f t="shared" si="51"/>
        <v/>
      </c>
      <c r="BU616" s="1154" t="str">
        <f t="shared" si="52"/>
        <v/>
      </c>
      <c r="BV616" s="1154" t="str">
        <f t="shared" si="53"/>
        <v/>
      </c>
      <c r="BW616" s="1154" t="str">
        <f t="shared" si="54"/>
        <v/>
      </c>
      <c r="BX616" s="1154" t="str">
        <f t="shared" si="55"/>
        <v/>
      </c>
      <c r="BY616" s="1154" t="str">
        <f t="shared" si="56"/>
        <v/>
      </c>
      <c r="BZ616" s="1154" t="str">
        <f t="shared" si="57"/>
        <v/>
      </c>
      <c r="CA616" s="1154" t="str">
        <f t="shared" si="58"/>
        <v/>
      </c>
      <c r="CB616" s="1154" t="str">
        <f t="shared" si="59"/>
        <v/>
      </c>
      <c r="CC616" s="1154" t="str">
        <f t="shared" si="60"/>
        <v/>
      </c>
      <c r="CD616" s="1154" t="str">
        <f t="shared" si="61"/>
        <v/>
      </c>
      <c r="CE616" s="1154" t="str">
        <f t="shared" si="62"/>
        <v/>
      </c>
      <c r="CF616" s="1154" t="str">
        <f t="shared" si="63"/>
        <v/>
      </c>
      <c r="CG616" s="1154" t="str">
        <f t="shared" si="64"/>
        <v/>
      </c>
      <c r="CH616" s="1154" t="str">
        <f t="shared" si="65"/>
        <v/>
      </c>
      <c r="CI616" s="1154" t="str">
        <f t="shared" si="66"/>
        <v/>
      </c>
      <c r="CJ616" s="1154" t="str">
        <f t="shared" si="67"/>
        <v/>
      </c>
      <c r="CK616" s="1154" t="str">
        <f t="shared" si="68"/>
        <v/>
      </c>
      <c r="CL616" s="1154" t="str">
        <f t="shared" si="69"/>
        <v/>
      </c>
      <c r="CM616" s="1154" t="str">
        <f t="shared" si="70"/>
        <v/>
      </c>
      <c r="CN616" s="1154" t="str">
        <f t="shared" si="71"/>
        <v/>
      </c>
      <c r="CO616" s="1154" t="str">
        <f t="shared" si="72"/>
        <v/>
      </c>
      <c r="CP616" s="1154" t="str">
        <f t="shared" si="73"/>
        <v/>
      </c>
      <c r="CQ616" s="1154" t="str">
        <f t="shared" si="74"/>
        <v/>
      </c>
      <c r="CR616" s="1154" t="str">
        <f t="shared" si="75"/>
        <v/>
      </c>
      <c r="CS616" s="1154" t="str">
        <f t="shared" si="76"/>
        <v/>
      </c>
      <c r="CT616" s="1154" t="str">
        <f t="shared" si="77"/>
        <v/>
      </c>
      <c r="CU616" s="1154" t="str">
        <f t="shared" si="78"/>
        <v/>
      </c>
      <c r="CV616" s="1154" t="str">
        <f t="shared" si="79"/>
        <v/>
      </c>
      <c r="CW616" s="1154" t="str">
        <f t="shared" si="80"/>
        <v/>
      </c>
      <c r="CX616" s="1154" t="str">
        <f t="shared" si="81"/>
        <v/>
      </c>
      <c r="CY616" s="1154" t="str">
        <f t="shared" si="82"/>
        <v/>
      </c>
      <c r="CZ616" s="1154" t="str">
        <f t="shared" si="83"/>
        <v/>
      </c>
      <c r="DA616" s="1154" t="str">
        <f t="shared" si="84"/>
        <v/>
      </c>
      <c r="DB616" s="1154" t="str">
        <f t="shared" si="85"/>
        <v/>
      </c>
      <c r="DC616" s="1154" t="str">
        <f t="shared" si="86"/>
        <v/>
      </c>
      <c r="DD616" s="1154" t="str">
        <f t="shared" si="87"/>
        <v/>
      </c>
      <c r="DE616" s="1154" t="str">
        <f t="shared" si="88"/>
        <v/>
      </c>
      <c r="DF616" s="1154" t="str">
        <f t="shared" si="89"/>
        <v/>
      </c>
      <c r="DG616" s="1154" t="str">
        <f t="shared" si="90"/>
        <v/>
      </c>
      <c r="DH616" s="1154" t="str">
        <f t="shared" si="91"/>
        <v/>
      </c>
      <c r="DI616" s="1154" t="str">
        <f t="shared" si="92"/>
        <v/>
      </c>
      <c r="DJ616" s="1154" t="str">
        <f t="shared" si="93"/>
        <v/>
      </c>
      <c r="DK616" s="1154" t="str">
        <f t="shared" si="94"/>
        <v/>
      </c>
      <c r="DL616" s="1154" t="str">
        <f t="shared" si="95"/>
        <v/>
      </c>
      <c r="DM616" s="1154" t="str">
        <f t="shared" si="96"/>
        <v/>
      </c>
      <c r="DN616" s="1154" t="str">
        <f t="shared" si="97"/>
        <v/>
      </c>
      <c r="DO616" s="1154" t="str">
        <f t="shared" si="98"/>
        <v/>
      </c>
      <c r="DP616" s="1154" t="str">
        <f t="shared" si="99"/>
        <v/>
      </c>
      <c r="DQ616" s="1154" t="str">
        <f t="shared" si="100"/>
        <v/>
      </c>
      <c r="DR616" s="1154" t="str">
        <f t="shared" si="101"/>
        <v/>
      </c>
      <c r="DS616" s="1154" t="str">
        <f t="shared" si="102"/>
        <v/>
      </c>
      <c r="DT616" s="1154" t="str">
        <f t="shared" si="103"/>
        <v/>
      </c>
      <c r="DU616" s="1154" t="str">
        <f t="shared" si="104"/>
        <v/>
      </c>
      <c r="DV616" s="1154" t="str">
        <f t="shared" si="105"/>
        <v/>
      </c>
      <c r="DW616" s="1154" t="str">
        <f t="shared" si="106"/>
        <v/>
      </c>
      <c r="DX616" s="1154" t="str">
        <f t="shared" si="107"/>
        <v/>
      </c>
      <c r="DY616" s="1154" t="str">
        <f t="shared" si="108"/>
        <v/>
      </c>
      <c r="DZ616" s="1154" t="str">
        <f t="shared" si="109"/>
        <v/>
      </c>
      <c r="EA616" s="1154" t="str">
        <f t="shared" si="110"/>
        <v/>
      </c>
      <c r="EB616" s="1154" t="str">
        <f t="shared" si="111"/>
        <v/>
      </c>
      <c r="EC616" s="1154" t="str">
        <f t="shared" si="112"/>
        <v/>
      </c>
      <c r="ED616" s="1154" t="str">
        <f t="shared" si="113"/>
        <v/>
      </c>
      <c r="EE616" s="1154" t="str">
        <f t="shared" si="114"/>
        <v/>
      </c>
      <c r="EF616" s="1154" t="str">
        <f t="shared" si="115"/>
        <v/>
      </c>
      <c r="EG616" s="1154" t="str">
        <f t="shared" si="311"/>
        <v/>
      </c>
      <c r="EH616" s="1154" t="str">
        <f t="shared" si="116"/>
        <v/>
      </c>
      <c r="EI616" s="1154" t="str">
        <f t="shared" si="117"/>
        <v/>
      </c>
      <c r="EJ616" s="1154" t="str">
        <f t="shared" si="118"/>
        <v/>
      </c>
      <c r="EK616" s="1154" t="str">
        <f t="shared" si="119"/>
        <v/>
      </c>
      <c r="EL616" s="1154" t="str">
        <f t="shared" si="120"/>
        <v/>
      </c>
      <c r="EM616" s="1154" t="str">
        <f t="shared" si="121"/>
        <v/>
      </c>
      <c r="EN616" s="1154" t="str">
        <f t="shared" si="122"/>
        <v/>
      </c>
      <c r="EO616" s="1154" t="str">
        <f t="shared" si="123"/>
        <v/>
      </c>
      <c r="EP616" s="1154" t="str">
        <f t="shared" si="124"/>
        <v/>
      </c>
      <c r="EQ616" s="1154" t="str">
        <f t="shared" si="125"/>
        <v/>
      </c>
      <c r="ER616" s="1154" t="str">
        <f t="shared" si="126"/>
        <v/>
      </c>
      <c r="ES616" s="1154" t="str">
        <f t="shared" si="127"/>
        <v/>
      </c>
      <c r="ET616" s="1154" t="str">
        <f t="shared" si="128"/>
        <v/>
      </c>
      <c r="EU616" s="1154" t="str">
        <f t="shared" si="129"/>
        <v/>
      </c>
      <c r="EV616" s="1154" t="str">
        <f t="shared" si="130"/>
        <v/>
      </c>
      <c r="EW616" s="1154" t="str">
        <f t="shared" si="312"/>
        <v/>
      </c>
      <c r="EX616" s="1154" t="str">
        <f t="shared" si="313"/>
        <v/>
      </c>
      <c r="EY616" s="1154" t="str">
        <f t="shared" si="314"/>
        <v/>
      </c>
      <c r="EZ616" s="1154" t="str">
        <f t="shared" si="315"/>
        <v/>
      </c>
      <c r="FA616" s="1154" t="str">
        <f t="shared" si="316"/>
        <v/>
      </c>
      <c r="FB616" s="1154" t="str">
        <f t="shared" si="131"/>
        <v/>
      </c>
      <c r="FC616" s="1154" t="str">
        <f t="shared" si="132"/>
        <v/>
      </c>
      <c r="FD616" s="1154" t="str">
        <f t="shared" si="133"/>
        <v/>
      </c>
      <c r="FE616" s="1154" t="str">
        <f t="shared" si="134"/>
        <v/>
      </c>
      <c r="FF616" s="1154" t="str">
        <f t="shared" si="135"/>
        <v/>
      </c>
      <c r="FG616" s="1154" t="str">
        <f t="shared" si="317"/>
        <v/>
      </c>
      <c r="FH616" s="1154" t="str">
        <f t="shared" si="318"/>
        <v/>
      </c>
      <c r="FI616" s="1154" t="str">
        <f t="shared" si="319"/>
        <v/>
      </c>
      <c r="FJ616" s="1154" t="str">
        <f t="shared" si="320"/>
        <v/>
      </c>
      <c r="FK616" s="1154" t="str">
        <f t="shared" si="321"/>
        <v/>
      </c>
      <c r="FL616" s="1154" t="str">
        <f t="shared" si="136"/>
        <v/>
      </c>
      <c r="FM616" s="1154" t="str">
        <f t="shared" si="137"/>
        <v/>
      </c>
      <c r="FN616" s="1154" t="str">
        <f t="shared" si="138"/>
        <v/>
      </c>
      <c r="FO616" s="1154" t="str">
        <f t="shared" si="139"/>
        <v/>
      </c>
      <c r="FP616" s="1154" t="str">
        <f t="shared" si="140"/>
        <v/>
      </c>
      <c r="FQ616" s="1154" t="str">
        <f t="shared" si="141"/>
        <v/>
      </c>
      <c r="FR616" s="1154" t="str">
        <f t="shared" si="142"/>
        <v/>
      </c>
      <c r="FS616" s="1154" t="str">
        <f t="shared" si="143"/>
        <v/>
      </c>
      <c r="FT616" s="1154" t="str">
        <f t="shared" si="144"/>
        <v/>
      </c>
      <c r="FU616" s="1154" t="str">
        <f t="shared" si="145"/>
        <v/>
      </c>
      <c r="FV616" s="1154" t="str">
        <f t="shared" si="146"/>
        <v/>
      </c>
      <c r="FW616" s="1154" t="str">
        <f t="shared" si="147"/>
        <v/>
      </c>
      <c r="FX616" s="1154" t="str">
        <f t="shared" si="148"/>
        <v/>
      </c>
      <c r="FY616" s="1154" t="str">
        <f t="shared" si="149"/>
        <v/>
      </c>
      <c r="FZ616" s="1154" t="str">
        <f t="shared" si="150"/>
        <v/>
      </c>
      <c r="GA616" s="1154" t="str">
        <f t="shared" si="151"/>
        <v/>
      </c>
      <c r="GB616" s="1154" t="str">
        <f t="shared" si="152"/>
        <v/>
      </c>
      <c r="GC616" s="1154" t="str">
        <f t="shared" si="153"/>
        <v/>
      </c>
      <c r="GD616" s="1154" t="str">
        <f t="shared" si="154"/>
        <v/>
      </c>
      <c r="GE616" s="1154" t="str">
        <f t="shared" si="155"/>
        <v/>
      </c>
      <c r="GF616" s="1154" t="str">
        <f t="shared" si="156"/>
        <v/>
      </c>
      <c r="GG616" s="1154" t="str">
        <f t="shared" si="157"/>
        <v/>
      </c>
      <c r="GH616" s="1154" t="str">
        <f t="shared" si="158"/>
        <v/>
      </c>
      <c r="GI616" s="1154" t="str">
        <f t="shared" si="159"/>
        <v/>
      </c>
      <c r="GJ616" s="1154" t="str">
        <f t="shared" si="160"/>
        <v/>
      </c>
      <c r="GK616" s="1154" t="str">
        <f t="shared" si="161"/>
        <v/>
      </c>
      <c r="GL616" s="1154" t="str">
        <f t="shared" si="162"/>
        <v/>
      </c>
      <c r="GM616" s="1154" t="str">
        <f t="shared" si="163"/>
        <v/>
      </c>
      <c r="GN616" s="1154" t="str">
        <f t="shared" si="164"/>
        <v/>
      </c>
      <c r="GO616" s="1154" t="str">
        <f t="shared" si="165"/>
        <v/>
      </c>
      <c r="GP616" s="1154" t="str">
        <f t="shared" si="166"/>
        <v/>
      </c>
      <c r="GQ616" s="1154" t="str">
        <f t="shared" si="167"/>
        <v/>
      </c>
      <c r="GR616" s="1154" t="str">
        <f t="shared" si="168"/>
        <v/>
      </c>
      <c r="GS616" s="1154" t="str">
        <f t="shared" si="169"/>
        <v/>
      </c>
      <c r="GT616" s="1154" t="str">
        <f t="shared" si="170"/>
        <v/>
      </c>
      <c r="GU616" s="1154" t="str">
        <f t="shared" si="171"/>
        <v/>
      </c>
      <c r="GV616" s="1154" t="str">
        <f t="shared" si="172"/>
        <v/>
      </c>
      <c r="GW616" s="1154" t="str">
        <f t="shared" si="173"/>
        <v/>
      </c>
      <c r="GX616" s="1154" t="str">
        <f t="shared" si="174"/>
        <v/>
      </c>
      <c r="GY616" s="1154" t="str">
        <f t="shared" si="175"/>
        <v/>
      </c>
      <c r="GZ616" s="1154" t="str">
        <f t="shared" si="176"/>
        <v/>
      </c>
      <c r="HA616" s="1154" t="str">
        <f t="shared" si="177"/>
        <v/>
      </c>
      <c r="HB616" s="1154" t="str">
        <f t="shared" si="178"/>
        <v/>
      </c>
      <c r="HC616" s="1154" t="str">
        <f t="shared" si="179"/>
        <v/>
      </c>
      <c r="HD616" s="1154" t="str">
        <f t="shared" si="180"/>
        <v/>
      </c>
      <c r="HE616" s="1154" t="str">
        <f t="shared" si="181"/>
        <v/>
      </c>
      <c r="HF616" s="1154" t="str">
        <f t="shared" si="182"/>
        <v/>
      </c>
      <c r="HG616" s="1154" t="str">
        <f t="shared" si="183"/>
        <v/>
      </c>
      <c r="HH616" s="1154" t="str">
        <f t="shared" si="184"/>
        <v/>
      </c>
      <c r="HI616" s="1154" t="str">
        <f t="shared" si="185"/>
        <v/>
      </c>
      <c r="HJ616" s="1154" t="str">
        <f t="shared" si="186"/>
        <v/>
      </c>
      <c r="HK616" s="1154" t="str">
        <f t="shared" si="187"/>
        <v/>
      </c>
      <c r="HL616" s="1154" t="str">
        <f t="shared" si="188"/>
        <v/>
      </c>
      <c r="HM616" s="1154" t="str">
        <f t="shared" si="189"/>
        <v/>
      </c>
      <c r="HN616" s="1154" t="str">
        <f t="shared" si="190"/>
        <v/>
      </c>
      <c r="HO616" s="1154" t="str">
        <f t="shared" si="191"/>
        <v/>
      </c>
      <c r="HP616" s="1154" t="str">
        <f t="shared" si="192"/>
        <v/>
      </c>
      <c r="HQ616" s="1154" t="str">
        <f t="shared" si="193"/>
        <v/>
      </c>
      <c r="HR616" s="1154" t="str">
        <f t="shared" si="194"/>
        <v/>
      </c>
      <c r="HS616" s="1154" t="str">
        <f t="shared" si="195"/>
        <v/>
      </c>
      <c r="HT616" s="1154" t="str">
        <f t="shared" si="196"/>
        <v/>
      </c>
      <c r="HU616" s="1154" t="str">
        <f t="shared" si="197"/>
        <v/>
      </c>
      <c r="HV616" s="1154" t="str">
        <f t="shared" si="198"/>
        <v/>
      </c>
      <c r="HW616" s="1154" t="str">
        <f t="shared" si="199"/>
        <v/>
      </c>
      <c r="HX616" s="1154" t="str">
        <f t="shared" si="200"/>
        <v/>
      </c>
      <c r="HY616" s="1681" t="str">
        <f t="shared" si="201"/>
        <v/>
      </c>
      <c r="HZ616" s="1681" t="str">
        <f t="shared" si="202"/>
        <v/>
      </c>
      <c r="IA616" s="1681" t="str">
        <f t="shared" si="203"/>
        <v/>
      </c>
      <c r="IB616" s="1681" t="str">
        <f t="shared" si="204"/>
        <v/>
      </c>
      <c r="IC616" s="1681" t="str">
        <f t="shared" si="205"/>
        <v/>
      </c>
      <c r="ID616" s="1681" t="str">
        <f t="shared" si="206"/>
        <v/>
      </c>
      <c r="IE616" s="1681" t="str">
        <f t="shared" si="207"/>
        <v/>
      </c>
      <c r="IF616" s="1681" t="str">
        <f t="shared" si="208"/>
        <v/>
      </c>
      <c r="IG616" s="1681" t="str">
        <f t="shared" si="209"/>
        <v/>
      </c>
      <c r="IH616" s="1681" t="str">
        <f t="shared" si="210"/>
        <v/>
      </c>
      <c r="II616" s="1681" t="str">
        <f t="shared" si="211"/>
        <v/>
      </c>
      <c r="IJ616" s="1681" t="str">
        <f t="shared" si="212"/>
        <v/>
      </c>
      <c r="IK616" s="1681" t="str">
        <f t="shared" si="213"/>
        <v/>
      </c>
      <c r="IL616" s="1681" t="str">
        <f t="shared" si="214"/>
        <v/>
      </c>
      <c r="IM616" s="1681" t="str">
        <f t="shared" si="215"/>
        <v/>
      </c>
      <c r="IN616" s="1681" t="str">
        <f t="shared" si="216"/>
        <v/>
      </c>
      <c r="IO616" s="1681" t="str">
        <f t="shared" si="217"/>
        <v/>
      </c>
      <c r="IP616" s="1681" t="str">
        <f t="shared" si="218"/>
        <v/>
      </c>
      <c r="IQ616" s="1681" t="str">
        <f t="shared" si="219"/>
        <v/>
      </c>
      <c r="IR616" s="1681" t="str">
        <f t="shared" si="220"/>
        <v/>
      </c>
      <c r="IS616" s="1681" t="str">
        <f t="shared" si="221"/>
        <v/>
      </c>
      <c r="IT616" s="1681" t="str">
        <f t="shared" si="222"/>
        <v/>
      </c>
      <c r="IU616" s="1681" t="str">
        <f t="shared" si="223"/>
        <v/>
      </c>
      <c r="IV616" s="1681" t="str">
        <f t="shared" si="224"/>
        <v/>
      </c>
      <c r="IW616" s="1681" t="str">
        <f t="shared" si="225"/>
        <v/>
      </c>
      <c r="IX616" s="1681" t="str">
        <f t="shared" si="226"/>
        <v/>
      </c>
      <c r="IY616" s="1681" t="str">
        <f t="shared" si="227"/>
        <v/>
      </c>
      <c r="IZ616" s="1681" t="str">
        <f t="shared" si="228"/>
        <v/>
      </c>
      <c r="JA616" s="1681" t="str">
        <f t="shared" si="229"/>
        <v/>
      </c>
      <c r="JB616" s="1681" t="str">
        <f t="shared" si="230"/>
        <v/>
      </c>
      <c r="JC616" s="1681" t="str">
        <f t="shared" si="231"/>
        <v/>
      </c>
      <c r="JD616" s="1681" t="str">
        <f t="shared" si="232"/>
        <v/>
      </c>
      <c r="JE616" s="1681" t="str">
        <f t="shared" si="233"/>
        <v/>
      </c>
      <c r="JF616" s="1681" t="str">
        <f t="shared" si="234"/>
        <v/>
      </c>
      <c r="JG616" s="1681" t="str">
        <f t="shared" si="235"/>
        <v/>
      </c>
      <c r="JH616" s="1681" t="str">
        <f t="shared" si="236"/>
        <v/>
      </c>
      <c r="JI616" s="1681" t="str">
        <f t="shared" si="237"/>
        <v/>
      </c>
      <c r="JJ616" s="1681" t="str">
        <f t="shared" si="238"/>
        <v/>
      </c>
      <c r="JK616" s="1681" t="str">
        <f t="shared" si="239"/>
        <v/>
      </c>
      <c r="JL616" s="1681" t="str">
        <f t="shared" si="240"/>
        <v/>
      </c>
      <c r="JM616" s="1681" t="str">
        <f t="shared" si="241"/>
        <v/>
      </c>
      <c r="JN616" s="1681" t="str">
        <f t="shared" si="242"/>
        <v/>
      </c>
      <c r="JO616" s="1681" t="str">
        <f t="shared" si="243"/>
        <v/>
      </c>
      <c r="JP616" s="1681" t="str">
        <f t="shared" si="244"/>
        <v/>
      </c>
      <c r="JQ616" s="1681" t="str">
        <f t="shared" si="245"/>
        <v/>
      </c>
      <c r="JR616" s="1681" t="str">
        <f t="shared" si="246"/>
        <v/>
      </c>
      <c r="JS616" s="1681" t="str">
        <f t="shared" si="247"/>
        <v/>
      </c>
      <c r="JT616" s="1681" t="str">
        <f t="shared" si="248"/>
        <v/>
      </c>
      <c r="JU616" s="1681" t="str">
        <f t="shared" si="249"/>
        <v/>
      </c>
      <c r="JV616" s="1681" t="str">
        <f t="shared" si="250"/>
        <v/>
      </c>
      <c r="JW616" s="1681" t="str">
        <f t="shared" si="251"/>
        <v/>
      </c>
      <c r="JX616" s="1681" t="str">
        <f t="shared" si="252"/>
        <v/>
      </c>
      <c r="JY616" s="1681" t="str">
        <f t="shared" si="253"/>
        <v/>
      </c>
      <c r="JZ616" s="1681" t="str">
        <f t="shared" si="254"/>
        <v/>
      </c>
      <c r="KA616" s="1681" t="str">
        <f t="shared" si="255"/>
        <v/>
      </c>
      <c r="KB616" s="1681" t="str">
        <f t="shared" si="256"/>
        <v/>
      </c>
      <c r="KC616" s="1681" t="str">
        <f t="shared" si="257"/>
        <v/>
      </c>
      <c r="KD616" s="1681" t="str">
        <f t="shared" si="258"/>
        <v/>
      </c>
      <c r="KE616" s="1681" t="str">
        <f t="shared" si="259"/>
        <v/>
      </c>
      <c r="KF616" s="1681" t="str">
        <f t="shared" si="260"/>
        <v/>
      </c>
      <c r="KG616" s="1681" t="str">
        <f t="shared" si="261"/>
        <v/>
      </c>
      <c r="KH616" s="1681" t="str">
        <f t="shared" si="262"/>
        <v/>
      </c>
      <c r="KI616" s="1681" t="str">
        <f t="shared" si="263"/>
        <v/>
      </c>
      <c r="KJ616" s="1681" t="str">
        <f t="shared" si="264"/>
        <v/>
      </c>
      <c r="KK616" s="1681" t="str">
        <f t="shared" si="265"/>
        <v/>
      </c>
      <c r="KL616" s="1681" t="str">
        <f t="shared" si="266"/>
        <v/>
      </c>
      <c r="KM616" s="1681" t="str">
        <f t="shared" si="267"/>
        <v/>
      </c>
      <c r="KN616" s="1681" t="str">
        <f t="shared" si="268"/>
        <v/>
      </c>
      <c r="KO616" s="1681" t="str">
        <f t="shared" si="269"/>
        <v/>
      </c>
      <c r="KP616" s="1681" t="str">
        <f t="shared" si="270"/>
        <v/>
      </c>
      <c r="KQ616" s="1681" t="str">
        <f t="shared" si="271"/>
        <v/>
      </c>
      <c r="KR616" s="1681" t="str">
        <f t="shared" si="272"/>
        <v/>
      </c>
      <c r="KS616" s="1681" t="str">
        <f t="shared" si="273"/>
        <v/>
      </c>
      <c r="KT616" s="1681" t="str">
        <f t="shared" si="274"/>
        <v/>
      </c>
      <c r="KU616" s="1681" t="str">
        <f t="shared" si="275"/>
        <v/>
      </c>
      <c r="KV616" s="1681" t="str">
        <f t="shared" si="276"/>
        <v/>
      </c>
      <c r="KW616" s="1681" t="str">
        <f t="shared" si="277"/>
        <v/>
      </c>
      <c r="KX616" s="1681" t="str">
        <f t="shared" si="278"/>
        <v/>
      </c>
      <c r="KY616" s="1681" t="str">
        <f t="shared" si="279"/>
        <v/>
      </c>
      <c r="KZ616" s="1681" t="str">
        <f t="shared" si="280"/>
        <v/>
      </c>
      <c r="LA616" s="1681" t="str">
        <f t="shared" si="281"/>
        <v/>
      </c>
      <c r="LB616" s="1681" t="str">
        <f t="shared" si="282"/>
        <v/>
      </c>
      <c r="LC616" s="1681" t="str">
        <f t="shared" si="283"/>
        <v/>
      </c>
      <c r="LD616" s="1681" t="str">
        <f t="shared" si="284"/>
        <v/>
      </c>
      <c r="LE616" s="1681" t="str">
        <f t="shared" si="285"/>
        <v/>
      </c>
      <c r="LF616" s="1525" t="str">
        <f t="shared" si="286"/>
        <v/>
      </c>
      <c r="LG616" s="1525" t="str">
        <f t="shared" si="287"/>
        <v/>
      </c>
      <c r="LH616" s="1525" t="str">
        <f t="shared" si="288"/>
        <v/>
      </c>
      <c r="LI616" s="1525" t="str">
        <f t="shared" si="289"/>
        <v/>
      </c>
      <c r="LJ616" s="1525" t="str">
        <f t="shared" si="290"/>
        <v/>
      </c>
      <c r="LK616" s="1154" t="str">
        <f t="shared" si="291"/>
        <v/>
      </c>
      <c r="LL616" s="1154" t="str">
        <f t="shared" si="292"/>
        <v/>
      </c>
      <c r="LM616" s="1154" t="str">
        <f t="shared" si="293"/>
        <v/>
      </c>
      <c r="LN616" s="1154" t="str">
        <f t="shared" si="294"/>
        <v/>
      </c>
      <c r="LO616" s="1154" t="str">
        <f t="shared" si="295"/>
        <v/>
      </c>
      <c r="LP616" s="1154" t="str">
        <f t="shared" si="296"/>
        <v/>
      </c>
      <c r="LQ616" s="1154" t="str">
        <f t="shared" si="297"/>
        <v/>
      </c>
      <c r="LR616" s="1154" t="str">
        <f t="shared" si="298"/>
        <v/>
      </c>
      <c r="LS616" s="1154" t="str">
        <f t="shared" si="299"/>
        <v/>
      </c>
      <c r="LT616" s="1154" t="str">
        <f t="shared" si="300"/>
        <v/>
      </c>
      <c r="LU616" s="1154" t="str">
        <f t="shared" si="301"/>
        <v/>
      </c>
      <c r="LV616" s="1154" t="str">
        <f t="shared" si="302"/>
        <v/>
      </c>
      <c r="LW616" s="1154" t="str">
        <f t="shared" si="303"/>
        <v/>
      </c>
      <c r="LX616" s="1154" t="str">
        <f t="shared" si="304"/>
        <v/>
      </c>
      <c r="LY616" s="1154" t="str">
        <f t="shared" si="305"/>
        <v/>
      </c>
      <c r="LZ616" s="1154" t="str">
        <f t="shared" si="306"/>
        <v/>
      </c>
      <c r="MA616" s="1154" t="str">
        <f t="shared" si="307"/>
        <v/>
      </c>
      <c r="MB616" s="1154" t="str">
        <f t="shared" si="308"/>
        <v/>
      </c>
      <c r="MC616" s="1154" t="str">
        <f t="shared" si="309"/>
        <v/>
      </c>
      <c r="MD616" s="1154" t="str">
        <f t="shared" si="310"/>
        <v/>
      </c>
      <c r="ME616" s="1525">
        <f t="shared" si="322"/>
        <v>0</v>
      </c>
      <c r="MF616" s="1525">
        <f t="shared" si="323"/>
        <v>0</v>
      </c>
      <c r="MG616" s="1525">
        <f t="shared" si="324"/>
        <v>0</v>
      </c>
      <c r="MH616" s="1525">
        <f t="shared" si="325"/>
        <v>0</v>
      </c>
      <c r="MI616" s="1525">
        <f t="shared" si="326"/>
        <v>0</v>
      </c>
      <c r="MJ616" s="1525">
        <f t="shared" si="327"/>
        <v>0</v>
      </c>
      <c r="MK616" s="1525">
        <f t="shared" si="328"/>
        <v>0</v>
      </c>
      <c r="ML616" s="1525">
        <f t="shared" si="329"/>
        <v>0</v>
      </c>
      <c r="MM616" s="1525">
        <f t="shared" si="330"/>
        <v>0</v>
      </c>
      <c r="MN616" s="1525">
        <f t="shared" si="331"/>
        <v>0</v>
      </c>
      <c r="MO616" s="1525">
        <f t="shared" si="332"/>
        <v>0</v>
      </c>
      <c r="MP616" s="1525">
        <f t="shared" si="333"/>
        <v>0</v>
      </c>
      <c r="MQ616" s="1525">
        <f t="shared" si="334"/>
        <v>0</v>
      </c>
      <c r="MR616" s="1525">
        <f t="shared" si="335"/>
        <v>0</v>
      </c>
      <c r="MS616" s="1525">
        <f t="shared" si="336"/>
        <v>0</v>
      </c>
    </row>
    <row r="617" spans="1:358" s="1154" customFormat="1" ht="12" customHeight="1">
      <c r="A617" s="1524" t="str">
        <f t="shared" si="1"/>
        <v/>
      </c>
      <c r="B617" s="1682">
        <f>'Part VI-Revenues &amp; Expenses'!B46</f>
        <v>0</v>
      </c>
      <c r="C617" s="1673">
        <f>'Part VI-Revenues &amp; Expenses'!C46</f>
        <v>0</v>
      </c>
      <c r="D617" s="1674">
        <f>'Part VI-Revenues &amp; Expenses'!D46</f>
        <v>0</v>
      </c>
      <c r="E617" s="1675">
        <f>'Part VI-Revenues &amp; Expenses'!E46</f>
        <v>0</v>
      </c>
      <c r="F617" s="1675">
        <f>'Part VI-Revenues &amp; Expenses'!F46</f>
        <v>0</v>
      </c>
      <c r="G617" s="1675">
        <f>'Part VI-Revenues &amp; Expenses'!G46</f>
        <v>0</v>
      </c>
      <c r="H617" s="1675">
        <f>'Part VI-Revenues &amp; Expenses'!H46</f>
        <v>0</v>
      </c>
      <c r="I617" s="1675">
        <f>'Part VI-Revenues &amp; Expenses'!I46</f>
        <v>0</v>
      </c>
      <c r="J617" s="1676">
        <f>'Part VI-Revenues &amp; Expenses'!J46</f>
        <v>0</v>
      </c>
      <c r="K617" s="1677">
        <f>'Part VI-Revenues &amp; Expenses'!K46</f>
        <v>0</v>
      </c>
      <c r="L617" s="1677">
        <f>'Part VI-Revenues &amp; Expenses'!L46</f>
        <v>0</v>
      </c>
      <c r="M617" s="1678">
        <f>'Part VI-Revenues &amp; Expenses'!M46</f>
        <v>0</v>
      </c>
      <c r="N617" s="1678">
        <f>'Part VI-Revenues &amp; Expenses'!N46</f>
        <v>0</v>
      </c>
      <c r="O617" s="1678">
        <f>'Part VI-Revenues &amp; Expenses'!O46</f>
        <v>0</v>
      </c>
      <c r="P617" s="1660">
        <f>'Part VI-Revenues &amp; Expenses'!P46</f>
        <v>0</v>
      </c>
      <c r="Q617" s="1679"/>
      <c r="R617" s="1680"/>
      <c r="S617" s="1679"/>
      <c r="T617" s="1680"/>
      <c r="U617" s="1519"/>
      <c r="V617" s="1519"/>
      <c r="W617" s="1154" t="str">
        <f t="shared" si="2"/>
        <v/>
      </c>
      <c r="X617" s="1154" t="str">
        <f t="shared" si="3"/>
        <v/>
      </c>
      <c r="Y617" s="1154" t="str">
        <f t="shared" si="4"/>
        <v/>
      </c>
      <c r="Z617" s="1154" t="str">
        <f t="shared" si="5"/>
        <v/>
      </c>
      <c r="AA617" s="1154" t="str">
        <f t="shared" si="6"/>
        <v/>
      </c>
      <c r="AB617" s="1154" t="str">
        <f t="shared" si="7"/>
        <v/>
      </c>
      <c r="AC617" s="1154" t="str">
        <f t="shared" si="8"/>
        <v/>
      </c>
      <c r="AD617" s="1154" t="str">
        <f t="shared" si="9"/>
        <v/>
      </c>
      <c r="AE617" s="1154" t="str">
        <f t="shared" si="10"/>
        <v/>
      </c>
      <c r="AF617" s="1154" t="str">
        <f t="shared" si="11"/>
        <v/>
      </c>
      <c r="AG617" s="1154" t="str">
        <f t="shared" si="12"/>
        <v/>
      </c>
      <c r="AH617" s="1154" t="str">
        <f t="shared" si="13"/>
        <v/>
      </c>
      <c r="AI617" s="1154" t="str">
        <f t="shared" si="14"/>
        <v/>
      </c>
      <c r="AJ617" s="1154" t="str">
        <f t="shared" si="15"/>
        <v/>
      </c>
      <c r="AK617" s="1154" t="str">
        <f t="shared" si="16"/>
        <v/>
      </c>
      <c r="AL617" s="1154" t="str">
        <f t="shared" si="17"/>
        <v/>
      </c>
      <c r="AM617" s="1154" t="str">
        <f t="shared" si="18"/>
        <v/>
      </c>
      <c r="AN617" s="1154" t="str">
        <f t="shared" si="19"/>
        <v/>
      </c>
      <c r="AO617" s="1154" t="str">
        <f t="shared" si="20"/>
        <v/>
      </c>
      <c r="AP617" s="1154" t="str">
        <f t="shared" si="21"/>
        <v/>
      </c>
      <c r="AQ617" s="1154" t="str">
        <f t="shared" si="22"/>
        <v/>
      </c>
      <c r="AR617" s="1154" t="str">
        <f t="shared" si="23"/>
        <v/>
      </c>
      <c r="AS617" s="1154" t="str">
        <f t="shared" si="24"/>
        <v/>
      </c>
      <c r="AT617" s="1154" t="str">
        <f t="shared" si="25"/>
        <v/>
      </c>
      <c r="AU617" s="1154" t="str">
        <f t="shared" si="26"/>
        <v/>
      </c>
      <c r="AV617" s="1154" t="str">
        <f t="shared" si="27"/>
        <v/>
      </c>
      <c r="AW617" s="1154" t="str">
        <f t="shared" si="28"/>
        <v/>
      </c>
      <c r="AX617" s="1154" t="str">
        <f t="shared" si="29"/>
        <v/>
      </c>
      <c r="AY617" s="1154" t="str">
        <f t="shared" si="30"/>
        <v/>
      </c>
      <c r="AZ617" s="1154" t="str">
        <f t="shared" si="31"/>
        <v/>
      </c>
      <c r="BA617" s="1154" t="str">
        <f t="shared" si="32"/>
        <v/>
      </c>
      <c r="BB617" s="1154" t="str">
        <f t="shared" si="33"/>
        <v/>
      </c>
      <c r="BC617" s="1154" t="str">
        <f t="shared" si="34"/>
        <v/>
      </c>
      <c r="BD617" s="1154" t="str">
        <f t="shared" si="35"/>
        <v/>
      </c>
      <c r="BE617" s="1154" t="str">
        <f t="shared" si="36"/>
        <v/>
      </c>
      <c r="BF617" s="1154" t="str">
        <f t="shared" si="37"/>
        <v/>
      </c>
      <c r="BG617" s="1154" t="str">
        <f t="shared" si="38"/>
        <v/>
      </c>
      <c r="BH617" s="1154" t="str">
        <f t="shared" si="39"/>
        <v/>
      </c>
      <c r="BI617" s="1154" t="str">
        <f t="shared" si="40"/>
        <v/>
      </c>
      <c r="BJ617" s="1154" t="str">
        <f t="shared" si="41"/>
        <v/>
      </c>
      <c r="BK617" s="1154" t="str">
        <f t="shared" si="42"/>
        <v/>
      </c>
      <c r="BL617" s="1154" t="str">
        <f t="shared" si="43"/>
        <v/>
      </c>
      <c r="BM617" s="1154" t="str">
        <f t="shared" si="44"/>
        <v/>
      </c>
      <c r="BN617" s="1154" t="str">
        <f t="shared" si="45"/>
        <v/>
      </c>
      <c r="BO617" s="1154" t="str">
        <f t="shared" si="46"/>
        <v/>
      </c>
      <c r="BP617" s="1154" t="str">
        <f t="shared" si="47"/>
        <v/>
      </c>
      <c r="BQ617" s="1154" t="str">
        <f t="shared" si="48"/>
        <v/>
      </c>
      <c r="BR617" s="1154" t="str">
        <f t="shared" si="49"/>
        <v/>
      </c>
      <c r="BS617" s="1154" t="str">
        <f t="shared" si="50"/>
        <v/>
      </c>
      <c r="BT617" s="1154" t="str">
        <f t="shared" si="51"/>
        <v/>
      </c>
      <c r="BU617" s="1154" t="str">
        <f t="shared" si="52"/>
        <v/>
      </c>
      <c r="BV617" s="1154" t="str">
        <f t="shared" si="53"/>
        <v/>
      </c>
      <c r="BW617" s="1154" t="str">
        <f t="shared" si="54"/>
        <v/>
      </c>
      <c r="BX617" s="1154" t="str">
        <f t="shared" si="55"/>
        <v/>
      </c>
      <c r="BY617" s="1154" t="str">
        <f t="shared" si="56"/>
        <v/>
      </c>
      <c r="BZ617" s="1154" t="str">
        <f t="shared" si="57"/>
        <v/>
      </c>
      <c r="CA617" s="1154" t="str">
        <f t="shared" si="58"/>
        <v/>
      </c>
      <c r="CB617" s="1154" t="str">
        <f t="shared" si="59"/>
        <v/>
      </c>
      <c r="CC617" s="1154" t="str">
        <f t="shared" si="60"/>
        <v/>
      </c>
      <c r="CD617" s="1154" t="str">
        <f t="shared" si="61"/>
        <v/>
      </c>
      <c r="CE617" s="1154" t="str">
        <f t="shared" si="62"/>
        <v/>
      </c>
      <c r="CF617" s="1154" t="str">
        <f t="shared" si="63"/>
        <v/>
      </c>
      <c r="CG617" s="1154" t="str">
        <f t="shared" si="64"/>
        <v/>
      </c>
      <c r="CH617" s="1154" t="str">
        <f t="shared" si="65"/>
        <v/>
      </c>
      <c r="CI617" s="1154" t="str">
        <f t="shared" si="66"/>
        <v/>
      </c>
      <c r="CJ617" s="1154" t="str">
        <f t="shared" si="67"/>
        <v/>
      </c>
      <c r="CK617" s="1154" t="str">
        <f t="shared" si="68"/>
        <v/>
      </c>
      <c r="CL617" s="1154" t="str">
        <f t="shared" si="69"/>
        <v/>
      </c>
      <c r="CM617" s="1154" t="str">
        <f t="shared" si="70"/>
        <v/>
      </c>
      <c r="CN617" s="1154" t="str">
        <f t="shared" si="71"/>
        <v/>
      </c>
      <c r="CO617" s="1154" t="str">
        <f t="shared" si="72"/>
        <v/>
      </c>
      <c r="CP617" s="1154" t="str">
        <f t="shared" si="73"/>
        <v/>
      </c>
      <c r="CQ617" s="1154" t="str">
        <f t="shared" si="74"/>
        <v/>
      </c>
      <c r="CR617" s="1154" t="str">
        <f t="shared" si="75"/>
        <v/>
      </c>
      <c r="CS617" s="1154" t="str">
        <f t="shared" si="76"/>
        <v/>
      </c>
      <c r="CT617" s="1154" t="str">
        <f t="shared" si="77"/>
        <v/>
      </c>
      <c r="CU617" s="1154" t="str">
        <f t="shared" si="78"/>
        <v/>
      </c>
      <c r="CV617" s="1154" t="str">
        <f t="shared" si="79"/>
        <v/>
      </c>
      <c r="CW617" s="1154" t="str">
        <f t="shared" si="80"/>
        <v/>
      </c>
      <c r="CX617" s="1154" t="str">
        <f t="shared" si="81"/>
        <v/>
      </c>
      <c r="CY617" s="1154" t="str">
        <f t="shared" si="82"/>
        <v/>
      </c>
      <c r="CZ617" s="1154" t="str">
        <f t="shared" si="83"/>
        <v/>
      </c>
      <c r="DA617" s="1154" t="str">
        <f t="shared" si="84"/>
        <v/>
      </c>
      <c r="DB617" s="1154" t="str">
        <f t="shared" si="85"/>
        <v/>
      </c>
      <c r="DC617" s="1154" t="str">
        <f t="shared" si="86"/>
        <v/>
      </c>
      <c r="DD617" s="1154" t="str">
        <f t="shared" si="87"/>
        <v/>
      </c>
      <c r="DE617" s="1154" t="str">
        <f t="shared" si="88"/>
        <v/>
      </c>
      <c r="DF617" s="1154" t="str">
        <f t="shared" si="89"/>
        <v/>
      </c>
      <c r="DG617" s="1154" t="str">
        <f t="shared" si="90"/>
        <v/>
      </c>
      <c r="DH617" s="1154" t="str">
        <f t="shared" si="91"/>
        <v/>
      </c>
      <c r="DI617" s="1154" t="str">
        <f t="shared" si="92"/>
        <v/>
      </c>
      <c r="DJ617" s="1154" t="str">
        <f t="shared" si="93"/>
        <v/>
      </c>
      <c r="DK617" s="1154" t="str">
        <f t="shared" si="94"/>
        <v/>
      </c>
      <c r="DL617" s="1154" t="str">
        <f t="shared" si="95"/>
        <v/>
      </c>
      <c r="DM617" s="1154" t="str">
        <f t="shared" si="96"/>
        <v/>
      </c>
      <c r="DN617" s="1154" t="str">
        <f t="shared" si="97"/>
        <v/>
      </c>
      <c r="DO617" s="1154" t="str">
        <f t="shared" si="98"/>
        <v/>
      </c>
      <c r="DP617" s="1154" t="str">
        <f t="shared" si="99"/>
        <v/>
      </c>
      <c r="DQ617" s="1154" t="str">
        <f t="shared" si="100"/>
        <v/>
      </c>
      <c r="DR617" s="1154" t="str">
        <f t="shared" si="101"/>
        <v/>
      </c>
      <c r="DS617" s="1154" t="str">
        <f t="shared" si="102"/>
        <v/>
      </c>
      <c r="DT617" s="1154" t="str">
        <f t="shared" si="103"/>
        <v/>
      </c>
      <c r="DU617" s="1154" t="str">
        <f t="shared" si="104"/>
        <v/>
      </c>
      <c r="DV617" s="1154" t="str">
        <f t="shared" si="105"/>
        <v/>
      </c>
      <c r="DW617" s="1154" t="str">
        <f t="shared" si="106"/>
        <v/>
      </c>
      <c r="DX617" s="1154" t="str">
        <f t="shared" si="107"/>
        <v/>
      </c>
      <c r="DY617" s="1154" t="str">
        <f t="shared" si="108"/>
        <v/>
      </c>
      <c r="DZ617" s="1154" t="str">
        <f t="shared" si="109"/>
        <v/>
      </c>
      <c r="EA617" s="1154" t="str">
        <f t="shared" si="110"/>
        <v/>
      </c>
      <c r="EB617" s="1154" t="str">
        <f t="shared" si="111"/>
        <v/>
      </c>
      <c r="EC617" s="1154" t="str">
        <f t="shared" si="112"/>
        <v/>
      </c>
      <c r="ED617" s="1154" t="str">
        <f t="shared" si="113"/>
        <v/>
      </c>
      <c r="EE617" s="1154" t="str">
        <f t="shared" si="114"/>
        <v/>
      </c>
      <c r="EF617" s="1154" t="str">
        <f t="shared" si="115"/>
        <v/>
      </c>
      <c r="EG617" s="1154" t="str">
        <f t="shared" si="311"/>
        <v/>
      </c>
      <c r="EH617" s="1154" t="str">
        <f t="shared" si="116"/>
        <v/>
      </c>
      <c r="EI617" s="1154" t="str">
        <f t="shared" si="117"/>
        <v/>
      </c>
      <c r="EJ617" s="1154" t="str">
        <f t="shared" si="118"/>
        <v/>
      </c>
      <c r="EK617" s="1154" t="str">
        <f t="shared" si="119"/>
        <v/>
      </c>
      <c r="EL617" s="1154" t="str">
        <f t="shared" si="120"/>
        <v/>
      </c>
      <c r="EM617" s="1154" t="str">
        <f t="shared" si="121"/>
        <v/>
      </c>
      <c r="EN617" s="1154" t="str">
        <f t="shared" si="122"/>
        <v/>
      </c>
      <c r="EO617" s="1154" t="str">
        <f t="shared" si="123"/>
        <v/>
      </c>
      <c r="EP617" s="1154" t="str">
        <f t="shared" si="124"/>
        <v/>
      </c>
      <c r="EQ617" s="1154" t="str">
        <f t="shared" si="125"/>
        <v/>
      </c>
      <c r="ER617" s="1154" t="str">
        <f t="shared" si="126"/>
        <v/>
      </c>
      <c r="ES617" s="1154" t="str">
        <f t="shared" si="127"/>
        <v/>
      </c>
      <c r="ET617" s="1154" t="str">
        <f t="shared" si="128"/>
        <v/>
      </c>
      <c r="EU617" s="1154" t="str">
        <f t="shared" si="129"/>
        <v/>
      </c>
      <c r="EV617" s="1154" t="str">
        <f t="shared" si="130"/>
        <v/>
      </c>
      <c r="EW617" s="1154" t="str">
        <f t="shared" si="312"/>
        <v/>
      </c>
      <c r="EX617" s="1154" t="str">
        <f t="shared" si="313"/>
        <v/>
      </c>
      <c r="EY617" s="1154" t="str">
        <f t="shared" si="314"/>
        <v/>
      </c>
      <c r="EZ617" s="1154" t="str">
        <f t="shared" si="315"/>
        <v/>
      </c>
      <c r="FA617" s="1154" t="str">
        <f t="shared" si="316"/>
        <v/>
      </c>
      <c r="FB617" s="1154" t="str">
        <f t="shared" si="131"/>
        <v/>
      </c>
      <c r="FC617" s="1154" t="str">
        <f t="shared" si="132"/>
        <v/>
      </c>
      <c r="FD617" s="1154" t="str">
        <f t="shared" si="133"/>
        <v/>
      </c>
      <c r="FE617" s="1154" t="str">
        <f t="shared" si="134"/>
        <v/>
      </c>
      <c r="FF617" s="1154" t="str">
        <f t="shared" si="135"/>
        <v/>
      </c>
      <c r="FG617" s="1154" t="str">
        <f t="shared" si="317"/>
        <v/>
      </c>
      <c r="FH617" s="1154" t="str">
        <f t="shared" si="318"/>
        <v/>
      </c>
      <c r="FI617" s="1154" t="str">
        <f t="shared" si="319"/>
        <v/>
      </c>
      <c r="FJ617" s="1154" t="str">
        <f t="shared" si="320"/>
        <v/>
      </c>
      <c r="FK617" s="1154" t="str">
        <f t="shared" si="321"/>
        <v/>
      </c>
      <c r="FL617" s="1154" t="str">
        <f t="shared" si="136"/>
        <v/>
      </c>
      <c r="FM617" s="1154" t="str">
        <f t="shared" si="137"/>
        <v/>
      </c>
      <c r="FN617" s="1154" t="str">
        <f t="shared" si="138"/>
        <v/>
      </c>
      <c r="FO617" s="1154" t="str">
        <f t="shared" si="139"/>
        <v/>
      </c>
      <c r="FP617" s="1154" t="str">
        <f t="shared" si="140"/>
        <v/>
      </c>
      <c r="FQ617" s="1154" t="str">
        <f t="shared" si="141"/>
        <v/>
      </c>
      <c r="FR617" s="1154" t="str">
        <f t="shared" si="142"/>
        <v/>
      </c>
      <c r="FS617" s="1154" t="str">
        <f t="shared" si="143"/>
        <v/>
      </c>
      <c r="FT617" s="1154" t="str">
        <f t="shared" si="144"/>
        <v/>
      </c>
      <c r="FU617" s="1154" t="str">
        <f t="shared" si="145"/>
        <v/>
      </c>
      <c r="FV617" s="1154" t="str">
        <f t="shared" si="146"/>
        <v/>
      </c>
      <c r="FW617" s="1154" t="str">
        <f t="shared" si="147"/>
        <v/>
      </c>
      <c r="FX617" s="1154" t="str">
        <f t="shared" si="148"/>
        <v/>
      </c>
      <c r="FY617" s="1154" t="str">
        <f t="shared" si="149"/>
        <v/>
      </c>
      <c r="FZ617" s="1154" t="str">
        <f t="shared" si="150"/>
        <v/>
      </c>
      <c r="GA617" s="1154" t="str">
        <f t="shared" si="151"/>
        <v/>
      </c>
      <c r="GB617" s="1154" t="str">
        <f t="shared" si="152"/>
        <v/>
      </c>
      <c r="GC617" s="1154" t="str">
        <f t="shared" si="153"/>
        <v/>
      </c>
      <c r="GD617" s="1154" t="str">
        <f t="shared" si="154"/>
        <v/>
      </c>
      <c r="GE617" s="1154" t="str">
        <f t="shared" si="155"/>
        <v/>
      </c>
      <c r="GF617" s="1154" t="str">
        <f t="shared" si="156"/>
        <v/>
      </c>
      <c r="GG617" s="1154" t="str">
        <f t="shared" si="157"/>
        <v/>
      </c>
      <c r="GH617" s="1154" t="str">
        <f t="shared" si="158"/>
        <v/>
      </c>
      <c r="GI617" s="1154" t="str">
        <f t="shared" si="159"/>
        <v/>
      </c>
      <c r="GJ617" s="1154" t="str">
        <f t="shared" si="160"/>
        <v/>
      </c>
      <c r="GK617" s="1154" t="str">
        <f t="shared" si="161"/>
        <v/>
      </c>
      <c r="GL617" s="1154" t="str">
        <f t="shared" si="162"/>
        <v/>
      </c>
      <c r="GM617" s="1154" t="str">
        <f t="shared" si="163"/>
        <v/>
      </c>
      <c r="GN617" s="1154" t="str">
        <f t="shared" si="164"/>
        <v/>
      </c>
      <c r="GO617" s="1154" t="str">
        <f t="shared" si="165"/>
        <v/>
      </c>
      <c r="GP617" s="1154" t="str">
        <f t="shared" si="166"/>
        <v/>
      </c>
      <c r="GQ617" s="1154" t="str">
        <f t="shared" si="167"/>
        <v/>
      </c>
      <c r="GR617" s="1154" t="str">
        <f t="shared" si="168"/>
        <v/>
      </c>
      <c r="GS617" s="1154" t="str">
        <f t="shared" si="169"/>
        <v/>
      </c>
      <c r="GT617" s="1154" t="str">
        <f t="shared" si="170"/>
        <v/>
      </c>
      <c r="GU617" s="1154" t="str">
        <f t="shared" si="171"/>
        <v/>
      </c>
      <c r="GV617" s="1154" t="str">
        <f t="shared" si="172"/>
        <v/>
      </c>
      <c r="GW617" s="1154" t="str">
        <f t="shared" si="173"/>
        <v/>
      </c>
      <c r="GX617" s="1154" t="str">
        <f t="shared" si="174"/>
        <v/>
      </c>
      <c r="GY617" s="1154" t="str">
        <f t="shared" si="175"/>
        <v/>
      </c>
      <c r="GZ617" s="1154" t="str">
        <f t="shared" si="176"/>
        <v/>
      </c>
      <c r="HA617" s="1154" t="str">
        <f t="shared" si="177"/>
        <v/>
      </c>
      <c r="HB617" s="1154" t="str">
        <f t="shared" si="178"/>
        <v/>
      </c>
      <c r="HC617" s="1154" t="str">
        <f t="shared" si="179"/>
        <v/>
      </c>
      <c r="HD617" s="1154" t="str">
        <f t="shared" si="180"/>
        <v/>
      </c>
      <c r="HE617" s="1154" t="str">
        <f t="shared" si="181"/>
        <v/>
      </c>
      <c r="HF617" s="1154" t="str">
        <f t="shared" si="182"/>
        <v/>
      </c>
      <c r="HG617" s="1154" t="str">
        <f t="shared" si="183"/>
        <v/>
      </c>
      <c r="HH617" s="1154" t="str">
        <f t="shared" si="184"/>
        <v/>
      </c>
      <c r="HI617" s="1154" t="str">
        <f t="shared" si="185"/>
        <v/>
      </c>
      <c r="HJ617" s="1154" t="str">
        <f t="shared" si="186"/>
        <v/>
      </c>
      <c r="HK617" s="1154" t="str">
        <f t="shared" si="187"/>
        <v/>
      </c>
      <c r="HL617" s="1154" t="str">
        <f t="shared" si="188"/>
        <v/>
      </c>
      <c r="HM617" s="1154" t="str">
        <f t="shared" si="189"/>
        <v/>
      </c>
      <c r="HN617" s="1154" t="str">
        <f t="shared" si="190"/>
        <v/>
      </c>
      <c r="HO617" s="1154" t="str">
        <f t="shared" si="191"/>
        <v/>
      </c>
      <c r="HP617" s="1154" t="str">
        <f t="shared" si="192"/>
        <v/>
      </c>
      <c r="HQ617" s="1154" t="str">
        <f t="shared" si="193"/>
        <v/>
      </c>
      <c r="HR617" s="1154" t="str">
        <f t="shared" si="194"/>
        <v/>
      </c>
      <c r="HS617" s="1154" t="str">
        <f t="shared" si="195"/>
        <v/>
      </c>
      <c r="HT617" s="1154" t="str">
        <f t="shared" si="196"/>
        <v/>
      </c>
      <c r="HU617" s="1154" t="str">
        <f t="shared" si="197"/>
        <v/>
      </c>
      <c r="HV617" s="1154" t="str">
        <f t="shared" si="198"/>
        <v/>
      </c>
      <c r="HW617" s="1154" t="str">
        <f t="shared" si="199"/>
        <v/>
      </c>
      <c r="HX617" s="1154" t="str">
        <f t="shared" si="200"/>
        <v/>
      </c>
      <c r="HY617" s="1681" t="str">
        <f t="shared" si="201"/>
        <v/>
      </c>
      <c r="HZ617" s="1681" t="str">
        <f t="shared" si="202"/>
        <v/>
      </c>
      <c r="IA617" s="1681" t="str">
        <f t="shared" si="203"/>
        <v/>
      </c>
      <c r="IB617" s="1681" t="str">
        <f t="shared" si="204"/>
        <v/>
      </c>
      <c r="IC617" s="1681" t="str">
        <f t="shared" si="205"/>
        <v/>
      </c>
      <c r="ID617" s="1681" t="str">
        <f t="shared" si="206"/>
        <v/>
      </c>
      <c r="IE617" s="1681" t="str">
        <f t="shared" si="207"/>
        <v/>
      </c>
      <c r="IF617" s="1681" t="str">
        <f t="shared" si="208"/>
        <v/>
      </c>
      <c r="IG617" s="1681" t="str">
        <f t="shared" si="209"/>
        <v/>
      </c>
      <c r="IH617" s="1681" t="str">
        <f t="shared" si="210"/>
        <v/>
      </c>
      <c r="II617" s="1681" t="str">
        <f t="shared" si="211"/>
        <v/>
      </c>
      <c r="IJ617" s="1681" t="str">
        <f t="shared" si="212"/>
        <v/>
      </c>
      <c r="IK617" s="1681" t="str">
        <f t="shared" si="213"/>
        <v/>
      </c>
      <c r="IL617" s="1681" t="str">
        <f t="shared" si="214"/>
        <v/>
      </c>
      <c r="IM617" s="1681" t="str">
        <f t="shared" si="215"/>
        <v/>
      </c>
      <c r="IN617" s="1681" t="str">
        <f t="shared" si="216"/>
        <v/>
      </c>
      <c r="IO617" s="1681" t="str">
        <f t="shared" si="217"/>
        <v/>
      </c>
      <c r="IP617" s="1681" t="str">
        <f t="shared" si="218"/>
        <v/>
      </c>
      <c r="IQ617" s="1681" t="str">
        <f t="shared" si="219"/>
        <v/>
      </c>
      <c r="IR617" s="1681" t="str">
        <f t="shared" si="220"/>
        <v/>
      </c>
      <c r="IS617" s="1681" t="str">
        <f t="shared" si="221"/>
        <v/>
      </c>
      <c r="IT617" s="1681" t="str">
        <f t="shared" si="222"/>
        <v/>
      </c>
      <c r="IU617" s="1681" t="str">
        <f t="shared" si="223"/>
        <v/>
      </c>
      <c r="IV617" s="1681" t="str">
        <f t="shared" si="224"/>
        <v/>
      </c>
      <c r="IW617" s="1681" t="str">
        <f t="shared" si="225"/>
        <v/>
      </c>
      <c r="IX617" s="1681" t="str">
        <f t="shared" si="226"/>
        <v/>
      </c>
      <c r="IY617" s="1681" t="str">
        <f t="shared" si="227"/>
        <v/>
      </c>
      <c r="IZ617" s="1681" t="str">
        <f t="shared" si="228"/>
        <v/>
      </c>
      <c r="JA617" s="1681" t="str">
        <f t="shared" si="229"/>
        <v/>
      </c>
      <c r="JB617" s="1681" t="str">
        <f t="shared" si="230"/>
        <v/>
      </c>
      <c r="JC617" s="1681" t="str">
        <f t="shared" si="231"/>
        <v/>
      </c>
      <c r="JD617" s="1681" t="str">
        <f t="shared" si="232"/>
        <v/>
      </c>
      <c r="JE617" s="1681" t="str">
        <f t="shared" si="233"/>
        <v/>
      </c>
      <c r="JF617" s="1681" t="str">
        <f t="shared" si="234"/>
        <v/>
      </c>
      <c r="JG617" s="1681" t="str">
        <f t="shared" si="235"/>
        <v/>
      </c>
      <c r="JH617" s="1681" t="str">
        <f t="shared" si="236"/>
        <v/>
      </c>
      <c r="JI617" s="1681" t="str">
        <f t="shared" si="237"/>
        <v/>
      </c>
      <c r="JJ617" s="1681" t="str">
        <f t="shared" si="238"/>
        <v/>
      </c>
      <c r="JK617" s="1681" t="str">
        <f t="shared" si="239"/>
        <v/>
      </c>
      <c r="JL617" s="1681" t="str">
        <f t="shared" si="240"/>
        <v/>
      </c>
      <c r="JM617" s="1681" t="str">
        <f t="shared" si="241"/>
        <v/>
      </c>
      <c r="JN617" s="1681" t="str">
        <f t="shared" si="242"/>
        <v/>
      </c>
      <c r="JO617" s="1681" t="str">
        <f t="shared" si="243"/>
        <v/>
      </c>
      <c r="JP617" s="1681" t="str">
        <f t="shared" si="244"/>
        <v/>
      </c>
      <c r="JQ617" s="1681" t="str">
        <f t="shared" si="245"/>
        <v/>
      </c>
      <c r="JR617" s="1681" t="str">
        <f t="shared" si="246"/>
        <v/>
      </c>
      <c r="JS617" s="1681" t="str">
        <f t="shared" si="247"/>
        <v/>
      </c>
      <c r="JT617" s="1681" t="str">
        <f t="shared" si="248"/>
        <v/>
      </c>
      <c r="JU617" s="1681" t="str">
        <f t="shared" si="249"/>
        <v/>
      </c>
      <c r="JV617" s="1681" t="str">
        <f t="shared" si="250"/>
        <v/>
      </c>
      <c r="JW617" s="1681" t="str">
        <f t="shared" si="251"/>
        <v/>
      </c>
      <c r="JX617" s="1681" t="str">
        <f t="shared" si="252"/>
        <v/>
      </c>
      <c r="JY617" s="1681" t="str">
        <f t="shared" si="253"/>
        <v/>
      </c>
      <c r="JZ617" s="1681" t="str">
        <f t="shared" si="254"/>
        <v/>
      </c>
      <c r="KA617" s="1681" t="str">
        <f t="shared" si="255"/>
        <v/>
      </c>
      <c r="KB617" s="1681" t="str">
        <f t="shared" si="256"/>
        <v/>
      </c>
      <c r="KC617" s="1681" t="str">
        <f t="shared" si="257"/>
        <v/>
      </c>
      <c r="KD617" s="1681" t="str">
        <f t="shared" si="258"/>
        <v/>
      </c>
      <c r="KE617" s="1681" t="str">
        <f t="shared" si="259"/>
        <v/>
      </c>
      <c r="KF617" s="1681" t="str">
        <f t="shared" si="260"/>
        <v/>
      </c>
      <c r="KG617" s="1681" t="str">
        <f t="shared" si="261"/>
        <v/>
      </c>
      <c r="KH617" s="1681" t="str">
        <f t="shared" si="262"/>
        <v/>
      </c>
      <c r="KI617" s="1681" t="str">
        <f t="shared" si="263"/>
        <v/>
      </c>
      <c r="KJ617" s="1681" t="str">
        <f t="shared" si="264"/>
        <v/>
      </c>
      <c r="KK617" s="1681" t="str">
        <f t="shared" si="265"/>
        <v/>
      </c>
      <c r="KL617" s="1681" t="str">
        <f t="shared" si="266"/>
        <v/>
      </c>
      <c r="KM617" s="1681" t="str">
        <f t="shared" si="267"/>
        <v/>
      </c>
      <c r="KN617" s="1681" t="str">
        <f t="shared" si="268"/>
        <v/>
      </c>
      <c r="KO617" s="1681" t="str">
        <f t="shared" si="269"/>
        <v/>
      </c>
      <c r="KP617" s="1681" t="str">
        <f t="shared" si="270"/>
        <v/>
      </c>
      <c r="KQ617" s="1681" t="str">
        <f t="shared" si="271"/>
        <v/>
      </c>
      <c r="KR617" s="1681" t="str">
        <f t="shared" si="272"/>
        <v/>
      </c>
      <c r="KS617" s="1681" t="str">
        <f t="shared" si="273"/>
        <v/>
      </c>
      <c r="KT617" s="1681" t="str">
        <f t="shared" si="274"/>
        <v/>
      </c>
      <c r="KU617" s="1681" t="str">
        <f t="shared" si="275"/>
        <v/>
      </c>
      <c r="KV617" s="1681" t="str">
        <f t="shared" si="276"/>
        <v/>
      </c>
      <c r="KW617" s="1681" t="str">
        <f t="shared" si="277"/>
        <v/>
      </c>
      <c r="KX617" s="1681" t="str">
        <f t="shared" si="278"/>
        <v/>
      </c>
      <c r="KY617" s="1681" t="str">
        <f t="shared" si="279"/>
        <v/>
      </c>
      <c r="KZ617" s="1681" t="str">
        <f t="shared" si="280"/>
        <v/>
      </c>
      <c r="LA617" s="1681" t="str">
        <f t="shared" si="281"/>
        <v/>
      </c>
      <c r="LB617" s="1681" t="str">
        <f t="shared" si="282"/>
        <v/>
      </c>
      <c r="LC617" s="1681" t="str">
        <f t="shared" si="283"/>
        <v/>
      </c>
      <c r="LD617" s="1681" t="str">
        <f t="shared" si="284"/>
        <v/>
      </c>
      <c r="LE617" s="1681" t="str">
        <f t="shared" si="285"/>
        <v/>
      </c>
      <c r="LF617" s="1525" t="str">
        <f t="shared" si="286"/>
        <v/>
      </c>
      <c r="LG617" s="1525" t="str">
        <f t="shared" si="287"/>
        <v/>
      </c>
      <c r="LH617" s="1525" t="str">
        <f t="shared" si="288"/>
        <v/>
      </c>
      <c r="LI617" s="1525" t="str">
        <f t="shared" si="289"/>
        <v/>
      </c>
      <c r="LJ617" s="1525" t="str">
        <f t="shared" si="290"/>
        <v/>
      </c>
      <c r="LK617" s="1154" t="str">
        <f t="shared" si="291"/>
        <v/>
      </c>
      <c r="LL617" s="1154" t="str">
        <f t="shared" si="292"/>
        <v/>
      </c>
      <c r="LM617" s="1154" t="str">
        <f t="shared" si="293"/>
        <v/>
      </c>
      <c r="LN617" s="1154" t="str">
        <f t="shared" si="294"/>
        <v/>
      </c>
      <c r="LO617" s="1154" t="str">
        <f t="shared" si="295"/>
        <v/>
      </c>
      <c r="LP617" s="1154" t="str">
        <f t="shared" si="296"/>
        <v/>
      </c>
      <c r="LQ617" s="1154" t="str">
        <f t="shared" si="297"/>
        <v/>
      </c>
      <c r="LR617" s="1154" t="str">
        <f t="shared" si="298"/>
        <v/>
      </c>
      <c r="LS617" s="1154" t="str">
        <f t="shared" si="299"/>
        <v/>
      </c>
      <c r="LT617" s="1154" t="str">
        <f t="shared" si="300"/>
        <v/>
      </c>
      <c r="LU617" s="1154" t="str">
        <f t="shared" si="301"/>
        <v/>
      </c>
      <c r="LV617" s="1154" t="str">
        <f t="shared" si="302"/>
        <v/>
      </c>
      <c r="LW617" s="1154" t="str">
        <f t="shared" si="303"/>
        <v/>
      </c>
      <c r="LX617" s="1154" t="str">
        <f t="shared" si="304"/>
        <v/>
      </c>
      <c r="LY617" s="1154" t="str">
        <f t="shared" si="305"/>
        <v/>
      </c>
      <c r="LZ617" s="1154" t="str">
        <f t="shared" si="306"/>
        <v/>
      </c>
      <c r="MA617" s="1154" t="str">
        <f t="shared" si="307"/>
        <v/>
      </c>
      <c r="MB617" s="1154" t="str">
        <f t="shared" si="308"/>
        <v/>
      </c>
      <c r="MC617" s="1154" t="str">
        <f t="shared" si="309"/>
        <v/>
      </c>
      <c r="MD617" s="1154" t="str">
        <f t="shared" si="310"/>
        <v/>
      </c>
      <c r="ME617" s="1525">
        <f t="shared" si="322"/>
        <v>0</v>
      </c>
      <c r="MF617" s="1525">
        <f t="shared" si="323"/>
        <v>0</v>
      </c>
      <c r="MG617" s="1525">
        <f t="shared" si="324"/>
        <v>0</v>
      </c>
      <c r="MH617" s="1525">
        <f t="shared" si="325"/>
        <v>0</v>
      </c>
      <c r="MI617" s="1525">
        <f t="shared" si="326"/>
        <v>0</v>
      </c>
      <c r="MJ617" s="1525">
        <f t="shared" si="327"/>
        <v>0</v>
      </c>
      <c r="MK617" s="1525">
        <f t="shared" si="328"/>
        <v>0</v>
      </c>
      <c r="ML617" s="1525">
        <f t="shared" si="329"/>
        <v>0</v>
      </c>
      <c r="MM617" s="1525">
        <f t="shared" si="330"/>
        <v>0</v>
      </c>
      <c r="MN617" s="1525">
        <f t="shared" si="331"/>
        <v>0</v>
      </c>
      <c r="MO617" s="1525">
        <f t="shared" si="332"/>
        <v>0</v>
      </c>
      <c r="MP617" s="1525">
        <f t="shared" si="333"/>
        <v>0</v>
      </c>
      <c r="MQ617" s="1525">
        <f t="shared" si="334"/>
        <v>0</v>
      </c>
      <c r="MR617" s="1525">
        <f t="shared" si="335"/>
        <v>0</v>
      </c>
      <c r="MS617" s="1525">
        <f t="shared" si="336"/>
        <v>0</v>
      </c>
    </row>
    <row r="618" spans="1:358" s="1154" customFormat="1" ht="12" customHeight="1">
      <c r="A618" s="1524" t="str">
        <f t="shared" si="1"/>
        <v/>
      </c>
      <c r="B618" s="1682">
        <f>'Part VI-Revenues &amp; Expenses'!B47</f>
        <v>0</v>
      </c>
      <c r="C618" s="1673">
        <f>'Part VI-Revenues &amp; Expenses'!C47</f>
        <v>0</v>
      </c>
      <c r="D618" s="1674">
        <f>'Part VI-Revenues &amp; Expenses'!D47</f>
        <v>0</v>
      </c>
      <c r="E618" s="1675">
        <f>'Part VI-Revenues &amp; Expenses'!E47</f>
        <v>0</v>
      </c>
      <c r="F618" s="1675">
        <f>'Part VI-Revenues &amp; Expenses'!F47</f>
        <v>0</v>
      </c>
      <c r="G618" s="1675">
        <f>'Part VI-Revenues &amp; Expenses'!G47</f>
        <v>0</v>
      </c>
      <c r="H618" s="1675">
        <f>'Part VI-Revenues &amp; Expenses'!H47</f>
        <v>0</v>
      </c>
      <c r="I618" s="1675">
        <f>'Part VI-Revenues &amp; Expenses'!I47</f>
        <v>0</v>
      </c>
      <c r="J618" s="1676">
        <f>'Part VI-Revenues &amp; Expenses'!J47</f>
        <v>0</v>
      </c>
      <c r="K618" s="1677">
        <f>'Part VI-Revenues &amp; Expenses'!K47</f>
        <v>0</v>
      </c>
      <c r="L618" s="1677">
        <f>'Part VI-Revenues &amp; Expenses'!L47</f>
        <v>0</v>
      </c>
      <c r="M618" s="1678">
        <f>'Part VI-Revenues &amp; Expenses'!M47</f>
        <v>0</v>
      </c>
      <c r="N618" s="1678">
        <f>'Part VI-Revenues &amp; Expenses'!N47</f>
        <v>0</v>
      </c>
      <c r="O618" s="1678">
        <f>'Part VI-Revenues &amp; Expenses'!O47</f>
        <v>0</v>
      </c>
      <c r="P618" s="1660">
        <f>'Part VI-Revenues &amp; Expenses'!P47</f>
        <v>0</v>
      </c>
      <c r="Q618" s="1679"/>
      <c r="R618" s="1680"/>
      <c r="S618" s="1679"/>
      <c r="T618" s="1680"/>
      <c r="U618" s="1519"/>
      <c r="V618" s="1519"/>
      <c r="W618" s="1154" t="str">
        <f t="shared" si="2"/>
        <v/>
      </c>
      <c r="X618" s="1154" t="str">
        <f t="shared" si="3"/>
        <v/>
      </c>
      <c r="Y618" s="1154" t="str">
        <f t="shared" si="4"/>
        <v/>
      </c>
      <c r="Z618" s="1154" t="str">
        <f t="shared" si="5"/>
        <v/>
      </c>
      <c r="AA618" s="1154" t="str">
        <f t="shared" si="6"/>
        <v/>
      </c>
      <c r="AB618" s="1154" t="str">
        <f t="shared" si="7"/>
        <v/>
      </c>
      <c r="AC618" s="1154" t="str">
        <f t="shared" si="8"/>
        <v/>
      </c>
      <c r="AD618" s="1154" t="str">
        <f t="shared" si="9"/>
        <v/>
      </c>
      <c r="AE618" s="1154" t="str">
        <f t="shared" si="10"/>
        <v/>
      </c>
      <c r="AF618" s="1154" t="str">
        <f t="shared" si="11"/>
        <v/>
      </c>
      <c r="AG618" s="1154" t="str">
        <f t="shared" si="12"/>
        <v/>
      </c>
      <c r="AH618" s="1154" t="str">
        <f t="shared" si="13"/>
        <v/>
      </c>
      <c r="AI618" s="1154" t="str">
        <f t="shared" si="14"/>
        <v/>
      </c>
      <c r="AJ618" s="1154" t="str">
        <f t="shared" si="15"/>
        <v/>
      </c>
      <c r="AK618" s="1154" t="str">
        <f t="shared" si="16"/>
        <v/>
      </c>
      <c r="AL618" s="1154" t="str">
        <f t="shared" si="17"/>
        <v/>
      </c>
      <c r="AM618" s="1154" t="str">
        <f t="shared" si="18"/>
        <v/>
      </c>
      <c r="AN618" s="1154" t="str">
        <f t="shared" si="19"/>
        <v/>
      </c>
      <c r="AO618" s="1154" t="str">
        <f t="shared" si="20"/>
        <v/>
      </c>
      <c r="AP618" s="1154" t="str">
        <f t="shared" si="21"/>
        <v/>
      </c>
      <c r="AQ618" s="1154" t="str">
        <f t="shared" si="22"/>
        <v/>
      </c>
      <c r="AR618" s="1154" t="str">
        <f t="shared" si="23"/>
        <v/>
      </c>
      <c r="AS618" s="1154" t="str">
        <f t="shared" si="24"/>
        <v/>
      </c>
      <c r="AT618" s="1154" t="str">
        <f t="shared" si="25"/>
        <v/>
      </c>
      <c r="AU618" s="1154" t="str">
        <f t="shared" si="26"/>
        <v/>
      </c>
      <c r="AV618" s="1154" t="str">
        <f t="shared" si="27"/>
        <v/>
      </c>
      <c r="AW618" s="1154" t="str">
        <f t="shared" si="28"/>
        <v/>
      </c>
      <c r="AX618" s="1154" t="str">
        <f t="shared" si="29"/>
        <v/>
      </c>
      <c r="AY618" s="1154" t="str">
        <f t="shared" si="30"/>
        <v/>
      </c>
      <c r="AZ618" s="1154" t="str">
        <f t="shared" si="31"/>
        <v/>
      </c>
      <c r="BA618" s="1154" t="str">
        <f t="shared" si="32"/>
        <v/>
      </c>
      <c r="BB618" s="1154" t="str">
        <f t="shared" si="33"/>
        <v/>
      </c>
      <c r="BC618" s="1154" t="str">
        <f t="shared" si="34"/>
        <v/>
      </c>
      <c r="BD618" s="1154" t="str">
        <f t="shared" si="35"/>
        <v/>
      </c>
      <c r="BE618" s="1154" t="str">
        <f t="shared" si="36"/>
        <v/>
      </c>
      <c r="BF618" s="1154" t="str">
        <f t="shared" si="37"/>
        <v/>
      </c>
      <c r="BG618" s="1154" t="str">
        <f t="shared" si="38"/>
        <v/>
      </c>
      <c r="BH618" s="1154" t="str">
        <f t="shared" si="39"/>
        <v/>
      </c>
      <c r="BI618" s="1154" t="str">
        <f t="shared" si="40"/>
        <v/>
      </c>
      <c r="BJ618" s="1154" t="str">
        <f t="shared" si="41"/>
        <v/>
      </c>
      <c r="BK618" s="1154" t="str">
        <f t="shared" si="42"/>
        <v/>
      </c>
      <c r="BL618" s="1154" t="str">
        <f t="shared" si="43"/>
        <v/>
      </c>
      <c r="BM618" s="1154" t="str">
        <f t="shared" si="44"/>
        <v/>
      </c>
      <c r="BN618" s="1154" t="str">
        <f t="shared" si="45"/>
        <v/>
      </c>
      <c r="BO618" s="1154" t="str">
        <f t="shared" si="46"/>
        <v/>
      </c>
      <c r="BP618" s="1154" t="str">
        <f t="shared" si="47"/>
        <v/>
      </c>
      <c r="BQ618" s="1154" t="str">
        <f t="shared" si="48"/>
        <v/>
      </c>
      <c r="BR618" s="1154" t="str">
        <f t="shared" si="49"/>
        <v/>
      </c>
      <c r="BS618" s="1154" t="str">
        <f t="shared" si="50"/>
        <v/>
      </c>
      <c r="BT618" s="1154" t="str">
        <f t="shared" si="51"/>
        <v/>
      </c>
      <c r="BU618" s="1154" t="str">
        <f t="shared" si="52"/>
        <v/>
      </c>
      <c r="BV618" s="1154" t="str">
        <f t="shared" si="53"/>
        <v/>
      </c>
      <c r="BW618" s="1154" t="str">
        <f t="shared" si="54"/>
        <v/>
      </c>
      <c r="BX618" s="1154" t="str">
        <f t="shared" si="55"/>
        <v/>
      </c>
      <c r="BY618" s="1154" t="str">
        <f t="shared" si="56"/>
        <v/>
      </c>
      <c r="BZ618" s="1154" t="str">
        <f t="shared" si="57"/>
        <v/>
      </c>
      <c r="CA618" s="1154" t="str">
        <f t="shared" si="58"/>
        <v/>
      </c>
      <c r="CB618" s="1154" t="str">
        <f t="shared" si="59"/>
        <v/>
      </c>
      <c r="CC618" s="1154" t="str">
        <f t="shared" si="60"/>
        <v/>
      </c>
      <c r="CD618" s="1154" t="str">
        <f t="shared" si="61"/>
        <v/>
      </c>
      <c r="CE618" s="1154" t="str">
        <f t="shared" si="62"/>
        <v/>
      </c>
      <c r="CF618" s="1154" t="str">
        <f t="shared" si="63"/>
        <v/>
      </c>
      <c r="CG618" s="1154" t="str">
        <f t="shared" si="64"/>
        <v/>
      </c>
      <c r="CH618" s="1154" t="str">
        <f t="shared" si="65"/>
        <v/>
      </c>
      <c r="CI618" s="1154" t="str">
        <f t="shared" si="66"/>
        <v/>
      </c>
      <c r="CJ618" s="1154" t="str">
        <f t="shared" si="67"/>
        <v/>
      </c>
      <c r="CK618" s="1154" t="str">
        <f t="shared" si="68"/>
        <v/>
      </c>
      <c r="CL618" s="1154" t="str">
        <f t="shared" si="69"/>
        <v/>
      </c>
      <c r="CM618" s="1154" t="str">
        <f t="shared" si="70"/>
        <v/>
      </c>
      <c r="CN618" s="1154" t="str">
        <f t="shared" si="71"/>
        <v/>
      </c>
      <c r="CO618" s="1154" t="str">
        <f t="shared" si="72"/>
        <v/>
      </c>
      <c r="CP618" s="1154" t="str">
        <f t="shared" si="73"/>
        <v/>
      </c>
      <c r="CQ618" s="1154" t="str">
        <f t="shared" si="74"/>
        <v/>
      </c>
      <c r="CR618" s="1154" t="str">
        <f t="shared" si="75"/>
        <v/>
      </c>
      <c r="CS618" s="1154" t="str">
        <f t="shared" si="76"/>
        <v/>
      </c>
      <c r="CT618" s="1154" t="str">
        <f t="shared" si="77"/>
        <v/>
      </c>
      <c r="CU618" s="1154" t="str">
        <f t="shared" si="78"/>
        <v/>
      </c>
      <c r="CV618" s="1154" t="str">
        <f t="shared" si="79"/>
        <v/>
      </c>
      <c r="CW618" s="1154" t="str">
        <f t="shared" si="80"/>
        <v/>
      </c>
      <c r="CX618" s="1154" t="str">
        <f t="shared" si="81"/>
        <v/>
      </c>
      <c r="CY618" s="1154" t="str">
        <f t="shared" si="82"/>
        <v/>
      </c>
      <c r="CZ618" s="1154" t="str">
        <f t="shared" si="83"/>
        <v/>
      </c>
      <c r="DA618" s="1154" t="str">
        <f t="shared" si="84"/>
        <v/>
      </c>
      <c r="DB618" s="1154" t="str">
        <f t="shared" si="85"/>
        <v/>
      </c>
      <c r="DC618" s="1154" t="str">
        <f t="shared" si="86"/>
        <v/>
      </c>
      <c r="DD618" s="1154" t="str">
        <f t="shared" si="87"/>
        <v/>
      </c>
      <c r="DE618" s="1154" t="str">
        <f t="shared" si="88"/>
        <v/>
      </c>
      <c r="DF618" s="1154" t="str">
        <f t="shared" si="89"/>
        <v/>
      </c>
      <c r="DG618" s="1154" t="str">
        <f t="shared" si="90"/>
        <v/>
      </c>
      <c r="DH618" s="1154" t="str">
        <f t="shared" si="91"/>
        <v/>
      </c>
      <c r="DI618" s="1154" t="str">
        <f t="shared" si="92"/>
        <v/>
      </c>
      <c r="DJ618" s="1154" t="str">
        <f t="shared" si="93"/>
        <v/>
      </c>
      <c r="DK618" s="1154" t="str">
        <f t="shared" si="94"/>
        <v/>
      </c>
      <c r="DL618" s="1154" t="str">
        <f t="shared" si="95"/>
        <v/>
      </c>
      <c r="DM618" s="1154" t="str">
        <f t="shared" si="96"/>
        <v/>
      </c>
      <c r="DN618" s="1154" t="str">
        <f t="shared" si="97"/>
        <v/>
      </c>
      <c r="DO618" s="1154" t="str">
        <f t="shared" si="98"/>
        <v/>
      </c>
      <c r="DP618" s="1154" t="str">
        <f t="shared" si="99"/>
        <v/>
      </c>
      <c r="DQ618" s="1154" t="str">
        <f t="shared" si="100"/>
        <v/>
      </c>
      <c r="DR618" s="1154" t="str">
        <f t="shared" si="101"/>
        <v/>
      </c>
      <c r="DS618" s="1154" t="str">
        <f t="shared" si="102"/>
        <v/>
      </c>
      <c r="DT618" s="1154" t="str">
        <f t="shared" si="103"/>
        <v/>
      </c>
      <c r="DU618" s="1154" t="str">
        <f t="shared" si="104"/>
        <v/>
      </c>
      <c r="DV618" s="1154" t="str">
        <f t="shared" si="105"/>
        <v/>
      </c>
      <c r="DW618" s="1154" t="str">
        <f t="shared" si="106"/>
        <v/>
      </c>
      <c r="DX618" s="1154" t="str">
        <f t="shared" si="107"/>
        <v/>
      </c>
      <c r="DY618" s="1154" t="str">
        <f t="shared" si="108"/>
        <v/>
      </c>
      <c r="DZ618" s="1154" t="str">
        <f t="shared" si="109"/>
        <v/>
      </c>
      <c r="EA618" s="1154" t="str">
        <f t="shared" si="110"/>
        <v/>
      </c>
      <c r="EB618" s="1154" t="str">
        <f t="shared" si="111"/>
        <v/>
      </c>
      <c r="EC618" s="1154" t="str">
        <f t="shared" si="112"/>
        <v/>
      </c>
      <c r="ED618" s="1154" t="str">
        <f t="shared" si="113"/>
        <v/>
      </c>
      <c r="EE618" s="1154" t="str">
        <f t="shared" si="114"/>
        <v/>
      </c>
      <c r="EF618" s="1154" t="str">
        <f t="shared" si="115"/>
        <v/>
      </c>
      <c r="EG618" s="1154" t="str">
        <f t="shared" si="311"/>
        <v/>
      </c>
      <c r="EH618" s="1154" t="str">
        <f t="shared" si="116"/>
        <v/>
      </c>
      <c r="EI618" s="1154" t="str">
        <f t="shared" si="117"/>
        <v/>
      </c>
      <c r="EJ618" s="1154" t="str">
        <f t="shared" si="118"/>
        <v/>
      </c>
      <c r="EK618" s="1154" t="str">
        <f t="shared" si="119"/>
        <v/>
      </c>
      <c r="EL618" s="1154" t="str">
        <f t="shared" si="120"/>
        <v/>
      </c>
      <c r="EM618" s="1154" t="str">
        <f t="shared" si="121"/>
        <v/>
      </c>
      <c r="EN618" s="1154" t="str">
        <f t="shared" si="122"/>
        <v/>
      </c>
      <c r="EO618" s="1154" t="str">
        <f t="shared" si="123"/>
        <v/>
      </c>
      <c r="EP618" s="1154" t="str">
        <f t="shared" si="124"/>
        <v/>
      </c>
      <c r="EQ618" s="1154" t="str">
        <f t="shared" si="125"/>
        <v/>
      </c>
      <c r="ER618" s="1154" t="str">
        <f t="shared" si="126"/>
        <v/>
      </c>
      <c r="ES618" s="1154" t="str">
        <f t="shared" si="127"/>
        <v/>
      </c>
      <c r="ET618" s="1154" t="str">
        <f t="shared" si="128"/>
        <v/>
      </c>
      <c r="EU618" s="1154" t="str">
        <f t="shared" si="129"/>
        <v/>
      </c>
      <c r="EV618" s="1154" t="str">
        <f t="shared" si="130"/>
        <v/>
      </c>
      <c r="EW618" s="1154" t="str">
        <f t="shared" si="312"/>
        <v/>
      </c>
      <c r="EX618" s="1154" t="str">
        <f t="shared" si="313"/>
        <v/>
      </c>
      <c r="EY618" s="1154" t="str">
        <f t="shared" si="314"/>
        <v/>
      </c>
      <c r="EZ618" s="1154" t="str">
        <f t="shared" si="315"/>
        <v/>
      </c>
      <c r="FA618" s="1154" t="str">
        <f t="shared" si="316"/>
        <v/>
      </c>
      <c r="FB618" s="1154" t="str">
        <f t="shared" si="131"/>
        <v/>
      </c>
      <c r="FC618" s="1154" t="str">
        <f t="shared" si="132"/>
        <v/>
      </c>
      <c r="FD618" s="1154" t="str">
        <f t="shared" si="133"/>
        <v/>
      </c>
      <c r="FE618" s="1154" t="str">
        <f t="shared" si="134"/>
        <v/>
      </c>
      <c r="FF618" s="1154" t="str">
        <f t="shared" si="135"/>
        <v/>
      </c>
      <c r="FG618" s="1154" t="str">
        <f t="shared" si="317"/>
        <v/>
      </c>
      <c r="FH618" s="1154" t="str">
        <f t="shared" si="318"/>
        <v/>
      </c>
      <c r="FI618" s="1154" t="str">
        <f t="shared" si="319"/>
        <v/>
      </c>
      <c r="FJ618" s="1154" t="str">
        <f t="shared" si="320"/>
        <v/>
      </c>
      <c r="FK618" s="1154" t="str">
        <f t="shared" si="321"/>
        <v/>
      </c>
      <c r="FL618" s="1154" t="str">
        <f t="shared" si="136"/>
        <v/>
      </c>
      <c r="FM618" s="1154" t="str">
        <f t="shared" si="137"/>
        <v/>
      </c>
      <c r="FN618" s="1154" t="str">
        <f t="shared" si="138"/>
        <v/>
      </c>
      <c r="FO618" s="1154" t="str">
        <f t="shared" si="139"/>
        <v/>
      </c>
      <c r="FP618" s="1154" t="str">
        <f t="shared" si="140"/>
        <v/>
      </c>
      <c r="FQ618" s="1154" t="str">
        <f t="shared" si="141"/>
        <v/>
      </c>
      <c r="FR618" s="1154" t="str">
        <f t="shared" si="142"/>
        <v/>
      </c>
      <c r="FS618" s="1154" t="str">
        <f t="shared" si="143"/>
        <v/>
      </c>
      <c r="FT618" s="1154" t="str">
        <f t="shared" si="144"/>
        <v/>
      </c>
      <c r="FU618" s="1154" t="str">
        <f t="shared" si="145"/>
        <v/>
      </c>
      <c r="FV618" s="1154" t="str">
        <f t="shared" si="146"/>
        <v/>
      </c>
      <c r="FW618" s="1154" t="str">
        <f t="shared" si="147"/>
        <v/>
      </c>
      <c r="FX618" s="1154" t="str">
        <f t="shared" si="148"/>
        <v/>
      </c>
      <c r="FY618" s="1154" t="str">
        <f t="shared" si="149"/>
        <v/>
      </c>
      <c r="FZ618" s="1154" t="str">
        <f t="shared" si="150"/>
        <v/>
      </c>
      <c r="GA618" s="1154" t="str">
        <f t="shared" si="151"/>
        <v/>
      </c>
      <c r="GB618" s="1154" t="str">
        <f t="shared" si="152"/>
        <v/>
      </c>
      <c r="GC618" s="1154" t="str">
        <f t="shared" si="153"/>
        <v/>
      </c>
      <c r="GD618" s="1154" t="str">
        <f t="shared" si="154"/>
        <v/>
      </c>
      <c r="GE618" s="1154" t="str">
        <f t="shared" si="155"/>
        <v/>
      </c>
      <c r="GF618" s="1154" t="str">
        <f t="shared" si="156"/>
        <v/>
      </c>
      <c r="GG618" s="1154" t="str">
        <f t="shared" si="157"/>
        <v/>
      </c>
      <c r="GH618" s="1154" t="str">
        <f t="shared" si="158"/>
        <v/>
      </c>
      <c r="GI618" s="1154" t="str">
        <f t="shared" si="159"/>
        <v/>
      </c>
      <c r="GJ618" s="1154" t="str">
        <f t="shared" si="160"/>
        <v/>
      </c>
      <c r="GK618" s="1154" t="str">
        <f t="shared" si="161"/>
        <v/>
      </c>
      <c r="GL618" s="1154" t="str">
        <f t="shared" si="162"/>
        <v/>
      </c>
      <c r="GM618" s="1154" t="str">
        <f t="shared" si="163"/>
        <v/>
      </c>
      <c r="GN618" s="1154" t="str">
        <f t="shared" si="164"/>
        <v/>
      </c>
      <c r="GO618" s="1154" t="str">
        <f t="shared" si="165"/>
        <v/>
      </c>
      <c r="GP618" s="1154" t="str">
        <f t="shared" si="166"/>
        <v/>
      </c>
      <c r="GQ618" s="1154" t="str">
        <f t="shared" si="167"/>
        <v/>
      </c>
      <c r="GR618" s="1154" t="str">
        <f t="shared" si="168"/>
        <v/>
      </c>
      <c r="GS618" s="1154" t="str">
        <f t="shared" si="169"/>
        <v/>
      </c>
      <c r="GT618" s="1154" t="str">
        <f t="shared" si="170"/>
        <v/>
      </c>
      <c r="GU618" s="1154" t="str">
        <f t="shared" si="171"/>
        <v/>
      </c>
      <c r="GV618" s="1154" t="str">
        <f t="shared" si="172"/>
        <v/>
      </c>
      <c r="GW618" s="1154" t="str">
        <f t="shared" si="173"/>
        <v/>
      </c>
      <c r="GX618" s="1154" t="str">
        <f t="shared" si="174"/>
        <v/>
      </c>
      <c r="GY618" s="1154" t="str">
        <f t="shared" si="175"/>
        <v/>
      </c>
      <c r="GZ618" s="1154" t="str">
        <f t="shared" si="176"/>
        <v/>
      </c>
      <c r="HA618" s="1154" t="str">
        <f t="shared" si="177"/>
        <v/>
      </c>
      <c r="HB618" s="1154" t="str">
        <f t="shared" si="178"/>
        <v/>
      </c>
      <c r="HC618" s="1154" t="str">
        <f t="shared" si="179"/>
        <v/>
      </c>
      <c r="HD618" s="1154" t="str">
        <f t="shared" si="180"/>
        <v/>
      </c>
      <c r="HE618" s="1154" t="str">
        <f t="shared" si="181"/>
        <v/>
      </c>
      <c r="HF618" s="1154" t="str">
        <f t="shared" si="182"/>
        <v/>
      </c>
      <c r="HG618" s="1154" t="str">
        <f t="shared" si="183"/>
        <v/>
      </c>
      <c r="HH618" s="1154" t="str">
        <f t="shared" si="184"/>
        <v/>
      </c>
      <c r="HI618" s="1154" t="str">
        <f t="shared" si="185"/>
        <v/>
      </c>
      <c r="HJ618" s="1154" t="str">
        <f t="shared" si="186"/>
        <v/>
      </c>
      <c r="HK618" s="1154" t="str">
        <f t="shared" si="187"/>
        <v/>
      </c>
      <c r="HL618" s="1154" t="str">
        <f t="shared" si="188"/>
        <v/>
      </c>
      <c r="HM618" s="1154" t="str">
        <f t="shared" si="189"/>
        <v/>
      </c>
      <c r="HN618" s="1154" t="str">
        <f t="shared" si="190"/>
        <v/>
      </c>
      <c r="HO618" s="1154" t="str">
        <f t="shared" si="191"/>
        <v/>
      </c>
      <c r="HP618" s="1154" t="str">
        <f t="shared" si="192"/>
        <v/>
      </c>
      <c r="HQ618" s="1154" t="str">
        <f t="shared" si="193"/>
        <v/>
      </c>
      <c r="HR618" s="1154" t="str">
        <f t="shared" si="194"/>
        <v/>
      </c>
      <c r="HS618" s="1154" t="str">
        <f t="shared" si="195"/>
        <v/>
      </c>
      <c r="HT618" s="1154" t="str">
        <f t="shared" si="196"/>
        <v/>
      </c>
      <c r="HU618" s="1154" t="str">
        <f t="shared" si="197"/>
        <v/>
      </c>
      <c r="HV618" s="1154" t="str">
        <f t="shared" si="198"/>
        <v/>
      </c>
      <c r="HW618" s="1154" t="str">
        <f t="shared" si="199"/>
        <v/>
      </c>
      <c r="HX618" s="1154" t="str">
        <f t="shared" si="200"/>
        <v/>
      </c>
      <c r="HY618" s="1681" t="str">
        <f t="shared" si="201"/>
        <v/>
      </c>
      <c r="HZ618" s="1681" t="str">
        <f t="shared" si="202"/>
        <v/>
      </c>
      <c r="IA618" s="1681" t="str">
        <f t="shared" si="203"/>
        <v/>
      </c>
      <c r="IB618" s="1681" t="str">
        <f t="shared" si="204"/>
        <v/>
      </c>
      <c r="IC618" s="1681" t="str">
        <f t="shared" si="205"/>
        <v/>
      </c>
      <c r="ID618" s="1681" t="str">
        <f t="shared" si="206"/>
        <v/>
      </c>
      <c r="IE618" s="1681" t="str">
        <f t="shared" si="207"/>
        <v/>
      </c>
      <c r="IF618" s="1681" t="str">
        <f t="shared" si="208"/>
        <v/>
      </c>
      <c r="IG618" s="1681" t="str">
        <f t="shared" si="209"/>
        <v/>
      </c>
      <c r="IH618" s="1681" t="str">
        <f t="shared" si="210"/>
        <v/>
      </c>
      <c r="II618" s="1681" t="str">
        <f t="shared" si="211"/>
        <v/>
      </c>
      <c r="IJ618" s="1681" t="str">
        <f t="shared" si="212"/>
        <v/>
      </c>
      <c r="IK618" s="1681" t="str">
        <f t="shared" si="213"/>
        <v/>
      </c>
      <c r="IL618" s="1681" t="str">
        <f t="shared" si="214"/>
        <v/>
      </c>
      <c r="IM618" s="1681" t="str">
        <f t="shared" si="215"/>
        <v/>
      </c>
      <c r="IN618" s="1681" t="str">
        <f t="shared" si="216"/>
        <v/>
      </c>
      <c r="IO618" s="1681" t="str">
        <f t="shared" si="217"/>
        <v/>
      </c>
      <c r="IP618" s="1681" t="str">
        <f t="shared" si="218"/>
        <v/>
      </c>
      <c r="IQ618" s="1681" t="str">
        <f t="shared" si="219"/>
        <v/>
      </c>
      <c r="IR618" s="1681" t="str">
        <f t="shared" si="220"/>
        <v/>
      </c>
      <c r="IS618" s="1681" t="str">
        <f t="shared" si="221"/>
        <v/>
      </c>
      <c r="IT618" s="1681" t="str">
        <f t="shared" si="222"/>
        <v/>
      </c>
      <c r="IU618" s="1681" t="str">
        <f t="shared" si="223"/>
        <v/>
      </c>
      <c r="IV618" s="1681" t="str">
        <f t="shared" si="224"/>
        <v/>
      </c>
      <c r="IW618" s="1681" t="str">
        <f t="shared" si="225"/>
        <v/>
      </c>
      <c r="IX618" s="1681" t="str">
        <f t="shared" si="226"/>
        <v/>
      </c>
      <c r="IY618" s="1681" t="str">
        <f t="shared" si="227"/>
        <v/>
      </c>
      <c r="IZ618" s="1681" t="str">
        <f t="shared" si="228"/>
        <v/>
      </c>
      <c r="JA618" s="1681" t="str">
        <f t="shared" si="229"/>
        <v/>
      </c>
      <c r="JB618" s="1681" t="str">
        <f t="shared" si="230"/>
        <v/>
      </c>
      <c r="JC618" s="1681" t="str">
        <f t="shared" si="231"/>
        <v/>
      </c>
      <c r="JD618" s="1681" t="str">
        <f t="shared" si="232"/>
        <v/>
      </c>
      <c r="JE618" s="1681" t="str">
        <f t="shared" si="233"/>
        <v/>
      </c>
      <c r="JF618" s="1681" t="str">
        <f t="shared" si="234"/>
        <v/>
      </c>
      <c r="JG618" s="1681" t="str">
        <f t="shared" si="235"/>
        <v/>
      </c>
      <c r="JH618" s="1681" t="str">
        <f t="shared" si="236"/>
        <v/>
      </c>
      <c r="JI618" s="1681" t="str">
        <f t="shared" si="237"/>
        <v/>
      </c>
      <c r="JJ618" s="1681" t="str">
        <f t="shared" si="238"/>
        <v/>
      </c>
      <c r="JK618" s="1681" t="str">
        <f t="shared" si="239"/>
        <v/>
      </c>
      <c r="JL618" s="1681" t="str">
        <f t="shared" si="240"/>
        <v/>
      </c>
      <c r="JM618" s="1681" t="str">
        <f t="shared" si="241"/>
        <v/>
      </c>
      <c r="JN618" s="1681" t="str">
        <f t="shared" si="242"/>
        <v/>
      </c>
      <c r="JO618" s="1681" t="str">
        <f t="shared" si="243"/>
        <v/>
      </c>
      <c r="JP618" s="1681" t="str">
        <f t="shared" si="244"/>
        <v/>
      </c>
      <c r="JQ618" s="1681" t="str">
        <f t="shared" si="245"/>
        <v/>
      </c>
      <c r="JR618" s="1681" t="str">
        <f t="shared" si="246"/>
        <v/>
      </c>
      <c r="JS618" s="1681" t="str">
        <f t="shared" si="247"/>
        <v/>
      </c>
      <c r="JT618" s="1681" t="str">
        <f t="shared" si="248"/>
        <v/>
      </c>
      <c r="JU618" s="1681" t="str">
        <f t="shared" si="249"/>
        <v/>
      </c>
      <c r="JV618" s="1681" t="str">
        <f t="shared" si="250"/>
        <v/>
      </c>
      <c r="JW618" s="1681" t="str">
        <f t="shared" si="251"/>
        <v/>
      </c>
      <c r="JX618" s="1681" t="str">
        <f t="shared" si="252"/>
        <v/>
      </c>
      <c r="JY618" s="1681" t="str">
        <f t="shared" si="253"/>
        <v/>
      </c>
      <c r="JZ618" s="1681" t="str">
        <f t="shared" si="254"/>
        <v/>
      </c>
      <c r="KA618" s="1681" t="str">
        <f t="shared" si="255"/>
        <v/>
      </c>
      <c r="KB618" s="1681" t="str">
        <f t="shared" si="256"/>
        <v/>
      </c>
      <c r="KC618" s="1681" t="str">
        <f t="shared" si="257"/>
        <v/>
      </c>
      <c r="KD618" s="1681" t="str">
        <f t="shared" si="258"/>
        <v/>
      </c>
      <c r="KE618" s="1681" t="str">
        <f t="shared" si="259"/>
        <v/>
      </c>
      <c r="KF618" s="1681" t="str">
        <f t="shared" si="260"/>
        <v/>
      </c>
      <c r="KG618" s="1681" t="str">
        <f t="shared" si="261"/>
        <v/>
      </c>
      <c r="KH618" s="1681" t="str">
        <f t="shared" si="262"/>
        <v/>
      </c>
      <c r="KI618" s="1681" t="str">
        <f t="shared" si="263"/>
        <v/>
      </c>
      <c r="KJ618" s="1681" t="str">
        <f t="shared" si="264"/>
        <v/>
      </c>
      <c r="KK618" s="1681" t="str">
        <f t="shared" si="265"/>
        <v/>
      </c>
      <c r="KL618" s="1681" t="str">
        <f t="shared" si="266"/>
        <v/>
      </c>
      <c r="KM618" s="1681" t="str">
        <f t="shared" si="267"/>
        <v/>
      </c>
      <c r="KN618" s="1681" t="str">
        <f t="shared" si="268"/>
        <v/>
      </c>
      <c r="KO618" s="1681" t="str">
        <f t="shared" si="269"/>
        <v/>
      </c>
      <c r="KP618" s="1681" t="str">
        <f t="shared" si="270"/>
        <v/>
      </c>
      <c r="KQ618" s="1681" t="str">
        <f t="shared" si="271"/>
        <v/>
      </c>
      <c r="KR618" s="1681" t="str">
        <f t="shared" si="272"/>
        <v/>
      </c>
      <c r="KS618" s="1681" t="str">
        <f t="shared" si="273"/>
        <v/>
      </c>
      <c r="KT618" s="1681" t="str">
        <f t="shared" si="274"/>
        <v/>
      </c>
      <c r="KU618" s="1681" t="str">
        <f t="shared" si="275"/>
        <v/>
      </c>
      <c r="KV618" s="1681" t="str">
        <f t="shared" si="276"/>
        <v/>
      </c>
      <c r="KW618" s="1681" t="str">
        <f t="shared" si="277"/>
        <v/>
      </c>
      <c r="KX618" s="1681" t="str">
        <f t="shared" si="278"/>
        <v/>
      </c>
      <c r="KY618" s="1681" t="str">
        <f t="shared" si="279"/>
        <v/>
      </c>
      <c r="KZ618" s="1681" t="str">
        <f t="shared" si="280"/>
        <v/>
      </c>
      <c r="LA618" s="1681" t="str">
        <f t="shared" si="281"/>
        <v/>
      </c>
      <c r="LB618" s="1681" t="str">
        <f t="shared" si="282"/>
        <v/>
      </c>
      <c r="LC618" s="1681" t="str">
        <f t="shared" si="283"/>
        <v/>
      </c>
      <c r="LD618" s="1681" t="str">
        <f t="shared" si="284"/>
        <v/>
      </c>
      <c r="LE618" s="1681" t="str">
        <f t="shared" si="285"/>
        <v/>
      </c>
      <c r="LF618" s="1525" t="str">
        <f t="shared" si="286"/>
        <v/>
      </c>
      <c r="LG618" s="1525" t="str">
        <f t="shared" si="287"/>
        <v/>
      </c>
      <c r="LH618" s="1525" t="str">
        <f t="shared" si="288"/>
        <v/>
      </c>
      <c r="LI618" s="1525" t="str">
        <f t="shared" si="289"/>
        <v/>
      </c>
      <c r="LJ618" s="1525" t="str">
        <f t="shared" si="290"/>
        <v/>
      </c>
      <c r="LK618" s="1154" t="str">
        <f t="shared" si="291"/>
        <v/>
      </c>
      <c r="LL618" s="1154" t="str">
        <f t="shared" si="292"/>
        <v/>
      </c>
      <c r="LM618" s="1154" t="str">
        <f t="shared" si="293"/>
        <v/>
      </c>
      <c r="LN618" s="1154" t="str">
        <f t="shared" si="294"/>
        <v/>
      </c>
      <c r="LO618" s="1154" t="str">
        <f t="shared" si="295"/>
        <v/>
      </c>
      <c r="LP618" s="1154" t="str">
        <f t="shared" si="296"/>
        <v/>
      </c>
      <c r="LQ618" s="1154" t="str">
        <f t="shared" si="297"/>
        <v/>
      </c>
      <c r="LR618" s="1154" t="str">
        <f t="shared" si="298"/>
        <v/>
      </c>
      <c r="LS618" s="1154" t="str">
        <f t="shared" si="299"/>
        <v/>
      </c>
      <c r="LT618" s="1154" t="str">
        <f t="shared" si="300"/>
        <v/>
      </c>
      <c r="LU618" s="1154" t="str">
        <f t="shared" si="301"/>
        <v/>
      </c>
      <c r="LV618" s="1154" t="str">
        <f t="shared" si="302"/>
        <v/>
      </c>
      <c r="LW618" s="1154" t="str">
        <f t="shared" si="303"/>
        <v/>
      </c>
      <c r="LX618" s="1154" t="str">
        <f t="shared" si="304"/>
        <v/>
      </c>
      <c r="LY618" s="1154" t="str">
        <f t="shared" si="305"/>
        <v/>
      </c>
      <c r="LZ618" s="1154" t="str">
        <f t="shared" si="306"/>
        <v/>
      </c>
      <c r="MA618" s="1154" t="str">
        <f t="shared" si="307"/>
        <v/>
      </c>
      <c r="MB618" s="1154" t="str">
        <f t="shared" si="308"/>
        <v/>
      </c>
      <c r="MC618" s="1154" t="str">
        <f t="shared" si="309"/>
        <v/>
      </c>
      <c r="MD618" s="1154" t="str">
        <f t="shared" si="310"/>
        <v/>
      </c>
      <c r="ME618" s="1525">
        <f t="shared" si="322"/>
        <v>0</v>
      </c>
      <c r="MF618" s="1525">
        <f t="shared" si="323"/>
        <v>0</v>
      </c>
      <c r="MG618" s="1525">
        <f t="shared" si="324"/>
        <v>0</v>
      </c>
      <c r="MH618" s="1525">
        <f t="shared" si="325"/>
        <v>0</v>
      </c>
      <c r="MI618" s="1525">
        <f t="shared" si="326"/>
        <v>0</v>
      </c>
      <c r="MJ618" s="1525">
        <f t="shared" si="327"/>
        <v>0</v>
      </c>
      <c r="MK618" s="1525">
        <f t="shared" si="328"/>
        <v>0</v>
      </c>
      <c r="ML618" s="1525">
        <f t="shared" si="329"/>
        <v>0</v>
      </c>
      <c r="MM618" s="1525">
        <f t="shared" si="330"/>
        <v>0</v>
      </c>
      <c r="MN618" s="1525">
        <f t="shared" si="331"/>
        <v>0</v>
      </c>
      <c r="MO618" s="1525">
        <f t="shared" si="332"/>
        <v>0</v>
      </c>
      <c r="MP618" s="1525">
        <f t="shared" si="333"/>
        <v>0</v>
      </c>
      <c r="MQ618" s="1525">
        <f t="shared" si="334"/>
        <v>0</v>
      </c>
      <c r="MR618" s="1525">
        <f t="shared" si="335"/>
        <v>0</v>
      </c>
      <c r="MS618" s="1525">
        <f t="shared" si="336"/>
        <v>0</v>
      </c>
    </row>
    <row r="619" spans="1:358" s="1154" customFormat="1" ht="12" customHeight="1">
      <c r="A619" s="1524">
        <f>COUNT(A581,A582,A583,A584,A585,A586,A587,A588,A589,A590,A591,A592,A593,A594,A595,A596,A597,A598,A599,A600,A601,A602,A603,A604,A605,A606,A607,A608,A609,A610)</f>
        <v>0</v>
      </c>
      <c r="B619" s="1168" t="s">
        <v>3378</v>
      </c>
      <c r="C619" s="1168"/>
      <c r="D619" s="1683" t="s">
        <v>942</v>
      </c>
      <c r="E619" s="1684">
        <f>SUM(E581:E618)</f>
        <v>0</v>
      </c>
      <c r="F619" s="1685">
        <f>(E581*F581+E582*F582+E583*F583+E584*F584+E585*F585+E586*F586+E587*F587+E588*F588+E589*F589+E590*F590+E591*F591+E592*F592+E593*F593+E594*F594+E595*F595+E596*F596+E597*F597+E598*F598+E599*F599+E600*F600+E601*F601+E602*F602+E603*F603+E604*F604+E605*F605+E606*F606+E607*F607+E608*F608+E609*F609+E610*F610+E611*F611+E612*F612+E613*F613+E614*F614+E615*F615+E616*F616+E617*F617+E618*F618)</f>
        <v>0</v>
      </c>
      <c r="G619" s="1686" t="s">
        <v>3379</v>
      </c>
      <c r="H619" s="1687" t="s">
        <v>3380</v>
      </c>
      <c r="I619" s="1688" t="str">
        <f>IF(O638=0,"",IF(SUM(O627:O633)/O638&gt;=0.4,"Pass","Fail"))</f>
        <v/>
      </c>
      <c r="J619" s="305"/>
      <c r="K619" s="1683" t="s">
        <v>1202</v>
      </c>
      <c r="L619" s="1689">
        <f>SUM(L581:L618)</f>
        <v>0</v>
      </c>
      <c r="M619" s="1167"/>
      <c r="N619" s="1167"/>
      <c r="O619" s="1167"/>
      <c r="P619" s="1167"/>
      <c r="Q619" s="1167"/>
      <c r="R619" s="1167"/>
      <c r="S619" s="1167"/>
      <c r="T619" s="1167"/>
      <c r="U619" s="1660"/>
      <c r="V619" s="1681"/>
      <c r="W619" s="1681">
        <f t="shared" ref="W619:EZ619" si="337">SUM(W581:W618)</f>
        <v>0</v>
      </c>
      <c r="X619" s="1681">
        <f t="shared" si="337"/>
        <v>0</v>
      </c>
      <c r="Y619" s="1681">
        <f t="shared" si="337"/>
        <v>0</v>
      </c>
      <c r="Z619" s="1681">
        <f t="shared" si="337"/>
        <v>0</v>
      </c>
      <c r="AA619" s="1681">
        <f t="shared" si="337"/>
        <v>0</v>
      </c>
      <c r="AB619" s="1681">
        <f t="shared" si="337"/>
        <v>0</v>
      </c>
      <c r="AC619" s="1681">
        <f t="shared" si="337"/>
        <v>0</v>
      </c>
      <c r="AD619" s="1681">
        <f t="shared" si="337"/>
        <v>0</v>
      </c>
      <c r="AE619" s="1681">
        <f t="shared" si="337"/>
        <v>0</v>
      </c>
      <c r="AF619" s="1681">
        <f t="shared" si="337"/>
        <v>0</v>
      </c>
      <c r="AG619" s="1681">
        <f t="shared" si="337"/>
        <v>0</v>
      </c>
      <c r="AH619" s="1681">
        <f t="shared" si="337"/>
        <v>0</v>
      </c>
      <c r="AI619" s="1681">
        <f t="shared" si="337"/>
        <v>0</v>
      </c>
      <c r="AJ619" s="1681">
        <f t="shared" si="337"/>
        <v>0</v>
      </c>
      <c r="AK619" s="1681">
        <f t="shared" si="337"/>
        <v>0</v>
      </c>
      <c r="AL619" s="1681">
        <f>SUM(AL581:AL618)</f>
        <v>0</v>
      </c>
      <c r="AM619" s="1681">
        <f>SUM(AM581:AM618)</f>
        <v>0</v>
      </c>
      <c r="AN619" s="1681">
        <f>SUM(AN581:AN618)</f>
        <v>0</v>
      </c>
      <c r="AO619" s="1681">
        <f>SUM(AO581:AO618)</f>
        <v>0</v>
      </c>
      <c r="AP619" s="1681">
        <f>SUM(AP581:AP618)</f>
        <v>0</v>
      </c>
      <c r="AQ619" s="1681">
        <f t="shared" si="337"/>
        <v>0</v>
      </c>
      <c r="AR619" s="1681">
        <f t="shared" si="337"/>
        <v>0</v>
      </c>
      <c r="AS619" s="1681">
        <f t="shared" si="337"/>
        <v>0</v>
      </c>
      <c r="AT619" s="1681">
        <f t="shared" si="337"/>
        <v>0</v>
      </c>
      <c r="AU619" s="1681">
        <f t="shared" si="337"/>
        <v>0</v>
      </c>
      <c r="AV619" s="1681">
        <f t="shared" si="337"/>
        <v>0</v>
      </c>
      <c r="AW619" s="1681">
        <f t="shared" si="337"/>
        <v>0</v>
      </c>
      <c r="AX619" s="1681">
        <f t="shared" si="337"/>
        <v>0</v>
      </c>
      <c r="AY619" s="1681">
        <f t="shared" si="337"/>
        <v>0</v>
      </c>
      <c r="AZ619" s="1681">
        <f t="shared" si="337"/>
        <v>0</v>
      </c>
      <c r="BA619" s="1681">
        <f>SUM(BA581:BA618)</f>
        <v>0</v>
      </c>
      <c r="BB619" s="1681">
        <f>SUM(BB581:BB618)</f>
        <v>0</v>
      </c>
      <c r="BC619" s="1681">
        <f>SUM(BC581:BC618)</f>
        <v>0</v>
      </c>
      <c r="BD619" s="1681">
        <f>SUM(BD581:BD618)</f>
        <v>0</v>
      </c>
      <c r="BE619" s="1681">
        <f>SUM(BE581:BE618)</f>
        <v>0</v>
      </c>
      <c r="BF619" s="1681">
        <f t="shared" si="337"/>
        <v>0</v>
      </c>
      <c r="BG619" s="1681">
        <f t="shared" si="337"/>
        <v>0</v>
      </c>
      <c r="BH619" s="1681">
        <f t="shared" si="337"/>
        <v>0</v>
      </c>
      <c r="BI619" s="1681">
        <f t="shared" si="337"/>
        <v>0</v>
      </c>
      <c r="BJ619" s="1681">
        <f t="shared" si="337"/>
        <v>0</v>
      </c>
      <c r="BK619" s="1681">
        <f>SUM(BK581:BK618)</f>
        <v>0</v>
      </c>
      <c r="BL619" s="1681">
        <f>SUM(BL581:BL618)</f>
        <v>0</v>
      </c>
      <c r="BM619" s="1681">
        <f>SUM(BM581:BM618)</f>
        <v>0</v>
      </c>
      <c r="BN619" s="1681">
        <f>SUM(BN581:BN618)</f>
        <v>0</v>
      </c>
      <c r="BO619" s="1681">
        <f>SUM(BO581:BO618)</f>
        <v>0</v>
      </c>
      <c r="BP619" s="1681">
        <f t="shared" si="337"/>
        <v>0</v>
      </c>
      <c r="BQ619" s="1681">
        <f t="shared" si="337"/>
        <v>0</v>
      </c>
      <c r="BR619" s="1681">
        <f t="shared" si="337"/>
        <v>0</v>
      </c>
      <c r="BS619" s="1681">
        <f t="shared" si="337"/>
        <v>0</v>
      </c>
      <c r="BT619" s="1681">
        <f t="shared" si="337"/>
        <v>0</v>
      </c>
      <c r="BU619" s="1681">
        <f>SUM(BU581:BU618)</f>
        <v>0</v>
      </c>
      <c r="BV619" s="1681">
        <f>SUM(BV581:BV618)</f>
        <v>0</v>
      </c>
      <c r="BW619" s="1681">
        <f>SUM(BW581:BW618)</f>
        <v>0</v>
      </c>
      <c r="BX619" s="1681">
        <f>SUM(BX581:BX618)</f>
        <v>0</v>
      </c>
      <c r="BY619" s="1681">
        <f>SUM(BY581:BY618)</f>
        <v>0</v>
      </c>
      <c r="BZ619" s="1681">
        <f t="shared" si="337"/>
        <v>0</v>
      </c>
      <c r="CA619" s="1681">
        <f t="shared" si="337"/>
        <v>0</v>
      </c>
      <c r="CB619" s="1681">
        <f t="shared" si="337"/>
        <v>0</v>
      </c>
      <c r="CC619" s="1681">
        <f t="shared" si="337"/>
        <v>0</v>
      </c>
      <c r="CD619" s="1681">
        <f t="shared" si="337"/>
        <v>0</v>
      </c>
      <c r="CE619" s="1681">
        <f t="shared" si="337"/>
        <v>0</v>
      </c>
      <c r="CF619" s="1681">
        <f t="shared" si="337"/>
        <v>0</v>
      </c>
      <c r="CG619" s="1681">
        <f t="shared" si="337"/>
        <v>0</v>
      </c>
      <c r="CH619" s="1681">
        <f t="shared" si="337"/>
        <v>0</v>
      </c>
      <c r="CI619" s="1681">
        <f t="shared" si="337"/>
        <v>0</v>
      </c>
      <c r="CJ619" s="1681">
        <f>SUM(CJ581:CJ618)</f>
        <v>0</v>
      </c>
      <c r="CK619" s="1681">
        <f>SUM(CK581:CK618)</f>
        <v>0</v>
      </c>
      <c r="CL619" s="1681">
        <f>SUM(CL581:CL618)</f>
        <v>0</v>
      </c>
      <c r="CM619" s="1681">
        <f>SUM(CM581:CM618)</f>
        <v>0</v>
      </c>
      <c r="CN619" s="1681">
        <f>SUM(CN581:CN618)</f>
        <v>0</v>
      </c>
      <c r="CO619" s="1681">
        <f t="shared" ref="CO619:CX619" si="338">SUM(CO581:CO618)</f>
        <v>0</v>
      </c>
      <c r="CP619" s="1681">
        <f t="shared" si="338"/>
        <v>0</v>
      </c>
      <c r="CQ619" s="1681">
        <f t="shared" si="338"/>
        <v>0</v>
      </c>
      <c r="CR619" s="1681">
        <f t="shared" si="338"/>
        <v>0</v>
      </c>
      <c r="CS619" s="1681">
        <f t="shared" si="338"/>
        <v>0</v>
      </c>
      <c r="CT619" s="1681">
        <f t="shared" si="338"/>
        <v>0</v>
      </c>
      <c r="CU619" s="1681">
        <f t="shared" si="338"/>
        <v>0</v>
      </c>
      <c r="CV619" s="1681">
        <f t="shared" si="338"/>
        <v>0</v>
      </c>
      <c r="CW619" s="1681">
        <f t="shared" si="338"/>
        <v>0</v>
      </c>
      <c r="CX619" s="1681">
        <f t="shared" si="338"/>
        <v>0</v>
      </c>
      <c r="CY619" s="1681">
        <f t="shared" si="337"/>
        <v>0</v>
      </c>
      <c r="CZ619" s="1681">
        <f t="shared" si="337"/>
        <v>0</v>
      </c>
      <c r="DA619" s="1681">
        <f t="shared" si="337"/>
        <v>0</v>
      </c>
      <c r="DB619" s="1681">
        <f t="shared" si="337"/>
        <v>0</v>
      </c>
      <c r="DC619" s="1681">
        <f t="shared" si="337"/>
        <v>0</v>
      </c>
      <c r="DD619" s="1681">
        <f t="shared" si="337"/>
        <v>0</v>
      </c>
      <c r="DE619" s="1681">
        <f t="shared" si="337"/>
        <v>0</v>
      </c>
      <c r="DF619" s="1681">
        <f t="shared" si="337"/>
        <v>0</v>
      </c>
      <c r="DG619" s="1681">
        <f t="shared" si="337"/>
        <v>0</v>
      </c>
      <c r="DH619" s="1681">
        <f t="shared" si="337"/>
        <v>0</v>
      </c>
      <c r="DI619" s="1681">
        <f t="shared" si="337"/>
        <v>0</v>
      </c>
      <c r="DJ619" s="1681">
        <f t="shared" si="337"/>
        <v>0</v>
      </c>
      <c r="DK619" s="1681">
        <f t="shared" si="337"/>
        <v>0</v>
      </c>
      <c r="DL619" s="1681">
        <f t="shared" si="337"/>
        <v>0</v>
      </c>
      <c r="DM619" s="1681">
        <f t="shared" si="337"/>
        <v>0</v>
      </c>
      <c r="DN619" s="1681">
        <f t="shared" si="337"/>
        <v>0</v>
      </c>
      <c r="DO619" s="1681">
        <f t="shared" si="337"/>
        <v>0</v>
      </c>
      <c r="DP619" s="1681">
        <f t="shared" si="337"/>
        <v>0</v>
      </c>
      <c r="DQ619" s="1681">
        <f t="shared" si="337"/>
        <v>0</v>
      </c>
      <c r="DR619" s="1681">
        <f t="shared" si="337"/>
        <v>0</v>
      </c>
      <c r="DS619" s="1681">
        <f t="shared" si="337"/>
        <v>0</v>
      </c>
      <c r="DT619" s="1681">
        <f t="shared" si="337"/>
        <v>0</v>
      </c>
      <c r="DU619" s="1681">
        <f t="shared" si="337"/>
        <v>0</v>
      </c>
      <c r="DV619" s="1681">
        <f t="shared" si="337"/>
        <v>0</v>
      </c>
      <c r="DW619" s="1681">
        <f t="shared" si="337"/>
        <v>0</v>
      </c>
      <c r="DX619" s="1681">
        <f t="shared" si="337"/>
        <v>0</v>
      </c>
      <c r="DY619" s="1681">
        <f t="shared" si="337"/>
        <v>0</v>
      </c>
      <c r="DZ619" s="1681">
        <f t="shared" si="337"/>
        <v>0</v>
      </c>
      <c r="EA619" s="1681">
        <f t="shared" si="337"/>
        <v>0</v>
      </c>
      <c r="EB619" s="1681">
        <f t="shared" si="337"/>
        <v>0</v>
      </c>
      <c r="EC619" s="1681">
        <f t="shared" si="337"/>
        <v>0</v>
      </c>
      <c r="ED619" s="1681">
        <f t="shared" si="337"/>
        <v>0</v>
      </c>
      <c r="EE619" s="1681">
        <f t="shared" si="337"/>
        <v>0</v>
      </c>
      <c r="EF619" s="1681">
        <f t="shared" si="337"/>
        <v>0</v>
      </c>
      <c r="EG619" s="1681">
        <f t="shared" si="337"/>
        <v>0</v>
      </c>
      <c r="EH619" s="1681">
        <f t="shared" si="337"/>
        <v>0</v>
      </c>
      <c r="EI619" s="1681">
        <f t="shared" si="337"/>
        <v>0</v>
      </c>
      <c r="EJ619" s="1681">
        <f t="shared" si="337"/>
        <v>0</v>
      </c>
      <c r="EK619" s="1681">
        <f t="shared" si="337"/>
        <v>0</v>
      </c>
      <c r="EL619" s="1681">
        <f t="shared" si="337"/>
        <v>0</v>
      </c>
      <c r="EM619" s="1681">
        <f t="shared" si="337"/>
        <v>0</v>
      </c>
      <c r="EN619" s="1681">
        <f t="shared" si="337"/>
        <v>0</v>
      </c>
      <c r="EO619" s="1681">
        <f t="shared" si="337"/>
        <v>0</v>
      </c>
      <c r="EP619" s="1681">
        <f t="shared" si="337"/>
        <v>0</v>
      </c>
      <c r="EQ619" s="1681">
        <f t="shared" si="337"/>
        <v>0</v>
      </c>
      <c r="ER619" s="1681">
        <f t="shared" si="337"/>
        <v>0</v>
      </c>
      <c r="ES619" s="1681">
        <f t="shared" si="337"/>
        <v>0</v>
      </c>
      <c r="ET619" s="1681">
        <f t="shared" si="337"/>
        <v>0</v>
      </c>
      <c r="EU619" s="1681">
        <f t="shared" si="337"/>
        <v>0</v>
      </c>
      <c r="EV619" s="1681">
        <f t="shared" si="337"/>
        <v>0</v>
      </c>
      <c r="EW619" s="1681">
        <f t="shared" si="337"/>
        <v>0</v>
      </c>
      <c r="EX619" s="1681">
        <f t="shared" si="337"/>
        <v>0</v>
      </c>
      <c r="EY619" s="1681">
        <f t="shared" si="337"/>
        <v>0</v>
      </c>
      <c r="EZ619" s="1681">
        <f t="shared" si="337"/>
        <v>0</v>
      </c>
      <c r="FA619" s="1681">
        <f t="shared" ref="FA619:HV619" si="339">SUM(FA581:FA618)</f>
        <v>0</v>
      </c>
      <c r="FB619" s="1681">
        <f>SUM(FB581:FB618)</f>
        <v>0</v>
      </c>
      <c r="FC619" s="1681">
        <f>SUM(FC581:FC618)</f>
        <v>0</v>
      </c>
      <c r="FD619" s="1681">
        <f>SUM(FD581:FD618)</f>
        <v>0</v>
      </c>
      <c r="FE619" s="1681">
        <f>SUM(FE581:FE618)</f>
        <v>0</v>
      </c>
      <c r="FF619" s="1681">
        <f>SUM(FF581:FF618)</f>
        <v>0</v>
      </c>
      <c r="FG619" s="1681">
        <f t="shared" si="339"/>
        <v>0</v>
      </c>
      <c r="FH619" s="1681">
        <f t="shared" si="339"/>
        <v>0</v>
      </c>
      <c r="FI619" s="1681">
        <f t="shared" si="339"/>
        <v>0</v>
      </c>
      <c r="FJ619" s="1681">
        <f t="shared" si="339"/>
        <v>0</v>
      </c>
      <c r="FK619" s="1681">
        <f t="shared" si="339"/>
        <v>0</v>
      </c>
      <c r="FL619" s="1681">
        <f>SUM(FL581:FL618)</f>
        <v>0</v>
      </c>
      <c r="FM619" s="1681">
        <f>SUM(FM581:FM618)</f>
        <v>0</v>
      </c>
      <c r="FN619" s="1681">
        <f>SUM(FN581:FN618)</f>
        <v>0</v>
      </c>
      <c r="FO619" s="1681">
        <f>SUM(FO581:FO618)</f>
        <v>0</v>
      </c>
      <c r="FP619" s="1681">
        <f>SUM(FP581:FP618)</f>
        <v>0</v>
      </c>
      <c r="FQ619" s="1681">
        <f t="shared" si="339"/>
        <v>0</v>
      </c>
      <c r="FR619" s="1681">
        <f t="shared" si="339"/>
        <v>0</v>
      </c>
      <c r="FS619" s="1681">
        <f t="shared" si="339"/>
        <v>0</v>
      </c>
      <c r="FT619" s="1681">
        <f t="shared" si="339"/>
        <v>0</v>
      </c>
      <c r="FU619" s="1681">
        <f t="shared" si="339"/>
        <v>0</v>
      </c>
      <c r="FV619" s="1681">
        <f t="shared" si="339"/>
        <v>0</v>
      </c>
      <c r="FW619" s="1681">
        <f t="shared" si="339"/>
        <v>0</v>
      </c>
      <c r="FX619" s="1681">
        <f t="shared" si="339"/>
        <v>0</v>
      </c>
      <c r="FY619" s="1681">
        <f t="shared" si="339"/>
        <v>0</v>
      </c>
      <c r="FZ619" s="1681">
        <f t="shared" si="339"/>
        <v>0</v>
      </c>
      <c r="GA619" s="1681">
        <f t="shared" si="339"/>
        <v>0</v>
      </c>
      <c r="GB619" s="1681">
        <f t="shared" si="339"/>
        <v>0</v>
      </c>
      <c r="GC619" s="1681">
        <f t="shared" si="339"/>
        <v>0</v>
      </c>
      <c r="GD619" s="1681">
        <f t="shared" si="339"/>
        <v>0</v>
      </c>
      <c r="GE619" s="1681">
        <f t="shared" si="339"/>
        <v>0</v>
      </c>
      <c r="GF619" s="1681">
        <f t="shared" si="339"/>
        <v>0</v>
      </c>
      <c r="GG619" s="1681">
        <f t="shared" si="339"/>
        <v>0</v>
      </c>
      <c r="GH619" s="1681">
        <f t="shared" si="339"/>
        <v>0</v>
      </c>
      <c r="GI619" s="1681">
        <f t="shared" si="339"/>
        <v>0</v>
      </c>
      <c r="GJ619" s="1681">
        <f t="shared" si="339"/>
        <v>0</v>
      </c>
      <c r="GK619" s="1681">
        <f t="shared" si="339"/>
        <v>0</v>
      </c>
      <c r="GL619" s="1681">
        <f t="shared" si="339"/>
        <v>0</v>
      </c>
      <c r="GM619" s="1681">
        <f t="shared" si="339"/>
        <v>0</v>
      </c>
      <c r="GN619" s="1681">
        <f t="shared" si="339"/>
        <v>0</v>
      </c>
      <c r="GO619" s="1681">
        <f t="shared" si="339"/>
        <v>0</v>
      </c>
      <c r="GP619" s="1681">
        <f t="shared" si="339"/>
        <v>0</v>
      </c>
      <c r="GQ619" s="1681">
        <f t="shared" si="339"/>
        <v>0</v>
      </c>
      <c r="GR619" s="1681">
        <f t="shared" si="339"/>
        <v>0</v>
      </c>
      <c r="GS619" s="1681">
        <f t="shared" si="339"/>
        <v>0</v>
      </c>
      <c r="GT619" s="1681">
        <f t="shared" si="339"/>
        <v>0</v>
      </c>
      <c r="GU619" s="1681">
        <f t="shared" si="339"/>
        <v>0</v>
      </c>
      <c r="GV619" s="1681">
        <f t="shared" si="339"/>
        <v>0</v>
      </c>
      <c r="GW619" s="1681">
        <f t="shared" si="339"/>
        <v>0</v>
      </c>
      <c r="GX619" s="1681">
        <f t="shared" si="339"/>
        <v>0</v>
      </c>
      <c r="GY619" s="1681">
        <f t="shared" si="339"/>
        <v>0</v>
      </c>
      <c r="GZ619" s="1681">
        <f t="shared" si="339"/>
        <v>0</v>
      </c>
      <c r="HA619" s="1681">
        <f t="shared" si="339"/>
        <v>0</v>
      </c>
      <c r="HB619" s="1681">
        <f t="shared" si="339"/>
        <v>0</v>
      </c>
      <c r="HC619" s="1681">
        <f t="shared" si="339"/>
        <v>0</v>
      </c>
      <c r="HD619" s="1681">
        <f t="shared" si="339"/>
        <v>0</v>
      </c>
      <c r="HE619" s="1681">
        <f t="shared" si="339"/>
        <v>0</v>
      </c>
      <c r="HF619" s="1681">
        <f t="shared" si="339"/>
        <v>0</v>
      </c>
      <c r="HG619" s="1681">
        <f t="shared" si="339"/>
        <v>0</v>
      </c>
      <c r="HH619" s="1681">
        <f t="shared" si="339"/>
        <v>0</v>
      </c>
      <c r="HI619" s="1681">
        <f t="shared" si="339"/>
        <v>0</v>
      </c>
      <c r="HJ619" s="1681">
        <f t="shared" si="339"/>
        <v>0</v>
      </c>
      <c r="HK619" s="1681">
        <f t="shared" si="339"/>
        <v>0</v>
      </c>
      <c r="HL619" s="1681">
        <f t="shared" si="339"/>
        <v>0</v>
      </c>
      <c r="HM619" s="1681">
        <f t="shared" si="339"/>
        <v>0</v>
      </c>
      <c r="HN619" s="1681">
        <f t="shared" si="339"/>
        <v>0</v>
      </c>
      <c r="HO619" s="1681">
        <f t="shared" si="339"/>
        <v>0</v>
      </c>
      <c r="HP619" s="1681">
        <f t="shared" si="339"/>
        <v>0</v>
      </c>
      <c r="HQ619" s="1681">
        <f t="shared" si="339"/>
        <v>0</v>
      </c>
      <c r="HR619" s="1681">
        <f t="shared" si="339"/>
        <v>0</v>
      </c>
      <c r="HS619" s="1681">
        <f t="shared" si="339"/>
        <v>0</v>
      </c>
      <c r="HT619" s="1681">
        <f t="shared" si="339"/>
        <v>0</v>
      </c>
      <c r="HU619" s="1681">
        <f t="shared" si="339"/>
        <v>0</v>
      </c>
      <c r="HV619" s="1681">
        <f t="shared" si="339"/>
        <v>0</v>
      </c>
      <c r="HW619" s="1681">
        <f t="shared" ref="HW619:KH619" si="340">SUM(HW581:HW618)</f>
        <v>0</v>
      </c>
      <c r="HX619" s="1681">
        <f t="shared" si="340"/>
        <v>0</v>
      </c>
      <c r="HY619" s="1681">
        <f t="shared" si="340"/>
        <v>0</v>
      </c>
      <c r="HZ619" s="1681">
        <f t="shared" si="340"/>
        <v>0</v>
      </c>
      <c r="IA619" s="1681">
        <f t="shared" si="340"/>
        <v>0</v>
      </c>
      <c r="IB619" s="1681">
        <f t="shared" si="340"/>
        <v>0</v>
      </c>
      <c r="IC619" s="1681">
        <f t="shared" si="340"/>
        <v>0</v>
      </c>
      <c r="ID619" s="1681">
        <f t="shared" si="340"/>
        <v>0</v>
      </c>
      <c r="IE619" s="1681">
        <f t="shared" si="340"/>
        <v>0</v>
      </c>
      <c r="IF619" s="1681">
        <f t="shared" si="340"/>
        <v>0</v>
      </c>
      <c r="IG619" s="1681">
        <f t="shared" si="340"/>
        <v>0</v>
      </c>
      <c r="IH619" s="1681">
        <f t="shared" si="340"/>
        <v>0</v>
      </c>
      <c r="II619" s="1681">
        <f t="shared" si="340"/>
        <v>0</v>
      </c>
      <c r="IJ619" s="1681">
        <f t="shared" si="340"/>
        <v>0</v>
      </c>
      <c r="IK619" s="1681">
        <f t="shared" si="340"/>
        <v>0</v>
      </c>
      <c r="IL619" s="1681">
        <f t="shared" si="340"/>
        <v>0</v>
      </c>
      <c r="IM619" s="1681">
        <f t="shared" si="340"/>
        <v>0</v>
      </c>
      <c r="IN619" s="1681">
        <f t="shared" si="340"/>
        <v>0</v>
      </c>
      <c r="IO619" s="1681">
        <f t="shared" si="340"/>
        <v>0</v>
      </c>
      <c r="IP619" s="1681">
        <f t="shared" si="340"/>
        <v>0</v>
      </c>
      <c r="IQ619" s="1681">
        <f t="shared" si="340"/>
        <v>0</v>
      </c>
      <c r="IR619" s="1681">
        <f t="shared" si="340"/>
        <v>0</v>
      </c>
      <c r="IS619" s="1681">
        <f t="shared" si="340"/>
        <v>0</v>
      </c>
      <c r="IT619" s="1681">
        <f t="shared" si="340"/>
        <v>0</v>
      </c>
      <c r="IU619" s="1681">
        <f t="shared" si="340"/>
        <v>0</v>
      </c>
      <c r="IV619" s="1681">
        <f t="shared" si="340"/>
        <v>0</v>
      </c>
      <c r="IW619" s="1681">
        <f t="shared" si="340"/>
        <v>0</v>
      </c>
      <c r="IX619" s="1681">
        <f t="shared" si="340"/>
        <v>0</v>
      </c>
      <c r="IY619" s="1681">
        <f t="shared" si="340"/>
        <v>0</v>
      </c>
      <c r="IZ619" s="1681">
        <f t="shared" si="340"/>
        <v>0</v>
      </c>
      <c r="JA619" s="1681">
        <f t="shared" si="340"/>
        <v>0</v>
      </c>
      <c r="JB619" s="1681">
        <f t="shared" si="340"/>
        <v>0</v>
      </c>
      <c r="JC619" s="1681">
        <f t="shared" si="340"/>
        <v>0</v>
      </c>
      <c r="JD619" s="1681">
        <f t="shared" si="340"/>
        <v>0</v>
      </c>
      <c r="JE619" s="1681">
        <f t="shared" si="340"/>
        <v>0</v>
      </c>
      <c r="JF619" s="1681">
        <f t="shared" si="340"/>
        <v>0</v>
      </c>
      <c r="JG619" s="1681">
        <f t="shared" si="340"/>
        <v>0</v>
      </c>
      <c r="JH619" s="1681">
        <f t="shared" si="340"/>
        <v>0</v>
      </c>
      <c r="JI619" s="1681">
        <f t="shared" si="340"/>
        <v>0</v>
      </c>
      <c r="JJ619" s="1681">
        <f t="shared" si="340"/>
        <v>0</v>
      </c>
      <c r="JK619" s="1681">
        <f t="shared" si="340"/>
        <v>0</v>
      </c>
      <c r="JL619" s="1681">
        <f t="shared" si="340"/>
        <v>0</v>
      </c>
      <c r="JM619" s="1681">
        <f t="shared" si="340"/>
        <v>0</v>
      </c>
      <c r="JN619" s="1681">
        <f t="shared" si="340"/>
        <v>0</v>
      </c>
      <c r="JO619" s="1681">
        <f t="shared" si="340"/>
        <v>0</v>
      </c>
      <c r="JP619" s="1681">
        <f t="shared" si="340"/>
        <v>0</v>
      </c>
      <c r="JQ619" s="1681">
        <f t="shared" si="340"/>
        <v>0</v>
      </c>
      <c r="JR619" s="1681">
        <f t="shared" si="340"/>
        <v>0</v>
      </c>
      <c r="JS619" s="1681">
        <f t="shared" si="340"/>
        <v>0</v>
      </c>
      <c r="JT619" s="1681">
        <f t="shared" si="340"/>
        <v>0</v>
      </c>
      <c r="JU619" s="1681">
        <f t="shared" si="340"/>
        <v>0</v>
      </c>
      <c r="JV619" s="1681">
        <f t="shared" si="340"/>
        <v>0</v>
      </c>
      <c r="JW619" s="1681">
        <f t="shared" si="340"/>
        <v>0</v>
      </c>
      <c r="JX619" s="1681">
        <f t="shared" si="340"/>
        <v>0</v>
      </c>
      <c r="JY619" s="1681">
        <f t="shared" si="340"/>
        <v>0</v>
      </c>
      <c r="JZ619" s="1681">
        <f t="shared" si="340"/>
        <v>0</v>
      </c>
      <c r="KA619" s="1681">
        <f t="shared" si="340"/>
        <v>0</v>
      </c>
      <c r="KB619" s="1681">
        <f t="shared" si="340"/>
        <v>0</v>
      </c>
      <c r="KC619" s="1681">
        <f t="shared" si="340"/>
        <v>0</v>
      </c>
      <c r="KD619" s="1681">
        <f t="shared" si="340"/>
        <v>0</v>
      </c>
      <c r="KE619" s="1681">
        <f t="shared" si="340"/>
        <v>0</v>
      </c>
      <c r="KF619" s="1681">
        <f t="shared" si="340"/>
        <v>0</v>
      </c>
      <c r="KG619" s="1681">
        <f t="shared" si="340"/>
        <v>0</v>
      </c>
      <c r="KH619" s="1681">
        <f t="shared" si="340"/>
        <v>0</v>
      </c>
      <c r="KI619" s="1681">
        <f t="shared" ref="KI619:MT619" si="341">SUM(KI581:KI618)</f>
        <v>0</v>
      </c>
      <c r="KJ619" s="1681">
        <f t="shared" si="341"/>
        <v>0</v>
      </c>
      <c r="KK619" s="1681">
        <f t="shared" si="341"/>
        <v>0</v>
      </c>
      <c r="KL619" s="1681">
        <f t="shared" si="341"/>
        <v>0</v>
      </c>
      <c r="KM619" s="1681">
        <f t="shared" si="341"/>
        <v>0</v>
      </c>
      <c r="KN619" s="1681">
        <f t="shared" si="341"/>
        <v>0</v>
      </c>
      <c r="KO619" s="1681">
        <f t="shared" si="341"/>
        <v>0</v>
      </c>
      <c r="KP619" s="1681">
        <f t="shared" si="341"/>
        <v>0</v>
      </c>
      <c r="KQ619" s="1681">
        <f t="shared" si="341"/>
        <v>0</v>
      </c>
      <c r="KR619" s="1681">
        <f t="shared" si="341"/>
        <v>0</v>
      </c>
      <c r="KS619" s="1681">
        <f t="shared" si="341"/>
        <v>0</v>
      </c>
      <c r="KT619" s="1681">
        <f t="shared" si="341"/>
        <v>0</v>
      </c>
      <c r="KU619" s="1681">
        <f t="shared" si="341"/>
        <v>0</v>
      </c>
      <c r="KV619" s="1681">
        <f t="shared" si="341"/>
        <v>0</v>
      </c>
      <c r="KW619" s="1681">
        <f t="shared" si="341"/>
        <v>0</v>
      </c>
      <c r="KX619" s="1681">
        <f t="shared" si="341"/>
        <v>0</v>
      </c>
      <c r="KY619" s="1681">
        <f t="shared" si="341"/>
        <v>0</v>
      </c>
      <c r="KZ619" s="1681">
        <f t="shared" si="341"/>
        <v>0</v>
      </c>
      <c r="LA619" s="1681">
        <f t="shared" si="341"/>
        <v>0</v>
      </c>
      <c r="LB619" s="1681">
        <f t="shared" si="341"/>
        <v>0</v>
      </c>
      <c r="LC619" s="1681">
        <f t="shared" si="341"/>
        <v>0</v>
      </c>
      <c r="LD619" s="1681">
        <f t="shared" si="341"/>
        <v>0</v>
      </c>
      <c r="LE619" s="1681">
        <f t="shared" si="341"/>
        <v>0</v>
      </c>
      <c r="LF619" s="1681">
        <f t="shared" si="341"/>
        <v>0</v>
      </c>
      <c r="LG619" s="1681">
        <f t="shared" si="341"/>
        <v>0</v>
      </c>
      <c r="LH619" s="1681">
        <f t="shared" si="341"/>
        <v>0</v>
      </c>
      <c r="LI619" s="1681">
        <f t="shared" si="341"/>
        <v>0</v>
      </c>
      <c r="LJ619" s="1681">
        <f t="shared" si="341"/>
        <v>0</v>
      </c>
      <c r="LK619" s="1681">
        <f t="shared" si="341"/>
        <v>0</v>
      </c>
      <c r="LL619" s="1681">
        <f t="shared" si="341"/>
        <v>0</v>
      </c>
      <c r="LM619" s="1681">
        <f t="shared" si="341"/>
        <v>0</v>
      </c>
      <c r="LN619" s="1681">
        <f t="shared" si="341"/>
        <v>0</v>
      </c>
      <c r="LO619" s="1681">
        <f t="shared" si="341"/>
        <v>0</v>
      </c>
      <c r="LP619" s="1681">
        <f t="shared" si="341"/>
        <v>0</v>
      </c>
      <c r="LQ619" s="1681">
        <f t="shared" si="341"/>
        <v>0</v>
      </c>
      <c r="LR619" s="1681">
        <f t="shared" si="341"/>
        <v>0</v>
      </c>
      <c r="LS619" s="1681">
        <f t="shared" si="341"/>
        <v>0</v>
      </c>
      <c r="LT619" s="1681">
        <f t="shared" si="341"/>
        <v>0</v>
      </c>
      <c r="LU619" s="1681">
        <f t="shared" si="341"/>
        <v>0</v>
      </c>
      <c r="LV619" s="1681">
        <f t="shared" si="341"/>
        <v>0</v>
      </c>
      <c r="LW619" s="1681">
        <f t="shared" si="341"/>
        <v>0</v>
      </c>
      <c r="LX619" s="1681">
        <f t="shared" si="341"/>
        <v>0</v>
      </c>
      <c r="LY619" s="1681">
        <f t="shared" si="341"/>
        <v>0</v>
      </c>
      <c r="LZ619" s="1681">
        <f t="shared" si="341"/>
        <v>0</v>
      </c>
      <c r="MA619" s="1681">
        <f t="shared" si="341"/>
        <v>0</v>
      </c>
      <c r="MB619" s="1681">
        <f t="shared" si="341"/>
        <v>0</v>
      </c>
      <c r="MC619" s="1681">
        <f t="shared" si="341"/>
        <v>0</v>
      </c>
      <c r="MD619" s="1681">
        <f t="shared" si="341"/>
        <v>0</v>
      </c>
      <c r="ME619" s="1681">
        <f t="shared" si="341"/>
        <v>0</v>
      </c>
      <c r="MF619" s="1681">
        <f t="shared" si="341"/>
        <v>0</v>
      </c>
      <c r="MG619" s="1681">
        <f t="shared" si="341"/>
        <v>0</v>
      </c>
      <c r="MH619" s="1681">
        <f t="shared" si="341"/>
        <v>0</v>
      </c>
      <c r="MI619" s="1681">
        <f t="shared" si="341"/>
        <v>0</v>
      </c>
      <c r="MJ619" s="1681">
        <f t="shared" si="341"/>
        <v>0</v>
      </c>
      <c r="MK619" s="1681">
        <f t="shared" si="341"/>
        <v>0</v>
      </c>
      <c r="ML619" s="1681">
        <f t="shared" si="341"/>
        <v>0</v>
      </c>
      <c r="MM619" s="1681">
        <f t="shared" si="341"/>
        <v>0</v>
      </c>
      <c r="MN619" s="1681">
        <f t="shared" si="341"/>
        <v>0</v>
      </c>
      <c r="MO619" s="1681">
        <f t="shared" si="341"/>
        <v>0</v>
      </c>
      <c r="MP619" s="1681">
        <f t="shared" si="341"/>
        <v>0</v>
      </c>
      <c r="MQ619" s="1681">
        <f t="shared" si="341"/>
        <v>0</v>
      </c>
      <c r="MR619" s="1681">
        <f t="shared" si="341"/>
        <v>0</v>
      </c>
      <c r="MS619" s="1681">
        <f t="shared" si="341"/>
        <v>0</v>
      </c>
      <c r="MT619" s="1681">
        <f t="shared" si="341"/>
        <v>0</v>
      </c>
    </row>
    <row r="620" spans="1:358" s="1154" customFormat="1" ht="12" customHeight="1">
      <c r="B620" s="1690" t="str">
        <f>IF(SUM(E588:E618)=0,"",(B588*E588+B589*E589+B590*E590+B591*E591+B592*E592+B593*E593+B594*E594+B595*E595+B596*E596+B597*E597+B598*E598+B599*E599+B600*E600+B601*E601+B602*E602+B603*E603+B604*E604+B605*E605+B606*E606+B607*E607+B608*E608+B609*E609+B610*E610+B611*E611+B612*E612+B613*E613+B614*E614+B615*E615+B616*E616+B617*E617+B618*E618)/SUM(E588:E618))</f>
        <v/>
      </c>
      <c r="C620" s="1690"/>
      <c r="D620" s="1524" t="s">
        <v>3381</v>
      </c>
      <c r="E620" s="1684">
        <f>SUM(E588:E618)</f>
        <v>0</v>
      </c>
      <c r="F620" s="1685">
        <f>(E588*F588+E589*F589+E590*F590+E591*F591+E592*F592+E593*F593+E594*F594+E595*F595+E596*F596+E597*F597+E598*F598+E599*F599+E600*F600+E601*F601+E602*F602+E603*F603+E604*F604+E605*F605+E606*F606+E607*F607+E608*F608+E609*F609+E610*F610+E611*F611+E612*F612+E613*F613+E614*F614+E615*F615+E616*F616+E617*F617+E618*F618)</f>
        <v>0</v>
      </c>
      <c r="G620" s="1686"/>
      <c r="H620" s="1687" t="s">
        <v>3382</v>
      </c>
      <c r="I620" s="1688" t="str">
        <f>IF(O638=0,"",IF(SUM(O627:O633)/O638&gt;=0.2,"Pass","Fail"))</f>
        <v/>
      </c>
      <c r="J620" s="305"/>
      <c r="K620" s="1683" t="s">
        <v>753</v>
      </c>
      <c r="L620" s="1689">
        <f>L619*12</f>
        <v>0</v>
      </c>
      <c r="M620" s="1167"/>
      <c r="N620" s="1167"/>
      <c r="O620" s="1167"/>
      <c r="P620" s="1167"/>
      <c r="Q620" s="1167"/>
      <c r="R620" s="1167"/>
      <c r="S620" s="1167"/>
      <c r="T620" s="1167"/>
      <c r="U620" s="1167"/>
      <c r="V620" s="1681"/>
      <c r="W620" s="1681"/>
      <c r="X620" s="1681"/>
      <c r="Y620" s="1681"/>
      <c r="Z620" s="1681"/>
      <c r="AA620" s="1681"/>
      <c r="AB620" s="1681"/>
      <c r="AC620" s="1681"/>
      <c r="AD620" s="1681"/>
      <c r="AE620" s="1681"/>
      <c r="AF620" s="1681"/>
      <c r="AG620" s="1681"/>
      <c r="AH620" s="1681"/>
      <c r="AI620" s="1681"/>
      <c r="AJ620" s="1681"/>
      <c r="AK620" s="1681"/>
      <c r="AL620" s="1681"/>
      <c r="AM620" s="1681"/>
      <c r="AN620" s="1681"/>
      <c r="AO620" s="1681"/>
      <c r="AP620" s="1681"/>
      <c r="AQ620" s="1681"/>
      <c r="AR620" s="1681"/>
      <c r="AS620" s="1681"/>
      <c r="AT620" s="1681"/>
      <c r="AU620" s="1681"/>
      <c r="AV620" s="1681"/>
      <c r="AW620" s="1681"/>
      <c r="AX620" s="1681"/>
      <c r="AY620" s="1681"/>
      <c r="AZ620" s="1681"/>
      <c r="BA620" s="1681"/>
      <c r="BB620" s="1681"/>
      <c r="BC620" s="1681"/>
      <c r="BD620" s="1681"/>
      <c r="BE620" s="1681"/>
      <c r="BF620" s="1681"/>
      <c r="BG620" s="1681"/>
      <c r="BH620" s="1681"/>
      <c r="BI620" s="1681"/>
      <c r="BJ620" s="1681"/>
      <c r="BK620" s="1681"/>
      <c r="BL620" s="1681"/>
      <c r="BM620" s="1681"/>
      <c r="BN620" s="1681"/>
      <c r="BO620" s="1681"/>
      <c r="BP620" s="1681"/>
      <c r="BQ620" s="1681"/>
      <c r="BR620" s="1681"/>
      <c r="BS620" s="1681"/>
      <c r="BT620" s="1681"/>
      <c r="BU620" s="1681"/>
      <c r="BV620" s="1681"/>
      <c r="BW620" s="1681"/>
      <c r="BX620" s="1681"/>
      <c r="BY620" s="1681"/>
      <c r="BZ620" s="1681"/>
      <c r="CA620" s="1681"/>
      <c r="CB620" s="1681"/>
      <c r="CC620" s="1681"/>
      <c r="CD620" s="1681"/>
      <c r="CE620" s="1681"/>
      <c r="CF620" s="1681"/>
      <c r="CG620" s="1681"/>
      <c r="CH620" s="1681"/>
      <c r="CI620" s="1681"/>
      <c r="CJ620" s="1681"/>
      <c r="CK620" s="1681"/>
      <c r="CL620" s="1681"/>
      <c r="CM620" s="1681"/>
      <c r="CN620" s="1681"/>
      <c r="CO620" s="1681"/>
      <c r="CP620" s="1681"/>
      <c r="CQ620" s="1681"/>
      <c r="CR620" s="1681"/>
      <c r="CS620" s="1681"/>
      <c r="CT620" s="1681"/>
      <c r="CU620" s="1681"/>
      <c r="CV620" s="1681"/>
      <c r="CW620" s="1681"/>
      <c r="CX620" s="1681"/>
      <c r="CY620" s="1681"/>
      <c r="CZ620" s="1681"/>
      <c r="DA620" s="1681"/>
      <c r="DB620" s="1681"/>
      <c r="DC620" s="1681"/>
      <c r="DD620" s="1681"/>
      <c r="DE620" s="1681"/>
      <c r="DF620" s="1681"/>
      <c r="DG620" s="1681"/>
      <c r="DH620" s="1681"/>
      <c r="DI620" s="1681"/>
      <c r="DJ620" s="1681"/>
      <c r="DK620" s="1681"/>
      <c r="DL620" s="1681"/>
      <c r="DM620" s="1681"/>
      <c r="DN620" s="1681"/>
      <c r="DO620" s="1681"/>
      <c r="DP620" s="1681"/>
      <c r="DQ620" s="1681"/>
      <c r="DR620" s="1681"/>
      <c r="DS620" s="1681"/>
      <c r="DT620" s="1681"/>
      <c r="DU620" s="1681"/>
      <c r="DV620" s="1681"/>
      <c r="DW620" s="1681"/>
      <c r="DX620" s="1681"/>
      <c r="DY620" s="1681"/>
      <c r="DZ620" s="1681"/>
      <c r="EA620" s="1681"/>
      <c r="EB620" s="1681"/>
      <c r="EC620" s="1681"/>
      <c r="ED620" s="1681"/>
      <c r="EE620" s="1681"/>
      <c r="EF620" s="1681"/>
      <c r="EG620" s="1681"/>
      <c r="EH620" s="1681"/>
      <c r="EI620" s="1681"/>
      <c r="EJ620" s="1681"/>
      <c r="EK620" s="1681"/>
      <c r="EL620" s="1681"/>
      <c r="EM620" s="1681"/>
      <c r="EN620" s="1681"/>
      <c r="EO620" s="1681"/>
      <c r="EP620" s="1681"/>
      <c r="EQ620" s="1681"/>
      <c r="ER620" s="1681"/>
      <c r="ES620" s="1681"/>
      <c r="ET620" s="1681"/>
      <c r="EU620" s="1681"/>
      <c r="EV620" s="1681"/>
      <c r="EW620" s="1681"/>
      <c r="EX620" s="1681"/>
      <c r="EY620" s="1681"/>
      <c r="EZ620" s="1681"/>
      <c r="FA620" s="1681"/>
      <c r="FB620" s="1681"/>
      <c r="FC620" s="1681"/>
      <c r="FD620" s="1681"/>
      <c r="FE620" s="1681"/>
      <c r="FF620" s="1681"/>
      <c r="FG620" s="1681"/>
      <c r="FH620" s="1681"/>
      <c r="FI620" s="1681"/>
      <c r="FJ620" s="1681"/>
      <c r="FK620" s="1681"/>
      <c r="FL620" s="1681"/>
      <c r="FM620" s="1681"/>
      <c r="FN620" s="1681"/>
      <c r="FO620" s="1681"/>
      <c r="FP620" s="1681"/>
      <c r="FQ620" s="1681"/>
      <c r="FR620" s="1681"/>
      <c r="FS620" s="1681"/>
      <c r="FT620" s="1681"/>
      <c r="FU620" s="1681"/>
      <c r="FV620" s="1681"/>
      <c r="FW620" s="1681"/>
      <c r="FX620" s="1681"/>
      <c r="FY620" s="1681"/>
      <c r="FZ620" s="1681"/>
      <c r="GA620" s="1681"/>
      <c r="GB620" s="1681"/>
      <c r="GC620" s="1681"/>
      <c r="GD620" s="1681"/>
      <c r="GE620" s="1681"/>
      <c r="GF620" s="1681"/>
      <c r="GG620" s="1681"/>
      <c r="GH620" s="1681"/>
      <c r="GI620" s="1681"/>
      <c r="GJ620" s="1681"/>
      <c r="GK620" s="1681"/>
      <c r="GL620" s="1681"/>
      <c r="GM620" s="1681"/>
      <c r="GN620" s="1681"/>
      <c r="GO620" s="1681"/>
      <c r="GP620" s="1681"/>
      <c r="GQ620" s="1681"/>
      <c r="GR620" s="1681"/>
      <c r="GS620" s="1681"/>
      <c r="GT620" s="1681"/>
      <c r="GU620" s="1681"/>
      <c r="GV620" s="1681"/>
      <c r="GW620" s="1681"/>
      <c r="GX620" s="1681"/>
      <c r="GY620" s="1681"/>
      <c r="GZ620" s="1681"/>
      <c r="HA620" s="1681"/>
      <c r="HB620" s="1681"/>
      <c r="HC620" s="1681"/>
      <c r="HD620" s="1681"/>
      <c r="HE620" s="1681"/>
      <c r="HF620" s="1681"/>
      <c r="HG620" s="1681"/>
      <c r="HH620" s="1681"/>
      <c r="HI620" s="1681"/>
      <c r="HJ620" s="1681"/>
      <c r="HK620" s="1681"/>
      <c r="HL620" s="1681"/>
      <c r="HM620" s="1681"/>
      <c r="HN620" s="1681"/>
      <c r="HO620" s="1681"/>
      <c r="HP620" s="1681"/>
      <c r="HQ620" s="1681"/>
      <c r="HR620" s="1681"/>
      <c r="HS620" s="1681"/>
      <c r="HT620" s="1681"/>
      <c r="HU620" s="1681"/>
      <c r="HV620" s="1681"/>
      <c r="HW620" s="1681"/>
      <c r="HX620" s="1681"/>
      <c r="HY620" s="1681"/>
      <c r="HZ620" s="1681"/>
      <c r="IA620" s="1681"/>
      <c r="IB620" s="1681"/>
      <c r="IC620" s="1681"/>
      <c r="ID620" s="1681"/>
      <c r="IE620" s="1681"/>
      <c r="IF620" s="1681"/>
      <c r="IG620" s="1681"/>
      <c r="IH620" s="1681"/>
      <c r="II620" s="1681"/>
      <c r="IJ620" s="1681"/>
      <c r="IK620" s="1681"/>
      <c r="IL620" s="1681"/>
      <c r="IM620" s="1681"/>
      <c r="IN620" s="1681"/>
      <c r="IO620" s="1681"/>
      <c r="IP620" s="1681"/>
      <c r="IQ620" s="1681"/>
      <c r="IR620" s="1681"/>
      <c r="IS620" s="1681"/>
      <c r="IT620" s="1681"/>
      <c r="IU620" s="1681"/>
      <c r="IV620" s="1681"/>
      <c r="IW620" s="1681"/>
      <c r="IX620" s="1681"/>
      <c r="IY620" s="1681"/>
      <c r="IZ620" s="1681"/>
      <c r="JA620" s="1681"/>
      <c r="JB620" s="1681"/>
      <c r="JC620" s="1681"/>
      <c r="JD620" s="1681"/>
      <c r="JE620" s="1681"/>
      <c r="JF620" s="1681"/>
      <c r="JG620" s="1681"/>
      <c r="JH620" s="1681"/>
      <c r="JI620" s="1681"/>
      <c r="JJ620" s="1681"/>
      <c r="JK620" s="1681"/>
      <c r="JL620" s="1681"/>
      <c r="JM620" s="1681"/>
      <c r="JN620" s="1681"/>
      <c r="JO620" s="1681"/>
      <c r="JP620" s="1681"/>
      <c r="JQ620" s="1681"/>
      <c r="JR620" s="1681"/>
      <c r="JS620" s="1681"/>
      <c r="JT620" s="1681"/>
      <c r="JU620" s="1681"/>
      <c r="JV620" s="1681"/>
      <c r="JW620" s="1681"/>
      <c r="JX620" s="1681"/>
      <c r="JY620" s="1681"/>
      <c r="JZ620" s="1681"/>
      <c r="KA620" s="1681"/>
      <c r="KB620" s="1681"/>
      <c r="KC620" s="1681"/>
      <c r="KD620" s="1681"/>
      <c r="KE620" s="1681"/>
      <c r="KF620" s="1681"/>
      <c r="KG620" s="1681"/>
      <c r="KH620" s="1681"/>
      <c r="KI620" s="1681"/>
      <c r="KJ620" s="1681"/>
      <c r="KK620" s="1681"/>
      <c r="KL620" s="1681"/>
      <c r="KM620" s="1681"/>
      <c r="KN620" s="1681"/>
      <c r="KO620" s="1681"/>
      <c r="KP620" s="1681"/>
      <c r="KQ620" s="1681"/>
      <c r="KR620" s="1681"/>
      <c r="KS620" s="1681"/>
      <c r="KT620" s="1681"/>
      <c r="KU620" s="1681"/>
      <c r="KV620" s="1681"/>
      <c r="KW620" s="1681"/>
      <c r="KX620" s="1681"/>
      <c r="KY620" s="1681"/>
      <c r="KZ620" s="1681"/>
      <c r="LA620" s="1681"/>
      <c r="LB620" s="1681"/>
      <c r="LC620" s="1681"/>
      <c r="LD620" s="1681"/>
      <c r="LE620" s="1681"/>
      <c r="LF620" s="1681"/>
      <c r="LG620" s="1681"/>
      <c r="LH620" s="1681"/>
      <c r="LI620" s="1681"/>
      <c r="LJ620" s="1681"/>
      <c r="LK620" s="1681"/>
      <c r="LL620" s="1681"/>
      <c r="LM620" s="1681"/>
      <c r="LN620" s="1681"/>
      <c r="LO620" s="1681"/>
      <c r="LP620" s="1681"/>
      <c r="LQ620" s="1681"/>
      <c r="LR620" s="1681"/>
      <c r="LS620" s="1681"/>
      <c r="LT620" s="1681"/>
      <c r="LU620" s="1681"/>
      <c r="LV620" s="1681"/>
      <c r="LW620" s="1681"/>
      <c r="LX620" s="1681"/>
      <c r="LY620" s="1681"/>
      <c r="LZ620" s="1681"/>
      <c r="MA620" s="1681"/>
      <c r="MB620" s="1681"/>
      <c r="MC620" s="1681"/>
      <c r="MD620" s="1681"/>
    </row>
    <row r="621" spans="1:358" s="1154" customFormat="1" ht="3" customHeight="1">
      <c r="A621" s="1168"/>
      <c r="B621" s="1167"/>
      <c r="D621" s="1691"/>
      <c r="E621" s="1689"/>
      <c r="F621" s="1689"/>
      <c r="G621" s="305"/>
      <c r="H621" s="305"/>
      <c r="I621" s="305"/>
      <c r="J621" s="305"/>
      <c r="K621" s="1691"/>
      <c r="L621" s="1689"/>
      <c r="M621" s="1167"/>
      <c r="N621" s="1167"/>
      <c r="O621" s="1167"/>
      <c r="P621" s="1167"/>
      <c r="Q621" s="1167"/>
      <c r="R621" s="1167"/>
      <c r="S621" s="1167"/>
      <c r="T621" s="1167"/>
      <c r="U621" s="1167"/>
      <c r="V621" s="1681"/>
      <c r="W621" s="1681"/>
      <c r="X621" s="1681"/>
      <c r="Y621" s="1681"/>
      <c r="Z621" s="1681"/>
      <c r="AA621" s="1681"/>
      <c r="AB621" s="1681"/>
      <c r="AC621" s="1681"/>
      <c r="AD621" s="1681"/>
      <c r="AE621" s="1681"/>
      <c r="AF621" s="1681"/>
      <c r="AG621" s="1681"/>
      <c r="AH621" s="1681"/>
      <c r="AI621" s="1681"/>
      <c r="AJ621" s="1681"/>
      <c r="AK621" s="1681"/>
      <c r="AL621" s="1681"/>
      <c r="AM621" s="1681"/>
      <c r="AN621" s="1681"/>
      <c r="AO621" s="1681"/>
      <c r="AP621" s="1681"/>
      <c r="AQ621" s="1681"/>
      <c r="AR621" s="1681"/>
      <c r="AS621" s="1681"/>
      <c r="AT621" s="1681"/>
      <c r="AU621" s="1681"/>
      <c r="AV621" s="1681"/>
      <c r="AW621" s="1681"/>
      <c r="AX621" s="1681"/>
      <c r="AY621" s="1681"/>
      <c r="AZ621" s="1681"/>
      <c r="BA621" s="1681"/>
      <c r="BB621" s="1681"/>
      <c r="BC621" s="1681"/>
      <c r="BD621" s="1681"/>
      <c r="BE621" s="1681"/>
      <c r="BF621" s="1681"/>
      <c r="BG621" s="1681"/>
      <c r="BH621" s="1681"/>
      <c r="BI621" s="1681"/>
      <c r="BJ621" s="1681"/>
      <c r="BK621" s="1681"/>
      <c r="BL621" s="1681"/>
      <c r="BM621" s="1681"/>
      <c r="BN621" s="1681"/>
      <c r="BO621" s="1681"/>
      <c r="BP621" s="1681"/>
      <c r="BQ621" s="1681"/>
      <c r="BR621" s="1681"/>
      <c r="BS621" s="1681"/>
      <c r="BT621" s="1681"/>
      <c r="BU621" s="1681"/>
      <c r="BV621" s="1681"/>
      <c r="BW621" s="1681"/>
      <c r="BX621" s="1681"/>
      <c r="BY621" s="1681"/>
      <c r="BZ621" s="1681"/>
      <c r="CA621" s="1681"/>
      <c r="CB621" s="1681"/>
      <c r="CC621" s="1681"/>
      <c r="CD621" s="1681"/>
      <c r="CE621" s="1681"/>
      <c r="CF621" s="1681"/>
      <c r="CG621" s="1681"/>
      <c r="CH621" s="1681"/>
      <c r="CI621" s="1681"/>
      <c r="CJ621" s="1681"/>
      <c r="CK621" s="1681"/>
      <c r="CL621" s="1681"/>
      <c r="CM621" s="1681"/>
      <c r="CN621" s="1681"/>
      <c r="CO621" s="1681"/>
      <c r="CP621" s="1681"/>
      <c r="CQ621" s="1681"/>
      <c r="CR621" s="1681"/>
      <c r="CS621" s="1681"/>
      <c r="CT621" s="1681"/>
      <c r="CU621" s="1681"/>
      <c r="CV621" s="1681"/>
      <c r="CW621" s="1681"/>
      <c r="CX621" s="1681"/>
      <c r="CY621" s="1681"/>
      <c r="CZ621" s="1681"/>
      <c r="DA621" s="1681"/>
      <c r="DB621" s="1681"/>
      <c r="DC621" s="1681"/>
      <c r="DD621" s="1681"/>
      <c r="DE621" s="1681"/>
      <c r="DF621" s="1681"/>
      <c r="DG621" s="1681"/>
      <c r="DH621" s="1681"/>
      <c r="DI621" s="1681"/>
      <c r="DJ621" s="1681"/>
      <c r="DK621" s="1681"/>
      <c r="DL621" s="1681"/>
      <c r="DM621" s="1681"/>
      <c r="DN621" s="1681"/>
      <c r="DO621" s="1681"/>
      <c r="DP621" s="1681"/>
      <c r="DQ621" s="1681"/>
      <c r="DR621" s="1681"/>
      <c r="DS621" s="1681"/>
      <c r="DT621" s="1681"/>
      <c r="DU621" s="1681"/>
      <c r="DV621" s="1681"/>
      <c r="DW621" s="1681"/>
      <c r="DX621" s="1681"/>
      <c r="DY621" s="1681"/>
      <c r="DZ621" s="1681"/>
      <c r="EA621" s="1681"/>
      <c r="EB621" s="1681"/>
      <c r="EC621" s="1681"/>
      <c r="ED621" s="1681"/>
      <c r="EE621" s="1681"/>
      <c r="EF621" s="1681"/>
      <c r="EG621" s="1681"/>
      <c r="EH621" s="1681"/>
      <c r="EI621" s="1681"/>
      <c r="EJ621" s="1681"/>
      <c r="EK621" s="1681"/>
      <c r="EL621" s="1681"/>
      <c r="EM621" s="1681"/>
      <c r="EN621" s="1681"/>
      <c r="EO621" s="1681"/>
      <c r="EP621" s="1681"/>
      <c r="EQ621" s="1681"/>
      <c r="ER621" s="1681"/>
      <c r="ES621" s="1681"/>
      <c r="ET621" s="1681"/>
      <c r="EU621" s="1681"/>
      <c r="EV621" s="1681"/>
      <c r="EW621" s="1681"/>
      <c r="EX621" s="1681"/>
      <c r="EY621" s="1681"/>
      <c r="EZ621" s="1681"/>
      <c r="FA621" s="1681"/>
      <c r="FB621" s="1681"/>
      <c r="FC621" s="1681"/>
      <c r="FD621" s="1681"/>
      <c r="FE621" s="1681"/>
      <c r="FF621" s="1681"/>
      <c r="FG621" s="1681"/>
      <c r="FH621" s="1681"/>
      <c r="FI621" s="1681"/>
      <c r="FJ621" s="1681"/>
      <c r="FK621" s="1681"/>
      <c r="FL621" s="1681"/>
      <c r="FM621" s="1681"/>
      <c r="FN621" s="1681"/>
      <c r="FO621" s="1681"/>
      <c r="FP621" s="1681"/>
      <c r="FQ621" s="1681"/>
      <c r="FR621" s="1681"/>
      <c r="FS621" s="1681"/>
      <c r="FT621" s="1681"/>
      <c r="FU621" s="1681"/>
      <c r="FV621" s="1681"/>
      <c r="FW621" s="1681"/>
      <c r="FX621" s="1681"/>
      <c r="FY621" s="1681"/>
      <c r="FZ621" s="1681"/>
      <c r="GA621" s="1681"/>
      <c r="GB621" s="1681"/>
      <c r="GC621" s="1681"/>
      <c r="GD621" s="1681"/>
      <c r="GE621" s="1681"/>
      <c r="GF621" s="1681"/>
      <c r="GG621" s="1681"/>
      <c r="GH621" s="1681"/>
      <c r="GI621" s="1681"/>
      <c r="GJ621" s="1681"/>
      <c r="GK621" s="1681"/>
      <c r="GL621" s="1681"/>
      <c r="GM621" s="1681"/>
      <c r="GN621" s="1681"/>
      <c r="GO621" s="1681"/>
      <c r="GP621" s="1681"/>
      <c r="GQ621" s="1681"/>
      <c r="GR621" s="1681"/>
      <c r="GS621" s="1681"/>
      <c r="GT621" s="1681"/>
      <c r="GU621" s="1681"/>
      <c r="GV621" s="1681"/>
      <c r="GW621" s="1681"/>
      <c r="GX621" s="1681"/>
      <c r="GY621" s="1681"/>
      <c r="GZ621" s="1681"/>
      <c r="HA621" s="1681"/>
      <c r="HB621" s="1681"/>
      <c r="HC621" s="1681"/>
      <c r="HD621" s="1681"/>
      <c r="HE621" s="1681"/>
      <c r="HF621" s="1681"/>
      <c r="HG621" s="1681"/>
      <c r="HH621" s="1681"/>
      <c r="HI621" s="1681"/>
      <c r="HJ621" s="1681"/>
      <c r="HK621" s="1681"/>
      <c r="HL621" s="1681"/>
      <c r="HM621" s="1681"/>
      <c r="HN621" s="1681"/>
      <c r="HO621" s="1681"/>
      <c r="HP621" s="1681"/>
      <c r="HQ621" s="1681"/>
      <c r="HR621" s="1681"/>
      <c r="HS621" s="1681"/>
      <c r="HT621" s="1681"/>
      <c r="HU621" s="1681"/>
      <c r="HV621" s="1681"/>
      <c r="HW621" s="1681"/>
      <c r="HX621" s="1681"/>
      <c r="HY621" s="1681"/>
      <c r="HZ621" s="1681"/>
      <c r="IA621" s="1681"/>
      <c r="IB621" s="1681"/>
      <c r="IC621" s="1681"/>
      <c r="ID621" s="1681"/>
      <c r="IE621" s="1681"/>
      <c r="IF621" s="1681"/>
      <c r="IG621" s="1681"/>
      <c r="IH621" s="1681"/>
      <c r="II621" s="1681"/>
      <c r="IJ621" s="1681"/>
      <c r="IK621" s="1681"/>
      <c r="IL621" s="1681"/>
      <c r="IM621" s="1681"/>
      <c r="IN621" s="1681"/>
      <c r="IO621" s="1681"/>
      <c r="IP621" s="1681"/>
      <c r="IQ621" s="1681"/>
      <c r="IR621" s="1681"/>
      <c r="IS621" s="1681"/>
      <c r="IT621" s="1681"/>
      <c r="IU621" s="1681"/>
      <c r="IV621" s="1681"/>
      <c r="IW621" s="1681"/>
      <c r="IX621" s="1681"/>
      <c r="IY621" s="1681"/>
      <c r="IZ621" s="1681"/>
      <c r="JA621" s="1681"/>
      <c r="JB621" s="1681"/>
      <c r="JC621" s="1681"/>
      <c r="JD621" s="1681"/>
      <c r="JE621" s="1681"/>
      <c r="JF621" s="1681"/>
      <c r="JG621" s="1681"/>
      <c r="JH621" s="1681"/>
      <c r="JI621" s="1681"/>
      <c r="JJ621" s="1681"/>
      <c r="JK621" s="1681"/>
      <c r="JL621" s="1681"/>
      <c r="JM621" s="1681"/>
      <c r="JN621" s="1681"/>
      <c r="JO621" s="1681"/>
      <c r="JP621" s="1681"/>
      <c r="JQ621" s="1681"/>
      <c r="JR621" s="1681"/>
      <c r="JS621" s="1681"/>
      <c r="JT621" s="1681"/>
      <c r="JU621" s="1681"/>
      <c r="JV621" s="1681"/>
      <c r="JW621" s="1681"/>
      <c r="JX621" s="1681"/>
      <c r="JY621" s="1681"/>
      <c r="JZ621" s="1681"/>
      <c r="KA621" s="1681"/>
      <c r="KB621" s="1681"/>
      <c r="KC621" s="1681"/>
      <c r="KD621" s="1681"/>
      <c r="KE621" s="1681"/>
      <c r="KF621" s="1681"/>
      <c r="KG621" s="1681"/>
      <c r="KH621" s="1681"/>
      <c r="KI621" s="1681"/>
      <c r="KJ621" s="1681"/>
      <c r="KK621" s="1681"/>
      <c r="KL621" s="1681"/>
      <c r="KM621" s="1681"/>
      <c r="KN621" s="1681"/>
      <c r="KO621" s="1681"/>
      <c r="KP621" s="1681"/>
      <c r="KQ621" s="1681"/>
      <c r="KR621" s="1681"/>
      <c r="KS621" s="1681"/>
      <c r="KT621" s="1681"/>
      <c r="KU621" s="1681"/>
      <c r="KV621" s="1681"/>
      <c r="KW621" s="1681"/>
      <c r="KX621" s="1681"/>
      <c r="KY621" s="1681"/>
      <c r="KZ621" s="1681"/>
      <c r="LA621" s="1681"/>
      <c r="LB621" s="1681"/>
      <c r="LC621" s="1681"/>
      <c r="LD621" s="1681"/>
      <c r="LE621" s="1681"/>
      <c r="LF621" s="1681"/>
      <c r="LG621" s="1681"/>
      <c r="LH621" s="1681"/>
      <c r="LI621" s="1681"/>
      <c r="LJ621" s="1681"/>
      <c r="LK621" s="1681"/>
      <c r="LL621" s="1681"/>
      <c r="LM621" s="1681"/>
      <c r="LN621" s="1681"/>
      <c r="LO621" s="1681"/>
      <c r="LP621" s="1681"/>
      <c r="LQ621" s="1681"/>
      <c r="LR621" s="1681"/>
      <c r="LS621" s="1681"/>
      <c r="LT621" s="1681"/>
      <c r="LU621" s="1681"/>
      <c r="LV621" s="1681"/>
      <c r="LW621" s="1681"/>
      <c r="LX621" s="1681"/>
      <c r="LY621" s="1681"/>
      <c r="LZ621" s="1681"/>
      <c r="MA621" s="1681"/>
      <c r="MB621" s="1681"/>
      <c r="MC621" s="1681"/>
      <c r="MD621" s="1681"/>
    </row>
    <row r="622" spans="1:358" s="1154" customFormat="1" ht="12" customHeight="1">
      <c r="A622" s="1692" t="s">
        <v>3744</v>
      </c>
      <c r="B622" s="1692"/>
      <c r="C622" s="1692"/>
      <c r="D622" s="1692"/>
      <c r="E622" s="1692"/>
      <c r="F622" s="1692"/>
      <c r="G622" s="1692"/>
      <c r="H622" s="1692"/>
      <c r="I622" s="1692"/>
      <c r="J622" s="1692"/>
      <c r="K622" s="1692"/>
      <c r="L622" s="1692"/>
      <c r="M622" s="1692"/>
      <c r="N622" s="1692"/>
      <c r="O622" s="1692"/>
      <c r="P622" s="1692"/>
      <c r="Q622" s="1693"/>
      <c r="R622" s="1167"/>
      <c r="S622" s="1167"/>
      <c r="T622" s="1167"/>
      <c r="U622" s="1167"/>
      <c r="V622" s="1681"/>
      <c r="W622" s="1681"/>
      <c r="X622" s="1681"/>
      <c r="Y622" s="1681"/>
      <c r="Z622" s="1681"/>
      <c r="AA622" s="1681"/>
      <c r="AB622" s="1681"/>
      <c r="AC622" s="1681"/>
      <c r="AD622" s="1681"/>
      <c r="AE622" s="1681"/>
      <c r="AF622" s="1681"/>
      <c r="AG622" s="1681"/>
      <c r="AH622" s="1681"/>
      <c r="AI622" s="1681"/>
      <c r="AJ622" s="1681"/>
      <c r="AK622" s="1681"/>
      <c r="AL622" s="1681"/>
      <c r="AM622" s="1681"/>
      <c r="AN622" s="1681"/>
      <c r="AO622" s="1681"/>
      <c r="AP622" s="1681"/>
      <c r="AQ622" s="1681"/>
      <c r="AR622" s="1681"/>
      <c r="AS622" s="1681"/>
      <c r="AT622" s="1681"/>
      <c r="AU622" s="1681"/>
      <c r="AV622" s="1681"/>
      <c r="AW622" s="1681"/>
      <c r="AX622" s="1681"/>
      <c r="AY622" s="1681"/>
      <c r="AZ622" s="1681"/>
      <c r="BA622" s="1681"/>
      <c r="BB622" s="1681"/>
      <c r="BC622" s="1681"/>
      <c r="BD622" s="1681"/>
      <c r="BE622" s="1681"/>
      <c r="BF622" s="1681"/>
      <c r="BG622" s="1681"/>
      <c r="BH622" s="1681"/>
      <c r="BI622" s="1681"/>
      <c r="BJ622" s="1681"/>
      <c r="BK622" s="1681"/>
      <c r="BL622" s="1681"/>
      <c r="BM622" s="1681"/>
      <c r="BN622" s="1681"/>
      <c r="BO622" s="1681"/>
      <c r="BP622" s="1681"/>
      <c r="BQ622" s="1681"/>
      <c r="BR622" s="1681"/>
      <c r="BS622" s="1681"/>
      <c r="BT622" s="1681"/>
      <c r="BU622" s="1681"/>
      <c r="BV622" s="1681"/>
      <c r="BW622" s="1681"/>
      <c r="BX622" s="1681"/>
      <c r="BY622" s="1681"/>
      <c r="BZ622" s="1681"/>
      <c r="CA622" s="1681"/>
      <c r="CB622" s="1681"/>
      <c r="CC622" s="1681"/>
      <c r="CD622" s="1681"/>
      <c r="CE622" s="1681"/>
      <c r="CF622" s="1681"/>
      <c r="CG622" s="1681"/>
      <c r="CH622" s="1681"/>
      <c r="CI622" s="1681"/>
      <c r="CJ622" s="1681"/>
      <c r="CK622" s="1681"/>
      <c r="CL622" s="1681"/>
      <c r="CM622" s="1681"/>
      <c r="CN622" s="1681"/>
      <c r="CO622" s="1681"/>
      <c r="CP622" s="1681"/>
      <c r="CQ622" s="1681"/>
      <c r="CR622" s="1681"/>
      <c r="CS622" s="1681"/>
      <c r="CT622" s="1681"/>
      <c r="CU622" s="1681"/>
      <c r="CV622" s="1681"/>
      <c r="CW622" s="1681"/>
      <c r="CX622" s="1681"/>
      <c r="CY622" s="1681"/>
      <c r="CZ622" s="1681"/>
      <c r="DA622" s="1681"/>
      <c r="DB622" s="1681"/>
      <c r="DC622" s="1681"/>
      <c r="DD622" s="1681"/>
      <c r="DE622" s="1681"/>
      <c r="DF622" s="1681"/>
      <c r="DG622" s="1681"/>
      <c r="DH622" s="1681"/>
      <c r="DI622" s="1681"/>
      <c r="DJ622" s="1681"/>
      <c r="DK622" s="1681"/>
      <c r="DL622" s="1681"/>
      <c r="DM622" s="1681"/>
      <c r="DN622" s="1681"/>
      <c r="DO622" s="1681"/>
      <c r="DP622" s="1681"/>
      <c r="DQ622" s="1681"/>
      <c r="DR622" s="1681"/>
      <c r="DS622" s="1681"/>
      <c r="DT622" s="1681"/>
      <c r="DU622" s="1681"/>
      <c r="DV622" s="1681"/>
      <c r="DW622" s="1681"/>
      <c r="DX622" s="1681"/>
      <c r="DY622" s="1681"/>
      <c r="DZ622" s="1681"/>
      <c r="EA622" s="1681"/>
      <c r="EB622" s="1681"/>
      <c r="EC622" s="1681"/>
      <c r="ED622" s="1681"/>
      <c r="EE622" s="1681"/>
      <c r="EF622" s="1681"/>
      <c r="EG622" s="1681"/>
      <c r="EH622" s="1681"/>
      <c r="EI622" s="1681"/>
      <c r="EJ622" s="1681"/>
      <c r="EK622" s="1681"/>
      <c r="EL622" s="1681"/>
      <c r="EM622" s="1681"/>
      <c r="EN622" s="1681"/>
      <c r="EO622" s="1681"/>
      <c r="EP622" s="1681"/>
      <c r="EQ622" s="1681"/>
      <c r="ER622" s="1681"/>
      <c r="ES622" s="1681"/>
      <c r="ET622" s="1681"/>
      <c r="EU622" s="1681"/>
      <c r="EV622" s="1681"/>
      <c r="EW622" s="1681"/>
      <c r="EX622" s="1681"/>
      <c r="EY622" s="1681"/>
      <c r="EZ622" s="1681"/>
      <c r="FA622" s="1681"/>
      <c r="FB622" s="1681"/>
      <c r="FC622" s="1681"/>
      <c r="FD622" s="1681"/>
      <c r="FE622" s="1681"/>
      <c r="FF622" s="1681"/>
      <c r="FG622" s="1681"/>
      <c r="FH622" s="1681"/>
      <c r="FI622" s="1681"/>
      <c r="FJ622" s="1681"/>
      <c r="FK622" s="1681"/>
      <c r="FL622" s="1681"/>
      <c r="FM622" s="1681"/>
      <c r="FN622" s="1681"/>
      <c r="FO622" s="1681"/>
      <c r="FP622" s="1681"/>
      <c r="FQ622" s="1681"/>
      <c r="FR622" s="1681"/>
      <c r="FS622" s="1681"/>
      <c r="FT622" s="1681"/>
      <c r="FU622" s="1681"/>
      <c r="FV622" s="1681"/>
      <c r="FW622" s="1681"/>
      <c r="FX622" s="1681"/>
      <c r="FY622" s="1681"/>
      <c r="FZ622" s="1681"/>
      <c r="GA622" s="1681"/>
      <c r="GB622" s="1681"/>
      <c r="GC622" s="1681"/>
      <c r="GD622" s="1681"/>
      <c r="GE622" s="1681"/>
      <c r="GF622" s="1681"/>
      <c r="GG622" s="1681"/>
      <c r="GH622" s="1681"/>
      <c r="GI622" s="1681"/>
      <c r="GJ622" s="1681"/>
      <c r="GK622" s="1681"/>
      <c r="GL622" s="1681"/>
      <c r="GM622" s="1681"/>
      <c r="GN622" s="1681"/>
      <c r="GO622" s="1681"/>
      <c r="GP622" s="1681"/>
      <c r="GQ622" s="1681"/>
      <c r="GR622" s="1681"/>
      <c r="GS622" s="1681"/>
      <c r="GT622" s="1681"/>
      <c r="GU622" s="1681"/>
      <c r="GV622" s="1681"/>
      <c r="GW622" s="1681"/>
      <c r="GX622" s="1681"/>
      <c r="GY622" s="1681"/>
      <c r="GZ622" s="1681"/>
      <c r="HA622" s="1681"/>
      <c r="HB622" s="1681"/>
      <c r="HC622" s="1681"/>
      <c r="HD622" s="1681"/>
      <c r="HE622" s="1681"/>
      <c r="HF622" s="1681"/>
      <c r="HG622" s="1681"/>
      <c r="HH622" s="1681"/>
      <c r="HI622" s="1681"/>
      <c r="HJ622" s="1681"/>
      <c r="HK622" s="1681"/>
      <c r="HL622" s="1681"/>
      <c r="HM622" s="1681"/>
      <c r="HN622" s="1681"/>
      <c r="HO622" s="1681"/>
      <c r="HP622" s="1681"/>
      <c r="HQ622" s="1681"/>
      <c r="HR622" s="1681"/>
      <c r="HS622" s="1681"/>
      <c r="HT622" s="1681"/>
      <c r="HU622" s="1681"/>
      <c r="HV622" s="1681"/>
      <c r="HW622" s="1681"/>
      <c r="HX622" s="1681"/>
      <c r="HY622" s="1681"/>
      <c r="HZ622" s="1681"/>
      <c r="IA622" s="1681"/>
      <c r="IB622" s="1681"/>
      <c r="IC622" s="1681"/>
      <c r="ID622" s="1681"/>
      <c r="IE622" s="1681"/>
      <c r="IF622" s="1681"/>
      <c r="IG622" s="1681"/>
      <c r="IH622" s="1681"/>
      <c r="II622" s="1681"/>
      <c r="IJ622" s="1681"/>
      <c r="IK622" s="1681"/>
      <c r="IL622" s="1681"/>
      <c r="IM622" s="1681"/>
      <c r="IN622" s="1681"/>
      <c r="IO622" s="1681"/>
      <c r="IP622" s="1681"/>
      <c r="IQ622" s="1681"/>
      <c r="IR622" s="1681"/>
      <c r="IS622" s="1681"/>
      <c r="IT622" s="1681"/>
      <c r="IU622" s="1681"/>
      <c r="IV622" s="1681"/>
      <c r="IW622" s="1681"/>
      <c r="IX622" s="1681"/>
      <c r="IY622" s="1681"/>
      <c r="IZ622" s="1681"/>
      <c r="JA622" s="1681"/>
      <c r="JB622" s="1681"/>
      <c r="JC622" s="1681"/>
      <c r="JD622" s="1681"/>
      <c r="JE622" s="1681"/>
      <c r="JF622" s="1681"/>
      <c r="JG622" s="1681"/>
      <c r="JH622" s="1681"/>
      <c r="JI622" s="1681"/>
      <c r="JJ622" s="1681"/>
      <c r="JK622" s="1681"/>
      <c r="JL622" s="1681"/>
      <c r="JM622" s="1681"/>
      <c r="JN622" s="1681"/>
      <c r="JO622" s="1681"/>
      <c r="JP622" s="1681"/>
      <c r="JQ622" s="1681"/>
      <c r="JR622" s="1681"/>
      <c r="JS622" s="1681"/>
      <c r="JT622" s="1681"/>
      <c r="JU622" s="1681"/>
      <c r="JV622" s="1681"/>
      <c r="JW622" s="1681"/>
      <c r="JX622" s="1681"/>
      <c r="JY622" s="1681"/>
      <c r="JZ622" s="1681"/>
      <c r="KA622" s="1681"/>
      <c r="KB622" s="1681"/>
      <c r="KC622" s="1681"/>
      <c r="KD622" s="1681"/>
      <c r="KE622" s="1681"/>
      <c r="KF622" s="1681"/>
      <c r="KG622" s="1681"/>
      <c r="KH622" s="1681"/>
      <c r="KI622" s="1681"/>
      <c r="KJ622" s="1681"/>
      <c r="KK622" s="1681"/>
      <c r="KL622" s="1681"/>
      <c r="KM622" s="1681"/>
      <c r="KN622" s="1681"/>
      <c r="KO622" s="1681"/>
      <c r="KP622" s="1681"/>
      <c r="KQ622" s="1681"/>
      <c r="KR622" s="1681"/>
      <c r="KS622" s="1681"/>
      <c r="KT622" s="1681"/>
      <c r="KU622" s="1681"/>
      <c r="KV622" s="1681"/>
      <c r="KW622" s="1681"/>
      <c r="KX622" s="1681"/>
      <c r="KY622" s="1681"/>
      <c r="KZ622" s="1681"/>
      <c r="LA622" s="1681"/>
      <c r="LB622" s="1681"/>
      <c r="LC622" s="1681"/>
      <c r="LD622" s="1681"/>
      <c r="LE622" s="1681"/>
      <c r="LF622" s="1681"/>
      <c r="LG622" s="1681"/>
      <c r="LH622" s="1681"/>
      <c r="LI622" s="1681"/>
      <c r="LJ622" s="1681"/>
      <c r="LK622" s="1681"/>
      <c r="LL622" s="1681"/>
      <c r="LM622" s="1681"/>
      <c r="LN622" s="1681"/>
      <c r="LO622" s="1681"/>
      <c r="LP622" s="1681"/>
      <c r="LQ622" s="1681"/>
      <c r="LR622" s="1681"/>
      <c r="LS622" s="1681"/>
      <c r="LT622" s="1681"/>
      <c r="LU622" s="1681"/>
      <c r="LV622" s="1681"/>
      <c r="LW622" s="1681"/>
      <c r="LX622" s="1681"/>
      <c r="LY622" s="1681"/>
      <c r="LZ622" s="1681"/>
      <c r="MA622" s="1681"/>
      <c r="MB622" s="1681"/>
      <c r="MC622" s="1681"/>
      <c r="MD622" s="1681"/>
    </row>
    <row r="623" spans="1:358" s="1154" customFormat="1" ht="12" customHeight="1">
      <c r="A623" s="1692"/>
      <c r="B623" s="1692"/>
      <c r="C623" s="1692"/>
      <c r="D623" s="1692"/>
      <c r="E623" s="1692"/>
      <c r="F623" s="1692"/>
      <c r="G623" s="1692"/>
      <c r="H623" s="1692"/>
      <c r="I623" s="1692"/>
      <c r="J623" s="1692"/>
      <c r="K623" s="1692"/>
      <c r="L623" s="1692"/>
      <c r="M623" s="1692"/>
      <c r="N623" s="1692"/>
      <c r="O623" s="1692"/>
      <c r="P623" s="1692"/>
      <c r="Q623" s="1693"/>
      <c r="R623" s="1167"/>
      <c r="S623" s="1167"/>
      <c r="T623" s="1167"/>
      <c r="U623" s="1167"/>
      <c r="V623" s="1681"/>
      <c r="W623" s="1681"/>
      <c r="X623" s="1681"/>
      <c r="Y623" s="1681"/>
      <c r="Z623" s="1681"/>
      <c r="AA623" s="1681"/>
      <c r="AB623" s="1681"/>
      <c r="AC623" s="1681"/>
      <c r="AD623" s="1681"/>
      <c r="AE623" s="1681"/>
      <c r="AF623" s="1681"/>
      <c r="AG623" s="1681"/>
      <c r="AH623" s="1681"/>
      <c r="AI623" s="1681"/>
      <c r="AJ623" s="1681"/>
      <c r="AK623" s="1681"/>
      <c r="AL623" s="1681"/>
      <c r="AM623" s="1681"/>
      <c r="AN623" s="1681"/>
      <c r="AO623" s="1681"/>
      <c r="AP623" s="1681"/>
      <c r="AQ623" s="1681"/>
      <c r="AR623" s="1681"/>
      <c r="AS623" s="1681"/>
      <c r="AT623" s="1681"/>
      <c r="AU623" s="1681"/>
      <c r="AV623" s="1681"/>
      <c r="AW623" s="1681"/>
      <c r="AX623" s="1681"/>
      <c r="AY623" s="1681"/>
      <c r="AZ623" s="1681"/>
      <c r="BA623" s="1681"/>
      <c r="BB623" s="1681"/>
      <c r="BC623" s="1681"/>
      <c r="BD623" s="1681"/>
      <c r="BE623" s="1681"/>
      <c r="BF623" s="1681"/>
      <c r="BG623" s="1681"/>
      <c r="BH623" s="1681"/>
      <c r="BI623" s="1681"/>
      <c r="BJ623" s="1681"/>
      <c r="BK623" s="1681"/>
      <c r="BL623" s="1681"/>
      <c r="BM623" s="1681"/>
      <c r="BN623" s="1681"/>
      <c r="BO623" s="1681"/>
      <c r="BP623" s="1681"/>
      <c r="BQ623" s="1681"/>
      <c r="BR623" s="1681"/>
      <c r="BS623" s="1681"/>
      <c r="BT623" s="1681"/>
      <c r="BU623" s="1681"/>
      <c r="BV623" s="1681"/>
      <c r="BW623" s="1681"/>
      <c r="BX623" s="1681"/>
      <c r="BY623" s="1681"/>
      <c r="BZ623" s="1681"/>
      <c r="CA623" s="1681"/>
      <c r="CB623" s="1681"/>
      <c r="CC623" s="1681"/>
      <c r="CD623" s="1681"/>
      <c r="CE623" s="1681"/>
      <c r="CF623" s="1681"/>
      <c r="CG623" s="1681"/>
      <c r="CH623" s="1681"/>
      <c r="CI623" s="1681"/>
      <c r="CJ623" s="1681"/>
      <c r="CK623" s="1681"/>
      <c r="CL623" s="1681"/>
      <c r="CM623" s="1681"/>
      <c r="CN623" s="1681"/>
      <c r="CO623" s="1681"/>
      <c r="CP623" s="1681"/>
      <c r="CQ623" s="1681"/>
      <c r="CR623" s="1681"/>
      <c r="CS623" s="1681"/>
      <c r="CT623" s="1681"/>
      <c r="CU623" s="1681"/>
      <c r="CV623" s="1681"/>
      <c r="CW623" s="1681"/>
      <c r="CX623" s="1681"/>
      <c r="CY623" s="1681"/>
      <c r="CZ623" s="1681"/>
      <c r="DA623" s="1681"/>
      <c r="DB623" s="1681"/>
      <c r="DC623" s="1681"/>
      <c r="DD623" s="1681"/>
      <c r="DE623" s="1681"/>
      <c r="DF623" s="1681"/>
      <c r="DG623" s="1681"/>
      <c r="DH623" s="1681"/>
      <c r="DI623" s="1681"/>
      <c r="DJ623" s="1681"/>
      <c r="DK623" s="1681"/>
      <c r="DL623" s="1681"/>
      <c r="DM623" s="1681"/>
      <c r="DN623" s="1681"/>
      <c r="DO623" s="1681"/>
      <c r="DP623" s="1681"/>
      <c r="DQ623" s="1681"/>
      <c r="DR623" s="1681"/>
      <c r="DS623" s="1681"/>
      <c r="DT623" s="1681"/>
      <c r="DU623" s="1681"/>
      <c r="DV623" s="1681"/>
      <c r="DW623" s="1681"/>
      <c r="DX623" s="1681"/>
      <c r="DY623" s="1681"/>
      <c r="DZ623" s="1681"/>
      <c r="EA623" s="1681"/>
      <c r="EB623" s="1681"/>
      <c r="EC623" s="1681"/>
      <c r="ED623" s="1681"/>
      <c r="EE623" s="1681"/>
      <c r="EF623" s="1681"/>
      <c r="EG623" s="1681"/>
      <c r="EH623" s="1681"/>
      <c r="EI623" s="1681"/>
      <c r="EJ623" s="1681"/>
      <c r="EK623" s="1681"/>
      <c r="EL623" s="1681"/>
      <c r="EM623" s="1681"/>
      <c r="EN623" s="1681"/>
      <c r="EO623" s="1681"/>
      <c r="EP623" s="1681"/>
      <c r="EQ623" s="1681"/>
      <c r="ER623" s="1681"/>
      <c r="ES623" s="1681"/>
      <c r="ET623" s="1681"/>
      <c r="EU623" s="1681"/>
      <c r="EV623" s="1681"/>
      <c r="EW623" s="1681"/>
      <c r="EX623" s="1681"/>
      <c r="EY623" s="1681"/>
      <c r="EZ623" s="1681"/>
      <c r="FA623" s="1681"/>
      <c r="FB623" s="1681"/>
      <c r="FC623" s="1681"/>
      <c r="FD623" s="1681"/>
      <c r="FE623" s="1681"/>
      <c r="FF623" s="1681"/>
      <c r="FG623" s="1681"/>
      <c r="FH623" s="1681"/>
      <c r="FI623" s="1681"/>
      <c r="FJ623" s="1681"/>
      <c r="FK623" s="1681"/>
      <c r="FL623" s="1681"/>
      <c r="FM623" s="1681"/>
      <c r="FN623" s="1681"/>
      <c r="FO623" s="1681"/>
      <c r="FP623" s="1681"/>
      <c r="FQ623" s="1681"/>
      <c r="FR623" s="1681"/>
      <c r="FS623" s="1681"/>
      <c r="FT623" s="1681"/>
      <c r="FU623" s="1681"/>
      <c r="FV623" s="1681"/>
      <c r="FW623" s="1681"/>
      <c r="FX623" s="1681"/>
      <c r="FY623" s="1681"/>
      <c r="FZ623" s="1681"/>
      <c r="GA623" s="1681"/>
      <c r="GB623" s="1681"/>
      <c r="GC623" s="1681"/>
      <c r="GD623" s="1681"/>
      <c r="GE623" s="1681"/>
      <c r="GF623" s="1681"/>
      <c r="GG623" s="1681"/>
      <c r="GH623" s="1681"/>
      <c r="GI623" s="1681"/>
      <c r="GJ623" s="1681"/>
      <c r="GK623" s="1681"/>
      <c r="GL623" s="1681"/>
      <c r="GM623" s="1681"/>
      <c r="GN623" s="1681"/>
      <c r="GO623" s="1681"/>
      <c r="GP623" s="1681"/>
      <c r="GQ623" s="1681"/>
      <c r="GR623" s="1681"/>
      <c r="GS623" s="1681"/>
      <c r="GT623" s="1681"/>
      <c r="GU623" s="1681"/>
      <c r="GV623" s="1681"/>
      <c r="GW623" s="1681"/>
      <c r="GX623" s="1681"/>
      <c r="GY623" s="1681"/>
      <c r="GZ623" s="1681"/>
      <c r="HA623" s="1681"/>
      <c r="HB623" s="1681"/>
      <c r="HC623" s="1681"/>
      <c r="HD623" s="1681"/>
      <c r="HE623" s="1681"/>
      <c r="HF623" s="1681"/>
      <c r="HG623" s="1681"/>
      <c r="HH623" s="1681"/>
      <c r="HI623" s="1681"/>
      <c r="HJ623" s="1681"/>
      <c r="HK623" s="1681"/>
      <c r="HL623" s="1681"/>
      <c r="HM623" s="1681"/>
      <c r="HN623" s="1681"/>
      <c r="HO623" s="1681"/>
      <c r="HP623" s="1681"/>
      <c r="HQ623" s="1681"/>
      <c r="HR623" s="1681"/>
      <c r="HS623" s="1681"/>
      <c r="HT623" s="1681"/>
      <c r="HU623" s="1681"/>
      <c r="HV623" s="1681"/>
      <c r="HW623" s="1681"/>
      <c r="HX623" s="1681"/>
      <c r="HY623" s="1681"/>
      <c r="HZ623" s="1681"/>
      <c r="IA623" s="1681"/>
      <c r="IB623" s="1681"/>
      <c r="IC623" s="1681"/>
      <c r="ID623" s="1681"/>
      <c r="IE623" s="1681"/>
      <c r="IF623" s="1681"/>
      <c r="IG623" s="1681"/>
      <c r="IH623" s="1681"/>
      <c r="II623" s="1681"/>
      <c r="IJ623" s="1681"/>
      <c r="IK623" s="1681"/>
      <c r="IL623" s="1681"/>
      <c r="IM623" s="1681"/>
      <c r="IN623" s="1681"/>
      <c r="IO623" s="1681"/>
      <c r="IP623" s="1681"/>
      <c r="IQ623" s="1681"/>
      <c r="IR623" s="1681"/>
      <c r="IS623" s="1681"/>
      <c r="IT623" s="1681"/>
      <c r="IU623" s="1681"/>
      <c r="IV623" s="1681"/>
      <c r="IW623" s="1681"/>
      <c r="IX623" s="1681"/>
      <c r="IY623" s="1681"/>
      <c r="IZ623" s="1681"/>
      <c r="JA623" s="1681"/>
      <c r="JB623" s="1681"/>
      <c r="JC623" s="1681"/>
      <c r="JD623" s="1681"/>
      <c r="JE623" s="1681"/>
      <c r="JF623" s="1681"/>
      <c r="JG623" s="1681"/>
      <c r="JH623" s="1681"/>
      <c r="JI623" s="1681"/>
      <c r="JJ623" s="1681"/>
      <c r="JK623" s="1681"/>
      <c r="JL623" s="1681"/>
      <c r="JM623" s="1681"/>
      <c r="JN623" s="1681"/>
      <c r="JO623" s="1681"/>
      <c r="JP623" s="1681"/>
      <c r="JQ623" s="1681"/>
      <c r="JR623" s="1681"/>
      <c r="JS623" s="1681"/>
      <c r="JT623" s="1681"/>
      <c r="JU623" s="1681"/>
      <c r="JV623" s="1681"/>
      <c r="JW623" s="1681"/>
      <c r="JX623" s="1681"/>
      <c r="JY623" s="1681"/>
      <c r="JZ623" s="1681"/>
      <c r="KA623" s="1681"/>
      <c r="KB623" s="1681"/>
      <c r="KC623" s="1681"/>
      <c r="KD623" s="1681"/>
      <c r="KE623" s="1681"/>
      <c r="KF623" s="1681"/>
      <c r="KG623" s="1681"/>
      <c r="KH623" s="1681"/>
      <c r="KI623" s="1681"/>
      <c r="KJ623" s="1681"/>
      <c r="KK623" s="1681"/>
      <c r="KL623" s="1681"/>
      <c r="KM623" s="1681"/>
      <c r="KN623" s="1681"/>
      <c r="KO623" s="1681"/>
      <c r="KP623" s="1681"/>
      <c r="KQ623" s="1681"/>
      <c r="KR623" s="1681"/>
      <c r="KS623" s="1681"/>
      <c r="KT623" s="1681"/>
      <c r="KU623" s="1681"/>
      <c r="KV623" s="1681"/>
      <c r="KW623" s="1681"/>
      <c r="KX623" s="1681"/>
      <c r="KY623" s="1681"/>
      <c r="KZ623" s="1681"/>
      <c r="LA623" s="1681"/>
      <c r="LB623" s="1681"/>
      <c r="LC623" s="1681"/>
      <c r="LD623" s="1681"/>
      <c r="LE623" s="1681"/>
      <c r="LF623" s="1681"/>
      <c r="LG623" s="1681"/>
      <c r="LH623" s="1681"/>
      <c r="LI623" s="1681"/>
      <c r="LJ623" s="1681"/>
      <c r="LK623" s="1681"/>
      <c r="LL623" s="1681"/>
      <c r="LM623" s="1681"/>
      <c r="LN623" s="1681"/>
      <c r="LO623" s="1681"/>
      <c r="LP623" s="1681"/>
      <c r="LQ623" s="1681"/>
      <c r="LR623" s="1681"/>
      <c r="LS623" s="1681"/>
      <c r="LT623" s="1681"/>
      <c r="LU623" s="1681"/>
      <c r="LV623" s="1681"/>
      <c r="LW623" s="1681"/>
      <c r="LX623" s="1681"/>
      <c r="LY623" s="1681"/>
      <c r="LZ623" s="1681"/>
      <c r="MA623" s="1681"/>
      <c r="MB623" s="1681"/>
      <c r="MC623" s="1681"/>
      <c r="MD623" s="1681"/>
    </row>
    <row r="624" spans="1:358" s="1154" customFormat="1" ht="14.45" customHeight="1">
      <c r="A624" s="1154" t="s">
        <v>685</v>
      </c>
      <c r="B624" s="1154" t="s">
        <v>498</v>
      </c>
      <c r="K624" s="1694" t="str">
        <f>'Part I-Project Information'!H83</f>
        <v>&lt;&lt; Select LIHTC Election &gt;&gt;</v>
      </c>
      <c r="L624" s="1694"/>
      <c r="M624" s="1694"/>
      <c r="N624" s="1694"/>
      <c r="R624" s="1167" t="str">
        <f>B624</f>
        <v>UNIT SUMMARY</v>
      </c>
      <c r="S624" s="1167"/>
      <c r="T624" s="1167"/>
      <c r="U624" s="1167"/>
      <c r="AX624" s="1167"/>
      <c r="BC624" s="1167"/>
      <c r="JV624" s="1525"/>
      <c r="KA624" s="1525"/>
      <c r="KB624" s="1525"/>
      <c r="KC624" s="1525"/>
      <c r="KD624" s="1525"/>
      <c r="KE624" s="1525"/>
      <c r="KF624" s="1525"/>
      <c r="KG624" s="1525"/>
      <c r="KH624" s="1525"/>
      <c r="KI624" s="1525"/>
      <c r="KJ624" s="1525"/>
      <c r="KK624" s="1525"/>
      <c r="KL624" s="1525"/>
      <c r="KM624" s="1525"/>
      <c r="KN624" s="1525"/>
      <c r="KO624" s="1525"/>
      <c r="KP624" s="1525"/>
      <c r="KQ624" s="1525"/>
      <c r="KR624" s="1525"/>
      <c r="KS624" s="1525"/>
      <c r="KT624" s="1525"/>
      <c r="KU624" s="1525"/>
      <c r="KV624" s="1525"/>
      <c r="KW624" s="1525"/>
      <c r="KX624" s="1525"/>
      <c r="KY624" s="1525"/>
      <c r="KZ624" s="1525"/>
      <c r="LA624" s="1525"/>
      <c r="LB624" s="1525"/>
      <c r="LC624" s="1525"/>
      <c r="LD624" s="1525"/>
      <c r="LE624" s="1525"/>
      <c r="LF624" s="1525"/>
    </row>
    <row r="625" spans="1:318" s="1154" customFormat="1" ht="6" customHeight="1">
      <c r="T625" s="1695"/>
      <c r="AX625" s="1167"/>
      <c r="BC625" s="1167"/>
      <c r="JV625" s="1525"/>
      <c r="KA625" s="1525"/>
      <c r="KB625" s="1525"/>
      <c r="KC625" s="1525"/>
      <c r="KD625" s="1525"/>
      <c r="KE625" s="1525"/>
      <c r="KF625" s="1525"/>
      <c r="KG625" s="1525"/>
      <c r="KH625" s="1525"/>
      <c r="KI625" s="1525"/>
      <c r="KJ625" s="1525"/>
      <c r="KK625" s="1525"/>
      <c r="KL625" s="1525"/>
      <c r="KM625" s="1525"/>
      <c r="KN625" s="1525"/>
      <c r="KO625" s="1525"/>
      <c r="KP625" s="1525"/>
      <c r="KQ625" s="1525"/>
      <c r="KR625" s="1525"/>
      <c r="KS625" s="1525"/>
      <c r="KT625" s="1525"/>
      <c r="KU625" s="1525"/>
      <c r="KV625" s="1525"/>
      <c r="KW625" s="1525"/>
      <c r="KX625" s="1525"/>
      <c r="KY625" s="1525"/>
      <c r="KZ625" s="1525"/>
      <c r="LA625" s="1525"/>
      <c r="LB625" s="1525"/>
      <c r="LC625" s="1525"/>
      <c r="LD625" s="1525"/>
      <c r="LE625" s="1525"/>
      <c r="LF625" s="1525"/>
    </row>
    <row r="626" spans="1:318" s="1154" customFormat="1" ht="14.45" customHeight="1">
      <c r="B626" s="1154" t="s">
        <v>1052</v>
      </c>
      <c r="H626" s="1154" t="s">
        <v>963</v>
      </c>
      <c r="J626" s="1696" t="s">
        <v>527</v>
      </c>
      <c r="K626" s="1696" t="s">
        <v>499</v>
      </c>
      <c r="L626" s="1696" t="s">
        <v>500</v>
      </c>
      <c r="M626" s="1696" t="s">
        <v>501</v>
      </c>
      <c r="N626" s="1696" t="s">
        <v>502</v>
      </c>
      <c r="O626" s="1696" t="s">
        <v>503</v>
      </c>
      <c r="R626" s="1518" t="s">
        <v>1661</v>
      </c>
      <c r="S626" s="1518"/>
      <c r="T626" s="1695"/>
      <c r="AQ626" s="1696"/>
      <c r="AR626" s="1696"/>
      <c r="AS626" s="1696"/>
      <c r="AT626" s="1696"/>
      <c r="AU626" s="1696"/>
      <c r="AV626" s="1696"/>
      <c r="AX626" s="1167"/>
      <c r="BA626" s="1696"/>
      <c r="BC626" s="1167"/>
      <c r="JV626" s="1525"/>
      <c r="KA626" s="1525"/>
      <c r="KB626" s="1525"/>
      <c r="KC626" s="1525"/>
      <c r="KD626" s="1525"/>
      <c r="KE626" s="1525"/>
      <c r="KF626" s="1525"/>
      <c r="KG626" s="1525"/>
      <c r="KH626" s="1525"/>
      <c r="KI626" s="1525"/>
      <c r="KJ626" s="1525"/>
      <c r="KK626" s="1525"/>
      <c r="KL626" s="1525"/>
      <c r="KM626" s="1525"/>
      <c r="KN626" s="1525"/>
      <c r="KO626" s="1525"/>
      <c r="KP626" s="1525"/>
      <c r="KQ626" s="1525"/>
      <c r="KR626" s="1525"/>
      <c r="KS626" s="1525"/>
      <c r="KT626" s="1525"/>
      <c r="KU626" s="1525"/>
      <c r="KV626" s="1525"/>
      <c r="KW626" s="1525"/>
      <c r="KX626" s="1525"/>
      <c r="KY626" s="1525"/>
      <c r="KZ626" s="1525"/>
      <c r="LA626" s="1525"/>
      <c r="LB626" s="1525"/>
      <c r="LC626" s="1525"/>
      <c r="LD626" s="1525"/>
      <c r="LE626" s="1525"/>
      <c r="LF626" s="1525"/>
    </row>
    <row r="627" spans="1:318" s="1154" customFormat="1" ht="15" customHeight="1">
      <c r="A627" s="1655" t="s">
        <v>415</v>
      </c>
      <c r="B627" s="1655"/>
      <c r="C627" s="1167" t="s">
        <v>1053</v>
      </c>
      <c r="D627" s="1167"/>
      <c r="E627" s="1167"/>
      <c r="F627" s="1167"/>
      <c r="H627" s="1168" t="s">
        <v>3383</v>
      </c>
      <c r="J627" s="1697">
        <f>W619</f>
        <v>0</v>
      </c>
      <c r="K627" s="1697">
        <f>X619</f>
        <v>0</v>
      </c>
      <c r="L627" s="1697">
        <f>Y619</f>
        <v>0</v>
      </c>
      <c r="M627" s="1697">
        <f>Z619</f>
        <v>0</v>
      </c>
      <c r="N627" s="1697">
        <f>AA619</f>
        <v>0</v>
      </c>
      <c r="O627" s="1697">
        <f t="shared" ref="O627:O638" si="342">SUM(J627:N627)</f>
        <v>0</v>
      </c>
      <c r="P627" s="1692" t="s">
        <v>3384</v>
      </c>
      <c r="Q627" s="1698"/>
      <c r="R627" s="1519"/>
      <c r="S627" s="1519"/>
      <c r="T627" s="1519"/>
      <c r="U627" s="1519"/>
      <c r="V627" s="1519"/>
      <c r="W627" s="1167"/>
      <c r="Z627" s="1167"/>
      <c r="AA627" s="1168"/>
      <c r="AB627" s="1167"/>
      <c r="AE627" s="1167"/>
      <c r="AF627" s="1168"/>
      <c r="AG627" s="1167"/>
      <c r="AJ627" s="1167"/>
      <c r="AK627" s="1168"/>
      <c r="AL627" s="1167"/>
      <c r="AO627" s="1167"/>
      <c r="AP627" s="1168"/>
      <c r="AQ627" s="305"/>
      <c r="AR627" s="305"/>
      <c r="AS627" s="305"/>
      <c r="AT627" s="305"/>
      <c r="AU627" s="305"/>
      <c r="AV627" s="305"/>
      <c r="AW627" s="1168"/>
      <c r="AX627" s="1167"/>
      <c r="BA627" s="305"/>
      <c r="BB627" s="1168"/>
      <c r="BC627" s="1167"/>
      <c r="JV627" s="1525"/>
      <c r="KA627" s="1525"/>
      <c r="KB627" s="1525"/>
      <c r="KC627" s="1525"/>
      <c r="KD627" s="1525"/>
      <c r="KE627" s="1525"/>
      <c r="KF627" s="1525"/>
      <c r="KG627" s="1525"/>
      <c r="KH627" s="1525"/>
      <c r="KI627" s="1525"/>
      <c r="KJ627" s="1525"/>
      <c r="KK627" s="1525"/>
      <c r="KL627" s="1525"/>
      <c r="KM627" s="1525"/>
      <c r="KN627" s="1525"/>
      <c r="KO627" s="1525"/>
      <c r="KP627" s="1525"/>
      <c r="KQ627" s="1525"/>
      <c r="KR627" s="1525"/>
      <c r="KS627" s="1525"/>
      <c r="KT627" s="1525"/>
      <c r="KU627" s="1525"/>
      <c r="KV627" s="1525"/>
      <c r="KW627" s="1525"/>
      <c r="KX627" s="1525"/>
      <c r="KY627" s="1525"/>
      <c r="KZ627" s="1525"/>
      <c r="LA627" s="1525"/>
      <c r="LB627" s="1525"/>
      <c r="LC627" s="1525"/>
      <c r="LD627" s="1525"/>
      <c r="LE627" s="1525"/>
      <c r="LF627" s="1525"/>
    </row>
    <row r="628" spans="1:318" s="1154" customFormat="1" ht="15" customHeight="1">
      <c r="A628" s="1655"/>
      <c r="B628" s="1655"/>
      <c r="C628" s="1167"/>
      <c r="D628" s="1167"/>
      <c r="E628" s="1167"/>
      <c r="F628" s="1167"/>
      <c r="H628" s="1168" t="s">
        <v>3385</v>
      </c>
      <c r="J628" s="1697">
        <f>AB619</f>
        <v>0</v>
      </c>
      <c r="K628" s="1697">
        <f>AC619</f>
        <v>0</v>
      </c>
      <c r="L628" s="1697">
        <f>AD619</f>
        <v>0</v>
      </c>
      <c r="M628" s="1697">
        <f>AE619</f>
        <v>0</v>
      </c>
      <c r="N628" s="1697">
        <f>AF619</f>
        <v>0</v>
      </c>
      <c r="O628" s="1697">
        <f t="shared" si="342"/>
        <v>0</v>
      </c>
      <c r="P628" s="1692"/>
      <c r="Q628" s="1698"/>
      <c r="R628" s="1519"/>
      <c r="S628" s="1519"/>
      <c r="T628" s="1519"/>
      <c r="U628" s="1519"/>
      <c r="V628" s="1519"/>
      <c r="W628" s="1167"/>
      <c r="Z628" s="1167"/>
      <c r="AA628" s="1168"/>
      <c r="AB628" s="1167"/>
      <c r="AE628" s="1167"/>
      <c r="AF628" s="1168"/>
      <c r="AG628" s="1167"/>
      <c r="AJ628" s="1167"/>
      <c r="AK628" s="1168"/>
      <c r="AL628" s="1167"/>
      <c r="AO628" s="1167"/>
      <c r="AP628" s="1168"/>
      <c r="AQ628" s="305"/>
      <c r="AR628" s="305"/>
      <c r="AS628" s="305"/>
      <c r="AT628" s="305"/>
      <c r="AU628" s="305"/>
      <c r="AV628" s="305"/>
      <c r="AW628" s="1168"/>
      <c r="AX628" s="1167"/>
      <c r="BA628" s="305"/>
      <c r="BB628" s="1168"/>
      <c r="BC628" s="1167"/>
      <c r="JV628" s="1525"/>
      <c r="KA628" s="1525"/>
      <c r="KB628" s="1525"/>
      <c r="KC628" s="1525"/>
      <c r="KD628" s="1525"/>
      <c r="KE628" s="1525"/>
      <c r="KF628" s="1525"/>
      <c r="KG628" s="1525"/>
      <c r="KH628" s="1525"/>
      <c r="KI628" s="1525"/>
      <c r="KJ628" s="1525"/>
      <c r="KK628" s="1525"/>
      <c r="KL628" s="1525"/>
      <c r="KM628" s="1525"/>
      <c r="KN628" s="1525"/>
      <c r="KO628" s="1525"/>
      <c r="KP628" s="1525"/>
      <c r="KQ628" s="1525"/>
      <c r="KR628" s="1525"/>
      <c r="KS628" s="1525"/>
      <c r="KT628" s="1525"/>
      <c r="KU628" s="1525"/>
      <c r="KV628" s="1525"/>
      <c r="KW628" s="1525"/>
      <c r="KX628" s="1525"/>
      <c r="KY628" s="1525"/>
      <c r="KZ628" s="1525"/>
      <c r="LA628" s="1525"/>
      <c r="LB628" s="1525"/>
      <c r="LC628" s="1525"/>
      <c r="LD628" s="1525"/>
      <c r="LE628" s="1525"/>
      <c r="LF628" s="1525"/>
    </row>
    <row r="629" spans="1:318" s="1154" customFormat="1" ht="15" customHeight="1">
      <c r="A629" s="1655"/>
      <c r="B629" s="1655"/>
      <c r="C629" s="1167"/>
      <c r="D629" s="1167"/>
      <c r="E629" s="1167"/>
      <c r="F629" s="1167"/>
      <c r="H629" s="1168" t="s">
        <v>1065</v>
      </c>
      <c r="J629" s="1697">
        <f>AG619</f>
        <v>0</v>
      </c>
      <c r="K629" s="1697">
        <f>AH619</f>
        <v>0</v>
      </c>
      <c r="L629" s="1697">
        <f>AI619</f>
        <v>0</v>
      </c>
      <c r="M629" s="1697">
        <f>AJ619</f>
        <v>0</v>
      </c>
      <c r="N629" s="1697">
        <f>AK619</f>
        <v>0</v>
      </c>
      <c r="O629" s="1697">
        <f t="shared" si="342"/>
        <v>0</v>
      </c>
      <c r="P629" s="1692"/>
      <c r="Q629" s="1698"/>
      <c r="R629" s="1519"/>
      <c r="S629" s="1519"/>
      <c r="T629" s="1519"/>
      <c r="U629" s="1519"/>
      <c r="V629" s="1519"/>
      <c r="W629" s="1167"/>
      <c r="Z629" s="1167"/>
      <c r="AA629" s="1168"/>
      <c r="AB629" s="1167"/>
      <c r="AE629" s="1167"/>
      <c r="AF629" s="1168"/>
      <c r="AG629" s="1167"/>
      <c r="AJ629" s="1167"/>
      <c r="AK629" s="1168"/>
      <c r="AL629" s="1167"/>
      <c r="AO629" s="1167"/>
      <c r="AP629" s="1168"/>
      <c r="AQ629" s="305"/>
      <c r="AR629" s="305"/>
      <c r="AS629" s="305"/>
      <c r="AT629" s="305"/>
      <c r="AU629" s="305"/>
      <c r="AV629" s="305"/>
      <c r="AW629" s="1168"/>
      <c r="AX629" s="1167"/>
      <c r="BA629" s="305"/>
      <c r="BB629" s="1168"/>
      <c r="BC629" s="1167"/>
      <c r="JV629" s="1525"/>
      <c r="KA629" s="1525"/>
      <c r="KB629" s="1525"/>
      <c r="KC629" s="1525"/>
      <c r="KD629" s="1525"/>
      <c r="KE629" s="1525"/>
      <c r="KF629" s="1525"/>
      <c r="KG629" s="1525"/>
      <c r="KH629" s="1525"/>
      <c r="KI629" s="1525"/>
      <c r="KJ629" s="1525"/>
      <c r="KK629" s="1525"/>
      <c r="KL629" s="1525"/>
      <c r="KM629" s="1525"/>
      <c r="KN629" s="1525"/>
      <c r="KO629" s="1525"/>
      <c r="KP629" s="1525"/>
      <c r="KQ629" s="1525"/>
      <c r="KR629" s="1525"/>
      <c r="KS629" s="1525"/>
      <c r="KT629" s="1525"/>
      <c r="KU629" s="1525"/>
      <c r="KV629" s="1525"/>
      <c r="KW629" s="1525"/>
      <c r="KX629" s="1525"/>
      <c r="KY629" s="1525"/>
      <c r="KZ629" s="1525"/>
      <c r="LA629" s="1525"/>
      <c r="LB629" s="1525"/>
      <c r="LC629" s="1525"/>
      <c r="LD629" s="1525"/>
      <c r="LE629" s="1525"/>
      <c r="LF629" s="1525"/>
    </row>
    <row r="630" spans="1:318" s="1154" customFormat="1" ht="15" customHeight="1">
      <c r="A630" s="1655"/>
      <c r="B630" s="1655"/>
      <c r="C630" s="1167"/>
      <c r="D630" s="1167"/>
      <c r="E630" s="1167"/>
      <c r="F630" s="1167"/>
      <c r="H630" s="1168" t="s">
        <v>109</v>
      </c>
      <c r="J630" s="1697">
        <f>AL619</f>
        <v>0</v>
      </c>
      <c r="K630" s="1697">
        <f>AM619</f>
        <v>0</v>
      </c>
      <c r="L630" s="1697">
        <f>AN619</f>
        <v>0</v>
      </c>
      <c r="M630" s="1697">
        <f>AO619</f>
        <v>0</v>
      </c>
      <c r="N630" s="1697">
        <f>AP619</f>
        <v>0</v>
      </c>
      <c r="O630" s="1697">
        <f t="shared" si="342"/>
        <v>0</v>
      </c>
      <c r="P630" s="1692"/>
      <c r="Q630" s="1698"/>
      <c r="R630" s="1519"/>
      <c r="S630" s="1519"/>
      <c r="T630" s="1519"/>
      <c r="U630" s="1519"/>
      <c r="V630" s="1519"/>
      <c r="W630" s="1167"/>
      <c r="Z630" s="1167"/>
      <c r="AA630" s="1168"/>
      <c r="AB630" s="1167"/>
      <c r="AE630" s="1167"/>
      <c r="AF630" s="1168"/>
      <c r="AG630" s="1167"/>
      <c r="AJ630" s="1167"/>
      <c r="AK630" s="1168"/>
      <c r="AL630" s="1167"/>
      <c r="AO630" s="1167"/>
      <c r="AP630" s="1168"/>
      <c r="AQ630" s="305"/>
      <c r="AR630" s="305"/>
      <c r="AS630" s="305"/>
      <c r="AT630" s="305"/>
      <c r="AU630" s="305"/>
      <c r="AV630" s="305"/>
      <c r="AW630" s="1168"/>
      <c r="AX630" s="1167"/>
      <c r="BA630" s="305"/>
      <c r="BB630" s="1168"/>
      <c r="BC630" s="1167"/>
      <c r="JV630" s="1525"/>
      <c r="KA630" s="1525"/>
      <c r="KB630" s="1525"/>
      <c r="KC630" s="1525"/>
      <c r="KD630" s="1525"/>
      <c r="KE630" s="1525"/>
      <c r="KF630" s="1525"/>
      <c r="KG630" s="1525"/>
      <c r="KH630" s="1525"/>
      <c r="KI630" s="1525"/>
      <c r="KJ630" s="1525"/>
      <c r="KK630" s="1525"/>
      <c r="KL630" s="1525"/>
      <c r="KM630" s="1525"/>
      <c r="KN630" s="1525"/>
      <c r="KO630" s="1525"/>
      <c r="KP630" s="1525"/>
      <c r="KQ630" s="1525"/>
      <c r="KR630" s="1525"/>
      <c r="KS630" s="1525"/>
      <c r="KT630" s="1525"/>
      <c r="KU630" s="1525"/>
      <c r="KV630" s="1525"/>
      <c r="KW630" s="1525"/>
      <c r="KX630" s="1525"/>
      <c r="KY630" s="1525"/>
      <c r="KZ630" s="1525"/>
      <c r="LA630" s="1525"/>
      <c r="LB630" s="1525"/>
      <c r="LC630" s="1525"/>
      <c r="LD630" s="1525"/>
      <c r="LE630" s="1525"/>
      <c r="LF630" s="1525"/>
    </row>
    <row r="631" spans="1:318" s="1154" customFormat="1" ht="15" customHeight="1">
      <c r="A631" s="1655"/>
      <c r="B631" s="1655"/>
      <c r="C631" s="1167"/>
      <c r="D631" s="1167"/>
      <c r="E631" s="1167"/>
      <c r="F631" s="1167"/>
      <c r="H631" s="1168" t="s">
        <v>3386</v>
      </c>
      <c r="J631" s="1697">
        <f>AQ619</f>
        <v>0</v>
      </c>
      <c r="K631" s="1697">
        <f>AR619</f>
        <v>0</v>
      </c>
      <c r="L631" s="1697">
        <f>AS619</f>
        <v>0</v>
      </c>
      <c r="M631" s="1697">
        <f>AT619</f>
        <v>0</v>
      </c>
      <c r="N631" s="1697">
        <f>AU619</f>
        <v>0</v>
      </c>
      <c r="O631" s="1697">
        <f t="shared" si="342"/>
        <v>0</v>
      </c>
      <c r="P631" s="1692"/>
      <c r="Q631" s="1698"/>
      <c r="R631" s="1519"/>
      <c r="S631" s="1519"/>
      <c r="T631" s="1519"/>
      <c r="U631" s="1519"/>
      <c r="V631" s="1519"/>
      <c r="W631" s="1167"/>
      <c r="Z631" s="1167"/>
      <c r="AA631" s="1168"/>
      <c r="AB631" s="1167"/>
      <c r="AE631" s="1167"/>
      <c r="AF631" s="1168"/>
      <c r="AG631" s="1167"/>
      <c r="AJ631" s="1167"/>
      <c r="AK631" s="1168"/>
      <c r="AL631" s="1167"/>
      <c r="AO631" s="1167"/>
      <c r="AP631" s="1168"/>
      <c r="AQ631" s="305"/>
      <c r="AR631" s="305"/>
      <c r="AS631" s="305"/>
      <c r="AT631" s="305"/>
      <c r="AU631" s="305"/>
      <c r="AV631" s="305"/>
      <c r="AW631" s="1168"/>
      <c r="AX631" s="1167"/>
      <c r="BA631" s="305"/>
      <c r="BB631" s="1168"/>
      <c r="BC631" s="1167"/>
      <c r="JV631" s="1525"/>
      <c r="KA631" s="1525"/>
      <c r="KB631" s="1525"/>
      <c r="KC631" s="1525"/>
      <c r="KD631" s="1525"/>
      <c r="KE631" s="1525"/>
      <c r="KF631" s="1525"/>
      <c r="KG631" s="1525"/>
      <c r="KH631" s="1525"/>
      <c r="KI631" s="1525"/>
      <c r="KJ631" s="1525"/>
      <c r="KK631" s="1525"/>
      <c r="KL631" s="1525"/>
      <c r="KM631" s="1525"/>
      <c r="KN631" s="1525"/>
      <c r="KO631" s="1525"/>
      <c r="KP631" s="1525"/>
      <c r="KQ631" s="1525"/>
      <c r="KR631" s="1525"/>
      <c r="KS631" s="1525"/>
      <c r="KT631" s="1525"/>
      <c r="KU631" s="1525"/>
      <c r="KV631" s="1525"/>
      <c r="KW631" s="1525"/>
      <c r="KX631" s="1525"/>
      <c r="KY631" s="1525"/>
      <c r="KZ631" s="1525"/>
      <c r="LA631" s="1525"/>
      <c r="LB631" s="1525"/>
      <c r="LC631" s="1525"/>
      <c r="LD631" s="1525"/>
      <c r="LE631" s="1525"/>
      <c r="LF631" s="1525"/>
    </row>
    <row r="632" spans="1:318" s="1154" customFormat="1" ht="15" customHeight="1">
      <c r="A632" s="1655"/>
      <c r="B632" s="1655"/>
      <c r="C632" s="1167"/>
      <c r="D632" s="1167"/>
      <c r="E632" s="1167"/>
      <c r="F632" s="1167"/>
      <c r="H632" s="1168" t="s">
        <v>3387</v>
      </c>
      <c r="J632" s="1697">
        <f>AV619</f>
        <v>0</v>
      </c>
      <c r="K632" s="1697">
        <f>AW619</f>
        <v>0</v>
      </c>
      <c r="L632" s="1697">
        <f>AX619</f>
        <v>0</v>
      </c>
      <c r="M632" s="1697">
        <f>AY619</f>
        <v>0</v>
      </c>
      <c r="N632" s="1697">
        <f>AZ619</f>
        <v>0</v>
      </c>
      <c r="O632" s="1697">
        <f t="shared" si="342"/>
        <v>0</v>
      </c>
      <c r="P632" s="1692"/>
      <c r="Q632" s="1698"/>
      <c r="R632" s="1519"/>
      <c r="S632" s="1519"/>
      <c r="T632" s="1519"/>
      <c r="U632" s="1519"/>
      <c r="V632" s="1519"/>
      <c r="W632" s="1167"/>
      <c r="Z632" s="1167"/>
      <c r="AA632" s="1168"/>
      <c r="AB632" s="1167"/>
      <c r="AE632" s="1167"/>
      <c r="AF632" s="1168"/>
      <c r="AG632" s="1167"/>
      <c r="AJ632" s="1167"/>
      <c r="AK632" s="1168"/>
      <c r="AL632" s="1167"/>
      <c r="AO632" s="1167"/>
      <c r="AP632" s="1168"/>
      <c r="AQ632" s="305"/>
      <c r="AR632" s="305"/>
      <c r="AS632" s="305"/>
      <c r="AT632" s="305"/>
      <c r="AU632" s="305"/>
      <c r="AV632" s="305"/>
      <c r="AW632" s="1168"/>
      <c r="AX632" s="1167"/>
      <c r="BA632" s="305"/>
      <c r="BB632" s="1168"/>
      <c r="BC632" s="1167"/>
      <c r="JV632" s="1525"/>
      <c r="KA632" s="1525"/>
      <c r="KB632" s="1525"/>
      <c r="KC632" s="1525"/>
      <c r="KD632" s="1525"/>
      <c r="KE632" s="1525"/>
      <c r="KF632" s="1525"/>
      <c r="KG632" s="1525"/>
      <c r="KH632" s="1525"/>
      <c r="KI632" s="1525"/>
      <c r="KJ632" s="1525"/>
      <c r="KK632" s="1525"/>
      <c r="KL632" s="1525"/>
      <c r="KM632" s="1525"/>
      <c r="KN632" s="1525"/>
      <c r="KO632" s="1525"/>
      <c r="KP632" s="1525"/>
      <c r="KQ632" s="1525"/>
      <c r="KR632" s="1525"/>
      <c r="KS632" s="1525"/>
      <c r="KT632" s="1525"/>
      <c r="KU632" s="1525"/>
      <c r="KV632" s="1525"/>
      <c r="KW632" s="1525"/>
      <c r="KX632" s="1525"/>
      <c r="KY632" s="1525"/>
      <c r="KZ632" s="1525"/>
      <c r="LA632" s="1525"/>
      <c r="LB632" s="1525"/>
      <c r="LC632" s="1525"/>
      <c r="LD632" s="1525"/>
      <c r="LE632" s="1525"/>
      <c r="LF632" s="1525"/>
    </row>
    <row r="633" spans="1:318" s="1154" customFormat="1" ht="15" customHeight="1">
      <c r="A633" s="1655"/>
      <c r="B633" s="1655"/>
      <c r="C633" s="1167"/>
      <c r="D633" s="1167"/>
      <c r="E633" s="1167"/>
      <c r="F633" s="1167"/>
      <c r="H633" s="1168" t="s">
        <v>3388</v>
      </c>
      <c r="J633" s="1697">
        <f>BA619</f>
        <v>0</v>
      </c>
      <c r="K633" s="1697">
        <f>BB619</f>
        <v>0</v>
      </c>
      <c r="L633" s="1697">
        <f>BC619</f>
        <v>0</v>
      </c>
      <c r="M633" s="1697">
        <f>BD619</f>
        <v>0</v>
      </c>
      <c r="N633" s="1697">
        <f>BE619</f>
        <v>0</v>
      </c>
      <c r="O633" s="1697">
        <f t="shared" si="342"/>
        <v>0</v>
      </c>
      <c r="P633" s="1692"/>
      <c r="Q633" s="1698"/>
      <c r="R633" s="1519"/>
      <c r="S633" s="1519"/>
      <c r="T633" s="1519"/>
      <c r="U633" s="1519"/>
      <c r="V633" s="1519"/>
      <c r="W633" s="1167"/>
      <c r="Z633" s="1167"/>
      <c r="AA633" s="1168"/>
      <c r="AB633" s="1167"/>
      <c r="AE633" s="1167"/>
      <c r="AF633" s="1168"/>
      <c r="AG633" s="1167"/>
      <c r="AJ633" s="1167"/>
      <c r="AK633" s="1168"/>
      <c r="AL633" s="1167"/>
      <c r="AO633" s="1167"/>
      <c r="AP633" s="1168"/>
      <c r="AQ633" s="305"/>
      <c r="AR633" s="305"/>
      <c r="AS633" s="305"/>
      <c r="AT633" s="305"/>
      <c r="AU633" s="305"/>
      <c r="AV633" s="305"/>
      <c r="AW633" s="1168"/>
      <c r="AX633" s="1167"/>
      <c r="BA633" s="305"/>
      <c r="BB633" s="1168"/>
      <c r="BC633" s="1167"/>
      <c r="JV633" s="1525"/>
      <c r="KA633" s="1525"/>
      <c r="KB633" s="1525"/>
      <c r="KC633" s="1525"/>
      <c r="KD633" s="1525"/>
      <c r="KE633" s="1525"/>
      <c r="KF633" s="1525"/>
      <c r="KG633" s="1525"/>
      <c r="KH633" s="1525"/>
      <c r="KI633" s="1525"/>
      <c r="KJ633" s="1525"/>
      <c r="KK633" s="1525"/>
      <c r="KL633" s="1525"/>
      <c r="KM633" s="1525"/>
      <c r="KN633" s="1525"/>
      <c r="KO633" s="1525"/>
      <c r="KP633" s="1525"/>
      <c r="KQ633" s="1525"/>
      <c r="KR633" s="1525"/>
      <c r="KS633" s="1525"/>
      <c r="KT633" s="1525"/>
      <c r="KU633" s="1525"/>
      <c r="KV633" s="1525"/>
      <c r="KW633" s="1525"/>
      <c r="KX633" s="1525"/>
      <c r="KY633" s="1525"/>
      <c r="KZ633" s="1525"/>
      <c r="LA633" s="1525"/>
      <c r="LB633" s="1525"/>
      <c r="LC633" s="1525"/>
      <c r="LD633" s="1525"/>
      <c r="LE633" s="1525"/>
      <c r="LF633" s="1525"/>
    </row>
    <row r="634" spans="1:318" s="1154" customFormat="1" ht="15" customHeight="1">
      <c r="A634" s="1655"/>
      <c r="B634" s="1655"/>
      <c r="C634" s="1659" t="s">
        <v>3389</v>
      </c>
      <c r="D634" s="1167"/>
      <c r="E634" s="1167"/>
      <c r="F634" s="1167"/>
      <c r="H634" s="1186"/>
      <c r="J634" s="1697">
        <f>SUM(J627:J633)</f>
        <v>0</v>
      </c>
      <c r="K634" s="1697">
        <f>SUM(K627:K633)</f>
        <v>0</v>
      </c>
      <c r="L634" s="1697">
        <f>SUM(L627:L633)</f>
        <v>0</v>
      </c>
      <c r="M634" s="1697">
        <f>SUM(M627:M633)</f>
        <v>0</v>
      </c>
      <c r="N634" s="1697">
        <f>SUM(N627:N633)</f>
        <v>0</v>
      </c>
      <c r="O634" s="1697">
        <f t="shared" si="342"/>
        <v>0</v>
      </c>
      <c r="P634" s="1692"/>
      <c r="R634" s="1519"/>
      <c r="S634" s="1519"/>
      <c r="T634" s="1519"/>
      <c r="U634" s="1519"/>
      <c r="V634" s="1519"/>
      <c r="W634" s="1167"/>
      <c r="Z634" s="1167"/>
      <c r="AA634" s="1168"/>
      <c r="AB634" s="1167"/>
      <c r="AE634" s="1167"/>
      <c r="AF634" s="1168"/>
      <c r="AG634" s="1167"/>
      <c r="AJ634" s="1167"/>
      <c r="AK634" s="1168"/>
      <c r="AL634" s="1167"/>
      <c r="AO634" s="1167"/>
      <c r="AP634" s="1168"/>
      <c r="AQ634" s="305"/>
      <c r="AR634" s="305"/>
      <c r="AS634" s="305"/>
      <c r="AT634" s="305"/>
      <c r="AU634" s="305"/>
      <c r="AV634" s="305"/>
      <c r="AW634" s="1168"/>
      <c r="AX634" s="1167"/>
      <c r="BA634" s="305"/>
      <c r="BB634" s="1168"/>
      <c r="BC634" s="1167"/>
      <c r="JV634" s="1525"/>
      <c r="KA634" s="1525"/>
      <c r="KB634" s="1525"/>
      <c r="KC634" s="1525"/>
      <c r="KD634" s="1525"/>
      <c r="KE634" s="1525"/>
      <c r="KF634" s="1525"/>
      <c r="KG634" s="1525"/>
      <c r="KH634" s="1525"/>
      <c r="KI634" s="1525"/>
      <c r="KJ634" s="1525"/>
      <c r="KK634" s="1525"/>
      <c r="KL634" s="1525"/>
      <c r="KM634" s="1525"/>
      <c r="KN634" s="1525"/>
      <c r="KO634" s="1525"/>
      <c r="KP634" s="1525"/>
      <c r="KQ634" s="1525"/>
      <c r="KR634" s="1525"/>
      <c r="KS634" s="1525"/>
      <c r="KT634" s="1525"/>
      <c r="KU634" s="1525"/>
      <c r="KV634" s="1525"/>
      <c r="KW634" s="1525"/>
      <c r="KX634" s="1525"/>
      <c r="KY634" s="1525"/>
      <c r="KZ634" s="1525"/>
      <c r="LA634" s="1525"/>
      <c r="LB634" s="1525"/>
      <c r="LC634" s="1525"/>
      <c r="LD634" s="1525"/>
      <c r="LE634" s="1525"/>
      <c r="LF634" s="1525"/>
    </row>
    <row r="635" spans="1:318" s="1154" customFormat="1" ht="15" customHeight="1">
      <c r="A635" s="1655"/>
      <c r="B635" s="1655"/>
      <c r="D635" s="1167"/>
      <c r="E635" s="1167"/>
      <c r="F635" s="1167"/>
      <c r="H635" s="1168" t="s">
        <v>282</v>
      </c>
      <c r="J635" s="1697">
        <f>BF619</f>
        <v>0</v>
      </c>
      <c r="K635" s="1697">
        <f>BG619</f>
        <v>0</v>
      </c>
      <c r="L635" s="1697">
        <f>BH619</f>
        <v>0</v>
      </c>
      <c r="M635" s="1697">
        <f>BI619</f>
        <v>0</v>
      </c>
      <c r="N635" s="1697">
        <f>BJ619</f>
        <v>0</v>
      </c>
      <c r="O635" s="1697">
        <f t="shared" si="342"/>
        <v>0</v>
      </c>
      <c r="R635" s="1519"/>
      <c r="S635" s="1519"/>
      <c r="T635" s="1519"/>
      <c r="U635" s="1519"/>
      <c r="V635" s="1519"/>
      <c r="W635" s="1167"/>
      <c r="Z635" s="1167"/>
      <c r="AA635" s="1168"/>
      <c r="AB635" s="1167"/>
      <c r="AE635" s="1167"/>
      <c r="AF635" s="1168"/>
      <c r="AG635" s="1167"/>
      <c r="AJ635" s="1167"/>
      <c r="AK635" s="1168"/>
      <c r="AL635" s="1167"/>
      <c r="AO635" s="1167"/>
      <c r="AP635" s="1168"/>
      <c r="AQ635" s="305"/>
      <c r="AR635" s="305"/>
      <c r="AS635" s="305"/>
      <c r="AT635" s="305"/>
      <c r="AU635" s="305"/>
      <c r="AV635" s="305"/>
      <c r="AW635" s="1186"/>
      <c r="AX635" s="1167"/>
      <c r="BA635" s="305"/>
      <c r="BB635" s="1186"/>
      <c r="BC635" s="1167"/>
      <c r="JV635" s="1525"/>
      <c r="KA635" s="1525"/>
      <c r="KB635" s="1525"/>
      <c r="KC635" s="1525"/>
      <c r="KD635" s="1525"/>
      <c r="KE635" s="1525"/>
      <c r="KF635" s="1525"/>
      <c r="KG635" s="1525"/>
      <c r="KH635" s="1525"/>
      <c r="KI635" s="1525"/>
      <c r="KJ635" s="1525"/>
      <c r="KK635" s="1525"/>
      <c r="KL635" s="1525"/>
      <c r="KM635" s="1525"/>
      <c r="KN635" s="1525"/>
      <c r="KO635" s="1525"/>
      <c r="KP635" s="1525"/>
      <c r="KQ635" s="1525"/>
      <c r="KR635" s="1525"/>
      <c r="KS635" s="1525"/>
      <c r="KT635" s="1525"/>
      <c r="KU635" s="1525"/>
      <c r="KV635" s="1525"/>
      <c r="KW635" s="1525"/>
      <c r="KX635" s="1525"/>
      <c r="KY635" s="1525"/>
      <c r="KZ635" s="1525"/>
      <c r="LA635" s="1525"/>
      <c r="LB635" s="1525"/>
      <c r="LC635" s="1525"/>
      <c r="LD635" s="1525"/>
      <c r="LE635" s="1525"/>
      <c r="LF635" s="1525"/>
    </row>
    <row r="636" spans="1:318" s="1154" customFormat="1" ht="15" customHeight="1">
      <c r="A636" s="1655"/>
      <c r="B636" s="1655"/>
      <c r="C636" s="1699" t="s">
        <v>1054</v>
      </c>
      <c r="D636" s="1699"/>
      <c r="E636" s="1699"/>
      <c r="F636" s="1699"/>
      <c r="G636" s="1700"/>
      <c r="H636" s="1701"/>
      <c r="I636" s="1700"/>
      <c r="J636" s="1702">
        <f>SUM(J634:J635)</f>
        <v>0</v>
      </c>
      <c r="K636" s="1702">
        <f>SUM(K634:K635)</f>
        <v>0</v>
      </c>
      <c r="L636" s="1702">
        <f>SUM(L634:L635)</f>
        <v>0</v>
      </c>
      <c r="M636" s="1702">
        <f>SUM(M634:M635)</f>
        <v>0</v>
      </c>
      <c r="N636" s="1702">
        <f>SUM(N634:N635)</f>
        <v>0</v>
      </c>
      <c r="O636" s="1702">
        <f t="shared" si="342"/>
        <v>0</v>
      </c>
      <c r="R636" s="1519"/>
      <c r="S636" s="1519"/>
      <c r="T636" s="1519"/>
      <c r="U636" s="1519"/>
      <c r="V636" s="1519"/>
      <c r="W636" s="1167"/>
      <c r="Z636" s="1167"/>
      <c r="AA636" s="1168"/>
      <c r="AB636" s="1167"/>
      <c r="AE636" s="1167"/>
      <c r="AF636" s="1168"/>
      <c r="AG636" s="1167"/>
      <c r="AJ636" s="1167"/>
      <c r="AK636" s="1168"/>
      <c r="AL636" s="1167"/>
      <c r="AO636" s="1167"/>
      <c r="AP636" s="1168"/>
      <c r="AQ636" s="305"/>
      <c r="AR636" s="305"/>
      <c r="AS636" s="305"/>
      <c r="AT636" s="305"/>
      <c r="AU636" s="305"/>
      <c r="AV636" s="305"/>
      <c r="AW636" s="1186"/>
      <c r="AX636" s="1167"/>
      <c r="BA636" s="305"/>
      <c r="BB636" s="1186"/>
      <c r="BC636" s="1167"/>
      <c r="JV636" s="1525"/>
      <c r="KA636" s="1525"/>
      <c r="KB636" s="1525"/>
      <c r="KC636" s="1525"/>
      <c r="KD636" s="1525"/>
      <c r="KE636" s="1525"/>
      <c r="KF636" s="1525"/>
      <c r="KG636" s="1525"/>
      <c r="KH636" s="1525"/>
      <c r="KI636" s="1525"/>
      <c r="KJ636" s="1525"/>
      <c r="KK636" s="1525"/>
      <c r="KL636" s="1525"/>
      <c r="KM636" s="1525"/>
      <c r="KN636" s="1525"/>
      <c r="KO636" s="1525"/>
      <c r="KP636" s="1525"/>
      <c r="KQ636" s="1525"/>
      <c r="KR636" s="1525"/>
      <c r="KS636" s="1525"/>
      <c r="KT636" s="1525"/>
      <c r="KU636" s="1525"/>
      <c r="KV636" s="1525"/>
      <c r="KW636" s="1525"/>
      <c r="KX636" s="1525"/>
      <c r="KY636" s="1525"/>
      <c r="KZ636" s="1525"/>
      <c r="LA636" s="1525"/>
      <c r="LB636" s="1525"/>
      <c r="LC636" s="1525"/>
      <c r="LD636" s="1525"/>
      <c r="LE636" s="1525"/>
      <c r="LF636" s="1525"/>
    </row>
    <row r="637" spans="1:318" s="1154" customFormat="1" ht="15" customHeight="1">
      <c r="A637" s="1655"/>
      <c r="B637" s="1655"/>
      <c r="D637" s="1167"/>
      <c r="E637" s="1167"/>
      <c r="F637" s="1167"/>
      <c r="H637" s="1168" t="s">
        <v>2224</v>
      </c>
      <c r="J637" s="1697">
        <f>EC619</f>
        <v>0</v>
      </c>
      <c r="K637" s="1697">
        <f>ED619</f>
        <v>0</v>
      </c>
      <c r="L637" s="1697">
        <f>EE619</f>
        <v>0</v>
      </c>
      <c r="M637" s="1697">
        <f>EF619</f>
        <v>0</v>
      </c>
      <c r="N637" s="1697">
        <f>EG619</f>
        <v>0</v>
      </c>
      <c r="O637" s="1697">
        <f t="shared" si="342"/>
        <v>0</v>
      </c>
      <c r="P637" s="1658" t="s">
        <v>3390</v>
      </c>
      <c r="R637" s="1519"/>
      <c r="S637" s="1519"/>
      <c r="T637" s="1519"/>
      <c r="U637" s="1519"/>
      <c r="V637" s="1519"/>
      <c r="W637" s="1167"/>
      <c r="Z637" s="1167"/>
      <c r="AA637" s="1168"/>
      <c r="AB637" s="1167"/>
      <c r="AE637" s="1167"/>
      <c r="AF637" s="1168"/>
      <c r="AG637" s="1167"/>
      <c r="AJ637" s="1167"/>
      <c r="AK637" s="1168"/>
      <c r="AL637" s="1167"/>
      <c r="AO637" s="1167"/>
      <c r="AP637" s="1168"/>
      <c r="AQ637" s="305"/>
      <c r="AR637" s="305"/>
      <c r="AS637" s="305"/>
      <c r="AT637" s="305"/>
      <c r="AU637" s="305"/>
      <c r="AV637" s="305"/>
      <c r="AW637" s="1168"/>
      <c r="AX637" s="1167"/>
      <c r="BA637" s="305"/>
      <c r="BB637" s="1168"/>
      <c r="BC637" s="1167"/>
      <c r="JV637" s="1525"/>
      <c r="KA637" s="1525"/>
      <c r="KB637" s="1525"/>
      <c r="KC637" s="1525"/>
      <c r="KD637" s="1525"/>
      <c r="KE637" s="1525"/>
      <c r="KF637" s="1525"/>
      <c r="KG637" s="1525"/>
      <c r="KH637" s="1525"/>
      <c r="KI637" s="1525"/>
      <c r="KJ637" s="1525"/>
      <c r="KK637" s="1525"/>
      <c r="KL637" s="1525"/>
      <c r="KM637" s="1525"/>
      <c r="KN637" s="1525"/>
      <c r="KO637" s="1525"/>
      <c r="KP637" s="1525"/>
      <c r="KQ637" s="1525"/>
      <c r="KR637" s="1525"/>
      <c r="KS637" s="1525"/>
      <c r="KT637" s="1525"/>
      <c r="KU637" s="1525"/>
      <c r="KV637" s="1525"/>
      <c r="KW637" s="1525"/>
      <c r="KX637" s="1525"/>
      <c r="KY637" s="1525"/>
      <c r="KZ637" s="1525"/>
      <c r="LA637" s="1525"/>
      <c r="LB637" s="1525"/>
      <c r="LC637" s="1525"/>
      <c r="LD637" s="1525"/>
      <c r="LE637" s="1525"/>
      <c r="LF637" s="1525"/>
    </row>
    <row r="638" spans="1:318" s="1154" customFormat="1" ht="15" customHeight="1">
      <c r="A638" s="1655"/>
      <c r="B638" s="1655"/>
      <c r="C638" s="1167" t="s">
        <v>1615</v>
      </c>
      <c r="D638" s="1167"/>
      <c r="E638" s="1167"/>
      <c r="F638" s="1167"/>
      <c r="H638" s="1168"/>
      <c r="J638" s="1697">
        <f>SUM(J636:J637)</f>
        <v>0</v>
      </c>
      <c r="K638" s="1697">
        <f>SUM(K636:K637)</f>
        <v>0</v>
      </c>
      <c r="L638" s="1697">
        <f>SUM(L636:L637)</f>
        <v>0</v>
      </c>
      <c r="M638" s="1697">
        <f>SUM(M636:M637)</f>
        <v>0</v>
      </c>
      <c r="N638" s="1697">
        <f>SUM(N636:N637)</f>
        <v>0</v>
      </c>
      <c r="O638" s="1697">
        <f t="shared" si="342"/>
        <v>0</v>
      </c>
      <c r="R638" s="1519"/>
      <c r="S638" s="1519"/>
      <c r="T638" s="1519"/>
      <c r="U638" s="1519"/>
      <c r="V638" s="1519"/>
      <c r="W638" s="1167"/>
      <c r="Z638" s="1167"/>
      <c r="AA638" s="1168"/>
      <c r="AB638" s="1167"/>
      <c r="AE638" s="1167"/>
      <c r="AF638" s="1168"/>
      <c r="AG638" s="1167"/>
      <c r="AJ638" s="1167"/>
      <c r="AK638" s="1168"/>
      <c r="AL638" s="1167"/>
      <c r="AO638" s="1167"/>
      <c r="AP638" s="1168"/>
      <c r="AQ638" s="305"/>
      <c r="AR638" s="305"/>
      <c r="AS638" s="305"/>
      <c r="AT638" s="305"/>
      <c r="AU638" s="305"/>
      <c r="AV638" s="305"/>
      <c r="AX638" s="1167"/>
      <c r="BA638" s="305"/>
      <c r="BC638" s="1167"/>
      <c r="JV638" s="1525"/>
      <c r="KA638" s="1525"/>
      <c r="KB638" s="1525"/>
      <c r="KC638" s="1525"/>
      <c r="KD638" s="1525"/>
      <c r="KE638" s="1525"/>
      <c r="KF638" s="1525"/>
      <c r="KG638" s="1525"/>
      <c r="KH638" s="1525"/>
      <c r="KI638" s="1525"/>
      <c r="KJ638" s="1525"/>
      <c r="KK638" s="1525"/>
      <c r="KL638" s="1525"/>
      <c r="KM638" s="1525"/>
      <c r="KN638" s="1525"/>
      <c r="KO638" s="1525"/>
      <c r="KP638" s="1525"/>
      <c r="KQ638" s="1525"/>
      <c r="KR638" s="1525"/>
      <c r="KS638" s="1525"/>
      <c r="KT638" s="1525"/>
      <c r="KU638" s="1525"/>
      <c r="KV638" s="1525"/>
      <c r="KW638" s="1525"/>
      <c r="KX638" s="1525"/>
      <c r="KY638" s="1525"/>
      <c r="KZ638" s="1525"/>
      <c r="LA638" s="1525"/>
      <c r="LB638" s="1525"/>
      <c r="LC638" s="1525"/>
      <c r="LD638" s="1525"/>
      <c r="LE638" s="1525"/>
      <c r="LF638" s="1525"/>
    </row>
    <row r="639" spans="1:318" s="1154" customFormat="1" ht="12" customHeight="1">
      <c r="A639" s="1655"/>
      <c r="B639" s="1655"/>
      <c r="C639" s="1519"/>
      <c r="D639" s="1519"/>
      <c r="E639" s="1519"/>
      <c r="F639" s="1519"/>
      <c r="G639" s="1519"/>
      <c r="H639" s="1519"/>
      <c r="I639" s="1519"/>
      <c r="J639" s="1519"/>
      <c r="K639" s="1519"/>
      <c r="L639" s="1519"/>
      <c r="M639" s="1519"/>
      <c r="N639" s="1519"/>
      <c r="O639" s="1519"/>
      <c r="W639" s="1167"/>
      <c r="Z639" s="1167"/>
      <c r="AA639" s="1168"/>
      <c r="AB639" s="1167"/>
      <c r="AE639" s="1167"/>
      <c r="AF639" s="1168"/>
      <c r="AG639" s="1167"/>
      <c r="AJ639" s="1167"/>
      <c r="AK639" s="1168"/>
      <c r="AL639" s="1167"/>
      <c r="AO639" s="1167"/>
      <c r="AP639" s="1168"/>
      <c r="AQ639" s="1167"/>
      <c r="AR639" s="1167"/>
      <c r="AS639" s="1167"/>
      <c r="AT639" s="1167"/>
      <c r="AU639" s="1167"/>
      <c r="AV639" s="1167"/>
      <c r="AX639" s="1167"/>
      <c r="BA639" s="1167"/>
      <c r="BC639" s="1167"/>
      <c r="JV639" s="1525"/>
      <c r="KA639" s="1525"/>
      <c r="KB639" s="1525"/>
      <c r="KC639" s="1525"/>
      <c r="KD639" s="1525"/>
      <c r="KE639" s="1525"/>
      <c r="KF639" s="1525"/>
      <c r="KG639" s="1525"/>
      <c r="KH639" s="1525"/>
      <c r="KI639" s="1525"/>
      <c r="KJ639" s="1525"/>
      <c r="KK639" s="1525"/>
      <c r="KL639" s="1525"/>
      <c r="KM639" s="1525"/>
      <c r="KN639" s="1525"/>
      <c r="KO639" s="1525"/>
      <c r="KP639" s="1525"/>
      <c r="KQ639" s="1525"/>
      <c r="KR639" s="1525"/>
      <c r="KS639" s="1525"/>
      <c r="KT639" s="1525"/>
      <c r="KU639" s="1525"/>
      <c r="KV639" s="1525"/>
      <c r="KW639" s="1525"/>
      <c r="KX639" s="1525"/>
      <c r="KY639" s="1525"/>
      <c r="KZ639" s="1525"/>
      <c r="LA639" s="1525"/>
      <c r="LB639" s="1525"/>
      <c r="LC639" s="1525"/>
      <c r="LD639" s="1525"/>
      <c r="LE639" s="1525"/>
      <c r="LF639" s="1525"/>
    </row>
    <row r="640" spans="1:318" s="1154" customFormat="1" ht="9" customHeight="1">
      <c r="A640" s="1655"/>
      <c r="B640" s="1655"/>
      <c r="C640" s="1167"/>
      <c r="D640" s="1167"/>
      <c r="E640" s="1167"/>
      <c r="F640" s="1167"/>
      <c r="H640" s="1168"/>
      <c r="J640" s="1703"/>
      <c r="K640" s="1703"/>
      <c r="L640" s="1703"/>
      <c r="M640" s="1703"/>
      <c r="N640" s="1703"/>
      <c r="O640" s="1703"/>
      <c r="T640" s="1657"/>
      <c r="W640" s="1167"/>
      <c r="Z640" s="1167"/>
      <c r="AA640" s="1168"/>
      <c r="AB640" s="1167"/>
      <c r="AE640" s="1167"/>
      <c r="AF640" s="1168"/>
      <c r="AG640" s="1167"/>
      <c r="AJ640" s="1167"/>
      <c r="AK640" s="1168"/>
      <c r="AL640" s="1167"/>
      <c r="AO640" s="1167"/>
      <c r="AP640" s="1168"/>
      <c r="AQ640" s="1167"/>
      <c r="AR640" s="1167"/>
      <c r="AS640" s="1167"/>
      <c r="AT640" s="1167"/>
      <c r="AU640" s="1167"/>
      <c r="AV640" s="1167"/>
      <c r="AX640" s="1167"/>
      <c r="BA640" s="1167"/>
      <c r="BC640" s="1167"/>
      <c r="JV640" s="1525"/>
      <c r="KA640" s="1525"/>
      <c r="KB640" s="1525"/>
      <c r="KC640" s="1525"/>
      <c r="KD640" s="1525"/>
      <c r="KE640" s="1525"/>
      <c r="KF640" s="1525"/>
      <c r="KG640" s="1525"/>
      <c r="KH640" s="1525"/>
      <c r="KI640" s="1525"/>
      <c r="KJ640" s="1525"/>
      <c r="KK640" s="1525"/>
      <c r="KL640" s="1525"/>
      <c r="KM640" s="1525"/>
      <c r="KN640" s="1525"/>
      <c r="KO640" s="1525"/>
      <c r="KP640" s="1525"/>
      <c r="KQ640" s="1525"/>
      <c r="KR640" s="1525"/>
      <c r="KS640" s="1525"/>
      <c r="KT640" s="1525"/>
      <c r="KU640" s="1525"/>
      <c r="KV640" s="1525"/>
      <c r="KW640" s="1525"/>
      <c r="KX640" s="1525"/>
      <c r="KY640" s="1525"/>
      <c r="KZ640" s="1525"/>
      <c r="LA640" s="1525"/>
      <c r="LB640" s="1525"/>
      <c r="LC640" s="1525"/>
      <c r="LD640" s="1525"/>
      <c r="LE640" s="1525"/>
      <c r="LF640" s="1525"/>
    </row>
    <row r="641" spans="1:318" s="1154" customFormat="1" ht="12" customHeight="1">
      <c r="A641" s="1655"/>
      <c r="B641" s="1655"/>
      <c r="C641" s="1519" t="s">
        <v>3391</v>
      </c>
      <c r="D641" s="1519"/>
      <c r="E641" s="1519"/>
      <c r="F641" s="1519"/>
      <c r="G641" s="1659"/>
      <c r="H641" s="1168"/>
      <c r="I641" s="1704" t="s">
        <v>3392</v>
      </c>
      <c r="J641" s="1703"/>
      <c r="O641" s="1703"/>
      <c r="P641" s="1186" t="s">
        <v>3393</v>
      </c>
      <c r="R641" s="1519"/>
      <c r="S641" s="1519"/>
      <c r="T641" s="1519"/>
      <c r="U641" s="1519"/>
      <c r="V641" s="1519"/>
      <c r="W641" s="1167"/>
      <c r="Z641" s="1167"/>
      <c r="AA641" s="1168"/>
      <c r="AB641" s="1167"/>
      <c r="AE641" s="1167"/>
      <c r="AF641" s="1168"/>
      <c r="AG641" s="1167"/>
      <c r="AJ641" s="1167"/>
      <c r="AK641" s="1168"/>
      <c r="AL641" s="1167"/>
      <c r="AO641" s="1167"/>
      <c r="AP641" s="1168"/>
      <c r="AQ641" s="1167"/>
      <c r="AR641" s="1167"/>
      <c r="AS641" s="1167"/>
      <c r="AT641" s="1167"/>
      <c r="AU641" s="1167"/>
      <c r="AV641" s="1167"/>
      <c r="AX641" s="1167"/>
      <c r="BA641" s="1167"/>
      <c r="BC641" s="1167"/>
      <c r="JV641" s="1525"/>
      <c r="KA641" s="1525"/>
      <c r="KB641" s="1525"/>
      <c r="KC641" s="1525"/>
      <c r="KD641" s="1525"/>
      <c r="KE641" s="1525"/>
      <c r="KF641" s="1525"/>
      <c r="KG641" s="1525"/>
      <c r="KH641" s="1525"/>
      <c r="KI641" s="1525"/>
      <c r="KJ641" s="1525"/>
      <c r="KK641" s="1525"/>
      <c r="KL641" s="1525"/>
      <c r="KM641" s="1525"/>
      <c r="KN641" s="1525"/>
      <c r="KO641" s="1525"/>
      <c r="KP641" s="1525"/>
      <c r="KQ641" s="1525"/>
      <c r="KR641" s="1525"/>
      <c r="KS641" s="1525"/>
      <c r="KT641" s="1525"/>
      <c r="KU641" s="1525"/>
      <c r="KV641" s="1525"/>
      <c r="KW641" s="1525"/>
      <c r="KX641" s="1525"/>
      <c r="KY641" s="1525"/>
      <c r="KZ641" s="1525"/>
      <c r="LA641" s="1525"/>
      <c r="LB641" s="1525"/>
      <c r="LC641" s="1525"/>
      <c r="LD641" s="1525"/>
      <c r="LE641" s="1525"/>
      <c r="LF641" s="1525"/>
    </row>
    <row r="642" spans="1:318" s="1154" customFormat="1" ht="15" customHeight="1">
      <c r="A642" s="1655"/>
      <c r="B642" s="1655"/>
      <c r="C642" s="1519"/>
      <c r="D642" s="1519"/>
      <c r="E642" s="1519"/>
      <c r="F642" s="1519"/>
      <c r="G642" s="1659"/>
      <c r="H642" s="1168" t="s">
        <v>3383</v>
      </c>
      <c r="I642" s="1705" t="str">
        <f>IF(OR(NOT(K624="Income Averaging"),O642=0),"",IF(OR(AND(J642&gt;0,ABS(J642-P642)&gt;0.01),AND(K642&gt;0,ABS(K642-P642)&gt;0.01),AND(L642&gt;0,ABS(L642-P642)&gt;0.01),AND(M642&gt;0,ABS(M642-P642)&gt;0.01),AND(N642&gt;0,ABS(N642-P642)&gt;0.01)), "No", "Yes"))</f>
        <v/>
      </c>
      <c r="J642" s="1706">
        <f t="shared" ref="J642:O642" si="343">IF(OR(J634=0,J627=0),0,J627/J634)</f>
        <v>0</v>
      </c>
      <c r="K642" s="1706">
        <f t="shared" si="343"/>
        <v>0</v>
      </c>
      <c r="L642" s="1706">
        <f t="shared" si="343"/>
        <v>0</v>
      </c>
      <c r="M642" s="1706">
        <f t="shared" si="343"/>
        <v>0</v>
      </c>
      <c r="N642" s="1706">
        <f t="shared" si="343"/>
        <v>0</v>
      </c>
      <c r="O642" s="1706">
        <f t="shared" si="343"/>
        <v>0</v>
      </c>
      <c r="P642" s="1707" t="str">
        <f>IF(O642=0,"",AVERAGEIF(J642:N642,"&gt;0"))</f>
        <v/>
      </c>
      <c r="R642" s="1519"/>
      <c r="S642" s="1519"/>
      <c r="T642" s="1519"/>
      <c r="U642" s="1519"/>
      <c r="V642" s="1519"/>
      <c r="W642" s="1167"/>
      <c r="Z642" s="1167"/>
      <c r="AA642" s="1168"/>
      <c r="AB642" s="1167"/>
      <c r="AE642" s="1167"/>
      <c r="AF642" s="1168"/>
      <c r="AG642" s="1167"/>
      <c r="AJ642" s="1167"/>
      <c r="AK642" s="1168"/>
      <c r="AL642" s="1167"/>
      <c r="AO642" s="1167"/>
      <c r="AP642" s="1168"/>
      <c r="AQ642" s="1167"/>
      <c r="AR642" s="1167"/>
      <c r="AS642" s="1167"/>
      <c r="AT642" s="1167"/>
      <c r="AU642" s="1167"/>
      <c r="AV642" s="1167"/>
      <c r="AX642" s="1167"/>
      <c r="BA642" s="1167"/>
      <c r="BC642" s="1167"/>
      <c r="JV642" s="1525"/>
      <c r="KA642" s="1525"/>
      <c r="KB642" s="1525"/>
      <c r="KC642" s="1525"/>
      <c r="KD642" s="1525"/>
      <c r="KE642" s="1525"/>
      <c r="KF642" s="1525"/>
      <c r="KG642" s="1525"/>
      <c r="KH642" s="1525"/>
      <c r="KI642" s="1525"/>
      <c r="KJ642" s="1525"/>
      <c r="KK642" s="1525"/>
      <c r="KL642" s="1525"/>
      <c r="KM642" s="1525"/>
      <c r="KN642" s="1525"/>
      <c r="KO642" s="1525"/>
      <c r="KP642" s="1525"/>
      <c r="KQ642" s="1525"/>
      <c r="KR642" s="1525"/>
      <c r="KS642" s="1525"/>
      <c r="KT642" s="1525"/>
      <c r="KU642" s="1525"/>
      <c r="KV642" s="1525"/>
      <c r="KW642" s="1525"/>
      <c r="KX642" s="1525"/>
      <c r="KY642" s="1525"/>
      <c r="KZ642" s="1525"/>
      <c r="LA642" s="1525"/>
      <c r="LB642" s="1525"/>
      <c r="LC642" s="1525"/>
      <c r="LD642" s="1525"/>
      <c r="LE642" s="1525"/>
      <c r="LF642" s="1525"/>
    </row>
    <row r="643" spans="1:318" s="1154" customFormat="1" ht="15" customHeight="1">
      <c r="A643" s="1655"/>
      <c r="B643" s="1655"/>
      <c r="C643" s="1519"/>
      <c r="D643" s="1519"/>
      <c r="E643" s="1519"/>
      <c r="F643" s="1519"/>
      <c r="G643" s="1659"/>
      <c r="H643" s="1168" t="s">
        <v>3385</v>
      </c>
      <c r="I643" s="1705" t="str">
        <f>IF(OR(NOT(K624="Income Averaging"),O643=0),"",IF(OR(AND(J643&gt;0,ABS(J643-P643)&gt;0.01),AND(K643&gt;0,ABS(K643-P643)&gt;0.01),AND(L643&gt;0,ABS(L643-P643)&gt;0.01),AND(M643&gt;0,ABS(M643-P643)&gt;0.01),AND(N643&gt;0,ABS(N643-P643)&gt;0.01)), "No", "Yes"))</f>
        <v/>
      </c>
      <c r="J643" s="1706">
        <f t="shared" ref="J643:O643" si="344">IF(OR(J634=0,J628=0),0,J628/J634)</f>
        <v>0</v>
      </c>
      <c r="K643" s="1706">
        <f t="shared" si="344"/>
        <v>0</v>
      </c>
      <c r="L643" s="1706">
        <f t="shared" si="344"/>
        <v>0</v>
      </c>
      <c r="M643" s="1706">
        <f t="shared" si="344"/>
        <v>0</v>
      </c>
      <c r="N643" s="1706">
        <f t="shared" si="344"/>
        <v>0</v>
      </c>
      <c r="O643" s="1706">
        <f t="shared" si="344"/>
        <v>0</v>
      </c>
      <c r="P643" s="1707" t="str">
        <f t="shared" ref="P643:P648" si="345">IF(O643=0,"",AVERAGEIF(J643:N643,"&gt;0"))</f>
        <v/>
      </c>
      <c r="R643" s="1519"/>
      <c r="S643" s="1519"/>
      <c r="T643" s="1519"/>
      <c r="U643" s="1519"/>
      <c r="V643" s="1519"/>
      <c r="W643" s="1167"/>
      <c r="Z643" s="1167"/>
      <c r="AA643" s="1168"/>
      <c r="AB643" s="1167"/>
      <c r="AE643" s="1167"/>
      <c r="AF643" s="1168"/>
      <c r="AG643" s="1167"/>
      <c r="AJ643" s="1167"/>
      <c r="AK643" s="1168"/>
      <c r="AL643" s="1167"/>
      <c r="AO643" s="1167"/>
      <c r="AP643" s="1168"/>
      <c r="AQ643" s="1167"/>
      <c r="AR643" s="1167"/>
      <c r="AS643" s="1167"/>
      <c r="AT643" s="1167"/>
      <c r="AU643" s="1167"/>
      <c r="AV643" s="1167"/>
      <c r="AX643" s="1167"/>
      <c r="BA643" s="1167"/>
      <c r="BC643" s="1167"/>
      <c r="JV643" s="1525"/>
      <c r="KA643" s="1525"/>
      <c r="KB643" s="1525"/>
      <c r="KC643" s="1525"/>
      <c r="KD643" s="1525"/>
      <c r="KE643" s="1525"/>
      <c r="KF643" s="1525"/>
      <c r="KG643" s="1525"/>
      <c r="KH643" s="1525"/>
      <c r="KI643" s="1525"/>
      <c r="KJ643" s="1525"/>
      <c r="KK643" s="1525"/>
      <c r="KL643" s="1525"/>
      <c r="KM643" s="1525"/>
      <c r="KN643" s="1525"/>
      <c r="KO643" s="1525"/>
      <c r="KP643" s="1525"/>
      <c r="KQ643" s="1525"/>
      <c r="KR643" s="1525"/>
      <c r="KS643" s="1525"/>
      <c r="KT643" s="1525"/>
      <c r="KU643" s="1525"/>
      <c r="KV643" s="1525"/>
      <c r="KW643" s="1525"/>
      <c r="KX643" s="1525"/>
      <c r="KY643" s="1525"/>
      <c r="KZ643" s="1525"/>
      <c r="LA643" s="1525"/>
      <c r="LB643" s="1525"/>
      <c r="LC643" s="1525"/>
      <c r="LD643" s="1525"/>
      <c r="LE643" s="1525"/>
      <c r="LF643" s="1525"/>
    </row>
    <row r="644" spans="1:318" s="1154" customFormat="1" ht="15" customHeight="1">
      <c r="A644" s="1655"/>
      <c r="B644" s="1655"/>
      <c r="C644" s="1519"/>
      <c r="D644" s="1519"/>
      <c r="E644" s="1519"/>
      <c r="F644" s="1519"/>
      <c r="G644" s="1519"/>
      <c r="H644" s="1168" t="s">
        <v>1065</v>
      </c>
      <c r="I644" s="1705" t="str">
        <f>IF(OR(NOT(K624="Income Averaging"),O644=0),"",IF(OR(AND(J644&gt;0,ABS(J644-P644)&gt;0.01),AND(K644&gt;0,ABS(K644-P644)&gt;0.01),AND(L644&gt;0,ABS(L644-P644)&gt;0.01),AND(M644&gt;0,ABS(M644-P644)&gt;0.01),AND(N644&gt;0,ABS(N644-P644)&gt;0.01)), "No", "Yes"))</f>
        <v/>
      </c>
      <c r="J644" s="1706">
        <f t="shared" ref="J644:O644" si="346">IF(OR(J634=0,J629=0),0,J629/J634)</f>
        <v>0</v>
      </c>
      <c r="K644" s="1706">
        <f t="shared" si="346"/>
        <v>0</v>
      </c>
      <c r="L644" s="1706">
        <f t="shared" si="346"/>
        <v>0</v>
      </c>
      <c r="M644" s="1706">
        <f t="shared" si="346"/>
        <v>0</v>
      </c>
      <c r="N644" s="1706">
        <f t="shared" si="346"/>
        <v>0</v>
      </c>
      <c r="O644" s="1706">
        <f t="shared" si="346"/>
        <v>0</v>
      </c>
      <c r="P644" s="1707" t="str">
        <f t="shared" si="345"/>
        <v/>
      </c>
      <c r="R644" s="1519"/>
      <c r="S644" s="1519"/>
      <c r="T644" s="1519"/>
      <c r="U644" s="1519"/>
      <c r="V644" s="1519"/>
      <c r="W644" s="1167"/>
      <c r="Z644" s="1167"/>
      <c r="AA644" s="1168"/>
      <c r="AB644" s="1167"/>
      <c r="AE644" s="1167"/>
      <c r="AF644" s="1168"/>
      <c r="AG644" s="1167"/>
      <c r="AJ644" s="1167"/>
      <c r="AK644" s="1168"/>
      <c r="AL644" s="1167"/>
      <c r="AO644" s="1167"/>
      <c r="AP644" s="1168"/>
      <c r="AQ644" s="1167"/>
      <c r="AR644" s="1167"/>
      <c r="AS644" s="1167"/>
      <c r="AT644" s="1167"/>
      <c r="AU644" s="1167"/>
      <c r="AV644" s="1167"/>
      <c r="AX644" s="1167"/>
      <c r="BA644" s="1167"/>
      <c r="BC644" s="1167"/>
      <c r="JV644" s="1525"/>
      <c r="KA644" s="1525"/>
      <c r="KB644" s="1525"/>
      <c r="KC644" s="1525"/>
      <c r="KD644" s="1525"/>
      <c r="KE644" s="1525"/>
      <c r="KF644" s="1525"/>
      <c r="KG644" s="1525"/>
      <c r="KH644" s="1525"/>
      <c r="KI644" s="1525"/>
      <c r="KJ644" s="1525"/>
      <c r="KK644" s="1525"/>
      <c r="KL644" s="1525"/>
      <c r="KM644" s="1525"/>
      <c r="KN644" s="1525"/>
      <c r="KO644" s="1525"/>
      <c r="KP644" s="1525"/>
      <c r="KQ644" s="1525"/>
      <c r="KR644" s="1525"/>
      <c r="KS644" s="1525"/>
      <c r="KT644" s="1525"/>
      <c r="KU644" s="1525"/>
      <c r="KV644" s="1525"/>
      <c r="KW644" s="1525"/>
      <c r="KX644" s="1525"/>
      <c r="KY644" s="1525"/>
      <c r="KZ644" s="1525"/>
      <c r="LA644" s="1525"/>
      <c r="LB644" s="1525"/>
      <c r="LC644" s="1525"/>
      <c r="LD644" s="1525"/>
      <c r="LE644" s="1525"/>
      <c r="LF644" s="1525"/>
    </row>
    <row r="645" spans="1:318" s="1154" customFormat="1" ht="15" customHeight="1">
      <c r="A645" s="1655"/>
      <c r="B645" s="1655"/>
      <c r="C645" s="1519"/>
      <c r="D645" s="1519"/>
      <c r="E645" s="1519"/>
      <c r="F645" s="1519"/>
      <c r="G645" s="1519"/>
      <c r="H645" s="1168" t="s">
        <v>109</v>
      </c>
      <c r="I645" s="1705" t="str">
        <f>IF(OR(NOT(K624="Income Averaging"),O645=0),"",IF(OR(AND(J645&gt;0,ABS(J645-P645)&gt;0.01),AND(K645&gt;0,ABS(K645-P645)&gt;0.01),AND(L645&gt;0,ABS(L645-P645)&gt;0.01),AND(M645&gt;0,ABS(M645-P645)&gt;0.01),AND(N645&gt;0,ABS(N645-P645)&gt;0.01)), "No", "Yes"))</f>
        <v/>
      </c>
      <c r="J645" s="1706">
        <f t="shared" ref="J645:O645" si="347">IF(OR(J634=0,J630=0),0,J630/J634)</f>
        <v>0</v>
      </c>
      <c r="K645" s="1706">
        <f t="shared" si="347"/>
        <v>0</v>
      </c>
      <c r="L645" s="1706">
        <f t="shared" si="347"/>
        <v>0</v>
      </c>
      <c r="M645" s="1706">
        <f t="shared" si="347"/>
        <v>0</v>
      </c>
      <c r="N645" s="1706">
        <f t="shared" si="347"/>
        <v>0</v>
      </c>
      <c r="O645" s="1706">
        <f t="shared" si="347"/>
        <v>0</v>
      </c>
      <c r="P645" s="1707" t="str">
        <f t="shared" si="345"/>
        <v/>
      </c>
      <c r="R645" s="1519"/>
      <c r="S645" s="1519"/>
      <c r="T645" s="1519"/>
      <c r="U645" s="1519"/>
      <c r="V645" s="1519"/>
      <c r="W645" s="1167"/>
      <c r="Z645" s="1167"/>
      <c r="AA645" s="1168"/>
      <c r="AB645" s="1167"/>
      <c r="AE645" s="1167"/>
      <c r="AF645" s="1168"/>
      <c r="AG645" s="1167"/>
      <c r="AJ645" s="1167"/>
      <c r="AK645" s="1168"/>
      <c r="AL645" s="1167"/>
      <c r="AO645" s="1167"/>
      <c r="AP645" s="1168"/>
      <c r="AQ645" s="1167"/>
      <c r="AR645" s="1167"/>
      <c r="AS645" s="1167"/>
      <c r="AT645" s="1167"/>
      <c r="AU645" s="1167"/>
      <c r="AV645" s="1167"/>
      <c r="AX645" s="1167"/>
      <c r="BA645" s="1167"/>
      <c r="BC645" s="1167"/>
      <c r="JV645" s="1525"/>
      <c r="KA645" s="1525"/>
      <c r="KB645" s="1525"/>
      <c r="KC645" s="1525"/>
      <c r="KD645" s="1525"/>
      <c r="KE645" s="1525"/>
      <c r="KF645" s="1525"/>
      <c r="KG645" s="1525"/>
      <c r="KH645" s="1525"/>
      <c r="KI645" s="1525"/>
      <c r="KJ645" s="1525"/>
      <c r="KK645" s="1525"/>
      <c r="KL645" s="1525"/>
      <c r="KM645" s="1525"/>
      <c r="KN645" s="1525"/>
      <c r="KO645" s="1525"/>
      <c r="KP645" s="1525"/>
      <c r="KQ645" s="1525"/>
      <c r="KR645" s="1525"/>
      <c r="KS645" s="1525"/>
      <c r="KT645" s="1525"/>
      <c r="KU645" s="1525"/>
      <c r="KV645" s="1525"/>
      <c r="KW645" s="1525"/>
      <c r="KX645" s="1525"/>
      <c r="KY645" s="1525"/>
      <c r="KZ645" s="1525"/>
      <c r="LA645" s="1525"/>
      <c r="LB645" s="1525"/>
      <c r="LC645" s="1525"/>
      <c r="LD645" s="1525"/>
      <c r="LE645" s="1525"/>
      <c r="LF645" s="1525"/>
    </row>
    <row r="646" spans="1:318" s="1154" customFormat="1" ht="15" customHeight="1">
      <c r="A646" s="1708"/>
      <c r="B646" s="1708"/>
      <c r="C646" s="1519"/>
      <c r="D646" s="1519"/>
      <c r="E646" s="1519"/>
      <c r="F646" s="1519"/>
      <c r="G646" s="1519"/>
      <c r="H646" s="1168" t="s">
        <v>3386</v>
      </c>
      <c r="I646" s="1705" t="str">
        <f>IF(OR(NOT(K624="Income Averaging"),O646=0),"",IF(OR(AND(J646&gt;0,ABS(J646-P646)&gt;0.01),AND(K646&gt;0,ABS(K646-P646)&gt;0.01),AND(L646&gt;0,ABS(L646-P646)&gt;0.01),AND(M646&gt;0,ABS(M646-P646)&gt;0.01),AND(N646&gt;0,ABS(N646-P646)&gt;0.01)), "No", "Yes"))</f>
        <v/>
      </c>
      <c r="J646" s="1706">
        <f t="shared" ref="J646:O646" si="348">IF(OR(J634=0,J631=0),0,J631/J634)</f>
        <v>0</v>
      </c>
      <c r="K646" s="1706">
        <f t="shared" si="348"/>
        <v>0</v>
      </c>
      <c r="L646" s="1706">
        <f t="shared" si="348"/>
        <v>0</v>
      </c>
      <c r="M646" s="1706">
        <f t="shared" si="348"/>
        <v>0</v>
      </c>
      <c r="N646" s="1706">
        <f t="shared" si="348"/>
        <v>0</v>
      </c>
      <c r="O646" s="1706">
        <f t="shared" si="348"/>
        <v>0</v>
      </c>
      <c r="P646" s="1707" t="str">
        <f t="shared" si="345"/>
        <v/>
      </c>
      <c r="R646" s="1519"/>
      <c r="S646" s="1519"/>
      <c r="T646" s="1519"/>
      <c r="U646" s="1519"/>
      <c r="V646" s="1519"/>
      <c r="W646" s="1167"/>
      <c r="Z646" s="1167"/>
      <c r="AA646" s="1168"/>
      <c r="AB646" s="1167"/>
      <c r="AE646" s="1167"/>
      <c r="AF646" s="1168"/>
      <c r="AG646" s="1167"/>
      <c r="AJ646" s="1167"/>
      <c r="AK646" s="1168"/>
      <c r="AL646" s="1167"/>
      <c r="AO646" s="1167"/>
      <c r="AP646" s="1168"/>
      <c r="AQ646" s="1167"/>
      <c r="AR646" s="1167"/>
      <c r="AS646" s="1167"/>
      <c r="AT646" s="1167"/>
      <c r="AU646" s="1167"/>
      <c r="AV646" s="1167"/>
      <c r="AX646" s="1167"/>
      <c r="BA646" s="1167"/>
      <c r="BC646" s="1167"/>
      <c r="JV646" s="1525"/>
      <c r="KA646" s="1525"/>
      <c r="KB646" s="1525"/>
      <c r="KC646" s="1525"/>
      <c r="KD646" s="1525"/>
      <c r="KE646" s="1525"/>
      <c r="KF646" s="1525"/>
      <c r="KG646" s="1525"/>
      <c r="KH646" s="1525"/>
      <c r="KI646" s="1525"/>
      <c r="KJ646" s="1525"/>
      <c r="KK646" s="1525"/>
      <c r="KL646" s="1525"/>
      <c r="KM646" s="1525"/>
      <c r="KN646" s="1525"/>
      <c r="KO646" s="1525"/>
      <c r="KP646" s="1525"/>
      <c r="KQ646" s="1525"/>
      <c r="KR646" s="1525"/>
      <c r="KS646" s="1525"/>
      <c r="KT646" s="1525"/>
      <c r="KU646" s="1525"/>
      <c r="KV646" s="1525"/>
      <c r="KW646" s="1525"/>
      <c r="KX646" s="1525"/>
      <c r="KY646" s="1525"/>
      <c r="KZ646" s="1525"/>
      <c r="LA646" s="1525"/>
      <c r="LB646" s="1525"/>
      <c r="LC646" s="1525"/>
      <c r="LD646" s="1525"/>
      <c r="LE646" s="1525"/>
      <c r="LF646" s="1525"/>
    </row>
    <row r="647" spans="1:318" s="1154" customFormat="1" ht="15" customHeight="1">
      <c r="A647" s="1708"/>
      <c r="B647" s="1708"/>
      <c r="C647" s="1519"/>
      <c r="D647" s="1519"/>
      <c r="E647" s="1519"/>
      <c r="F647" s="1519"/>
      <c r="G647" s="1519"/>
      <c r="H647" s="1168" t="s">
        <v>3387</v>
      </c>
      <c r="I647" s="1705" t="str">
        <f>IF(OR(NOT(K624="Income Averaging"),O647=0),"",IF(OR(AND(J647&gt;0,ABS(J647-P647)&gt;0.01),AND(K647&gt;0,ABS(K647-P647)&gt;0.01),AND(L647&gt;0,ABS(L647-P647)&gt;0.01),AND(M647&gt;0,ABS(M647-P647)&gt;0.01),AND(N647&gt;0,ABS(N647-P647)&gt;0.01)), "No", "Yes"))</f>
        <v/>
      </c>
      <c r="J647" s="1706">
        <f t="shared" ref="J647:O647" si="349">IF(OR(J634=0,J632=0),0,J632/J634)</f>
        <v>0</v>
      </c>
      <c r="K647" s="1706">
        <f t="shared" si="349"/>
        <v>0</v>
      </c>
      <c r="L647" s="1706">
        <f t="shared" si="349"/>
        <v>0</v>
      </c>
      <c r="M647" s="1706">
        <f t="shared" si="349"/>
        <v>0</v>
      </c>
      <c r="N647" s="1706">
        <f t="shared" si="349"/>
        <v>0</v>
      </c>
      <c r="O647" s="1706">
        <f t="shared" si="349"/>
        <v>0</v>
      </c>
      <c r="P647" s="1707" t="str">
        <f t="shared" si="345"/>
        <v/>
      </c>
      <c r="R647" s="1519"/>
      <c r="S647" s="1519"/>
      <c r="T647" s="1519"/>
      <c r="U647" s="1519"/>
      <c r="V647" s="1519"/>
      <c r="W647" s="1167"/>
      <c r="Z647" s="1167"/>
      <c r="AA647" s="1168"/>
      <c r="AB647" s="1167"/>
      <c r="AE647" s="1167"/>
      <c r="AF647" s="1168"/>
      <c r="AG647" s="1167"/>
      <c r="AJ647" s="1167"/>
      <c r="AK647" s="1168"/>
      <c r="AL647" s="1167"/>
      <c r="AO647" s="1167"/>
      <c r="AP647" s="1168"/>
      <c r="AQ647" s="1167"/>
      <c r="AR647" s="1167"/>
      <c r="AS647" s="1167"/>
      <c r="AT647" s="1167"/>
      <c r="AU647" s="1167"/>
      <c r="AV647" s="1167"/>
      <c r="AX647" s="1167"/>
      <c r="BA647" s="1167"/>
      <c r="BC647" s="1167"/>
      <c r="JV647" s="1525"/>
      <c r="KA647" s="1525"/>
      <c r="KB647" s="1525"/>
      <c r="KC647" s="1525"/>
      <c r="KD647" s="1525"/>
      <c r="KE647" s="1525"/>
      <c r="KF647" s="1525"/>
      <c r="KG647" s="1525"/>
      <c r="KH647" s="1525"/>
      <c r="KI647" s="1525"/>
      <c r="KJ647" s="1525"/>
      <c r="KK647" s="1525"/>
      <c r="KL647" s="1525"/>
      <c r="KM647" s="1525"/>
      <c r="KN647" s="1525"/>
      <c r="KO647" s="1525"/>
      <c r="KP647" s="1525"/>
      <c r="KQ647" s="1525"/>
      <c r="KR647" s="1525"/>
      <c r="KS647" s="1525"/>
      <c r="KT647" s="1525"/>
      <c r="KU647" s="1525"/>
      <c r="KV647" s="1525"/>
      <c r="KW647" s="1525"/>
      <c r="KX647" s="1525"/>
      <c r="KY647" s="1525"/>
      <c r="KZ647" s="1525"/>
      <c r="LA647" s="1525"/>
      <c r="LB647" s="1525"/>
      <c r="LC647" s="1525"/>
      <c r="LD647" s="1525"/>
      <c r="LE647" s="1525"/>
      <c r="LF647" s="1525"/>
    </row>
    <row r="648" spans="1:318" s="1154" customFormat="1" ht="15" customHeight="1">
      <c r="A648" s="1708"/>
      <c r="B648" s="1708"/>
      <c r="C648" s="1519"/>
      <c r="D648" s="1519"/>
      <c r="E648" s="1519"/>
      <c r="F648" s="1519"/>
      <c r="G648" s="1519"/>
      <c r="H648" s="1168" t="s">
        <v>3388</v>
      </c>
      <c r="I648" s="1705" t="str">
        <f>IF(OR(NOT(K624="Income Averaging"),O648=0),"",IF(OR(AND(J648&gt;0,ABS(J648-P648)&gt;0.01),AND(K648&gt;0,ABS(K648-P648)&gt;0.01),AND(L648&gt;0,ABS(L648-P648)&gt;0.01),AND(M648&gt;0,ABS(M648-P648)&gt;0.01),AND(N648&gt;0,ABS(N648-P648)&gt;0.01)), "No", "Yes"))</f>
        <v/>
      </c>
      <c r="J648" s="1706">
        <f t="shared" ref="J648:O648" si="350">IF(OR(J634=0,J633=0),0,J633/J634)</f>
        <v>0</v>
      </c>
      <c r="K648" s="1706">
        <f t="shared" si="350"/>
        <v>0</v>
      </c>
      <c r="L648" s="1706">
        <f t="shared" si="350"/>
        <v>0</v>
      </c>
      <c r="M648" s="1706">
        <f t="shared" si="350"/>
        <v>0</v>
      </c>
      <c r="N648" s="1706">
        <f t="shared" si="350"/>
        <v>0</v>
      </c>
      <c r="O648" s="1706">
        <f t="shared" si="350"/>
        <v>0</v>
      </c>
      <c r="P648" s="1707" t="str">
        <f t="shared" si="345"/>
        <v/>
      </c>
      <c r="R648" s="1519"/>
      <c r="S648" s="1519"/>
      <c r="T648" s="1519"/>
      <c r="U648" s="1519"/>
      <c r="V648" s="1519"/>
      <c r="W648" s="1167"/>
      <c r="Z648" s="1167"/>
      <c r="AA648" s="1168"/>
      <c r="AB648" s="1167"/>
      <c r="AE648" s="1167"/>
      <c r="AF648" s="1168"/>
      <c r="AG648" s="1167"/>
      <c r="AJ648" s="1167"/>
      <c r="AK648" s="1168"/>
      <c r="AL648" s="1167"/>
      <c r="AO648" s="1167"/>
      <c r="AP648" s="1168"/>
      <c r="AQ648" s="1167"/>
      <c r="AR648" s="1167"/>
      <c r="AS648" s="1167"/>
      <c r="AT648" s="1167"/>
      <c r="AU648" s="1167"/>
      <c r="AV648" s="1167"/>
      <c r="AX648" s="1167"/>
      <c r="BA648" s="1167"/>
      <c r="BC648" s="1167"/>
      <c r="JV648" s="1525"/>
      <c r="KA648" s="1525"/>
      <c r="KB648" s="1525"/>
      <c r="KC648" s="1525"/>
      <c r="KD648" s="1525"/>
      <c r="KE648" s="1525"/>
      <c r="KF648" s="1525"/>
      <c r="KG648" s="1525"/>
      <c r="KH648" s="1525"/>
      <c r="KI648" s="1525"/>
      <c r="KJ648" s="1525"/>
      <c r="KK648" s="1525"/>
      <c r="KL648" s="1525"/>
      <c r="KM648" s="1525"/>
      <c r="KN648" s="1525"/>
      <c r="KO648" s="1525"/>
      <c r="KP648" s="1525"/>
      <c r="KQ648" s="1525"/>
      <c r="KR648" s="1525"/>
      <c r="KS648" s="1525"/>
      <c r="KT648" s="1525"/>
      <c r="KU648" s="1525"/>
      <c r="KV648" s="1525"/>
      <c r="KW648" s="1525"/>
      <c r="KX648" s="1525"/>
      <c r="KY648" s="1525"/>
      <c r="KZ648" s="1525"/>
      <c r="LA648" s="1525"/>
      <c r="LB648" s="1525"/>
      <c r="LC648" s="1525"/>
      <c r="LD648" s="1525"/>
      <c r="LE648" s="1525"/>
      <c r="LF648" s="1525"/>
    </row>
    <row r="649" spans="1:318" s="1154" customFormat="1" ht="12" customHeight="1">
      <c r="A649" s="1708"/>
      <c r="B649" s="1708"/>
      <c r="C649" s="1519"/>
      <c r="D649" s="1519"/>
      <c r="E649" s="1519"/>
      <c r="F649" s="1519"/>
      <c r="G649" s="1519"/>
      <c r="H649" s="1519"/>
      <c r="I649" s="1519"/>
      <c r="J649" s="1519"/>
      <c r="K649" s="1519"/>
      <c r="L649" s="1519"/>
      <c r="M649" s="1519"/>
      <c r="N649" s="1519"/>
      <c r="O649" s="1519"/>
      <c r="W649" s="1167"/>
      <c r="Z649" s="1167"/>
      <c r="AA649" s="1168"/>
      <c r="AB649" s="1167"/>
      <c r="AE649" s="1167"/>
      <c r="AF649" s="1168"/>
      <c r="AG649" s="1167"/>
      <c r="AJ649" s="1167"/>
      <c r="AK649" s="1168"/>
      <c r="AL649" s="1167"/>
      <c r="AO649" s="1167"/>
      <c r="AP649" s="1168"/>
      <c r="AQ649" s="1167"/>
      <c r="AR649" s="1167"/>
      <c r="AS649" s="1167"/>
      <c r="AT649" s="1167"/>
      <c r="AU649" s="1167"/>
      <c r="AV649" s="1167"/>
      <c r="AX649" s="1167"/>
      <c r="BA649" s="1167"/>
      <c r="BC649" s="1167"/>
      <c r="JV649" s="1525"/>
      <c r="KA649" s="1525"/>
      <c r="KB649" s="1525"/>
      <c r="KC649" s="1525"/>
      <c r="KD649" s="1525"/>
      <c r="KE649" s="1525"/>
      <c r="KF649" s="1525"/>
      <c r="KG649" s="1525"/>
      <c r="KH649" s="1525"/>
      <c r="KI649" s="1525"/>
      <c r="KJ649" s="1525"/>
      <c r="KK649" s="1525"/>
      <c r="KL649" s="1525"/>
      <c r="KM649" s="1525"/>
      <c r="KN649" s="1525"/>
      <c r="KO649" s="1525"/>
      <c r="KP649" s="1525"/>
      <c r="KQ649" s="1525"/>
      <c r="KR649" s="1525"/>
      <c r="KS649" s="1525"/>
      <c r="KT649" s="1525"/>
      <c r="KU649" s="1525"/>
      <c r="KV649" s="1525"/>
      <c r="KW649" s="1525"/>
      <c r="KX649" s="1525"/>
      <c r="KY649" s="1525"/>
      <c r="KZ649" s="1525"/>
      <c r="LA649" s="1525"/>
      <c r="LB649" s="1525"/>
      <c r="LC649" s="1525"/>
      <c r="LD649" s="1525"/>
      <c r="LE649" s="1525"/>
      <c r="LF649" s="1525"/>
    </row>
    <row r="650" spans="1:318" s="1154" customFormat="1" ht="12" customHeight="1">
      <c r="A650" s="1655"/>
      <c r="B650" s="1655"/>
      <c r="C650" s="1167"/>
      <c r="D650" s="1167"/>
      <c r="E650" s="1167"/>
      <c r="F650" s="1167"/>
      <c r="H650" s="1168"/>
      <c r="J650" s="1703"/>
      <c r="K650" s="1703"/>
      <c r="L650" s="1703"/>
      <c r="M650" s="1703"/>
      <c r="N650" s="1703"/>
      <c r="O650" s="1703"/>
      <c r="T650" s="1657"/>
      <c r="W650" s="1167"/>
      <c r="Z650" s="1167"/>
      <c r="AA650" s="1168"/>
      <c r="AB650" s="1167"/>
      <c r="AE650" s="1167"/>
      <c r="AF650" s="1168"/>
      <c r="AG650" s="1167"/>
      <c r="AJ650" s="1167"/>
      <c r="AK650" s="1168"/>
      <c r="AL650" s="1167"/>
      <c r="AO650" s="1167"/>
      <c r="AP650" s="1168"/>
      <c r="AQ650" s="1167"/>
      <c r="AR650" s="1167"/>
      <c r="AS650" s="1167"/>
      <c r="AT650" s="1167"/>
      <c r="AU650" s="1167"/>
      <c r="AV650" s="1167"/>
      <c r="AX650" s="1167"/>
      <c r="BA650" s="1167"/>
      <c r="BC650" s="1167"/>
      <c r="JV650" s="1525"/>
      <c r="KA650" s="1525"/>
      <c r="KB650" s="1525"/>
      <c r="KC650" s="1525"/>
      <c r="KD650" s="1525"/>
      <c r="KE650" s="1525"/>
      <c r="KF650" s="1525"/>
      <c r="KG650" s="1525"/>
      <c r="KH650" s="1525"/>
      <c r="KI650" s="1525"/>
      <c r="KJ650" s="1525"/>
      <c r="KK650" s="1525"/>
      <c r="KL650" s="1525"/>
      <c r="KM650" s="1525"/>
      <c r="KN650" s="1525"/>
      <c r="KO650" s="1525"/>
      <c r="KP650" s="1525"/>
      <c r="KQ650" s="1525"/>
      <c r="KR650" s="1525"/>
      <c r="KS650" s="1525"/>
      <c r="KT650" s="1525"/>
      <c r="KU650" s="1525"/>
      <c r="KV650" s="1525"/>
      <c r="KW650" s="1525"/>
      <c r="KX650" s="1525"/>
      <c r="KY650" s="1525"/>
      <c r="KZ650" s="1525"/>
      <c r="LA650" s="1525"/>
      <c r="LB650" s="1525"/>
      <c r="LC650" s="1525"/>
      <c r="LD650" s="1525"/>
      <c r="LE650" s="1525"/>
      <c r="LF650" s="1525"/>
    </row>
    <row r="651" spans="1:318" s="1154" customFormat="1" ht="9" customHeight="1">
      <c r="A651" s="1655"/>
      <c r="B651" s="1655"/>
      <c r="C651" s="1167"/>
      <c r="D651" s="1167"/>
      <c r="E651" s="1167"/>
      <c r="F651" s="1167"/>
      <c r="H651" s="1168"/>
      <c r="J651" s="1703"/>
      <c r="K651" s="1703"/>
      <c r="L651" s="1703"/>
      <c r="M651" s="1703"/>
      <c r="N651" s="1703"/>
      <c r="O651" s="1703"/>
      <c r="R651" s="1709" t="str">
        <f>C652</f>
        <v>PBRA-Assisted</v>
      </c>
      <c r="T651" s="1657"/>
      <c r="W651" s="1167"/>
      <c r="Z651" s="1167"/>
      <c r="AA651" s="1168"/>
      <c r="AB651" s="1167"/>
      <c r="AE651" s="1167"/>
      <c r="AF651" s="1168"/>
      <c r="AG651" s="1167"/>
      <c r="AJ651" s="1167"/>
      <c r="AK651" s="1168"/>
      <c r="AL651" s="1167"/>
      <c r="AO651" s="1167"/>
      <c r="AP651" s="1168"/>
      <c r="AQ651" s="1167"/>
      <c r="AR651" s="1167"/>
      <c r="AS651" s="1167"/>
      <c r="AT651" s="1167"/>
      <c r="AU651" s="1167"/>
      <c r="AV651" s="1167"/>
      <c r="AX651" s="1167"/>
      <c r="BA651" s="1167"/>
      <c r="BC651" s="1167"/>
      <c r="JV651" s="1525"/>
      <c r="KA651" s="1525"/>
      <c r="KB651" s="1525"/>
      <c r="KC651" s="1525"/>
      <c r="KD651" s="1525"/>
      <c r="KE651" s="1525"/>
      <c r="KF651" s="1525"/>
      <c r="KG651" s="1525"/>
      <c r="KH651" s="1525"/>
      <c r="KI651" s="1525"/>
      <c r="KJ651" s="1525"/>
      <c r="KK651" s="1525"/>
      <c r="KL651" s="1525"/>
      <c r="KM651" s="1525"/>
      <c r="KN651" s="1525"/>
      <c r="KO651" s="1525"/>
      <c r="KP651" s="1525"/>
      <c r="KQ651" s="1525"/>
      <c r="KR651" s="1525"/>
      <c r="KS651" s="1525"/>
      <c r="KT651" s="1525"/>
      <c r="KU651" s="1525"/>
      <c r="KV651" s="1525"/>
      <c r="KW651" s="1525"/>
      <c r="KX651" s="1525"/>
      <c r="KY651" s="1525"/>
      <c r="KZ651" s="1525"/>
      <c r="LA651" s="1525"/>
      <c r="LB651" s="1525"/>
      <c r="LC651" s="1525"/>
      <c r="LD651" s="1525"/>
      <c r="LE651" s="1525"/>
      <c r="LF651" s="1525"/>
    </row>
    <row r="652" spans="1:318" s="1154" customFormat="1" ht="15" customHeight="1">
      <c r="A652" s="1655"/>
      <c r="B652" s="1655"/>
      <c r="C652" s="1167" t="s">
        <v>868</v>
      </c>
      <c r="D652" s="1167"/>
      <c r="E652" s="1659"/>
      <c r="F652" s="1167"/>
      <c r="H652" s="1168" t="s">
        <v>3383</v>
      </c>
      <c r="J652" s="1710">
        <f>CO619</f>
        <v>0</v>
      </c>
      <c r="K652" s="1710">
        <f>CP619</f>
        <v>0</v>
      </c>
      <c r="L652" s="1710">
        <f>CQ619</f>
        <v>0</v>
      </c>
      <c r="M652" s="1710">
        <f>CR619</f>
        <v>0</v>
      </c>
      <c r="N652" s="1710">
        <f>CS619</f>
        <v>0</v>
      </c>
      <c r="O652" s="1697">
        <f t="shared" ref="O652:O659" si="351">SUM(J652:N652)</f>
        <v>0</v>
      </c>
      <c r="R652" s="1519"/>
      <c r="S652" s="1519"/>
      <c r="T652" s="1519"/>
      <c r="U652" s="1519"/>
      <c r="V652" s="1519"/>
      <c r="W652" s="1167"/>
      <c r="Z652" s="1167"/>
      <c r="AA652" s="1168"/>
      <c r="AB652" s="1167"/>
      <c r="AE652" s="1167"/>
      <c r="AF652" s="1168"/>
      <c r="AG652" s="1167"/>
      <c r="AJ652" s="1167"/>
      <c r="AK652" s="1168"/>
      <c r="AL652" s="1167"/>
      <c r="AO652" s="1167"/>
      <c r="AP652" s="1168"/>
      <c r="AQ652" s="305"/>
      <c r="AR652" s="305"/>
      <c r="AS652" s="305"/>
      <c r="AT652" s="305"/>
      <c r="AU652" s="305"/>
      <c r="AV652" s="305"/>
      <c r="AW652" s="1168"/>
      <c r="AX652" s="1167"/>
      <c r="BA652" s="305"/>
      <c r="BB652" s="1168"/>
      <c r="BC652" s="1167"/>
      <c r="JV652" s="1525"/>
      <c r="KA652" s="1525"/>
      <c r="KB652" s="1525"/>
      <c r="KC652" s="1525"/>
      <c r="KD652" s="1525"/>
      <c r="KE652" s="1525"/>
      <c r="KF652" s="1525"/>
      <c r="KG652" s="1525"/>
      <c r="KH652" s="1525"/>
      <c r="KI652" s="1525"/>
      <c r="KJ652" s="1525"/>
      <c r="KK652" s="1525"/>
      <c r="KL652" s="1525"/>
      <c r="KM652" s="1525"/>
      <c r="KN652" s="1525"/>
      <c r="KO652" s="1525"/>
      <c r="KP652" s="1525"/>
      <c r="KQ652" s="1525"/>
      <c r="KR652" s="1525"/>
      <c r="KS652" s="1525"/>
      <c r="KT652" s="1525"/>
      <c r="KU652" s="1525"/>
      <c r="KV652" s="1525"/>
      <c r="KW652" s="1525"/>
      <c r="KX652" s="1525"/>
      <c r="KY652" s="1525"/>
      <c r="KZ652" s="1525"/>
      <c r="LA652" s="1525"/>
      <c r="LB652" s="1525"/>
      <c r="LC652" s="1525"/>
      <c r="LD652" s="1525"/>
      <c r="LE652" s="1525"/>
      <c r="LF652" s="1525"/>
    </row>
    <row r="653" spans="1:318" s="1154" customFormat="1" ht="15" customHeight="1">
      <c r="A653" s="1655"/>
      <c r="B653" s="1655"/>
      <c r="C653" s="1168" t="s">
        <v>2225</v>
      </c>
      <c r="D653" s="1167"/>
      <c r="E653" s="1659"/>
      <c r="F653" s="1167"/>
      <c r="H653" s="1168" t="s">
        <v>3385</v>
      </c>
      <c r="J653" s="1697">
        <f>CJ619</f>
        <v>0</v>
      </c>
      <c r="K653" s="1697">
        <f>CK619</f>
        <v>0</v>
      </c>
      <c r="L653" s="1697">
        <f>CL619</f>
        <v>0</v>
      </c>
      <c r="M653" s="1697">
        <f>CM619</f>
        <v>0</v>
      </c>
      <c r="N653" s="1697">
        <f>CN619</f>
        <v>0</v>
      </c>
      <c r="O653" s="1697">
        <f t="shared" si="351"/>
        <v>0</v>
      </c>
      <c r="R653" s="1519"/>
      <c r="S653" s="1519"/>
      <c r="T653" s="1519"/>
      <c r="U653" s="1519"/>
      <c r="V653" s="1519"/>
      <c r="W653" s="1167"/>
      <c r="Z653" s="1167"/>
      <c r="AA653" s="1168"/>
      <c r="AB653" s="1167"/>
      <c r="AE653" s="1167"/>
      <c r="AF653" s="1168"/>
      <c r="AG653" s="1167"/>
      <c r="AJ653" s="1167"/>
      <c r="AK653" s="1168"/>
      <c r="AL653" s="1167"/>
      <c r="AO653" s="1167"/>
      <c r="AP653" s="1168"/>
      <c r="AQ653" s="305"/>
      <c r="AR653" s="305"/>
      <c r="AS653" s="305"/>
      <c r="AT653" s="305"/>
      <c r="AU653" s="305"/>
      <c r="AV653" s="305"/>
      <c r="AW653" s="1168"/>
      <c r="AX653" s="1167"/>
      <c r="BA653" s="305"/>
      <c r="BB653" s="1168"/>
      <c r="BC653" s="1167"/>
      <c r="JV653" s="1525"/>
      <c r="KA653" s="1525"/>
      <c r="KB653" s="1525"/>
      <c r="KC653" s="1525"/>
      <c r="KD653" s="1525"/>
      <c r="KE653" s="1525"/>
      <c r="KF653" s="1525"/>
      <c r="KG653" s="1525"/>
      <c r="KH653" s="1525"/>
      <c r="KI653" s="1525"/>
      <c r="KJ653" s="1525"/>
      <c r="KK653" s="1525"/>
      <c r="KL653" s="1525"/>
      <c r="KM653" s="1525"/>
      <c r="KN653" s="1525"/>
      <c r="KO653" s="1525"/>
      <c r="KP653" s="1525"/>
      <c r="KQ653" s="1525"/>
      <c r="KR653" s="1525"/>
      <c r="KS653" s="1525"/>
      <c r="KT653" s="1525"/>
      <c r="KU653" s="1525"/>
      <c r="KV653" s="1525"/>
      <c r="KW653" s="1525"/>
      <c r="KX653" s="1525"/>
      <c r="KY653" s="1525"/>
      <c r="KZ653" s="1525"/>
      <c r="LA653" s="1525"/>
      <c r="LB653" s="1525"/>
      <c r="LC653" s="1525"/>
      <c r="LD653" s="1525"/>
      <c r="LE653" s="1525"/>
      <c r="LF653" s="1525"/>
    </row>
    <row r="654" spans="1:318" s="1154" customFormat="1" ht="15" customHeight="1">
      <c r="A654" s="1655"/>
      <c r="B654" s="1655"/>
      <c r="C654" s="1167"/>
      <c r="D654" s="1167"/>
      <c r="E654" s="1659"/>
      <c r="F654" s="1167"/>
      <c r="H654" s="1168" t="s">
        <v>1065</v>
      </c>
      <c r="J654" s="1697">
        <f>CE619</f>
        <v>0</v>
      </c>
      <c r="K654" s="1697">
        <f>CF619</f>
        <v>0</v>
      </c>
      <c r="L654" s="1697">
        <f>CG619</f>
        <v>0</v>
      </c>
      <c r="M654" s="1697">
        <f>CH619</f>
        <v>0</v>
      </c>
      <c r="N654" s="1697">
        <f>CI619</f>
        <v>0</v>
      </c>
      <c r="O654" s="1697">
        <f t="shared" si="351"/>
        <v>0</v>
      </c>
      <c r="R654" s="1519"/>
      <c r="S654" s="1519"/>
      <c r="T654" s="1519"/>
      <c r="U654" s="1519"/>
      <c r="V654" s="1519"/>
      <c r="W654" s="1167"/>
      <c r="Z654" s="1167"/>
      <c r="AA654" s="1168"/>
      <c r="AB654" s="1167"/>
      <c r="AE654" s="1167"/>
      <c r="AF654" s="1168"/>
      <c r="AG654" s="1167"/>
      <c r="AJ654" s="1167"/>
      <c r="AK654" s="1168"/>
      <c r="AL654" s="1167"/>
      <c r="AO654" s="1167"/>
      <c r="AP654" s="1168"/>
      <c r="AQ654" s="305"/>
      <c r="AR654" s="305"/>
      <c r="AS654" s="305"/>
      <c r="AT654" s="305"/>
      <c r="AU654" s="305"/>
      <c r="AV654" s="305"/>
      <c r="AW654" s="1168"/>
      <c r="AX654" s="1167"/>
      <c r="BA654" s="305"/>
      <c r="BB654" s="1168"/>
      <c r="BC654" s="1167"/>
      <c r="JV654" s="1525"/>
      <c r="KA654" s="1525"/>
      <c r="KB654" s="1525"/>
      <c r="KC654" s="1525"/>
      <c r="KD654" s="1525"/>
      <c r="KE654" s="1525"/>
      <c r="KF654" s="1525"/>
      <c r="KG654" s="1525"/>
      <c r="KH654" s="1525"/>
      <c r="KI654" s="1525"/>
      <c r="KJ654" s="1525"/>
      <c r="KK654" s="1525"/>
      <c r="KL654" s="1525"/>
      <c r="KM654" s="1525"/>
      <c r="KN654" s="1525"/>
      <c r="KO654" s="1525"/>
      <c r="KP654" s="1525"/>
      <c r="KQ654" s="1525"/>
      <c r="KR654" s="1525"/>
      <c r="KS654" s="1525"/>
      <c r="KT654" s="1525"/>
      <c r="KU654" s="1525"/>
      <c r="KV654" s="1525"/>
      <c r="KW654" s="1525"/>
      <c r="KX654" s="1525"/>
      <c r="KY654" s="1525"/>
      <c r="KZ654" s="1525"/>
      <c r="LA654" s="1525"/>
      <c r="LB654" s="1525"/>
      <c r="LC654" s="1525"/>
      <c r="LD654" s="1525"/>
      <c r="LE654" s="1525"/>
      <c r="LF654" s="1525"/>
    </row>
    <row r="655" spans="1:318" s="1154" customFormat="1" ht="15" customHeight="1">
      <c r="A655" s="1655"/>
      <c r="B655" s="1655"/>
      <c r="C655" s="1167"/>
      <c r="D655" s="1167"/>
      <c r="E655" s="1659"/>
      <c r="F655" s="1167"/>
      <c r="H655" s="1168" t="s">
        <v>109</v>
      </c>
      <c r="J655" s="1697">
        <f>BZ619</f>
        <v>0</v>
      </c>
      <c r="K655" s="1697">
        <f>CA619</f>
        <v>0</v>
      </c>
      <c r="L655" s="1697">
        <f>CB619</f>
        <v>0</v>
      </c>
      <c r="M655" s="1697">
        <f>CC619</f>
        <v>0</v>
      </c>
      <c r="N655" s="1697">
        <f>CD619</f>
        <v>0</v>
      </c>
      <c r="O655" s="1697">
        <f t="shared" si="351"/>
        <v>0</v>
      </c>
      <c r="R655" s="1519"/>
      <c r="S655" s="1519"/>
      <c r="T655" s="1519"/>
      <c r="U655" s="1519"/>
      <c r="V655" s="1519"/>
      <c r="W655" s="1167"/>
      <c r="Z655" s="1167"/>
      <c r="AA655" s="1168"/>
      <c r="AB655" s="1167"/>
      <c r="AE655" s="1167"/>
      <c r="AF655" s="1168"/>
      <c r="AG655" s="1167"/>
      <c r="AJ655" s="1167"/>
      <c r="AK655" s="1168"/>
      <c r="AL655" s="1167"/>
      <c r="AO655" s="1167"/>
      <c r="AP655" s="1168"/>
      <c r="AQ655" s="305"/>
      <c r="AR655" s="305"/>
      <c r="AS655" s="305"/>
      <c r="AT655" s="305"/>
      <c r="AU655" s="305"/>
      <c r="AV655" s="305"/>
      <c r="AW655" s="1168"/>
      <c r="AX655" s="1167"/>
      <c r="BA655" s="305"/>
      <c r="BB655" s="1168"/>
      <c r="BC655" s="1167"/>
      <c r="JV655" s="1525"/>
      <c r="KA655" s="1525"/>
      <c r="KB655" s="1525"/>
      <c r="KC655" s="1525"/>
      <c r="KD655" s="1525"/>
      <c r="KE655" s="1525"/>
      <c r="KF655" s="1525"/>
      <c r="KG655" s="1525"/>
      <c r="KH655" s="1525"/>
      <c r="KI655" s="1525"/>
      <c r="KJ655" s="1525"/>
      <c r="KK655" s="1525"/>
      <c r="KL655" s="1525"/>
      <c r="KM655" s="1525"/>
      <c r="KN655" s="1525"/>
      <c r="KO655" s="1525"/>
      <c r="KP655" s="1525"/>
      <c r="KQ655" s="1525"/>
      <c r="KR655" s="1525"/>
      <c r="KS655" s="1525"/>
      <c r="KT655" s="1525"/>
      <c r="KU655" s="1525"/>
      <c r="KV655" s="1525"/>
      <c r="KW655" s="1525"/>
      <c r="KX655" s="1525"/>
      <c r="KY655" s="1525"/>
      <c r="KZ655" s="1525"/>
      <c r="LA655" s="1525"/>
      <c r="LB655" s="1525"/>
      <c r="LC655" s="1525"/>
      <c r="LD655" s="1525"/>
      <c r="LE655" s="1525"/>
      <c r="LF655" s="1525"/>
    </row>
    <row r="656" spans="1:318" s="1154" customFormat="1" ht="15" customHeight="1">
      <c r="A656" s="1655"/>
      <c r="B656" s="1655"/>
      <c r="C656" s="1167"/>
      <c r="D656" s="1167"/>
      <c r="E656" s="1659"/>
      <c r="F656" s="1167"/>
      <c r="H656" s="1168" t="s">
        <v>3386</v>
      </c>
      <c r="J656" s="1697">
        <f>BU619</f>
        <v>0</v>
      </c>
      <c r="K656" s="1697">
        <f>BV619</f>
        <v>0</v>
      </c>
      <c r="L656" s="1697">
        <f>BW619</f>
        <v>0</v>
      </c>
      <c r="M656" s="1697">
        <f>BX619</f>
        <v>0</v>
      </c>
      <c r="N656" s="1697">
        <f>BY619</f>
        <v>0</v>
      </c>
      <c r="O656" s="1697">
        <f t="shared" si="351"/>
        <v>0</v>
      </c>
      <c r="R656" s="1519"/>
      <c r="S656" s="1519"/>
      <c r="T656" s="1519"/>
      <c r="U656" s="1519"/>
      <c r="V656" s="1519"/>
      <c r="W656" s="1167"/>
      <c r="Z656" s="1167"/>
      <c r="AA656" s="1168"/>
      <c r="AB656" s="1167"/>
      <c r="AE656" s="1167"/>
      <c r="AF656" s="1168"/>
      <c r="AG656" s="1167"/>
      <c r="AJ656" s="1167"/>
      <c r="AK656" s="1168"/>
      <c r="AL656" s="1167"/>
      <c r="AO656" s="1167"/>
      <c r="AP656" s="1168"/>
      <c r="AQ656" s="305"/>
      <c r="AR656" s="305"/>
      <c r="AS656" s="305"/>
      <c r="AT656" s="305"/>
      <c r="AU656" s="305"/>
      <c r="AV656" s="305"/>
      <c r="AW656" s="1168"/>
      <c r="AX656" s="1167"/>
      <c r="BA656" s="305"/>
      <c r="BB656" s="1168"/>
      <c r="BC656" s="1167"/>
      <c r="JV656" s="1525"/>
      <c r="KA656" s="1525"/>
      <c r="KB656" s="1525"/>
      <c r="KC656" s="1525"/>
      <c r="KD656" s="1525"/>
      <c r="KE656" s="1525"/>
      <c r="KF656" s="1525"/>
      <c r="KG656" s="1525"/>
      <c r="KH656" s="1525"/>
      <c r="KI656" s="1525"/>
      <c r="KJ656" s="1525"/>
      <c r="KK656" s="1525"/>
      <c r="KL656" s="1525"/>
      <c r="KM656" s="1525"/>
      <c r="KN656" s="1525"/>
      <c r="KO656" s="1525"/>
      <c r="KP656" s="1525"/>
      <c r="KQ656" s="1525"/>
      <c r="KR656" s="1525"/>
      <c r="KS656" s="1525"/>
      <c r="KT656" s="1525"/>
      <c r="KU656" s="1525"/>
      <c r="KV656" s="1525"/>
      <c r="KW656" s="1525"/>
      <c r="KX656" s="1525"/>
      <c r="KY656" s="1525"/>
      <c r="KZ656" s="1525"/>
      <c r="LA656" s="1525"/>
      <c r="LB656" s="1525"/>
      <c r="LC656" s="1525"/>
      <c r="LD656" s="1525"/>
      <c r="LE656" s="1525"/>
      <c r="LF656" s="1525"/>
    </row>
    <row r="657" spans="1:318" s="1154" customFormat="1" ht="15" customHeight="1">
      <c r="A657" s="1711"/>
      <c r="B657" s="1711"/>
      <c r="C657" s="1167"/>
      <c r="D657" s="1167"/>
      <c r="E657" s="1659"/>
      <c r="F657" s="1167"/>
      <c r="H657" s="1168" t="s">
        <v>3387</v>
      </c>
      <c r="J657" s="1697">
        <f>BP619</f>
        <v>0</v>
      </c>
      <c r="K657" s="1697">
        <f>BQ619</f>
        <v>0</v>
      </c>
      <c r="L657" s="1697">
        <f>BR619</f>
        <v>0</v>
      </c>
      <c r="M657" s="1697">
        <f>BS619</f>
        <v>0</v>
      </c>
      <c r="N657" s="1697">
        <f>BT619</f>
        <v>0</v>
      </c>
      <c r="O657" s="1697">
        <f t="shared" si="351"/>
        <v>0</v>
      </c>
      <c r="R657" s="1519"/>
      <c r="S657" s="1519"/>
      <c r="T657" s="1519"/>
      <c r="U657" s="1519"/>
      <c r="V657" s="1519"/>
      <c r="W657" s="1167"/>
      <c r="Z657" s="1167"/>
      <c r="AA657" s="1168"/>
      <c r="AB657" s="1167"/>
      <c r="AE657" s="1167"/>
      <c r="AF657" s="1168"/>
      <c r="AG657" s="1167"/>
      <c r="AJ657" s="1167"/>
      <c r="AK657" s="1168"/>
      <c r="AL657" s="1167"/>
      <c r="AO657" s="1167"/>
      <c r="AP657" s="1168"/>
      <c r="AQ657" s="305"/>
      <c r="AR657" s="305"/>
      <c r="AS657" s="305"/>
      <c r="AT657" s="305"/>
      <c r="AU657" s="305"/>
      <c r="AV657" s="305"/>
      <c r="AW657" s="1168"/>
      <c r="AX657" s="1167"/>
      <c r="BA657" s="305"/>
      <c r="BB657" s="1168"/>
      <c r="BC657" s="1167"/>
      <c r="JV657" s="1525"/>
      <c r="KA657" s="1525"/>
      <c r="KB657" s="1525"/>
      <c r="KC657" s="1525"/>
      <c r="KD657" s="1525"/>
      <c r="KE657" s="1525"/>
      <c r="KF657" s="1525"/>
      <c r="KG657" s="1525"/>
      <c r="KH657" s="1525"/>
      <c r="KI657" s="1525"/>
      <c r="KJ657" s="1525"/>
      <c r="KK657" s="1525"/>
      <c r="KL657" s="1525"/>
      <c r="KM657" s="1525"/>
      <c r="KN657" s="1525"/>
      <c r="KO657" s="1525"/>
      <c r="KP657" s="1525"/>
      <c r="KQ657" s="1525"/>
      <c r="KR657" s="1525"/>
      <c r="KS657" s="1525"/>
      <c r="KT657" s="1525"/>
      <c r="KU657" s="1525"/>
      <c r="KV657" s="1525"/>
      <c r="KW657" s="1525"/>
      <c r="KX657" s="1525"/>
      <c r="KY657" s="1525"/>
      <c r="KZ657" s="1525"/>
      <c r="LA657" s="1525"/>
      <c r="LB657" s="1525"/>
      <c r="LC657" s="1525"/>
      <c r="LD657" s="1525"/>
      <c r="LE657" s="1525"/>
      <c r="LF657" s="1525"/>
    </row>
    <row r="658" spans="1:318" s="1154" customFormat="1" ht="15" customHeight="1">
      <c r="A658" s="1711"/>
      <c r="B658" s="1711"/>
      <c r="D658" s="1167"/>
      <c r="E658" s="1659"/>
      <c r="F658" s="1167"/>
      <c r="H658" s="1168" t="s">
        <v>3388</v>
      </c>
      <c r="J658" s="1710">
        <f>BK619</f>
        <v>0</v>
      </c>
      <c r="K658" s="1710">
        <f>BL619</f>
        <v>0</v>
      </c>
      <c r="L658" s="1710">
        <f>BM619</f>
        <v>0</v>
      </c>
      <c r="M658" s="1710">
        <f>BN619</f>
        <v>0</v>
      </c>
      <c r="N658" s="1710">
        <f>BO619</f>
        <v>0</v>
      </c>
      <c r="O658" s="1697">
        <f t="shared" si="351"/>
        <v>0</v>
      </c>
      <c r="R658" s="1519"/>
      <c r="S658" s="1519"/>
      <c r="T658" s="1519"/>
      <c r="U658" s="1519"/>
      <c r="V658" s="1519"/>
      <c r="W658" s="1168"/>
      <c r="Z658" s="1167"/>
      <c r="AA658" s="1168"/>
      <c r="AB658" s="1168"/>
      <c r="AE658" s="1167"/>
      <c r="AF658" s="1168"/>
      <c r="AG658" s="1168"/>
      <c r="AJ658" s="1167"/>
      <c r="AK658" s="1168"/>
      <c r="AL658" s="1168"/>
      <c r="AO658" s="1167"/>
      <c r="AP658" s="1168"/>
      <c r="AQ658" s="305"/>
      <c r="AR658" s="305"/>
      <c r="AS658" s="305"/>
      <c r="AT658" s="305"/>
      <c r="AU658" s="305"/>
      <c r="AV658" s="305"/>
      <c r="AW658" s="1168"/>
      <c r="AX658" s="1167"/>
      <c r="BA658" s="305"/>
      <c r="BB658" s="1168"/>
      <c r="BC658" s="1167"/>
      <c r="JV658" s="1525"/>
      <c r="KA658" s="1525"/>
      <c r="KB658" s="1525"/>
      <c r="KC658" s="1525"/>
      <c r="KD658" s="1525"/>
      <c r="KE658" s="1525"/>
      <c r="KF658" s="1525"/>
      <c r="KG658" s="1525"/>
      <c r="KH658" s="1525"/>
      <c r="KI658" s="1525"/>
      <c r="KJ658" s="1525"/>
      <c r="KK658" s="1525"/>
      <c r="KL658" s="1525"/>
      <c r="KM658" s="1525"/>
      <c r="KN658" s="1525"/>
      <c r="KO658" s="1525"/>
      <c r="KP658" s="1525"/>
      <c r="KQ658" s="1525"/>
      <c r="KR658" s="1525"/>
      <c r="KS658" s="1525"/>
      <c r="KT658" s="1525"/>
      <c r="KU658" s="1525"/>
      <c r="KV658" s="1525"/>
      <c r="KW658" s="1525"/>
      <c r="KX658" s="1525"/>
      <c r="KY658" s="1525"/>
      <c r="KZ658" s="1525"/>
      <c r="LA658" s="1525"/>
      <c r="LB658" s="1525"/>
      <c r="LC658" s="1525"/>
      <c r="LD658" s="1525"/>
      <c r="LE658" s="1525"/>
      <c r="LF658" s="1525"/>
    </row>
    <row r="659" spans="1:318" s="1154" customFormat="1" ht="15" customHeight="1">
      <c r="A659" s="1711"/>
      <c r="B659" s="1711"/>
      <c r="C659" s="1167"/>
      <c r="D659" s="1167"/>
      <c r="E659" s="1659"/>
      <c r="F659" s="1167"/>
      <c r="H659" s="1168" t="s">
        <v>503</v>
      </c>
      <c r="J659" s="1697">
        <f>SUM(J652:J658)</f>
        <v>0</v>
      </c>
      <c r="K659" s="1697">
        <f>SUM(K652:K658)</f>
        <v>0</v>
      </c>
      <c r="L659" s="1697">
        <f>SUM(L652:L658)</f>
        <v>0</v>
      </c>
      <c r="M659" s="1697">
        <f>SUM(M652:M658)</f>
        <v>0</v>
      </c>
      <c r="N659" s="1697">
        <f>SUM(N652:N658)</f>
        <v>0</v>
      </c>
      <c r="O659" s="1697">
        <f t="shared" si="351"/>
        <v>0</v>
      </c>
      <c r="R659" s="1519"/>
      <c r="S659" s="1519"/>
      <c r="T659" s="1519"/>
      <c r="U659" s="1519"/>
      <c r="V659" s="1519"/>
      <c r="W659" s="1167"/>
      <c r="Z659" s="1167"/>
      <c r="AA659" s="1168"/>
      <c r="AB659" s="1167"/>
      <c r="AE659" s="1167"/>
      <c r="AF659" s="1168"/>
      <c r="AG659" s="1167"/>
      <c r="AJ659" s="1167"/>
      <c r="AK659" s="1168"/>
      <c r="AL659" s="1167"/>
      <c r="AO659" s="1167"/>
      <c r="AP659" s="1168"/>
      <c r="AQ659" s="305"/>
      <c r="AR659" s="305"/>
      <c r="AS659" s="305"/>
      <c r="AT659" s="305"/>
      <c r="AU659" s="305"/>
      <c r="AV659" s="305"/>
      <c r="AW659" s="1168"/>
      <c r="AX659" s="1167"/>
      <c r="BA659" s="305"/>
      <c r="BB659" s="1168"/>
      <c r="BC659" s="1167"/>
      <c r="JV659" s="1525"/>
      <c r="KA659" s="1525"/>
      <c r="KB659" s="1525"/>
      <c r="KC659" s="1525"/>
      <c r="KD659" s="1525"/>
      <c r="KE659" s="1525"/>
      <c r="KF659" s="1525"/>
      <c r="KG659" s="1525"/>
      <c r="KH659" s="1525"/>
      <c r="KI659" s="1525"/>
      <c r="KJ659" s="1525"/>
      <c r="KK659" s="1525"/>
      <c r="KL659" s="1525"/>
      <c r="KM659" s="1525"/>
      <c r="KN659" s="1525"/>
      <c r="KO659" s="1525"/>
      <c r="KP659" s="1525"/>
      <c r="KQ659" s="1525"/>
      <c r="KR659" s="1525"/>
      <c r="KS659" s="1525"/>
      <c r="KT659" s="1525"/>
      <c r="KU659" s="1525"/>
      <c r="KV659" s="1525"/>
      <c r="KW659" s="1525"/>
      <c r="KX659" s="1525"/>
      <c r="KY659" s="1525"/>
      <c r="KZ659" s="1525"/>
      <c r="LA659" s="1525"/>
      <c r="LB659" s="1525"/>
      <c r="LC659" s="1525"/>
      <c r="LD659" s="1525"/>
      <c r="LE659" s="1525"/>
      <c r="LF659" s="1525"/>
    </row>
    <row r="660" spans="1:318" s="1154" customFormat="1" ht="9" customHeight="1">
      <c r="A660" s="1711"/>
      <c r="B660" s="1711"/>
      <c r="C660" s="1167"/>
      <c r="D660" s="1167"/>
      <c r="E660" s="1167"/>
      <c r="F660" s="1167"/>
      <c r="H660" s="1168"/>
      <c r="J660" s="1703"/>
      <c r="K660" s="1703"/>
      <c r="L660" s="1703"/>
      <c r="M660" s="1703"/>
      <c r="N660" s="1703"/>
      <c r="O660" s="1703"/>
      <c r="T660" s="1657"/>
      <c r="W660" s="1167"/>
      <c r="Z660" s="1167"/>
      <c r="AA660" s="1168"/>
      <c r="AB660" s="1167"/>
      <c r="AE660" s="1167"/>
      <c r="AF660" s="1168"/>
      <c r="AG660" s="1167"/>
      <c r="AJ660" s="1167"/>
      <c r="AK660" s="1168"/>
      <c r="AL660" s="1167"/>
      <c r="AO660" s="1167"/>
      <c r="AP660" s="1168"/>
      <c r="AQ660" s="1167"/>
      <c r="AR660" s="1167"/>
      <c r="AS660" s="1167"/>
      <c r="AT660" s="1167"/>
      <c r="AU660" s="1167"/>
      <c r="AV660" s="1167"/>
      <c r="AX660" s="1167"/>
      <c r="BA660" s="1167"/>
      <c r="BC660" s="1167"/>
      <c r="JV660" s="1525"/>
      <c r="KA660" s="1525"/>
      <c r="KB660" s="1525"/>
      <c r="KC660" s="1525"/>
      <c r="KD660" s="1525"/>
      <c r="KE660" s="1525"/>
      <c r="KF660" s="1525"/>
      <c r="KG660" s="1525"/>
      <c r="KH660" s="1525"/>
      <c r="KI660" s="1525"/>
      <c r="KJ660" s="1525"/>
      <c r="KK660" s="1525"/>
      <c r="KL660" s="1525"/>
      <c r="KM660" s="1525"/>
      <c r="KN660" s="1525"/>
      <c r="KO660" s="1525"/>
      <c r="KP660" s="1525"/>
      <c r="KQ660" s="1525"/>
      <c r="KR660" s="1525"/>
      <c r="KS660" s="1525"/>
      <c r="KT660" s="1525"/>
      <c r="KU660" s="1525"/>
      <c r="KV660" s="1525"/>
      <c r="KW660" s="1525"/>
      <c r="KX660" s="1525"/>
      <c r="KY660" s="1525"/>
      <c r="KZ660" s="1525"/>
      <c r="LA660" s="1525"/>
      <c r="LB660" s="1525"/>
      <c r="LC660" s="1525"/>
      <c r="LD660" s="1525"/>
      <c r="LE660" s="1525"/>
      <c r="LF660" s="1525"/>
    </row>
    <row r="661" spans="1:318" s="1154" customFormat="1" ht="14.45" customHeight="1">
      <c r="A661" s="1154" t="s">
        <v>685</v>
      </c>
      <c r="B661" s="1154" t="s">
        <v>3745</v>
      </c>
      <c r="K661" s="1694">
        <f>$K$53</f>
        <v>0</v>
      </c>
      <c r="L661" s="1694"/>
      <c r="M661" s="1694"/>
      <c r="N661" s="1694"/>
      <c r="R661" s="1523" t="str">
        <f>B661</f>
        <v>UNIT SUMMARY (Continued)</v>
      </c>
      <c r="S661" s="1523"/>
      <c r="T661" s="1523"/>
      <c r="U661" s="1523"/>
      <c r="AX661" s="1167"/>
      <c r="BC661" s="1167"/>
      <c r="JV661" s="1525"/>
      <c r="KA661" s="1525"/>
      <c r="KB661" s="1525"/>
      <c r="KC661" s="1525"/>
      <c r="KD661" s="1525"/>
      <c r="KE661" s="1525"/>
      <c r="KF661" s="1525"/>
      <c r="KG661" s="1525"/>
      <c r="KH661" s="1525"/>
      <c r="KI661" s="1525"/>
      <c r="KJ661" s="1525"/>
      <c r="KK661" s="1525"/>
      <c r="KL661" s="1525"/>
      <c r="KM661" s="1525"/>
      <c r="KN661" s="1525"/>
      <c r="KO661" s="1525"/>
      <c r="KP661" s="1525"/>
      <c r="KQ661" s="1525"/>
      <c r="KR661" s="1525"/>
      <c r="KS661" s="1525"/>
      <c r="KT661" s="1525"/>
      <c r="KU661" s="1525"/>
      <c r="KV661" s="1525"/>
      <c r="KW661" s="1525"/>
      <c r="KX661" s="1525"/>
      <c r="KY661" s="1525"/>
      <c r="KZ661" s="1525"/>
      <c r="LA661" s="1525"/>
      <c r="LB661" s="1525"/>
      <c r="LC661" s="1525"/>
      <c r="LD661" s="1525"/>
      <c r="LE661" s="1525"/>
      <c r="LF661" s="1525"/>
    </row>
    <row r="662" spans="1:318" s="1154" customFormat="1" ht="9" customHeight="1">
      <c r="R662" s="1709" t="str">
        <f>C663</f>
        <v>PHA Operating Subsidy-Assisted</v>
      </c>
      <c r="T662" s="1695"/>
      <c r="AX662" s="1167"/>
      <c r="BC662" s="1167"/>
      <c r="JV662" s="1525"/>
      <c r="KA662" s="1525"/>
      <c r="KB662" s="1525"/>
      <c r="KC662" s="1525"/>
      <c r="KD662" s="1525"/>
      <c r="KE662" s="1525"/>
      <c r="KF662" s="1525"/>
      <c r="KG662" s="1525"/>
      <c r="KH662" s="1525"/>
      <c r="KI662" s="1525"/>
      <c r="KJ662" s="1525"/>
      <c r="KK662" s="1525"/>
      <c r="KL662" s="1525"/>
      <c r="KM662" s="1525"/>
      <c r="KN662" s="1525"/>
      <c r="KO662" s="1525"/>
      <c r="KP662" s="1525"/>
      <c r="KQ662" s="1525"/>
      <c r="KR662" s="1525"/>
      <c r="KS662" s="1525"/>
      <c r="KT662" s="1525"/>
      <c r="KU662" s="1525"/>
      <c r="KV662" s="1525"/>
      <c r="KW662" s="1525"/>
      <c r="KX662" s="1525"/>
      <c r="KY662" s="1525"/>
      <c r="KZ662" s="1525"/>
      <c r="LA662" s="1525"/>
      <c r="LB662" s="1525"/>
      <c r="LC662" s="1525"/>
      <c r="LD662" s="1525"/>
      <c r="LE662" s="1525"/>
      <c r="LF662" s="1525"/>
    </row>
    <row r="663" spans="1:318" s="1154" customFormat="1" ht="15" customHeight="1">
      <c r="A663" s="1711"/>
      <c r="B663" s="1711"/>
      <c r="C663" s="1528" t="s">
        <v>829</v>
      </c>
      <c r="D663" s="1528"/>
      <c r="E663" s="1528"/>
      <c r="F663" s="1167"/>
      <c r="H663" s="1168" t="s">
        <v>3383</v>
      </c>
      <c r="J663" s="1710">
        <f>DX619</f>
        <v>0</v>
      </c>
      <c r="K663" s="1710">
        <f>DY619</f>
        <v>0</v>
      </c>
      <c r="L663" s="1710">
        <f>DZ619</f>
        <v>0</v>
      </c>
      <c r="M663" s="1710">
        <f>EA619</f>
        <v>0</v>
      </c>
      <c r="N663" s="1710">
        <f>EB619</f>
        <v>0</v>
      </c>
      <c r="O663" s="1697">
        <f t="shared" ref="O663:O670" si="352">SUM(J663:N663)</f>
        <v>0</v>
      </c>
      <c r="R663" s="1519"/>
      <c r="S663" s="1519"/>
      <c r="T663" s="1519"/>
      <c r="U663" s="1519"/>
      <c r="V663" s="1519"/>
      <c r="W663" s="1167"/>
      <c r="Z663" s="1167"/>
      <c r="AA663" s="1168"/>
      <c r="AB663" s="1167"/>
      <c r="AE663" s="1167"/>
      <c r="AF663" s="1168"/>
      <c r="AG663" s="1167"/>
      <c r="AJ663" s="1167"/>
      <c r="AK663" s="1168"/>
      <c r="AL663" s="1167"/>
      <c r="AO663" s="1167"/>
      <c r="AP663" s="1168"/>
      <c r="AQ663" s="305"/>
      <c r="AR663" s="305"/>
      <c r="AS663" s="305"/>
      <c r="AT663" s="305"/>
      <c r="AU663" s="305"/>
      <c r="AV663" s="305"/>
      <c r="AW663" s="1168"/>
      <c r="AX663" s="1167"/>
      <c r="BA663" s="305"/>
      <c r="BB663" s="1168"/>
      <c r="BC663" s="1167"/>
      <c r="JV663" s="1525"/>
      <c r="KA663" s="1525"/>
      <c r="KB663" s="1525"/>
      <c r="KC663" s="1525"/>
      <c r="KD663" s="1525"/>
      <c r="KE663" s="1525"/>
      <c r="KF663" s="1525"/>
      <c r="KG663" s="1525"/>
      <c r="KH663" s="1525"/>
      <c r="KI663" s="1525"/>
      <c r="KJ663" s="1525"/>
      <c r="KK663" s="1525"/>
      <c r="KL663" s="1525"/>
      <c r="KM663" s="1525"/>
      <c r="KN663" s="1525"/>
      <c r="KO663" s="1525"/>
      <c r="KP663" s="1525"/>
      <c r="KQ663" s="1525"/>
      <c r="KR663" s="1525"/>
      <c r="KS663" s="1525"/>
      <c r="KT663" s="1525"/>
      <c r="KU663" s="1525"/>
      <c r="KV663" s="1525"/>
      <c r="KW663" s="1525"/>
      <c r="KX663" s="1525"/>
      <c r="KY663" s="1525"/>
      <c r="KZ663" s="1525"/>
      <c r="LA663" s="1525"/>
      <c r="LB663" s="1525"/>
      <c r="LC663" s="1525"/>
      <c r="LD663" s="1525"/>
      <c r="LE663" s="1525"/>
      <c r="LF663" s="1525"/>
    </row>
    <row r="664" spans="1:318" s="1154" customFormat="1" ht="15" customHeight="1">
      <c r="A664" s="1711"/>
      <c r="B664" s="1711"/>
      <c r="C664" s="1168" t="s">
        <v>2225</v>
      </c>
      <c r="D664" s="1528"/>
      <c r="E664" s="1528"/>
      <c r="F664" s="1167"/>
      <c r="H664" s="1168" t="s">
        <v>3385</v>
      </c>
      <c r="J664" s="1697">
        <f>DS619</f>
        <v>0</v>
      </c>
      <c r="K664" s="1697">
        <f>DT619</f>
        <v>0</v>
      </c>
      <c r="L664" s="1697">
        <f>DU619</f>
        <v>0</v>
      </c>
      <c r="M664" s="1697">
        <f>DV619</f>
        <v>0</v>
      </c>
      <c r="N664" s="1697">
        <f>DW619</f>
        <v>0</v>
      </c>
      <c r="O664" s="1697">
        <f t="shared" si="352"/>
        <v>0</v>
      </c>
      <c r="R664" s="1519"/>
      <c r="S664" s="1519"/>
      <c r="T664" s="1519"/>
      <c r="U664" s="1519"/>
      <c r="V664" s="1519"/>
      <c r="W664" s="1167"/>
      <c r="Z664" s="1167"/>
      <c r="AA664" s="1168"/>
      <c r="AB664" s="1167"/>
      <c r="AE664" s="1167"/>
      <c r="AF664" s="1168"/>
      <c r="AG664" s="1167"/>
      <c r="AJ664" s="1167"/>
      <c r="AK664" s="1168"/>
      <c r="AL664" s="1167"/>
      <c r="AO664" s="1167"/>
      <c r="AP664" s="1168"/>
      <c r="AQ664" s="305"/>
      <c r="AR664" s="305"/>
      <c r="AS664" s="305"/>
      <c r="AT664" s="305"/>
      <c r="AU664" s="305"/>
      <c r="AV664" s="305"/>
      <c r="AW664" s="1168"/>
      <c r="AX664" s="1167"/>
      <c r="BA664" s="305"/>
      <c r="BB664" s="1168"/>
      <c r="BC664" s="1167"/>
      <c r="JV664" s="1525"/>
      <c r="KA664" s="1525"/>
      <c r="KB664" s="1525"/>
      <c r="KC664" s="1525"/>
      <c r="KD664" s="1525"/>
      <c r="KE664" s="1525"/>
      <c r="KF664" s="1525"/>
      <c r="KG664" s="1525"/>
      <c r="KH664" s="1525"/>
      <c r="KI664" s="1525"/>
      <c r="KJ664" s="1525"/>
      <c r="KK664" s="1525"/>
      <c r="KL664" s="1525"/>
      <c r="KM664" s="1525"/>
      <c r="KN664" s="1525"/>
      <c r="KO664" s="1525"/>
      <c r="KP664" s="1525"/>
      <c r="KQ664" s="1525"/>
      <c r="KR664" s="1525"/>
      <c r="KS664" s="1525"/>
      <c r="KT664" s="1525"/>
      <c r="KU664" s="1525"/>
      <c r="KV664" s="1525"/>
      <c r="KW664" s="1525"/>
      <c r="KX664" s="1525"/>
      <c r="KY664" s="1525"/>
      <c r="KZ664" s="1525"/>
      <c r="LA664" s="1525"/>
      <c r="LB664" s="1525"/>
      <c r="LC664" s="1525"/>
      <c r="LD664" s="1525"/>
      <c r="LE664" s="1525"/>
      <c r="LF664" s="1525"/>
    </row>
    <row r="665" spans="1:318" s="1154" customFormat="1" ht="15" customHeight="1">
      <c r="A665" s="1711"/>
      <c r="B665" s="1711"/>
      <c r="C665" s="1528"/>
      <c r="D665" s="1528"/>
      <c r="E665" s="1528"/>
      <c r="F665" s="1167"/>
      <c r="H665" s="1168" t="s">
        <v>1065</v>
      </c>
      <c r="J665" s="1697">
        <f>DN619</f>
        <v>0</v>
      </c>
      <c r="K665" s="1697">
        <f>DO619</f>
        <v>0</v>
      </c>
      <c r="L665" s="1697">
        <f>DP619</f>
        <v>0</v>
      </c>
      <c r="M665" s="1697">
        <f>DQ619</f>
        <v>0</v>
      </c>
      <c r="N665" s="1697">
        <f>DR619</f>
        <v>0</v>
      </c>
      <c r="O665" s="1697">
        <f t="shared" si="352"/>
        <v>0</v>
      </c>
      <c r="R665" s="1519"/>
      <c r="S665" s="1519"/>
      <c r="T665" s="1519"/>
      <c r="U665" s="1519"/>
      <c r="V665" s="1519"/>
      <c r="W665" s="1167"/>
      <c r="Z665" s="1167"/>
      <c r="AA665" s="1168"/>
      <c r="AB665" s="1167"/>
      <c r="AE665" s="1167"/>
      <c r="AF665" s="1168"/>
      <c r="AG665" s="1167"/>
      <c r="AJ665" s="1167"/>
      <c r="AK665" s="1168"/>
      <c r="AL665" s="1167"/>
      <c r="AO665" s="1167"/>
      <c r="AP665" s="1168"/>
      <c r="AQ665" s="305"/>
      <c r="AR665" s="305"/>
      <c r="AS665" s="305"/>
      <c r="AT665" s="305"/>
      <c r="AU665" s="305"/>
      <c r="AV665" s="305"/>
      <c r="AW665" s="1168"/>
      <c r="AX665" s="1167"/>
      <c r="BA665" s="305"/>
      <c r="BB665" s="1168"/>
      <c r="BC665" s="1167"/>
      <c r="JV665" s="1525"/>
      <c r="KA665" s="1525"/>
      <c r="KB665" s="1525"/>
      <c r="KC665" s="1525"/>
      <c r="KD665" s="1525"/>
      <c r="KE665" s="1525"/>
      <c r="KF665" s="1525"/>
      <c r="KG665" s="1525"/>
      <c r="KH665" s="1525"/>
      <c r="KI665" s="1525"/>
      <c r="KJ665" s="1525"/>
      <c r="KK665" s="1525"/>
      <c r="KL665" s="1525"/>
      <c r="KM665" s="1525"/>
      <c r="KN665" s="1525"/>
      <c r="KO665" s="1525"/>
      <c r="KP665" s="1525"/>
      <c r="KQ665" s="1525"/>
      <c r="KR665" s="1525"/>
      <c r="KS665" s="1525"/>
      <c r="KT665" s="1525"/>
      <c r="KU665" s="1525"/>
      <c r="KV665" s="1525"/>
      <c r="KW665" s="1525"/>
      <c r="KX665" s="1525"/>
      <c r="KY665" s="1525"/>
      <c r="KZ665" s="1525"/>
      <c r="LA665" s="1525"/>
      <c r="LB665" s="1525"/>
      <c r="LC665" s="1525"/>
      <c r="LD665" s="1525"/>
      <c r="LE665" s="1525"/>
      <c r="LF665" s="1525"/>
    </row>
    <row r="666" spans="1:318" s="1154" customFormat="1" ht="15" customHeight="1">
      <c r="A666" s="1711"/>
      <c r="B666" s="1711"/>
      <c r="C666" s="1528"/>
      <c r="D666" s="1528"/>
      <c r="E666" s="1528"/>
      <c r="F666" s="1167"/>
      <c r="H666" s="1168" t="s">
        <v>109</v>
      </c>
      <c r="J666" s="1697">
        <f>DI619</f>
        <v>0</v>
      </c>
      <c r="K666" s="1697">
        <f>DJ619</f>
        <v>0</v>
      </c>
      <c r="L666" s="1697">
        <f>DK619</f>
        <v>0</v>
      </c>
      <c r="M666" s="1697">
        <f>DL619</f>
        <v>0</v>
      </c>
      <c r="N666" s="1697">
        <f>DM619</f>
        <v>0</v>
      </c>
      <c r="O666" s="1697">
        <f t="shared" si="352"/>
        <v>0</v>
      </c>
      <c r="R666" s="1519"/>
      <c r="S666" s="1519"/>
      <c r="T666" s="1519"/>
      <c r="U666" s="1519"/>
      <c r="V666" s="1519"/>
      <c r="W666" s="1167"/>
      <c r="Z666" s="1167"/>
      <c r="AA666" s="1168"/>
      <c r="AB666" s="1167"/>
      <c r="AE666" s="1167"/>
      <c r="AF666" s="1168"/>
      <c r="AG666" s="1167"/>
      <c r="AJ666" s="1167"/>
      <c r="AK666" s="1168"/>
      <c r="AL666" s="1167"/>
      <c r="AO666" s="1167"/>
      <c r="AP666" s="1168"/>
      <c r="AQ666" s="305"/>
      <c r="AR666" s="305"/>
      <c r="AS666" s="305"/>
      <c r="AT666" s="305"/>
      <c r="AU666" s="305"/>
      <c r="AV666" s="305"/>
      <c r="AW666" s="1168"/>
      <c r="AX666" s="1167"/>
      <c r="BA666" s="305"/>
      <c r="BB666" s="1168"/>
      <c r="BC666" s="1167"/>
      <c r="JV666" s="1525"/>
      <c r="KA666" s="1525"/>
      <c r="KB666" s="1525"/>
      <c r="KC666" s="1525"/>
      <c r="KD666" s="1525"/>
      <c r="KE666" s="1525"/>
      <c r="KF666" s="1525"/>
      <c r="KG666" s="1525"/>
      <c r="KH666" s="1525"/>
      <c r="KI666" s="1525"/>
      <c r="KJ666" s="1525"/>
      <c r="KK666" s="1525"/>
      <c r="KL666" s="1525"/>
      <c r="KM666" s="1525"/>
      <c r="KN666" s="1525"/>
      <c r="KO666" s="1525"/>
      <c r="KP666" s="1525"/>
      <c r="KQ666" s="1525"/>
      <c r="KR666" s="1525"/>
      <c r="KS666" s="1525"/>
      <c r="KT666" s="1525"/>
      <c r="KU666" s="1525"/>
      <c r="KV666" s="1525"/>
      <c r="KW666" s="1525"/>
      <c r="KX666" s="1525"/>
      <c r="KY666" s="1525"/>
      <c r="KZ666" s="1525"/>
      <c r="LA666" s="1525"/>
      <c r="LB666" s="1525"/>
      <c r="LC666" s="1525"/>
      <c r="LD666" s="1525"/>
      <c r="LE666" s="1525"/>
      <c r="LF666" s="1525"/>
    </row>
    <row r="667" spans="1:318" s="1154" customFormat="1" ht="15" customHeight="1">
      <c r="A667" s="1711"/>
      <c r="B667" s="1711"/>
      <c r="C667" s="1528"/>
      <c r="D667" s="1528"/>
      <c r="E667" s="1528"/>
      <c r="F667" s="1167"/>
      <c r="H667" s="1168" t="s">
        <v>3386</v>
      </c>
      <c r="J667" s="1697">
        <f>DD619</f>
        <v>0</v>
      </c>
      <c r="K667" s="1697">
        <f>DE619</f>
        <v>0</v>
      </c>
      <c r="L667" s="1697">
        <f>DF619</f>
        <v>0</v>
      </c>
      <c r="M667" s="1697">
        <f>DG619</f>
        <v>0</v>
      </c>
      <c r="N667" s="1697">
        <f>DH619</f>
        <v>0</v>
      </c>
      <c r="O667" s="1697">
        <f t="shared" si="352"/>
        <v>0</v>
      </c>
      <c r="R667" s="1519"/>
      <c r="S667" s="1519"/>
      <c r="T667" s="1519"/>
      <c r="U667" s="1519"/>
      <c r="V667" s="1519"/>
      <c r="W667" s="1167"/>
      <c r="Z667" s="1167"/>
      <c r="AA667" s="1168"/>
      <c r="AB667" s="1167"/>
      <c r="AE667" s="1167"/>
      <c r="AF667" s="1168"/>
      <c r="AG667" s="1167"/>
      <c r="AJ667" s="1167"/>
      <c r="AK667" s="1168"/>
      <c r="AL667" s="1167"/>
      <c r="AO667" s="1167"/>
      <c r="AP667" s="1168"/>
      <c r="AQ667" s="305"/>
      <c r="AR667" s="305"/>
      <c r="AS667" s="305"/>
      <c r="AT667" s="305"/>
      <c r="AU667" s="305"/>
      <c r="AV667" s="305"/>
      <c r="AW667" s="1168"/>
      <c r="AX667" s="1167"/>
      <c r="BA667" s="305"/>
      <c r="BB667" s="1168"/>
      <c r="BC667" s="1167"/>
      <c r="JV667" s="1525"/>
      <c r="KA667" s="1525"/>
      <c r="KB667" s="1525"/>
      <c r="KC667" s="1525"/>
      <c r="KD667" s="1525"/>
      <c r="KE667" s="1525"/>
      <c r="KF667" s="1525"/>
      <c r="KG667" s="1525"/>
      <c r="KH667" s="1525"/>
      <c r="KI667" s="1525"/>
      <c r="KJ667" s="1525"/>
      <c r="KK667" s="1525"/>
      <c r="KL667" s="1525"/>
      <c r="KM667" s="1525"/>
      <c r="KN667" s="1525"/>
      <c r="KO667" s="1525"/>
      <c r="KP667" s="1525"/>
      <c r="KQ667" s="1525"/>
      <c r="KR667" s="1525"/>
      <c r="KS667" s="1525"/>
      <c r="KT667" s="1525"/>
      <c r="KU667" s="1525"/>
      <c r="KV667" s="1525"/>
      <c r="KW667" s="1525"/>
      <c r="KX667" s="1525"/>
      <c r="KY667" s="1525"/>
      <c r="KZ667" s="1525"/>
      <c r="LA667" s="1525"/>
      <c r="LB667" s="1525"/>
      <c r="LC667" s="1525"/>
      <c r="LD667" s="1525"/>
      <c r="LE667" s="1525"/>
      <c r="LF667" s="1525"/>
    </row>
    <row r="668" spans="1:318" s="1154" customFormat="1" ht="15" customHeight="1">
      <c r="A668" s="1711"/>
      <c r="B668" s="1711"/>
      <c r="C668" s="1528"/>
      <c r="D668" s="1528"/>
      <c r="E668" s="1528"/>
      <c r="F668" s="1167"/>
      <c r="H668" s="1168" t="s">
        <v>3387</v>
      </c>
      <c r="J668" s="1697">
        <f>CY619</f>
        <v>0</v>
      </c>
      <c r="K668" s="1697">
        <f>CZ619</f>
        <v>0</v>
      </c>
      <c r="L668" s="1697">
        <f>DA619</f>
        <v>0</v>
      </c>
      <c r="M668" s="1697">
        <f>DB619</f>
        <v>0</v>
      </c>
      <c r="N668" s="1697">
        <f>DC619</f>
        <v>0</v>
      </c>
      <c r="O668" s="1697">
        <f t="shared" si="352"/>
        <v>0</v>
      </c>
      <c r="R668" s="1519"/>
      <c r="S668" s="1519"/>
      <c r="T668" s="1519"/>
      <c r="U668" s="1519"/>
      <c r="V668" s="1519"/>
      <c r="W668" s="1167"/>
      <c r="Z668" s="1167"/>
      <c r="AA668" s="1168"/>
      <c r="AB668" s="1167"/>
      <c r="AE668" s="1167"/>
      <c r="AF668" s="1168"/>
      <c r="AG668" s="1167"/>
      <c r="AJ668" s="1167"/>
      <c r="AK668" s="1168"/>
      <c r="AL668" s="1167"/>
      <c r="AO668" s="1167"/>
      <c r="AP668" s="1168"/>
      <c r="AQ668" s="305"/>
      <c r="AR668" s="305"/>
      <c r="AS668" s="305"/>
      <c r="AT668" s="305"/>
      <c r="AU668" s="305"/>
      <c r="AV668" s="305"/>
      <c r="AW668" s="1168"/>
      <c r="AX668" s="1167"/>
      <c r="BA668" s="305"/>
      <c r="BB668" s="1168"/>
      <c r="BC668" s="1167"/>
      <c r="JV668" s="1525"/>
      <c r="KA668" s="1525"/>
      <c r="KB668" s="1525"/>
      <c r="KC668" s="1525"/>
      <c r="KD668" s="1525"/>
      <c r="KE668" s="1525"/>
      <c r="KF668" s="1525"/>
      <c r="KG668" s="1525"/>
      <c r="KH668" s="1525"/>
      <c r="KI668" s="1525"/>
      <c r="KJ668" s="1525"/>
      <c r="KK668" s="1525"/>
      <c r="KL668" s="1525"/>
      <c r="KM668" s="1525"/>
      <c r="KN668" s="1525"/>
      <c r="KO668" s="1525"/>
      <c r="KP668" s="1525"/>
      <c r="KQ668" s="1525"/>
      <c r="KR668" s="1525"/>
      <c r="KS668" s="1525"/>
      <c r="KT668" s="1525"/>
      <c r="KU668" s="1525"/>
      <c r="KV668" s="1525"/>
      <c r="KW668" s="1525"/>
      <c r="KX668" s="1525"/>
      <c r="KY668" s="1525"/>
      <c r="KZ668" s="1525"/>
      <c r="LA668" s="1525"/>
      <c r="LB668" s="1525"/>
      <c r="LC668" s="1525"/>
      <c r="LD668" s="1525"/>
      <c r="LE668" s="1525"/>
      <c r="LF668" s="1525"/>
    </row>
    <row r="669" spans="1:318" s="1154" customFormat="1" ht="15" customHeight="1">
      <c r="A669" s="1711"/>
      <c r="B669" s="1711"/>
      <c r="C669" s="1528"/>
      <c r="D669" s="1528"/>
      <c r="E669" s="1528"/>
      <c r="F669" s="1167"/>
      <c r="H669" s="1168" t="s">
        <v>3388</v>
      </c>
      <c r="J669" s="1710">
        <f>CT619</f>
        <v>0</v>
      </c>
      <c r="K669" s="1710">
        <f>CU619</f>
        <v>0</v>
      </c>
      <c r="L669" s="1710">
        <f>CV619</f>
        <v>0</v>
      </c>
      <c r="M669" s="1710">
        <f>CW619</f>
        <v>0</v>
      </c>
      <c r="N669" s="1710">
        <f>CX619</f>
        <v>0</v>
      </c>
      <c r="O669" s="1697">
        <f t="shared" si="352"/>
        <v>0</v>
      </c>
      <c r="R669" s="1519"/>
      <c r="S669" s="1519"/>
      <c r="T669" s="1519"/>
      <c r="U669" s="1519"/>
      <c r="V669" s="1519"/>
      <c r="W669" s="1168"/>
      <c r="Z669" s="1167"/>
      <c r="AA669" s="1168"/>
      <c r="AB669" s="1168"/>
      <c r="AE669" s="1167"/>
      <c r="AF669" s="1168"/>
      <c r="AG669" s="1168"/>
      <c r="AJ669" s="1167"/>
      <c r="AK669" s="1168"/>
      <c r="AL669" s="1168"/>
      <c r="AO669" s="1167"/>
      <c r="AP669" s="1168"/>
      <c r="AQ669" s="305"/>
      <c r="AR669" s="305"/>
      <c r="AS669" s="305"/>
      <c r="AT669" s="305"/>
      <c r="AU669" s="305"/>
      <c r="AV669" s="305"/>
      <c r="AW669" s="1168"/>
      <c r="AX669" s="1167"/>
      <c r="BA669" s="305"/>
      <c r="BB669" s="1168"/>
      <c r="BC669" s="1167"/>
      <c r="JV669" s="1525"/>
      <c r="KA669" s="1525"/>
      <c r="KB669" s="1525"/>
      <c r="KC669" s="1525"/>
      <c r="KD669" s="1525"/>
      <c r="KE669" s="1525"/>
      <c r="KF669" s="1525"/>
      <c r="KG669" s="1525"/>
      <c r="KH669" s="1525"/>
      <c r="KI669" s="1525"/>
      <c r="KJ669" s="1525"/>
      <c r="KK669" s="1525"/>
      <c r="KL669" s="1525"/>
      <c r="KM669" s="1525"/>
      <c r="KN669" s="1525"/>
      <c r="KO669" s="1525"/>
      <c r="KP669" s="1525"/>
      <c r="KQ669" s="1525"/>
      <c r="KR669" s="1525"/>
      <c r="KS669" s="1525"/>
      <c r="KT669" s="1525"/>
      <c r="KU669" s="1525"/>
      <c r="KV669" s="1525"/>
      <c r="KW669" s="1525"/>
      <c r="KX669" s="1525"/>
      <c r="KY669" s="1525"/>
      <c r="KZ669" s="1525"/>
      <c r="LA669" s="1525"/>
      <c r="LB669" s="1525"/>
      <c r="LC669" s="1525"/>
      <c r="LD669" s="1525"/>
      <c r="LE669" s="1525"/>
      <c r="LF669" s="1525"/>
    </row>
    <row r="670" spans="1:318" s="1154" customFormat="1" ht="15" customHeight="1">
      <c r="A670" s="1711"/>
      <c r="B670" s="1711"/>
      <c r="D670" s="1167"/>
      <c r="E670" s="1659"/>
      <c r="F670" s="1167"/>
      <c r="H670" s="1168" t="s">
        <v>503</v>
      </c>
      <c r="J670" s="1697">
        <f>SUM(J663:J669)</f>
        <v>0</v>
      </c>
      <c r="K670" s="1697">
        <f>SUM(K663:K669)</f>
        <v>0</v>
      </c>
      <c r="L670" s="1697">
        <f>SUM(L663:L669)</f>
        <v>0</v>
      </c>
      <c r="M670" s="1697">
        <f>SUM(M663:M669)</f>
        <v>0</v>
      </c>
      <c r="N670" s="1697">
        <f>SUM(N663:N669)</f>
        <v>0</v>
      </c>
      <c r="O670" s="1697">
        <f t="shared" si="352"/>
        <v>0</v>
      </c>
      <c r="R670" s="1519"/>
      <c r="S670" s="1519"/>
      <c r="T670" s="1519"/>
      <c r="U670" s="1519"/>
      <c r="V670" s="1519"/>
      <c r="W670" s="1167"/>
      <c r="Z670" s="1167"/>
      <c r="AA670" s="1168"/>
      <c r="AB670" s="1167"/>
      <c r="AE670" s="1167"/>
      <c r="AF670" s="1168"/>
      <c r="AG670" s="1167"/>
      <c r="AJ670" s="1167"/>
      <c r="AK670" s="1168"/>
      <c r="AL670" s="1167"/>
      <c r="AO670" s="1167"/>
      <c r="AP670" s="1168"/>
      <c r="AQ670" s="305"/>
      <c r="AR670" s="305"/>
      <c r="AS670" s="305"/>
      <c r="AT670" s="305"/>
      <c r="AU670" s="305"/>
      <c r="AV670" s="305"/>
      <c r="AW670" s="1168"/>
      <c r="AX670" s="1167"/>
      <c r="BA670" s="305"/>
      <c r="BB670" s="1168"/>
      <c r="BC670" s="1167"/>
      <c r="JV670" s="1525"/>
      <c r="KA670" s="1525"/>
      <c r="KB670" s="1525"/>
      <c r="KC670" s="1525"/>
      <c r="KD670" s="1525"/>
      <c r="KE670" s="1525"/>
      <c r="KF670" s="1525"/>
      <c r="KG670" s="1525"/>
      <c r="KH670" s="1525"/>
      <c r="KI670" s="1525"/>
      <c r="KJ670" s="1525"/>
      <c r="KK670" s="1525"/>
      <c r="KL670" s="1525"/>
      <c r="KM670" s="1525"/>
      <c r="KN670" s="1525"/>
      <c r="KO670" s="1525"/>
      <c r="KP670" s="1525"/>
      <c r="KQ670" s="1525"/>
      <c r="KR670" s="1525"/>
      <c r="KS670" s="1525"/>
      <c r="KT670" s="1525"/>
      <c r="KU670" s="1525"/>
      <c r="KV670" s="1525"/>
      <c r="KW670" s="1525"/>
      <c r="KX670" s="1525"/>
      <c r="KY670" s="1525"/>
      <c r="KZ670" s="1525"/>
      <c r="LA670" s="1525"/>
      <c r="LB670" s="1525"/>
      <c r="LC670" s="1525"/>
      <c r="LD670" s="1525"/>
      <c r="LE670" s="1525"/>
      <c r="LF670" s="1525"/>
    </row>
    <row r="671" spans="1:318" s="1154" customFormat="1" ht="9" customHeight="1">
      <c r="A671" s="1711"/>
      <c r="B671" s="1711"/>
      <c r="D671" s="1527"/>
      <c r="E671" s="1659"/>
      <c r="F671" s="1167"/>
      <c r="H671" s="1168"/>
      <c r="J671" s="1703"/>
      <c r="K671" s="1703"/>
      <c r="L671" s="1703"/>
      <c r="M671" s="1703"/>
      <c r="N671" s="1703"/>
      <c r="O671" s="1703"/>
      <c r="R671" s="1709"/>
      <c r="T671" s="1657"/>
      <c r="W671" s="1167"/>
      <c r="Z671" s="1167"/>
      <c r="AA671" s="1168"/>
      <c r="AB671" s="1167"/>
      <c r="AE671" s="1167"/>
      <c r="AF671" s="1168"/>
      <c r="AG671" s="1167"/>
      <c r="AJ671" s="1167"/>
      <c r="AK671" s="1168"/>
      <c r="AL671" s="1167"/>
      <c r="AO671" s="1167"/>
      <c r="AP671" s="1168"/>
      <c r="AQ671" s="1167"/>
      <c r="AR671" s="1167"/>
      <c r="AS671" s="1167"/>
      <c r="AT671" s="1167"/>
      <c r="AU671" s="1167"/>
      <c r="AV671" s="1167"/>
      <c r="AX671" s="1167"/>
      <c r="BA671" s="1167"/>
      <c r="BC671" s="1167"/>
      <c r="JV671" s="1525"/>
      <c r="KA671" s="1525"/>
      <c r="KB671" s="1525"/>
      <c r="KC671" s="1525"/>
      <c r="KD671" s="1525"/>
      <c r="KE671" s="1525"/>
      <c r="KF671" s="1525"/>
      <c r="KG671" s="1525"/>
      <c r="KH671" s="1525"/>
      <c r="KI671" s="1525"/>
      <c r="KJ671" s="1525"/>
      <c r="KK671" s="1525"/>
      <c r="KL671" s="1525"/>
      <c r="KM671" s="1525"/>
      <c r="KN671" s="1525"/>
      <c r="KO671" s="1525"/>
      <c r="KP671" s="1525"/>
      <c r="KQ671" s="1525"/>
      <c r="KR671" s="1525"/>
      <c r="KS671" s="1525"/>
      <c r="KT671" s="1525"/>
      <c r="KU671" s="1525"/>
      <c r="KV671" s="1525"/>
      <c r="KW671" s="1525"/>
      <c r="KX671" s="1525"/>
      <c r="KY671" s="1525"/>
      <c r="KZ671" s="1525"/>
      <c r="LA671" s="1525"/>
      <c r="LB671" s="1525"/>
      <c r="LC671" s="1525"/>
      <c r="LD671" s="1525"/>
      <c r="LE671" s="1525"/>
      <c r="LF671" s="1525"/>
    </row>
    <row r="672" spans="1:318" s="1154" customFormat="1" ht="14.25" customHeight="1">
      <c r="A672" s="1711"/>
      <c r="B672" s="1711"/>
      <c r="C672" s="1519" t="s">
        <v>33</v>
      </c>
      <c r="D672" s="1519"/>
      <c r="E672" s="1659" t="s">
        <v>2039</v>
      </c>
      <c r="F672" s="1167"/>
      <c r="H672" s="1168" t="s">
        <v>1314</v>
      </c>
      <c r="J672" s="1697">
        <f>GF619</f>
        <v>0</v>
      </c>
      <c r="K672" s="1697">
        <f>GG619</f>
        <v>0</v>
      </c>
      <c r="L672" s="1697">
        <f>GH619</f>
        <v>0</v>
      </c>
      <c r="M672" s="1697">
        <f>GI619</f>
        <v>0</v>
      </c>
      <c r="N672" s="1697">
        <f>GJ619</f>
        <v>0</v>
      </c>
      <c r="O672" s="1697">
        <f t="shared" ref="O672:O682" si="353">SUM(J672:N672)</f>
        <v>0</v>
      </c>
      <c r="R672" s="1519"/>
      <c r="S672" s="1519"/>
      <c r="T672" s="1519"/>
      <c r="U672" s="1519"/>
      <c r="V672" s="1519"/>
      <c r="W672" s="1167"/>
      <c r="Z672" s="1167"/>
      <c r="AA672" s="1168"/>
      <c r="AB672" s="1167"/>
      <c r="AE672" s="1167"/>
      <c r="AF672" s="1168"/>
      <c r="AG672" s="1167"/>
      <c r="AJ672" s="1167"/>
      <c r="AK672" s="1168"/>
      <c r="AL672" s="1167"/>
      <c r="AO672" s="1167"/>
      <c r="AP672" s="1168"/>
      <c r="AQ672" s="305"/>
      <c r="AR672" s="305"/>
      <c r="AS672" s="305"/>
      <c r="AT672" s="305"/>
      <c r="AU672" s="305"/>
      <c r="AV672" s="305"/>
      <c r="BA672" s="305"/>
    </row>
    <row r="673" spans="1:318" s="1154" customFormat="1" ht="14.25" customHeight="1">
      <c r="A673" s="1711"/>
      <c r="B673" s="1711"/>
      <c r="C673" s="1519"/>
      <c r="D673" s="1519"/>
      <c r="E673" s="1659"/>
      <c r="F673" s="1167"/>
      <c r="H673" s="1168" t="s">
        <v>282</v>
      </c>
      <c r="J673" s="1697">
        <f>GK619</f>
        <v>0</v>
      </c>
      <c r="K673" s="1697">
        <f>GL619</f>
        <v>0</v>
      </c>
      <c r="L673" s="1697">
        <f>GM619</f>
        <v>0</v>
      </c>
      <c r="M673" s="1697">
        <f>GN619</f>
        <v>0</v>
      </c>
      <c r="N673" s="1697">
        <f>GO619</f>
        <v>0</v>
      </c>
      <c r="O673" s="1697">
        <f t="shared" si="353"/>
        <v>0</v>
      </c>
      <c r="R673" s="1519"/>
      <c r="S673" s="1519"/>
      <c r="T673" s="1519"/>
      <c r="U673" s="1519"/>
      <c r="V673" s="1519"/>
      <c r="W673" s="1167"/>
      <c r="Z673" s="1167"/>
      <c r="AA673" s="1168"/>
      <c r="AB673" s="1167"/>
      <c r="AE673" s="1167"/>
      <c r="AF673" s="1168"/>
      <c r="AG673" s="1167"/>
      <c r="AJ673" s="1167"/>
      <c r="AK673" s="1168"/>
      <c r="AL673" s="1167"/>
      <c r="AO673" s="1167"/>
      <c r="AP673" s="1168"/>
      <c r="AQ673" s="305"/>
      <c r="AR673" s="305"/>
      <c r="AS673" s="305"/>
      <c r="AT673" s="305"/>
      <c r="AU673" s="305"/>
      <c r="AV673" s="305"/>
      <c r="AW673" s="1186"/>
      <c r="AX673" s="1167"/>
      <c r="BA673" s="305"/>
      <c r="BB673" s="1186"/>
      <c r="BC673" s="1167"/>
      <c r="JV673" s="1525"/>
      <c r="KA673" s="1525"/>
      <c r="KB673" s="1525"/>
      <c r="KC673" s="1525"/>
      <c r="KD673" s="1525"/>
      <c r="KE673" s="1525"/>
      <c r="KF673" s="1525"/>
      <c r="KG673" s="1525"/>
      <c r="KH673" s="1525"/>
      <c r="KI673" s="1525"/>
      <c r="KJ673" s="1525"/>
      <c r="KK673" s="1525"/>
      <c r="KL673" s="1525"/>
      <c r="KM673" s="1525"/>
      <c r="KN673" s="1525"/>
      <c r="KO673" s="1525"/>
      <c r="KP673" s="1525"/>
      <c r="KQ673" s="1525"/>
      <c r="KR673" s="1525"/>
      <c r="KS673" s="1525"/>
      <c r="KT673" s="1525"/>
      <c r="KU673" s="1525"/>
      <c r="KV673" s="1525"/>
      <c r="KW673" s="1525"/>
      <c r="KX673" s="1525"/>
      <c r="KY673" s="1525"/>
      <c r="KZ673" s="1525"/>
      <c r="LA673" s="1525"/>
      <c r="LB673" s="1525"/>
      <c r="LC673" s="1525"/>
      <c r="LD673" s="1525"/>
      <c r="LE673" s="1525"/>
      <c r="LF673" s="1525"/>
    </row>
    <row r="674" spans="1:318" s="1154" customFormat="1" ht="14.25" customHeight="1">
      <c r="A674" s="1711"/>
      <c r="B674" s="1711"/>
      <c r="C674" s="1519"/>
      <c r="D674" s="1519"/>
      <c r="E674" s="1659"/>
      <c r="F674" s="1167"/>
      <c r="H674" s="1168" t="s">
        <v>29</v>
      </c>
      <c r="J674" s="1697">
        <f>SUM(J672:J673)+GP619</f>
        <v>0</v>
      </c>
      <c r="K674" s="1697">
        <f>SUM(K672:K673)+GQ619</f>
        <v>0</v>
      </c>
      <c r="L674" s="1697">
        <f>SUM(L672:L673)+GR619</f>
        <v>0</v>
      </c>
      <c r="M674" s="1697">
        <f>SUM(M672:M673)+GS619</f>
        <v>0</v>
      </c>
      <c r="N674" s="1697">
        <f>SUM(N672:N673)+GT619</f>
        <v>0</v>
      </c>
      <c r="O674" s="1697">
        <f t="shared" si="353"/>
        <v>0</v>
      </c>
      <c r="R674" s="1519"/>
      <c r="S674" s="1519"/>
      <c r="T674" s="1519"/>
      <c r="U674" s="1519"/>
      <c r="V674" s="1519"/>
      <c r="W674" s="1167"/>
      <c r="Z674" s="1167"/>
      <c r="AA674" s="1168"/>
      <c r="AB674" s="1167"/>
      <c r="AE674" s="1167"/>
      <c r="AF674" s="1168"/>
      <c r="AG674" s="1167"/>
      <c r="AJ674" s="1167"/>
      <c r="AK674" s="1168"/>
      <c r="AL674" s="1167"/>
      <c r="AO674" s="1167"/>
      <c r="AP674" s="1168"/>
      <c r="AQ674" s="305"/>
      <c r="AR674" s="305"/>
      <c r="AS674" s="305"/>
      <c r="AT674" s="305"/>
      <c r="AU674" s="305"/>
      <c r="AV674" s="305"/>
      <c r="AW674" s="1168"/>
      <c r="AX674" s="1167"/>
      <c r="BA674" s="305"/>
      <c r="BB674" s="1168"/>
      <c r="BC674" s="1167"/>
      <c r="JV674" s="1525"/>
      <c r="KA674" s="1525"/>
      <c r="KB674" s="1525"/>
      <c r="KC674" s="1525"/>
      <c r="KD674" s="1525"/>
      <c r="KE674" s="1525"/>
      <c r="KF674" s="1525"/>
      <c r="KG674" s="1525"/>
      <c r="KH674" s="1525"/>
      <c r="KI674" s="1525"/>
      <c r="KJ674" s="1525"/>
      <c r="KK674" s="1525"/>
      <c r="KL674" s="1525"/>
      <c r="KM674" s="1525"/>
      <c r="KN674" s="1525"/>
      <c r="KO674" s="1525"/>
      <c r="KP674" s="1525"/>
      <c r="KQ674" s="1525"/>
      <c r="KR674" s="1525"/>
      <c r="KS674" s="1525"/>
      <c r="KT674" s="1525"/>
      <c r="KU674" s="1525"/>
      <c r="KV674" s="1525"/>
      <c r="KW674" s="1525"/>
      <c r="KX674" s="1525"/>
      <c r="KY674" s="1525"/>
      <c r="KZ674" s="1525"/>
      <c r="LA674" s="1525"/>
      <c r="LB674" s="1525"/>
      <c r="LC674" s="1525"/>
      <c r="LD674" s="1525"/>
      <c r="LE674" s="1525"/>
      <c r="LF674" s="1525"/>
    </row>
    <row r="675" spans="1:318" s="1154" customFormat="1" ht="14.25" customHeight="1">
      <c r="A675" s="1711"/>
      <c r="B675" s="1711"/>
      <c r="C675" s="1519"/>
      <c r="D675" s="1519"/>
      <c r="E675" s="1659" t="s">
        <v>1903</v>
      </c>
      <c r="F675" s="1167"/>
      <c r="H675" s="1168" t="s">
        <v>1314</v>
      </c>
      <c r="J675" s="1697">
        <f>GU619</f>
        <v>0</v>
      </c>
      <c r="K675" s="1697">
        <f>GV619</f>
        <v>0</v>
      </c>
      <c r="L675" s="1697">
        <f>GW619</f>
        <v>0</v>
      </c>
      <c r="M675" s="1697">
        <f>GX619</f>
        <v>0</v>
      </c>
      <c r="N675" s="1697">
        <f>GY619</f>
        <v>0</v>
      </c>
      <c r="O675" s="1697">
        <f t="shared" si="353"/>
        <v>0</v>
      </c>
      <c r="R675" s="1519"/>
      <c r="S675" s="1519"/>
      <c r="T675" s="1519"/>
      <c r="U675" s="1519"/>
      <c r="V675" s="1519"/>
      <c r="W675" s="1167"/>
      <c r="Z675" s="1167"/>
      <c r="AA675" s="1168"/>
      <c r="AB675" s="1167"/>
      <c r="AE675" s="1167"/>
      <c r="AF675" s="1168"/>
      <c r="AG675" s="1167"/>
      <c r="AJ675" s="1167"/>
      <c r="AK675" s="1168"/>
      <c r="AL675" s="1167"/>
      <c r="AO675" s="1167"/>
      <c r="AP675" s="1168"/>
      <c r="AQ675" s="305"/>
      <c r="AR675" s="305"/>
      <c r="AS675" s="305"/>
      <c r="AT675" s="305"/>
      <c r="AU675" s="305"/>
      <c r="AV675" s="305"/>
      <c r="BA675" s="305"/>
    </row>
    <row r="676" spans="1:318" s="1154" customFormat="1" ht="14.25" customHeight="1">
      <c r="A676" s="1711"/>
      <c r="B676" s="1711"/>
      <c r="C676" s="1519"/>
      <c r="D676" s="1519"/>
      <c r="E676" s="1659"/>
      <c r="F676" s="1167"/>
      <c r="H676" s="1168" t="s">
        <v>282</v>
      </c>
      <c r="J676" s="1697">
        <f>GZ619</f>
        <v>0</v>
      </c>
      <c r="K676" s="1697">
        <f>HA619</f>
        <v>0</v>
      </c>
      <c r="L676" s="1697">
        <f>HB619</f>
        <v>0</v>
      </c>
      <c r="M676" s="1697">
        <f>HC619</f>
        <v>0</v>
      </c>
      <c r="N676" s="1697">
        <f>HD619</f>
        <v>0</v>
      </c>
      <c r="O676" s="1697">
        <f t="shared" si="353"/>
        <v>0</v>
      </c>
      <c r="R676" s="1519"/>
      <c r="S676" s="1519"/>
      <c r="T676" s="1519"/>
      <c r="U676" s="1519"/>
      <c r="V676" s="1519"/>
      <c r="W676" s="1167"/>
      <c r="Z676" s="1167"/>
      <c r="AA676" s="1168"/>
      <c r="AB676" s="1167"/>
      <c r="AE676" s="1167"/>
      <c r="AF676" s="1168"/>
      <c r="AG676" s="1167"/>
      <c r="AJ676" s="1167"/>
      <c r="AK676" s="1168"/>
      <c r="AL676" s="1167"/>
      <c r="AO676" s="1167"/>
      <c r="AP676" s="1168"/>
      <c r="AQ676" s="305"/>
      <c r="AR676" s="305"/>
      <c r="AS676" s="305"/>
      <c r="AT676" s="305"/>
      <c r="AU676" s="305"/>
      <c r="AV676" s="305"/>
      <c r="AW676" s="1186"/>
      <c r="AX676" s="1167"/>
      <c r="BA676" s="305"/>
      <c r="BB676" s="1186"/>
      <c r="BC676" s="1167"/>
      <c r="JV676" s="1525"/>
      <c r="KA676" s="1525"/>
      <c r="KB676" s="1525"/>
      <c r="KC676" s="1525"/>
      <c r="KD676" s="1525"/>
      <c r="KE676" s="1525"/>
      <c r="KF676" s="1525"/>
      <c r="KG676" s="1525"/>
      <c r="KH676" s="1525"/>
      <c r="KI676" s="1525"/>
      <c r="KJ676" s="1525"/>
      <c r="KK676" s="1525"/>
      <c r="KL676" s="1525"/>
      <c r="KM676" s="1525"/>
      <c r="KN676" s="1525"/>
      <c r="KO676" s="1525"/>
      <c r="KP676" s="1525"/>
      <c r="KQ676" s="1525"/>
      <c r="KR676" s="1525"/>
      <c r="KS676" s="1525"/>
      <c r="KT676" s="1525"/>
      <c r="KU676" s="1525"/>
      <c r="KV676" s="1525"/>
      <c r="KW676" s="1525"/>
      <c r="KX676" s="1525"/>
      <c r="KY676" s="1525"/>
      <c r="KZ676" s="1525"/>
      <c r="LA676" s="1525"/>
      <c r="LB676" s="1525"/>
      <c r="LC676" s="1525"/>
      <c r="LD676" s="1525"/>
      <c r="LE676" s="1525"/>
      <c r="LF676" s="1525"/>
    </row>
    <row r="677" spans="1:318" s="1154" customFormat="1" ht="14.25" customHeight="1">
      <c r="A677" s="1711"/>
      <c r="B677" s="1711"/>
      <c r="C677" s="1519"/>
      <c r="D677" s="1519"/>
      <c r="E677" s="1659"/>
      <c r="F677" s="1167"/>
      <c r="H677" s="1168" t="s">
        <v>29</v>
      </c>
      <c r="J677" s="1697">
        <f>SUM(J675:J676)+HE619</f>
        <v>0</v>
      </c>
      <c r="K677" s="1697">
        <f>SUM(K675:K676)+HF619</f>
        <v>0</v>
      </c>
      <c r="L677" s="1697">
        <f>SUM(L675:L676)+HG619</f>
        <v>0</v>
      </c>
      <c r="M677" s="1697">
        <f>SUM(M675:M676)+HH619</f>
        <v>0</v>
      </c>
      <c r="N677" s="1697">
        <f>SUM(N675:N676)+HI619</f>
        <v>0</v>
      </c>
      <c r="O677" s="1697">
        <f t="shared" si="353"/>
        <v>0</v>
      </c>
      <c r="R677" s="1519"/>
      <c r="S677" s="1519"/>
      <c r="T677" s="1519"/>
      <c r="U677" s="1519"/>
      <c r="V677" s="1519"/>
      <c r="W677" s="1167"/>
      <c r="Z677" s="1167"/>
      <c r="AA677" s="1168"/>
      <c r="AB677" s="1167"/>
      <c r="AE677" s="1167"/>
      <c r="AF677" s="1168"/>
      <c r="AG677" s="1167"/>
      <c r="AJ677" s="1167"/>
      <c r="AK677" s="1168"/>
      <c r="AL677" s="1167"/>
      <c r="AO677" s="1167"/>
      <c r="AP677" s="1168"/>
      <c r="AQ677" s="305"/>
      <c r="AR677" s="305"/>
      <c r="AS677" s="305"/>
      <c r="AT677" s="305"/>
      <c r="AU677" s="305"/>
      <c r="AV677" s="305"/>
      <c r="AW677" s="1168"/>
      <c r="AX677" s="1167"/>
      <c r="BA677" s="305"/>
      <c r="BB677" s="1168"/>
      <c r="BC677" s="1167"/>
      <c r="JV677" s="1525"/>
      <c r="KA677" s="1525"/>
      <c r="KB677" s="1525"/>
      <c r="KC677" s="1525"/>
      <c r="KD677" s="1525"/>
      <c r="KE677" s="1525"/>
      <c r="KF677" s="1525"/>
      <c r="KG677" s="1525"/>
      <c r="KH677" s="1525"/>
      <c r="KI677" s="1525"/>
      <c r="KJ677" s="1525"/>
      <c r="KK677" s="1525"/>
      <c r="KL677" s="1525"/>
      <c r="KM677" s="1525"/>
      <c r="KN677" s="1525"/>
      <c r="KO677" s="1525"/>
      <c r="KP677" s="1525"/>
      <c r="KQ677" s="1525"/>
      <c r="KR677" s="1525"/>
      <c r="KS677" s="1525"/>
      <c r="KT677" s="1525"/>
      <c r="KU677" s="1525"/>
      <c r="KV677" s="1525"/>
      <c r="KW677" s="1525"/>
      <c r="KX677" s="1525"/>
      <c r="KY677" s="1525"/>
      <c r="KZ677" s="1525"/>
      <c r="LA677" s="1525"/>
      <c r="LB677" s="1525"/>
      <c r="LC677" s="1525"/>
      <c r="LD677" s="1525"/>
      <c r="LE677" s="1525"/>
      <c r="LF677" s="1525"/>
    </row>
    <row r="678" spans="1:318" s="1154" customFormat="1" ht="14.25" customHeight="1">
      <c r="A678" s="1711"/>
      <c r="B678" s="1711"/>
      <c r="C678" s="1655"/>
      <c r="D678" s="1167"/>
      <c r="E678" s="1655" t="s">
        <v>1305</v>
      </c>
      <c r="F678" s="1655"/>
      <c r="H678" s="1168" t="s">
        <v>1314</v>
      </c>
      <c r="J678" s="1697">
        <f>HJ619</f>
        <v>0</v>
      </c>
      <c r="K678" s="1697">
        <f>HK619</f>
        <v>0</v>
      </c>
      <c r="L678" s="1697">
        <f>HL619</f>
        <v>0</v>
      </c>
      <c r="M678" s="1697">
        <f>HM619</f>
        <v>0</v>
      </c>
      <c r="N678" s="1697">
        <f>HN619</f>
        <v>0</v>
      </c>
      <c r="O678" s="1697">
        <f t="shared" si="353"/>
        <v>0</v>
      </c>
      <c r="R678" s="1519"/>
      <c r="S678" s="1519"/>
      <c r="T678" s="1519"/>
      <c r="U678" s="1519"/>
      <c r="V678" s="1519"/>
      <c r="W678" s="1167"/>
      <c r="Z678" s="1167"/>
      <c r="AA678" s="1168"/>
      <c r="AB678" s="1167"/>
      <c r="AE678" s="1167"/>
      <c r="AF678" s="1168"/>
      <c r="AG678" s="1167"/>
      <c r="AJ678" s="1167"/>
      <c r="AK678" s="1168"/>
      <c r="AL678" s="1167"/>
      <c r="AO678" s="1167"/>
      <c r="AP678" s="1168"/>
      <c r="AQ678" s="305"/>
      <c r="AR678" s="305"/>
      <c r="AS678" s="305"/>
      <c r="AT678" s="305"/>
      <c r="AU678" s="305"/>
      <c r="AV678" s="305"/>
      <c r="BA678" s="305"/>
    </row>
    <row r="679" spans="1:318" s="1154" customFormat="1" ht="14.25" customHeight="1">
      <c r="A679" s="1711"/>
      <c r="B679" s="1711"/>
      <c r="C679" s="1655"/>
      <c r="D679" s="1167"/>
      <c r="E679" s="1655"/>
      <c r="F679" s="1655"/>
      <c r="H679" s="1168" t="s">
        <v>282</v>
      </c>
      <c r="J679" s="1697">
        <f>HO619</f>
        <v>0</v>
      </c>
      <c r="K679" s="1697">
        <f>HP619</f>
        <v>0</v>
      </c>
      <c r="L679" s="1697">
        <f>HQ619</f>
        <v>0</v>
      </c>
      <c r="M679" s="1697">
        <f>HR619</f>
        <v>0</v>
      </c>
      <c r="N679" s="1697">
        <f>HS619</f>
        <v>0</v>
      </c>
      <c r="O679" s="1697">
        <f t="shared" si="353"/>
        <v>0</v>
      </c>
      <c r="R679" s="1519"/>
      <c r="S679" s="1519"/>
      <c r="T679" s="1519"/>
      <c r="U679" s="1519"/>
      <c r="V679" s="1519"/>
      <c r="W679" s="1167"/>
      <c r="Z679" s="1167"/>
      <c r="AA679" s="1168"/>
      <c r="AB679" s="1167"/>
      <c r="AE679" s="1167"/>
      <c r="AF679" s="1168"/>
      <c r="AG679" s="1167"/>
      <c r="AJ679" s="1167"/>
      <c r="AK679" s="1168"/>
      <c r="AL679" s="1167"/>
      <c r="AO679" s="1167"/>
      <c r="AP679" s="1168"/>
      <c r="AQ679" s="305"/>
      <c r="AR679" s="305"/>
      <c r="AS679" s="305"/>
      <c r="AT679" s="305"/>
      <c r="AU679" s="305"/>
      <c r="AV679" s="305"/>
      <c r="AW679" s="1186"/>
      <c r="AX679" s="1167"/>
      <c r="BA679" s="305"/>
      <c r="BB679" s="1186"/>
      <c r="BC679" s="1167"/>
      <c r="JV679" s="1525"/>
      <c r="KA679" s="1525"/>
      <c r="KB679" s="1525"/>
      <c r="KC679" s="1525"/>
      <c r="KD679" s="1525"/>
      <c r="KE679" s="1525"/>
      <c r="KF679" s="1525"/>
      <c r="KG679" s="1525"/>
      <c r="KH679" s="1525"/>
      <c r="KI679" s="1525"/>
      <c r="KJ679" s="1525"/>
      <c r="KK679" s="1525"/>
      <c r="KL679" s="1525"/>
      <c r="KM679" s="1525"/>
      <c r="KN679" s="1525"/>
      <c r="KO679" s="1525"/>
      <c r="KP679" s="1525"/>
      <c r="KQ679" s="1525"/>
      <c r="KR679" s="1525"/>
      <c r="KS679" s="1525"/>
      <c r="KT679" s="1525"/>
      <c r="KU679" s="1525"/>
      <c r="KV679" s="1525"/>
      <c r="KW679" s="1525"/>
      <c r="KX679" s="1525"/>
      <c r="KY679" s="1525"/>
      <c r="KZ679" s="1525"/>
      <c r="LA679" s="1525"/>
      <c r="LB679" s="1525"/>
      <c r="LC679" s="1525"/>
      <c r="LD679" s="1525"/>
      <c r="LE679" s="1525"/>
      <c r="LF679" s="1525"/>
    </row>
    <row r="680" spans="1:318" s="1154" customFormat="1" ht="14.25" customHeight="1">
      <c r="A680" s="1711"/>
      <c r="B680" s="1711"/>
      <c r="C680" s="1655"/>
      <c r="D680" s="1167"/>
      <c r="E680" s="1659"/>
      <c r="F680" s="1167"/>
      <c r="H680" s="1168" t="s">
        <v>29</v>
      </c>
      <c r="J680" s="1697">
        <f>SUM(J678:J679)+HT619</f>
        <v>0</v>
      </c>
      <c r="K680" s="1697">
        <f>SUM(K678:K679)+HU619</f>
        <v>0</v>
      </c>
      <c r="L680" s="1697">
        <f>SUM(L678:L679)+HV619</f>
        <v>0</v>
      </c>
      <c r="M680" s="1697">
        <f>SUM(M678:M679)+HW619</f>
        <v>0</v>
      </c>
      <c r="N680" s="1697">
        <f>SUM(N678:N679)+HX619</f>
        <v>0</v>
      </c>
      <c r="O680" s="1697">
        <f t="shared" si="353"/>
        <v>0</v>
      </c>
      <c r="R680" s="1519"/>
      <c r="S680" s="1519"/>
      <c r="T680" s="1519"/>
      <c r="U680" s="1519"/>
      <c r="V680" s="1519"/>
      <c r="W680" s="1167"/>
      <c r="Z680" s="1167"/>
      <c r="AA680" s="1168"/>
      <c r="AB680" s="1167"/>
      <c r="AE680" s="1167"/>
      <c r="AF680" s="1168"/>
      <c r="AG680" s="1167"/>
      <c r="AJ680" s="1167"/>
      <c r="AK680" s="1168"/>
      <c r="AL680" s="1167"/>
      <c r="AO680" s="1167"/>
      <c r="AP680" s="1168"/>
      <c r="AQ680" s="305"/>
      <c r="AR680" s="305"/>
      <c r="AS680" s="305"/>
      <c r="AT680" s="305"/>
      <c r="AU680" s="305"/>
      <c r="AV680" s="305"/>
      <c r="AW680" s="1168"/>
      <c r="AX680" s="1167"/>
      <c r="BA680" s="305"/>
      <c r="BB680" s="1168"/>
      <c r="BC680" s="1167"/>
      <c r="JV680" s="1525"/>
      <c r="KA680" s="1525"/>
      <c r="KB680" s="1525"/>
      <c r="KC680" s="1525"/>
      <c r="KD680" s="1525"/>
      <c r="KE680" s="1525"/>
      <c r="KF680" s="1525"/>
      <c r="KG680" s="1525"/>
      <c r="KH680" s="1525"/>
      <c r="KI680" s="1525"/>
      <c r="KJ680" s="1525"/>
      <c r="KK680" s="1525"/>
      <c r="KL680" s="1525"/>
      <c r="KM680" s="1525"/>
      <c r="KN680" s="1525"/>
      <c r="KO680" s="1525"/>
      <c r="KP680" s="1525"/>
      <c r="KQ680" s="1525"/>
      <c r="KR680" s="1525"/>
      <c r="KS680" s="1525"/>
      <c r="KT680" s="1525"/>
      <c r="KU680" s="1525"/>
      <c r="KV680" s="1525"/>
      <c r="KW680" s="1525"/>
      <c r="KX680" s="1525"/>
      <c r="KY680" s="1525"/>
      <c r="KZ680" s="1525"/>
      <c r="LA680" s="1525"/>
      <c r="LB680" s="1525"/>
      <c r="LC680" s="1525"/>
      <c r="LD680" s="1525"/>
      <c r="LE680" s="1525"/>
      <c r="LF680" s="1525"/>
    </row>
    <row r="681" spans="1:318" s="1154" customFormat="1" ht="14.25" customHeight="1">
      <c r="A681" s="1711"/>
      <c r="B681" s="1711"/>
      <c r="C681" s="1655"/>
      <c r="D681" s="1167"/>
      <c r="E681" s="1659" t="s">
        <v>343</v>
      </c>
      <c r="F681" s="1167"/>
      <c r="G681" s="1658"/>
      <c r="J681" s="1697">
        <f>'Part VI-Revenues &amp; Expenses'!J121</f>
        <v>0</v>
      </c>
      <c r="K681" s="1697">
        <f>'Part VI-Revenues &amp; Expenses'!K121</f>
        <v>0</v>
      </c>
      <c r="L681" s="1697">
        <f>'Part VI-Revenues &amp; Expenses'!L121</f>
        <v>0</v>
      </c>
      <c r="M681" s="1697">
        <f>'Part VI-Revenues &amp; Expenses'!M121</f>
        <v>0</v>
      </c>
      <c r="N681" s="1697">
        <f>'Part VI-Revenues &amp; Expenses'!N121</f>
        <v>0</v>
      </c>
      <c r="O681" s="1697">
        <f t="shared" si="353"/>
        <v>0</v>
      </c>
      <c r="R681" s="1519"/>
      <c r="S681" s="1519"/>
      <c r="T681" s="1519"/>
      <c r="U681" s="1519"/>
      <c r="V681" s="1519"/>
      <c r="W681" s="1167"/>
      <c r="Z681" s="1167"/>
      <c r="AA681" s="1168"/>
      <c r="AB681" s="1167"/>
      <c r="AE681" s="1167"/>
      <c r="AF681" s="1168"/>
      <c r="AG681" s="1167"/>
      <c r="AJ681" s="1167"/>
      <c r="AK681" s="1168"/>
      <c r="AL681" s="1167"/>
      <c r="AO681" s="1167"/>
      <c r="AP681" s="1168"/>
      <c r="AQ681" s="305"/>
      <c r="AR681" s="305"/>
      <c r="AS681" s="305"/>
      <c r="AT681" s="305"/>
      <c r="AU681" s="305"/>
      <c r="AV681" s="305"/>
      <c r="AW681" s="1186"/>
      <c r="AX681" s="1167"/>
      <c r="BA681" s="305"/>
      <c r="BB681" s="1186"/>
      <c r="BC681" s="1167"/>
      <c r="JV681" s="1525"/>
      <c r="KA681" s="1525"/>
      <c r="KB681" s="1525"/>
      <c r="KC681" s="1525"/>
      <c r="KD681" s="1525"/>
      <c r="KE681" s="1525"/>
      <c r="KF681" s="1525"/>
      <c r="KG681" s="1525"/>
      <c r="KH681" s="1525"/>
      <c r="KI681" s="1525"/>
      <c r="KJ681" s="1525"/>
      <c r="KK681" s="1525"/>
      <c r="KL681" s="1525"/>
      <c r="KM681" s="1525"/>
      <c r="KN681" s="1525"/>
      <c r="KO681" s="1525"/>
      <c r="KP681" s="1525"/>
      <c r="KQ681" s="1525"/>
      <c r="KR681" s="1525"/>
      <c r="KS681" s="1525"/>
      <c r="KT681" s="1525"/>
      <c r="KU681" s="1525"/>
      <c r="KV681" s="1525"/>
      <c r="KW681" s="1525"/>
      <c r="KX681" s="1525"/>
      <c r="KY681" s="1525"/>
      <c r="KZ681" s="1525"/>
      <c r="LA681" s="1525"/>
      <c r="LB681" s="1525"/>
      <c r="LC681" s="1525"/>
      <c r="LD681" s="1525"/>
      <c r="LE681" s="1525"/>
      <c r="LF681" s="1525"/>
    </row>
    <row r="682" spans="1:318" s="1154" customFormat="1" ht="14.25" customHeight="1">
      <c r="A682" s="1712"/>
      <c r="B682" s="1712"/>
      <c r="C682" s="1712"/>
      <c r="D682" s="1712"/>
      <c r="E682" s="1659" t="s">
        <v>3689</v>
      </c>
      <c r="F682" s="1167"/>
      <c r="G682" s="1658"/>
      <c r="J682" s="1697">
        <f>'Part VI-Revenues &amp; Expenses'!J122</f>
        <v>0</v>
      </c>
      <c r="K682" s="1697">
        <f>'Part VI-Revenues &amp; Expenses'!K122</f>
        <v>0</v>
      </c>
      <c r="L682" s="1697">
        <f>'Part VI-Revenues &amp; Expenses'!L122</f>
        <v>0</v>
      </c>
      <c r="M682" s="1697">
        <f>'Part VI-Revenues &amp; Expenses'!M122</f>
        <v>0</v>
      </c>
      <c r="N682" s="1697">
        <f>'Part VI-Revenues &amp; Expenses'!N122</f>
        <v>0</v>
      </c>
      <c r="O682" s="1697">
        <f t="shared" si="353"/>
        <v>0</v>
      </c>
      <c r="R682" s="1519"/>
      <c r="S682" s="1519"/>
      <c r="T682" s="1519"/>
      <c r="U682" s="1519"/>
      <c r="V682" s="1519"/>
      <c r="W682" s="1167"/>
      <c r="Z682" s="1167"/>
      <c r="AA682" s="1168"/>
      <c r="AB682" s="1167"/>
      <c r="AE682" s="1167"/>
      <c r="AF682" s="1168"/>
      <c r="AG682" s="1167"/>
      <c r="AJ682" s="1167"/>
      <c r="AK682" s="1168"/>
      <c r="AL682" s="1167"/>
      <c r="AO682" s="1167"/>
      <c r="AP682" s="1168"/>
      <c r="AQ682" s="305"/>
      <c r="AR682" s="305"/>
      <c r="AS682" s="305"/>
      <c r="AT682" s="305"/>
      <c r="AU682" s="305"/>
      <c r="AV682" s="305"/>
      <c r="AW682" s="1186"/>
      <c r="AX682" s="1167"/>
      <c r="BA682" s="305"/>
      <c r="BB682" s="1186"/>
      <c r="BC682" s="1167"/>
      <c r="JV682" s="1525"/>
      <c r="KA682" s="1525"/>
      <c r="KB682" s="1525"/>
      <c r="KC682" s="1525"/>
      <c r="KD682" s="1525"/>
      <c r="KE682" s="1525"/>
      <c r="KF682" s="1525"/>
      <c r="KG682" s="1525"/>
      <c r="KH682" s="1525"/>
      <c r="KI682" s="1525"/>
      <c r="KJ682" s="1525"/>
      <c r="KK682" s="1525"/>
      <c r="KL682" s="1525"/>
      <c r="KM682" s="1525"/>
      <c r="KN682" s="1525"/>
      <c r="KO682" s="1525"/>
      <c r="KP682" s="1525"/>
      <c r="KQ682" s="1525"/>
      <c r="KR682" s="1525"/>
      <c r="KS682" s="1525"/>
      <c r="KT682" s="1525"/>
      <c r="KU682" s="1525"/>
      <c r="KV682" s="1525"/>
      <c r="KW682" s="1525"/>
      <c r="KX682" s="1525"/>
      <c r="KY682" s="1525"/>
      <c r="KZ682" s="1525"/>
      <c r="LA682" s="1525"/>
      <c r="LB682" s="1525"/>
      <c r="LC682" s="1525"/>
      <c r="LD682" s="1525"/>
      <c r="LE682" s="1525"/>
      <c r="LF682" s="1525"/>
    </row>
    <row r="683" spans="1:318" s="1154" customFormat="1" ht="9" customHeight="1">
      <c r="A683" s="1713"/>
      <c r="B683" s="1713"/>
      <c r="C683" s="1713"/>
      <c r="D683" s="1713"/>
      <c r="E683" s="1659"/>
      <c r="F683" s="1167"/>
      <c r="G683" s="1658"/>
      <c r="J683" s="1168"/>
      <c r="K683" s="1168"/>
      <c r="L683" s="1168"/>
      <c r="M683" s="1168"/>
      <c r="N683" s="1168"/>
      <c r="O683" s="1168"/>
      <c r="R683" s="1519"/>
      <c r="S683" s="1519"/>
      <c r="T683" s="1519"/>
      <c r="U683" s="1519"/>
      <c r="V683" s="1519"/>
      <c r="W683" s="1167"/>
      <c r="Z683" s="1167"/>
      <c r="AA683" s="1168"/>
      <c r="AB683" s="1167"/>
      <c r="AE683" s="1167"/>
      <c r="AF683" s="1168"/>
      <c r="AG683" s="1167"/>
      <c r="AJ683" s="1167"/>
      <c r="AK683" s="1168"/>
      <c r="AL683" s="1167"/>
      <c r="AO683" s="1167"/>
      <c r="AP683" s="1168"/>
      <c r="AQ683" s="305"/>
      <c r="AR683" s="305"/>
      <c r="AS683" s="305"/>
      <c r="AT683" s="305"/>
      <c r="AU683" s="305"/>
      <c r="AV683" s="305"/>
      <c r="AW683" s="1186"/>
      <c r="AX683" s="1167"/>
      <c r="BA683" s="305"/>
      <c r="BB683" s="1186"/>
      <c r="BC683" s="1167"/>
      <c r="JV683" s="1525"/>
      <c r="KA683" s="1525"/>
      <c r="KB683" s="1525"/>
      <c r="KC683" s="1525"/>
      <c r="KD683" s="1525"/>
      <c r="KE683" s="1525"/>
      <c r="KF683" s="1525"/>
      <c r="KG683" s="1525"/>
      <c r="KH683" s="1525"/>
      <c r="KI683" s="1525"/>
      <c r="KJ683" s="1525"/>
      <c r="KK683" s="1525"/>
      <c r="KL683" s="1525"/>
      <c r="KM683" s="1525"/>
      <c r="KN683" s="1525"/>
      <c r="KO683" s="1525"/>
      <c r="KP683" s="1525"/>
      <c r="KQ683" s="1525"/>
      <c r="KR683" s="1525"/>
      <c r="KS683" s="1525"/>
      <c r="KT683" s="1525"/>
      <c r="KU683" s="1525"/>
      <c r="KV683" s="1525"/>
      <c r="KW683" s="1525"/>
      <c r="KX683" s="1525"/>
      <c r="KY683" s="1525"/>
      <c r="KZ683" s="1525"/>
      <c r="LA683" s="1525"/>
      <c r="LB683" s="1525"/>
      <c r="LC683" s="1525"/>
      <c r="LD683" s="1525"/>
      <c r="LE683" s="1525"/>
      <c r="LF683" s="1525"/>
    </row>
    <row r="684" spans="1:318" s="1154" customFormat="1" ht="14.25" customHeight="1">
      <c r="A684" s="1713"/>
      <c r="B684" s="1713"/>
      <c r="C684" s="1713"/>
      <c r="D684" s="1713"/>
      <c r="E684" s="1659" t="s">
        <v>2940</v>
      </c>
      <c r="F684" s="1167"/>
      <c r="G684" s="1658"/>
      <c r="J684" s="1697">
        <f>J688+J690+J692+J694+J696+J698+J700+J702</f>
        <v>0</v>
      </c>
      <c r="K684" s="1697">
        <f>K688+K690+K692+K694+K696+K698+K700+K702</f>
        <v>0</v>
      </c>
      <c r="L684" s="1697">
        <f>L688+L690+L692+L694+L696+L698+L700+L702</f>
        <v>0</v>
      </c>
      <c r="M684" s="1697">
        <f>M688+M690+M692+M694+M696+M698+M700+M702</f>
        <v>0</v>
      </c>
      <c r="N684" s="1697">
        <f>N688+N690+N692+N694+N696+N698+N700+N702</f>
        <v>0</v>
      </c>
      <c r="O684" s="1697">
        <f>SUM(J684:N684)</f>
        <v>0</v>
      </c>
      <c r="R684" s="1519"/>
      <c r="S684" s="1519"/>
      <c r="T684" s="1519"/>
      <c r="U684" s="1519"/>
      <c r="V684" s="1519"/>
      <c r="W684" s="1167"/>
      <c r="Z684" s="1167"/>
      <c r="AA684" s="1168"/>
      <c r="AB684" s="1167"/>
      <c r="AE684" s="1167"/>
      <c r="AF684" s="1168"/>
      <c r="AG684" s="1167"/>
      <c r="AJ684" s="1167"/>
      <c r="AK684" s="1168"/>
      <c r="AL684" s="1167"/>
      <c r="AO684" s="1167"/>
      <c r="AP684" s="1168"/>
      <c r="AQ684" s="305"/>
      <c r="AR684" s="305"/>
      <c r="AS684" s="305"/>
      <c r="AT684" s="305"/>
      <c r="AU684" s="305"/>
      <c r="AV684" s="305"/>
      <c r="AW684" s="1186"/>
      <c r="AX684" s="1167"/>
      <c r="BA684" s="305"/>
      <c r="BB684" s="1186"/>
      <c r="BC684" s="1167"/>
      <c r="JV684" s="1525"/>
      <c r="KA684" s="1525"/>
      <c r="KB684" s="1525"/>
      <c r="KC684" s="1525"/>
      <c r="KD684" s="1525"/>
      <c r="KE684" s="1525"/>
      <c r="KF684" s="1525"/>
      <c r="KG684" s="1525"/>
      <c r="KH684" s="1525"/>
      <c r="KI684" s="1525"/>
      <c r="KJ684" s="1525"/>
      <c r="KK684" s="1525"/>
      <c r="KL684" s="1525"/>
      <c r="KM684" s="1525"/>
      <c r="KN684" s="1525"/>
      <c r="KO684" s="1525"/>
      <c r="KP684" s="1525"/>
      <c r="KQ684" s="1525"/>
      <c r="KR684" s="1525"/>
      <c r="KS684" s="1525"/>
      <c r="KT684" s="1525"/>
      <c r="KU684" s="1525"/>
      <c r="KV684" s="1525"/>
      <c r="KW684" s="1525"/>
      <c r="KX684" s="1525"/>
      <c r="KY684" s="1525"/>
      <c r="KZ684" s="1525"/>
      <c r="LA684" s="1525"/>
      <c r="LB684" s="1525"/>
      <c r="LC684" s="1525"/>
      <c r="LD684" s="1525"/>
      <c r="LE684" s="1525"/>
      <c r="LF684" s="1525"/>
    </row>
    <row r="685" spans="1:318" s="1154" customFormat="1" ht="9.75" customHeight="1">
      <c r="D685" s="1167"/>
      <c r="E685" s="1659"/>
      <c r="F685" s="1167"/>
      <c r="G685" s="1658"/>
      <c r="J685" s="1703"/>
      <c r="K685" s="1703"/>
      <c r="L685" s="1703"/>
      <c r="M685" s="1703"/>
      <c r="N685" s="1703"/>
      <c r="O685" s="1703"/>
      <c r="R685" s="1714" t="str">
        <f>C686</f>
        <v>Building Type: (for Utility Allowance, Monitoring Fees and other purposes)</v>
      </c>
      <c r="T685" s="1657"/>
      <c r="W685" s="1167"/>
      <c r="Z685" s="1167"/>
      <c r="AA685" s="1168"/>
      <c r="AB685" s="1167"/>
      <c r="AE685" s="1167"/>
      <c r="AF685" s="1168"/>
      <c r="AG685" s="1167"/>
      <c r="AJ685" s="1167"/>
      <c r="AK685" s="1168"/>
      <c r="AL685" s="1167"/>
      <c r="AO685" s="1167"/>
      <c r="AP685" s="1168"/>
      <c r="AQ685" s="1167"/>
      <c r="AR685" s="1167"/>
      <c r="AS685" s="1167"/>
      <c r="AT685" s="1167"/>
      <c r="AU685" s="1167"/>
      <c r="AV685" s="1167"/>
      <c r="AX685" s="1167"/>
      <c r="BA685" s="1167"/>
      <c r="BC685" s="1167"/>
      <c r="JV685" s="1525"/>
      <c r="KA685" s="1525"/>
      <c r="KB685" s="1525"/>
      <c r="KC685" s="1525"/>
      <c r="KD685" s="1525"/>
      <c r="KE685" s="1525"/>
      <c r="KF685" s="1525"/>
      <c r="KG685" s="1525"/>
      <c r="KH685" s="1525"/>
      <c r="KI685" s="1525"/>
      <c r="KJ685" s="1525"/>
      <c r="KK685" s="1525"/>
      <c r="KL685" s="1525"/>
      <c r="KM685" s="1525"/>
      <c r="KN685" s="1525"/>
      <c r="KO685" s="1525"/>
      <c r="KP685" s="1525"/>
      <c r="KQ685" s="1525"/>
      <c r="KR685" s="1525"/>
      <c r="KS685" s="1525"/>
      <c r="KT685" s="1525"/>
      <c r="KU685" s="1525"/>
      <c r="KV685" s="1525"/>
      <c r="KW685" s="1525"/>
      <c r="KX685" s="1525"/>
      <c r="KY685" s="1525"/>
      <c r="KZ685" s="1525"/>
      <c r="LA685" s="1525"/>
      <c r="LB685" s="1525"/>
      <c r="LC685" s="1525"/>
      <c r="LD685" s="1525"/>
      <c r="LE685" s="1525"/>
      <c r="LF685" s="1525"/>
    </row>
    <row r="686" spans="1:318" s="1154" customFormat="1" ht="14.25" customHeight="1">
      <c r="C686" s="1519" t="s">
        <v>3746</v>
      </c>
      <c r="D686" s="1519"/>
      <c r="E686" s="1659" t="s">
        <v>34</v>
      </c>
      <c r="F686" s="1167"/>
      <c r="G686" s="1658"/>
      <c r="J686" s="1697">
        <f t="shared" ref="J686:O686" si="354">SUM(J687:J694)</f>
        <v>0</v>
      </c>
      <c r="K686" s="1697">
        <f t="shared" si="354"/>
        <v>0</v>
      </c>
      <c r="L686" s="1697">
        <f t="shared" si="354"/>
        <v>0</v>
      </c>
      <c r="M686" s="1697">
        <f t="shared" si="354"/>
        <v>0</v>
      </c>
      <c r="N686" s="1697">
        <f t="shared" si="354"/>
        <v>0</v>
      </c>
      <c r="O686" s="1697">
        <f t="shared" si="354"/>
        <v>0</v>
      </c>
      <c r="R686" s="1519"/>
      <c r="S686" s="1519"/>
      <c r="T686" s="1519"/>
      <c r="U686" s="1519"/>
      <c r="V686" s="1519"/>
      <c r="W686" s="1167"/>
      <c r="Z686" s="1167"/>
      <c r="AA686" s="1168"/>
      <c r="AB686" s="1167"/>
      <c r="AE686" s="1167"/>
      <c r="AF686" s="1168"/>
      <c r="AG686" s="1167"/>
      <c r="AJ686" s="1167"/>
      <c r="AK686" s="1168"/>
      <c r="AL686" s="1167"/>
      <c r="AO686" s="1167"/>
      <c r="AP686" s="1168"/>
      <c r="AQ686" s="305"/>
      <c r="AR686" s="305"/>
      <c r="AS686" s="305"/>
      <c r="AT686" s="305"/>
      <c r="AU686" s="305"/>
      <c r="AV686" s="305"/>
      <c r="BA686" s="305"/>
    </row>
    <row r="687" spans="1:318" s="1154" customFormat="1" ht="14.25" customHeight="1">
      <c r="C687" s="1519"/>
      <c r="D687" s="1519"/>
      <c r="E687" s="1659"/>
      <c r="F687" s="1167"/>
      <c r="H687" s="1715" t="s">
        <v>2313</v>
      </c>
      <c r="J687" s="1697">
        <f>JR619</f>
        <v>0</v>
      </c>
      <c r="K687" s="1697">
        <f>JS619</f>
        <v>0</v>
      </c>
      <c r="L687" s="1697">
        <f>JT619</f>
        <v>0</v>
      </c>
      <c r="M687" s="1697">
        <f>JU619</f>
        <v>0</v>
      </c>
      <c r="N687" s="1697">
        <f>JV619</f>
        <v>0</v>
      </c>
      <c r="O687" s="1697">
        <f t="shared" ref="O687:O702" si="355">SUM(J687:N687)</f>
        <v>0</v>
      </c>
      <c r="R687" s="1519"/>
      <c r="S687" s="1519"/>
      <c r="T687" s="1519"/>
      <c r="U687" s="1519"/>
      <c r="V687" s="1519"/>
      <c r="W687" s="1167"/>
      <c r="Z687" s="1167"/>
      <c r="AA687" s="1168"/>
      <c r="AB687" s="1167"/>
      <c r="AE687" s="1167"/>
      <c r="AF687" s="1168"/>
      <c r="AG687" s="1167"/>
      <c r="AJ687" s="1167"/>
      <c r="AK687" s="1168"/>
      <c r="AL687" s="1167"/>
      <c r="AO687" s="1167"/>
      <c r="AP687" s="1168"/>
      <c r="AQ687" s="305"/>
      <c r="AR687" s="305"/>
      <c r="AS687" s="305"/>
      <c r="AT687" s="305"/>
      <c r="AU687" s="305"/>
      <c r="AV687" s="305"/>
      <c r="BA687" s="305"/>
    </row>
    <row r="688" spans="1:318" s="1154" customFormat="1" ht="14.25" customHeight="1">
      <c r="C688" s="1519"/>
      <c r="D688" s="1519"/>
      <c r="E688" s="1659"/>
      <c r="F688" s="1167"/>
      <c r="H688" s="1716" t="s">
        <v>2940</v>
      </c>
      <c r="J688" s="1697">
        <f>JW619</f>
        <v>0</v>
      </c>
      <c r="K688" s="1697">
        <f>JX619</f>
        <v>0</v>
      </c>
      <c r="L688" s="1697">
        <f>JY619</f>
        <v>0</v>
      </c>
      <c r="M688" s="1697">
        <f>JZ619</f>
        <v>0</v>
      </c>
      <c r="N688" s="1697">
        <f>KA619</f>
        <v>0</v>
      </c>
      <c r="O688" s="1697">
        <f t="shared" si="355"/>
        <v>0</v>
      </c>
      <c r="R688" s="1519"/>
      <c r="S688" s="1519"/>
      <c r="T688" s="1519"/>
      <c r="U688" s="1519"/>
      <c r="V688" s="1519"/>
      <c r="W688" s="1167"/>
      <c r="Z688" s="1167"/>
      <c r="AA688" s="1168"/>
      <c r="AB688" s="1167"/>
      <c r="AE688" s="1167"/>
      <c r="AF688" s="1168"/>
      <c r="AG688" s="1167"/>
      <c r="AJ688" s="1167"/>
      <c r="AK688" s="1168"/>
      <c r="AL688" s="1167"/>
      <c r="AO688" s="1167"/>
      <c r="AP688" s="1168"/>
      <c r="AQ688" s="305"/>
      <c r="AR688" s="305"/>
      <c r="AS688" s="305"/>
      <c r="AT688" s="305"/>
      <c r="AU688" s="305"/>
      <c r="AV688" s="305"/>
      <c r="BA688" s="305"/>
    </row>
    <row r="689" spans="1:318" s="1154" customFormat="1" ht="14.25" customHeight="1">
      <c r="C689" s="1519"/>
      <c r="D689" s="1519"/>
      <c r="E689" s="1659"/>
      <c r="F689" s="1167"/>
      <c r="H689" s="1715" t="s">
        <v>2314</v>
      </c>
      <c r="J689" s="1697">
        <f>KB619</f>
        <v>0</v>
      </c>
      <c r="K689" s="1697">
        <f>KC619</f>
        <v>0</v>
      </c>
      <c r="L689" s="1697">
        <f>KD619</f>
        <v>0</v>
      </c>
      <c r="M689" s="1697">
        <f>KE619</f>
        <v>0</v>
      </c>
      <c r="N689" s="1697">
        <f>KF619</f>
        <v>0</v>
      </c>
      <c r="O689" s="1697">
        <f t="shared" si="355"/>
        <v>0</v>
      </c>
      <c r="R689" s="1519"/>
      <c r="S689" s="1519"/>
      <c r="T689" s="1519"/>
      <c r="U689" s="1519"/>
      <c r="V689" s="1519"/>
      <c r="W689" s="1167"/>
      <c r="Z689" s="1167"/>
      <c r="AA689" s="1168"/>
      <c r="AB689" s="1167"/>
      <c r="AE689" s="1167"/>
      <c r="AF689" s="1168"/>
      <c r="AG689" s="1167"/>
      <c r="AJ689" s="1167"/>
      <c r="AK689" s="1168"/>
      <c r="AL689" s="1167"/>
      <c r="AO689" s="1167"/>
      <c r="AP689" s="1168"/>
      <c r="AQ689" s="305"/>
      <c r="AR689" s="305"/>
      <c r="AS689" s="305"/>
      <c r="AT689" s="305"/>
      <c r="AU689" s="305"/>
      <c r="AV689" s="305"/>
      <c r="BA689" s="305"/>
    </row>
    <row r="690" spans="1:318" s="1154" customFormat="1" ht="14.25" customHeight="1">
      <c r="C690" s="1519"/>
      <c r="D690" s="1519"/>
      <c r="E690" s="1659"/>
      <c r="F690" s="1167"/>
      <c r="H690" s="1716" t="s">
        <v>2940</v>
      </c>
      <c r="J690" s="1697">
        <f>KG619</f>
        <v>0</v>
      </c>
      <c r="K690" s="1697">
        <f>KH619</f>
        <v>0</v>
      </c>
      <c r="L690" s="1697">
        <f>KI619</f>
        <v>0</v>
      </c>
      <c r="M690" s="1697">
        <f>KJ619</f>
        <v>0</v>
      </c>
      <c r="N690" s="1697">
        <f>KK619</f>
        <v>0</v>
      </c>
      <c r="O690" s="1697">
        <f t="shared" si="355"/>
        <v>0</v>
      </c>
      <c r="R690" s="1519"/>
      <c r="S690" s="1519"/>
      <c r="T690" s="1519"/>
      <c r="U690" s="1519"/>
      <c r="V690" s="1519"/>
      <c r="W690" s="1167"/>
      <c r="Z690" s="1167"/>
      <c r="AA690" s="1168"/>
      <c r="AB690" s="1167"/>
      <c r="AE690" s="1167"/>
      <c r="AF690" s="1168"/>
      <c r="AG690" s="1167"/>
      <c r="AJ690" s="1167"/>
      <c r="AK690" s="1168"/>
      <c r="AL690" s="1167"/>
      <c r="AO690" s="1167"/>
      <c r="AP690" s="1168"/>
      <c r="AQ690" s="305"/>
      <c r="AR690" s="305"/>
      <c r="AS690" s="305"/>
      <c r="AT690" s="305"/>
      <c r="AU690" s="305"/>
      <c r="AV690" s="305"/>
      <c r="BA690" s="305"/>
    </row>
    <row r="691" spans="1:318" s="1154" customFormat="1" ht="14.25" customHeight="1">
      <c r="C691" s="1519"/>
      <c r="D691" s="1519"/>
      <c r="E691" s="1659"/>
      <c r="F691" s="1167"/>
      <c r="H691" s="1715" t="s">
        <v>2316</v>
      </c>
      <c r="J691" s="1697">
        <f>KL619</f>
        <v>0</v>
      </c>
      <c r="K691" s="1697">
        <f>KM619</f>
        <v>0</v>
      </c>
      <c r="L691" s="1697">
        <f>KN619</f>
        <v>0</v>
      </c>
      <c r="M691" s="1697">
        <f>KO619</f>
        <v>0</v>
      </c>
      <c r="N691" s="1697">
        <f>KP619</f>
        <v>0</v>
      </c>
      <c r="O691" s="1697">
        <f t="shared" si="355"/>
        <v>0</v>
      </c>
      <c r="R691" s="1519"/>
      <c r="S691" s="1519"/>
      <c r="T691" s="1519"/>
      <c r="U691" s="1519"/>
      <c r="V691" s="1519"/>
      <c r="W691" s="1167"/>
      <c r="Z691" s="1167"/>
      <c r="AA691" s="1168"/>
      <c r="AB691" s="1167"/>
      <c r="AE691" s="1167"/>
      <c r="AF691" s="1168"/>
      <c r="AG691" s="1167"/>
      <c r="AJ691" s="1167"/>
      <c r="AK691" s="1168"/>
      <c r="AL691" s="1167"/>
      <c r="AO691" s="1167"/>
      <c r="AP691" s="1168"/>
      <c r="AQ691" s="305"/>
      <c r="AR691" s="305"/>
      <c r="AS691" s="305"/>
      <c r="AT691" s="305"/>
      <c r="AU691" s="305"/>
      <c r="AV691" s="305"/>
      <c r="BA691" s="305"/>
    </row>
    <row r="692" spans="1:318" s="1154" customFormat="1" ht="14.25" customHeight="1">
      <c r="C692" s="1519"/>
      <c r="D692" s="1519"/>
      <c r="E692" s="1659"/>
      <c r="F692" s="1167"/>
      <c r="H692" s="1716" t="s">
        <v>2940</v>
      </c>
      <c r="J692" s="1697">
        <f>KQ619</f>
        <v>0</v>
      </c>
      <c r="K692" s="1697">
        <f>KR619</f>
        <v>0</v>
      </c>
      <c r="L692" s="1697">
        <f>KS619</f>
        <v>0</v>
      </c>
      <c r="M692" s="1697">
        <f>KT619</f>
        <v>0</v>
      </c>
      <c r="N692" s="1697">
        <f>KU619</f>
        <v>0</v>
      </c>
      <c r="O692" s="1697">
        <f t="shared" si="355"/>
        <v>0</v>
      </c>
      <c r="R692" s="1519"/>
      <c r="S692" s="1519"/>
      <c r="T692" s="1519"/>
      <c r="U692" s="1519"/>
      <c r="V692" s="1519"/>
      <c r="W692" s="1167"/>
      <c r="Z692" s="1167"/>
      <c r="AA692" s="1168"/>
      <c r="AB692" s="1167"/>
      <c r="AE692" s="1167"/>
      <c r="AF692" s="1168"/>
      <c r="AG692" s="1167"/>
      <c r="AJ692" s="1167"/>
      <c r="AK692" s="1168"/>
      <c r="AL692" s="1167"/>
      <c r="AO692" s="1167"/>
      <c r="AP692" s="1168"/>
      <c r="AQ692" s="305"/>
      <c r="AR692" s="305"/>
      <c r="AS692" s="305"/>
      <c r="AT692" s="305"/>
      <c r="AU692" s="305"/>
      <c r="AV692" s="305"/>
      <c r="BA692" s="305"/>
    </row>
    <row r="693" spans="1:318" s="1154" customFormat="1" ht="14.25" customHeight="1">
      <c r="C693" s="1519"/>
      <c r="D693" s="1519"/>
      <c r="E693" s="1659"/>
      <c r="F693" s="1167"/>
      <c r="H693" s="1715" t="s">
        <v>2315</v>
      </c>
      <c r="J693" s="1697">
        <f>KV619</f>
        <v>0</v>
      </c>
      <c r="K693" s="1697">
        <f>KW619</f>
        <v>0</v>
      </c>
      <c r="L693" s="1697">
        <f>KX619</f>
        <v>0</v>
      </c>
      <c r="M693" s="1697">
        <f>KY619</f>
        <v>0</v>
      </c>
      <c r="N693" s="1697">
        <f>KZ619</f>
        <v>0</v>
      </c>
      <c r="O693" s="1697">
        <f t="shared" si="355"/>
        <v>0</v>
      </c>
      <c r="R693" s="1519"/>
      <c r="S693" s="1519"/>
      <c r="T693" s="1519"/>
      <c r="U693" s="1519"/>
      <c r="V693" s="1519"/>
      <c r="W693" s="1167"/>
      <c r="Z693" s="1167"/>
      <c r="AA693" s="1168"/>
      <c r="AB693" s="1167"/>
      <c r="AE693" s="1167"/>
      <c r="AF693" s="1168"/>
      <c r="AG693" s="1167"/>
      <c r="AJ693" s="1167"/>
      <c r="AK693" s="1168"/>
      <c r="AL693" s="1167"/>
      <c r="AO693" s="1167"/>
      <c r="AP693" s="1168"/>
      <c r="AQ693" s="305"/>
      <c r="AR693" s="305"/>
      <c r="AS693" s="305"/>
      <c r="AT693" s="305"/>
      <c r="AU693" s="305"/>
      <c r="AV693" s="305"/>
      <c r="BA693" s="305"/>
    </row>
    <row r="694" spans="1:318" s="1154" customFormat="1" ht="14.25" customHeight="1">
      <c r="C694" s="1519"/>
      <c r="D694" s="1519"/>
      <c r="E694" s="1659"/>
      <c r="F694" s="1167"/>
      <c r="H694" s="1716" t="s">
        <v>2940</v>
      </c>
      <c r="J694" s="1697">
        <f>LA619</f>
        <v>0</v>
      </c>
      <c r="K694" s="1697">
        <f>LB619</f>
        <v>0</v>
      </c>
      <c r="L694" s="1697">
        <f>LC619</f>
        <v>0</v>
      </c>
      <c r="M694" s="1697">
        <f>LD619</f>
        <v>0</v>
      </c>
      <c r="N694" s="1697">
        <f>LE619</f>
        <v>0</v>
      </c>
      <c r="O694" s="1697">
        <f t="shared" si="355"/>
        <v>0</v>
      </c>
      <c r="R694" s="1519"/>
      <c r="S694" s="1519"/>
      <c r="T694" s="1519"/>
      <c r="U694" s="1519"/>
      <c r="V694" s="1519"/>
      <c r="W694" s="1167"/>
      <c r="Z694" s="1167"/>
      <c r="AA694" s="1168"/>
      <c r="AB694" s="1167"/>
      <c r="AE694" s="1167"/>
      <c r="AF694" s="1168"/>
      <c r="AG694" s="1167"/>
      <c r="AJ694" s="1167"/>
      <c r="AK694" s="1168"/>
      <c r="AL694" s="1167"/>
      <c r="AO694" s="1167"/>
      <c r="AP694" s="1168"/>
      <c r="AQ694" s="305"/>
      <c r="AR694" s="305"/>
      <c r="AS694" s="305"/>
      <c r="AT694" s="305"/>
      <c r="AU694" s="305"/>
      <c r="AV694" s="305"/>
      <c r="BA694" s="305"/>
    </row>
    <row r="695" spans="1:318" s="1154" customFormat="1" ht="14.25" customHeight="1">
      <c r="E695" s="1659" t="s">
        <v>35</v>
      </c>
      <c r="F695" s="1167"/>
      <c r="H695" s="1715"/>
      <c r="J695" s="1697">
        <f>ID619</f>
        <v>0</v>
      </c>
      <c r="K695" s="1697">
        <f>IE619</f>
        <v>0</v>
      </c>
      <c r="L695" s="1697">
        <f>IF619</f>
        <v>0</v>
      </c>
      <c r="M695" s="1697">
        <f>IG619</f>
        <v>0</v>
      </c>
      <c r="N695" s="1697">
        <f>IH619</f>
        <v>0</v>
      </c>
      <c r="O695" s="1697">
        <f t="shared" si="355"/>
        <v>0</v>
      </c>
      <c r="R695" s="1519"/>
      <c r="S695" s="1519"/>
      <c r="T695" s="1519"/>
      <c r="U695" s="1519"/>
      <c r="V695" s="1519"/>
      <c r="W695" s="1167"/>
      <c r="Z695" s="1167"/>
      <c r="AA695" s="1168"/>
      <c r="AB695" s="1167"/>
      <c r="AE695" s="1167"/>
      <c r="AF695" s="1168"/>
      <c r="AG695" s="1167"/>
      <c r="AJ695" s="1167"/>
      <c r="AK695" s="1168"/>
      <c r="AL695" s="1167"/>
      <c r="AO695" s="1167"/>
      <c r="AP695" s="1168"/>
      <c r="AQ695" s="305"/>
      <c r="AR695" s="305"/>
      <c r="AS695" s="305"/>
      <c r="AT695" s="305"/>
      <c r="AU695" s="305"/>
      <c r="AV695" s="305"/>
      <c r="AW695" s="1186"/>
      <c r="AX695" s="1167"/>
      <c r="BA695" s="305"/>
      <c r="BB695" s="1186"/>
      <c r="BC695" s="1167"/>
      <c r="JV695" s="1525"/>
      <c r="KA695" s="1525"/>
      <c r="KB695" s="1525"/>
      <c r="KC695" s="1525"/>
      <c r="KD695" s="1525"/>
      <c r="KE695" s="1525"/>
      <c r="KF695" s="1525"/>
      <c r="KG695" s="1525"/>
      <c r="KH695" s="1525"/>
      <c r="KI695" s="1525"/>
      <c r="KJ695" s="1525"/>
      <c r="KK695" s="1525"/>
      <c r="KL695" s="1525"/>
      <c r="KM695" s="1525"/>
      <c r="KN695" s="1525"/>
      <c r="KO695" s="1525"/>
      <c r="KP695" s="1525"/>
      <c r="KQ695" s="1525"/>
      <c r="KR695" s="1525"/>
      <c r="KS695" s="1525"/>
      <c r="KT695" s="1525"/>
      <c r="KU695" s="1525"/>
      <c r="KV695" s="1525"/>
      <c r="KW695" s="1525"/>
      <c r="KX695" s="1525"/>
      <c r="KY695" s="1525"/>
      <c r="KZ695" s="1525"/>
      <c r="LA695" s="1525"/>
      <c r="LB695" s="1525"/>
      <c r="LC695" s="1525"/>
      <c r="LD695" s="1525"/>
      <c r="LE695" s="1525"/>
      <c r="LF695" s="1525"/>
    </row>
    <row r="696" spans="1:318" s="1154" customFormat="1" ht="14.25" customHeight="1">
      <c r="E696" s="1659"/>
      <c r="F696" s="1167"/>
      <c r="H696" s="1716" t="s">
        <v>2940</v>
      </c>
      <c r="J696" s="1697">
        <f>II619</f>
        <v>0</v>
      </c>
      <c r="K696" s="1697">
        <f>IJ619</f>
        <v>0</v>
      </c>
      <c r="L696" s="1697">
        <f>IK619</f>
        <v>0</v>
      </c>
      <c r="M696" s="1697">
        <f>IL619</f>
        <v>0</v>
      </c>
      <c r="N696" s="1697">
        <f>IM619</f>
        <v>0</v>
      </c>
      <c r="O696" s="1697">
        <f t="shared" si="355"/>
        <v>0</v>
      </c>
      <c r="R696" s="1519"/>
      <c r="S696" s="1519"/>
      <c r="T696" s="1519"/>
      <c r="U696" s="1519"/>
      <c r="V696" s="1519"/>
      <c r="W696" s="1167"/>
      <c r="Z696" s="1167"/>
      <c r="AA696" s="1168"/>
      <c r="AB696" s="1167"/>
      <c r="AE696" s="1167"/>
      <c r="AF696" s="1168"/>
      <c r="AG696" s="1167"/>
      <c r="AJ696" s="1167"/>
      <c r="AK696" s="1168"/>
      <c r="AL696" s="1167"/>
      <c r="AO696" s="1167"/>
      <c r="AP696" s="1168"/>
      <c r="AQ696" s="305"/>
      <c r="AR696" s="305"/>
      <c r="AS696" s="305"/>
      <c r="AT696" s="305"/>
      <c r="AU696" s="305"/>
      <c r="AV696" s="305"/>
      <c r="AW696" s="1186"/>
      <c r="AX696" s="1167"/>
      <c r="BA696" s="305"/>
      <c r="BB696" s="1186"/>
      <c r="BC696" s="1167"/>
      <c r="JV696" s="1525"/>
      <c r="KA696" s="1525"/>
      <c r="KB696" s="1525"/>
      <c r="KC696" s="1525"/>
      <c r="KD696" s="1525"/>
      <c r="KE696" s="1525"/>
      <c r="KF696" s="1525"/>
      <c r="KG696" s="1525"/>
      <c r="KH696" s="1525"/>
      <c r="KI696" s="1525"/>
      <c r="KJ696" s="1525"/>
      <c r="KK696" s="1525"/>
      <c r="KL696" s="1525"/>
      <c r="KM696" s="1525"/>
      <c r="KN696" s="1525"/>
      <c r="KO696" s="1525"/>
      <c r="KP696" s="1525"/>
      <c r="KQ696" s="1525"/>
      <c r="KR696" s="1525"/>
      <c r="KS696" s="1525"/>
      <c r="KT696" s="1525"/>
      <c r="KU696" s="1525"/>
      <c r="KV696" s="1525"/>
      <c r="KW696" s="1525"/>
      <c r="KX696" s="1525"/>
      <c r="KY696" s="1525"/>
      <c r="KZ696" s="1525"/>
      <c r="LA696" s="1525"/>
      <c r="LB696" s="1525"/>
      <c r="LC696" s="1525"/>
      <c r="LD696" s="1525"/>
      <c r="LE696" s="1525"/>
      <c r="LF696" s="1525"/>
    </row>
    <row r="697" spans="1:318" s="1154" customFormat="1" ht="14.25" customHeight="1">
      <c r="C697" s="1167"/>
      <c r="D697" s="1167"/>
      <c r="E697" s="1659" t="s">
        <v>36</v>
      </c>
      <c r="F697" s="1167"/>
      <c r="H697" s="1715"/>
      <c r="J697" s="1697">
        <f>JH619</f>
        <v>0</v>
      </c>
      <c r="K697" s="1697">
        <f>JI619</f>
        <v>0</v>
      </c>
      <c r="L697" s="1697">
        <f>JJ619</f>
        <v>0</v>
      </c>
      <c r="M697" s="1697">
        <f>JK619</f>
        <v>0</v>
      </c>
      <c r="N697" s="1697">
        <f>JL619</f>
        <v>0</v>
      </c>
      <c r="O697" s="1697">
        <f t="shared" si="355"/>
        <v>0</v>
      </c>
      <c r="R697" s="1519"/>
      <c r="S697" s="1519"/>
      <c r="T697" s="1519"/>
      <c r="U697" s="1519"/>
      <c r="V697" s="1519"/>
      <c r="W697" s="1167"/>
      <c r="Z697" s="1167"/>
      <c r="AA697" s="1168"/>
      <c r="AB697" s="1167"/>
      <c r="AE697" s="1167"/>
      <c r="AF697" s="1168"/>
      <c r="AG697" s="1167"/>
      <c r="AJ697" s="1167"/>
      <c r="AK697" s="1168"/>
      <c r="AL697" s="1167"/>
      <c r="AO697" s="1167"/>
      <c r="AP697" s="1168"/>
      <c r="AQ697" s="305"/>
      <c r="AR697" s="305"/>
      <c r="AS697" s="305"/>
      <c r="AT697" s="305"/>
      <c r="AU697" s="305"/>
      <c r="AV697" s="305"/>
      <c r="BA697" s="305"/>
    </row>
    <row r="698" spans="1:318" s="1154" customFormat="1" ht="14.25" customHeight="1">
      <c r="C698" s="1167"/>
      <c r="D698" s="1167"/>
      <c r="E698" s="1659"/>
      <c r="F698" s="1167"/>
      <c r="H698" s="1716" t="s">
        <v>2940</v>
      </c>
      <c r="J698" s="1697">
        <f>JM619</f>
        <v>0</v>
      </c>
      <c r="K698" s="1697">
        <f>JN619</f>
        <v>0</v>
      </c>
      <c r="L698" s="1697">
        <f>JO619</f>
        <v>0</v>
      </c>
      <c r="M698" s="1697">
        <f>JP619</f>
        <v>0</v>
      </c>
      <c r="N698" s="1697">
        <f>JQ619</f>
        <v>0</v>
      </c>
      <c r="O698" s="1697">
        <f t="shared" si="355"/>
        <v>0</v>
      </c>
      <c r="R698" s="1519"/>
      <c r="S698" s="1519"/>
      <c r="T698" s="1519"/>
      <c r="U698" s="1519"/>
      <c r="V698" s="1519"/>
      <c r="W698" s="1167"/>
      <c r="Z698" s="1167"/>
      <c r="AA698" s="1168"/>
      <c r="AB698" s="1167"/>
      <c r="AE698" s="1167"/>
      <c r="AF698" s="1168"/>
      <c r="AG698" s="1167"/>
      <c r="AJ698" s="1167"/>
      <c r="AK698" s="1168"/>
      <c r="AL698" s="1167"/>
      <c r="AO698" s="1167"/>
      <c r="AP698" s="1168"/>
      <c r="AQ698" s="305"/>
      <c r="AR698" s="305"/>
      <c r="AS698" s="305"/>
      <c r="AT698" s="305"/>
      <c r="AU698" s="305"/>
      <c r="AV698" s="305"/>
      <c r="BA698" s="305"/>
    </row>
    <row r="699" spans="1:318" s="1154" customFormat="1" ht="14.25" customHeight="1">
      <c r="C699" s="1167"/>
      <c r="D699" s="1167"/>
      <c r="E699" s="1659" t="s">
        <v>525</v>
      </c>
      <c r="F699" s="1167"/>
      <c r="H699" s="1715"/>
      <c r="J699" s="1697">
        <f>IX619</f>
        <v>0</v>
      </c>
      <c r="K699" s="1697">
        <f>IY619</f>
        <v>0</v>
      </c>
      <c r="L699" s="1697">
        <f>IZ619</f>
        <v>0</v>
      </c>
      <c r="M699" s="1697">
        <f>JA619</f>
        <v>0</v>
      </c>
      <c r="N699" s="1697">
        <f>JB619</f>
        <v>0</v>
      </c>
      <c r="O699" s="1697">
        <f t="shared" si="355"/>
        <v>0</v>
      </c>
      <c r="R699" s="1519"/>
      <c r="S699" s="1519"/>
      <c r="T699" s="1519"/>
      <c r="U699" s="1519"/>
      <c r="V699" s="1519"/>
      <c r="W699" s="1167"/>
      <c r="Z699" s="1167"/>
      <c r="AA699" s="1168"/>
      <c r="AB699" s="1167"/>
      <c r="AE699" s="1167"/>
      <c r="AF699" s="1168"/>
      <c r="AG699" s="1167"/>
      <c r="AJ699" s="1167"/>
      <c r="AK699" s="1168"/>
      <c r="AL699" s="1167"/>
      <c r="AO699" s="1167"/>
      <c r="AP699" s="1168"/>
      <c r="AQ699" s="305"/>
      <c r="AR699" s="305"/>
      <c r="AS699" s="305"/>
      <c r="AT699" s="305"/>
      <c r="AU699" s="305"/>
      <c r="AV699" s="305"/>
      <c r="AW699" s="1186"/>
      <c r="AX699" s="1167"/>
      <c r="BA699" s="305"/>
      <c r="BB699" s="1186"/>
      <c r="BC699" s="1167"/>
      <c r="JV699" s="1525"/>
      <c r="KA699" s="1525"/>
      <c r="KB699" s="1525"/>
      <c r="KC699" s="1525"/>
      <c r="KD699" s="1525"/>
      <c r="KE699" s="1525"/>
      <c r="KF699" s="1525"/>
      <c r="KG699" s="1525"/>
      <c r="KH699" s="1525"/>
      <c r="KI699" s="1525"/>
      <c r="KJ699" s="1525"/>
      <c r="KK699" s="1525"/>
      <c r="KL699" s="1525"/>
      <c r="KM699" s="1525"/>
      <c r="KN699" s="1525"/>
      <c r="KO699" s="1525"/>
      <c r="KP699" s="1525"/>
      <c r="KQ699" s="1525"/>
      <c r="KR699" s="1525"/>
      <c r="KS699" s="1525"/>
      <c r="KT699" s="1525"/>
      <c r="KU699" s="1525"/>
      <c r="KV699" s="1525"/>
      <c r="KW699" s="1525"/>
      <c r="KX699" s="1525"/>
      <c r="KY699" s="1525"/>
      <c r="KZ699" s="1525"/>
      <c r="LA699" s="1525"/>
      <c r="LB699" s="1525"/>
      <c r="LC699" s="1525"/>
      <c r="LD699" s="1525"/>
      <c r="LE699" s="1525"/>
      <c r="LF699" s="1525"/>
    </row>
    <row r="700" spans="1:318" s="1154" customFormat="1" ht="14.25" customHeight="1">
      <c r="C700" s="1167"/>
      <c r="D700" s="1167"/>
      <c r="E700" s="1659"/>
      <c r="F700" s="1167"/>
      <c r="H700" s="1716" t="s">
        <v>2940</v>
      </c>
      <c r="J700" s="1697">
        <f>JC619</f>
        <v>0</v>
      </c>
      <c r="K700" s="1697">
        <f>JD619</f>
        <v>0</v>
      </c>
      <c r="L700" s="1697">
        <f>JE619</f>
        <v>0</v>
      </c>
      <c r="M700" s="1697">
        <f>JF619</f>
        <v>0</v>
      </c>
      <c r="N700" s="1697">
        <f>JG619</f>
        <v>0</v>
      </c>
      <c r="O700" s="1697">
        <f t="shared" si="355"/>
        <v>0</v>
      </c>
      <c r="R700" s="1519"/>
      <c r="S700" s="1519"/>
      <c r="T700" s="1519"/>
      <c r="U700" s="1519"/>
      <c r="V700" s="1519"/>
      <c r="W700" s="1167"/>
      <c r="Z700" s="1167"/>
      <c r="AA700" s="1168"/>
      <c r="AB700" s="1167"/>
      <c r="AE700" s="1167"/>
      <c r="AF700" s="1168"/>
      <c r="AG700" s="1167"/>
      <c r="AJ700" s="1167"/>
      <c r="AK700" s="1168"/>
      <c r="AL700" s="1167"/>
      <c r="AO700" s="1167"/>
      <c r="AP700" s="1168"/>
      <c r="AQ700" s="305"/>
      <c r="AR700" s="305"/>
      <c r="AS700" s="305"/>
      <c r="AT700" s="305"/>
      <c r="AU700" s="305"/>
      <c r="AV700" s="305"/>
      <c r="AW700" s="1186"/>
      <c r="AX700" s="1167"/>
      <c r="BA700" s="305"/>
      <c r="BB700" s="1186"/>
      <c r="BC700" s="1167"/>
      <c r="JV700" s="1525"/>
      <c r="KA700" s="1525"/>
      <c r="KB700" s="1525"/>
      <c r="KC700" s="1525"/>
      <c r="KD700" s="1525"/>
      <c r="KE700" s="1525"/>
      <c r="KF700" s="1525"/>
      <c r="KG700" s="1525"/>
      <c r="KH700" s="1525"/>
      <c r="KI700" s="1525"/>
      <c r="KJ700" s="1525"/>
      <c r="KK700" s="1525"/>
      <c r="KL700" s="1525"/>
      <c r="KM700" s="1525"/>
      <c r="KN700" s="1525"/>
      <c r="KO700" s="1525"/>
      <c r="KP700" s="1525"/>
      <c r="KQ700" s="1525"/>
      <c r="KR700" s="1525"/>
      <c r="KS700" s="1525"/>
      <c r="KT700" s="1525"/>
      <c r="KU700" s="1525"/>
      <c r="KV700" s="1525"/>
      <c r="KW700" s="1525"/>
      <c r="KX700" s="1525"/>
      <c r="KY700" s="1525"/>
      <c r="KZ700" s="1525"/>
      <c r="LA700" s="1525"/>
      <c r="LB700" s="1525"/>
      <c r="LC700" s="1525"/>
      <c r="LD700" s="1525"/>
      <c r="LE700" s="1525"/>
      <c r="LF700" s="1525"/>
    </row>
    <row r="701" spans="1:318" s="1154" customFormat="1" ht="14.25" customHeight="1">
      <c r="C701" s="1167"/>
      <c r="D701" s="1167"/>
      <c r="E701" s="1656" t="s">
        <v>526</v>
      </c>
      <c r="F701" s="1167"/>
      <c r="H701" s="1715"/>
      <c r="J701" s="1697">
        <f>IN619</f>
        <v>0</v>
      </c>
      <c r="K701" s="1697">
        <f>IO619</f>
        <v>0</v>
      </c>
      <c r="L701" s="1697">
        <f>IP619</f>
        <v>0</v>
      </c>
      <c r="M701" s="1697">
        <f>IQ619</f>
        <v>0</v>
      </c>
      <c r="N701" s="1697">
        <f>IR619</f>
        <v>0</v>
      </c>
      <c r="O701" s="1697">
        <f t="shared" si="355"/>
        <v>0</v>
      </c>
      <c r="R701" s="1519"/>
      <c r="S701" s="1519"/>
      <c r="T701" s="1519"/>
      <c r="U701" s="1519"/>
      <c r="V701" s="1519"/>
      <c r="W701" s="1167"/>
      <c r="Z701" s="1167"/>
      <c r="AA701" s="1168"/>
      <c r="AB701" s="1167"/>
      <c r="AE701" s="1167"/>
      <c r="AF701" s="1168"/>
      <c r="AG701" s="1167"/>
      <c r="AJ701" s="1167"/>
      <c r="AK701" s="1168"/>
      <c r="AL701" s="1167"/>
      <c r="AO701" s="1167"/>
      <c r="AP701" s="1168"/>
      <c r="AQ701" s="305"/>
      <c r="AR701" s="305"/>
      <c r="AS701" s="305"/>
      <c r="AT701" s="305"/>
      <c r="AU701" s="305"/>
      <c r="AV701" s="305"/>
      <c r="BA701" s="305"/>
    </row>
    <row r="702" spans="1:318" s="1154" customFormat="1" ht="14.25" customHeight="1">
      <c r="C702" s="1167"/>
      <c r="D702" s="1167"/>
      <c r="E702" s="1656"/>
      <c r="F702" s="1167"/>
      <c r="H702" s="1716" t="s">
        <v>2940</v>
      </c>
      <c r="J702" s="1697">
        <f>IS619</f>
        <v>0</v>
      </c>
      <c r="K702" s="1697">
        <f>IT619</f>
        <v>0</v>
      </c>
      <c r="L702" s="1697">
        <f>IU619</f>
        <v>0</v>
      </c>
      <c r="M702" s="1697">
        <f>IV619</f>
        <v>0</v>
      </c>
      <c r="N702" s="1697">
        <f>IW619</f>
        <v>0</v>
      </c>
      <c r="O702" s="1697">
        <f t="shared" si="355"/>
        <v>0</v>
      </c>
      <c r="R702" s="1519"/>
      <c r="S702" s="1519"/>
      <c r="T702" s="1519"/>
      <c r="U702" s="1519"/>
      <c r="V702" s="1519"/>
      <c r="W702" s="1167"/>
      <c r="Z702" s="1167"/>
      <c r="AA702" s="1168"/>
      <c r="AB702" s="1167"/>
      <c r="AE702" s="1167"/>
      <c r="AF702" s="1168"/>
      <c r="AG702" s="1167"/>
      <c r="AJ702" s="1167"/>
      <c r="AK702" s="1168"/>
      <c r="AL702" s="1167"/>
      <c r="AO702" s="1167"/>
      <c r="AP702" s="1168"/>
      <c r="AQ702" s="305"/>
      <c r="AR702" s="305"/>
      <c r="AS702" s="305"/>
      <c r="AT702" s="305"/>
      <c r="AU702" s="305"/>
      <c r="AV702" s="305"/>
      <c r="BA702" s="305"/>
    </row>
    <row r="703" spans="1:318" s="1154" customFormat="1" ht="10.5" customHeight="1">
      <c r="C703" s="1167"/>
      <c r="H703" s="1665"/>
      <c r="J703" s="1710"/>
      <c r="K703" s="1710"/>
      <c r="L703" s="1710"/>
      <c r="M703" s="1710"/>
      <c r="N703" s="1710"/>
      <c r="O703" s="1710"/>
      <c r="JV703" s="1525"/>
      <c r="KA703" s="1525"/>
      <c r="KB703" s="1525"/>
      <c r="KC703" s="1525"/>
      <c r="KD703" s="1525"/>
      <c r="KE703" s="1525"/>
      <c r="KF703" s="1525"/>
      <c r="KG703" s="1525"/>
      <c r="KH703" s="1525"/>
      <c r="KI703" s="1525"/>
      <c r="KJ703" s="1525"/>
      <c r="KK703" s="1525"/>
      <c r="KL703" s="1525"/>
      <c r="KM703" s="1525"/>
      <c r="KN703" s="1525"/>
      <c r="KO703" s="1525"/>
      <c r="KP703" s="1525"/>
      <c r="KQ703" s="1525"/>
      <c r="KR703" s="1525"/>
      <c r="KS703" s="1525"/>
      <c r="KT703" s="1525"/>
      <c r="KU703" s="1525"/>
      <c r="KV703" s="1525"/>
      <c r="KW703" s="1525"/>
      <c r="KX703" s="1525"/>
      <c r="KY703" s="1525"/>
      <c r="KZ703" s="1525"/>
      <c r="LA703" s="1525"/>
      <c r="LB703" s="1525"/>
      <c r="LC703" s="1525"/>
      <c r="LD703" s="1525"/>
      <c r="LE703" s="1525"/>
      <c r="LF703" s="1525"/>
    </row>
    <row r="704" spans="1:318" s="1154" customFormat="1" ht="14.45" customHeight="1">
      <c r="A704" s="1154" t="s">
        <v>685</v>
      </c>
      <c r="B704" s="1154" t="s">
        <v>3745</v>
      </c>
      <c r="K704" s="1694">
        <f>$K$53</f>
        <v>0</v>
      </c>
      <c r="L704" s="1694"/>
      <c r="M704" s="1694"/>
      <c r="N704" s="1694"/>
      <c r="R704" s="1167" t="str">
        <f>B704</f>
        <v>UNIT SUMMARY (Continued)</v>
      </c>
      <c r="S704" s="1167"/>
      <c r="T704" s="1167"/>
      <c r="U704" s="1167"/>
      <c r="AX704" s="1167"/>
      <c r="BC704" s="1167"/>
      <c r="JV704" s="1525"/>
      <c r="KA704" s="1525"/>
      <c r="KB704" s="1525"/>
      <c r="KC704" s="1525"/>
      <c r="KD704" s="1525"/>
      <c r="KE704" s="1525"/>
      <c r="KF704" s="1525"/>
      <c r="KG704" s="1525"/>
      <c r="KH704" s="1525"/>
      <c r="KI704" s="1525"/>
      <c r="KJ704" s="1525"/>
      <c r="KK704" s="1525"/>
      <c r="KL704" s="1525"/>
      <c r="KM704" s="1525"/>
      <c r="KN704" s="1525"/>
      <c r="KO704" s="1525"/>
      <c r="KP704" s="1525"/>
      <c r="KQ704" s="1525"/>
      <c r="KR704" s="1525"/>
      <c r="KS704" s="1525"/>
      <c r="KT704" s="1525"/>
      <c r="KU704" s="1525"/>
      <c r="KV704" s="1525"/>
      <c r="KW704" s="1525"/>
      <c r="KX704" s="1525"/>
      <c r="KY704" s="1525"/>
      <c r="KZ704" s="1525"/>
      <c r="LA704" s="1525"/>
      <c r="LB704" s="1525"/>
      <c r="LC704" s="1525"/>
      <c r="LD704" s="1525"/>
      <c r="LE704" s="1525"/>
      <c r="LF704" s="1525"/>
    </row>
    <row r="705" spans="1:318" s="1154" customFormat="1" ht="9" customHeight="1">
      <c r="P705" s="1527"/>
      <c r="R705" s="1717" t="str">
        <f>C706</f>
        <v>Building Type:
(for Cost Limit purposes only - see Application Instructions for further detail)</v>
      </c>
      <c r="T705" s="1695"/>
      <c r="AX705" s="1167"/>
      <c r="BC705" s="1167"/>
      <c r="JV705" s="1525"/>
      <c r="KA705" s="1525"/>
      <c r="KB705" s="1525"/>
      <c r="KC705" s="1525"/>
      <c r="KD705" s="1525"/>
      <c r="KE705" s="1525"/>
      <c r="KF705" s="1525"/>
      <c r="KG705" s="1525"/>
      <c r="KH705" s="1525"/>
      <c r="KI705" s="1525"/>
      <c r="KJ705" s="1525"/>
      <c r="KK705" s="1525"/>
      <c r="KL705" s="1525"/>
      <c r="KM705" s="1525"/>
      <c r="KN705" s="1525"/>
      <c r="KO705" s="1525"/>
      <c r="KP705" s="1525"/>
      <c r="KQ705" s="1525"/>
      <c r="KR705" s="1525"/>
      <c r="KS705" s="1525"/>
      <c r="KT705" s="1525"/>
      <c r="KU705" s="1525"/>
      <c r="KV705" s="1525"/>
      <c r="KW705" s="1525"/>
      <c r="KX705" s="1525"/>
      <c r="KY705" s="1525"/>
      <c r="KZ705" s="1525"/>
      <c r="LA705" s="1525"/>
      <c r="LB705" s="1525"/>
      <c r="LC705" s="1525"/>
      <c r="LD705" s="1525"/>
      <c r="LE705" s="1525"/>
      <c r="LF705" s="1525"/>
    </row>
    <row r="706" spans="1:318" s="1154" customFormat="1" ht="14.25" customHeight="1">
      <c r="C706" s="1519" t="s">
        <v>3747</v>
      </c>
      <c r="D706" s="1519"/>
      <c r="E706" s="1659" t="s">
        <v>2935</v>
      </c>
      <c r="F706" s="1658"/>
      <c r="H706" s="1715"/>
      <c r="J706" s="1697">
        <f t="shared" ref="J706:N707" si="356">J695+J699+J701</f>
        <v>0</v>
      </c>
      <c r="K706" s="1697">
        <f t="shared" si="356"/>
        <v>0</v>
      </c>
      <c r="L706" s="1697">
        <f t="shared" si="356"/>
        <v>0</v>
      </c>
      <c r="M706" s="1697">
        <f t="shared" si="356"/>
        <v>0</v>
      </c>
      <c r="N706" s="1697">
        <f t="shared" si="356"/>
        <v>0</v>
      </c>
      <c r="O706" s="1697">
        <f t="shared" ref="O706:O713" si="357">SUM(J706:N706)</f>
        <v>0</v>
      </c>
      <c r="R706" s="1519"/>
      <c r="S706" s="1519"/>
      <c r="T706" s="1519"/>
      <c r="U706" s="1519"/>
      <c r="V706" s="1519"/>
      <c r="W706" s="1167"/>
      <c r="Z706" s="1167"/>
      <c r="AA706" s="1168"/>
      <c r="AB706" s="1167"/>
      <c r="AE706" s="1167"/>
      <c r="AF706" s="1168"/>
      <c r="AG706" s="1167"/>
      <c r="AJ706" s="1167"/>
      <c r="AK706" s="1168"/>
      <c r="AL706" s="1167"/>
      <c r="AO706" s="1167"/>
      <c r="AP706" s="1168"/>
      <c r="AQ706" s="305"/>
      <c r="AR706" s="305"/>
      <c r="AS706" s="305"/>
      <c r="AT706" s="305"/>
      <c r="AU706" s="305"/>
      <c r="AV706" s="305"/>
      <c r="BA706" s="305"/>
    </row>
    <row r="707" spans="1:318" s="1154" customFormat="1" ht="14.25" customHeight="1">
      <c r="C707" s="1519"/>
      <c r="D707" s="1519"/>
      <c r="E707" s="1659"/>
      <c r="F707" s="1658"/>
      <c r="H707" s="1716" t="s">
        <v>2940</v>
      </c>
      <c r="J707" s="1697">
        <f t="shared" si="356"/>
        <v>0</v>
      </c>
      <c r="K707" s="1697">
        <f t="shared" si="356"/>
        <v>0</v>
      </c>
      <c r="L707" s="1697">
        <f t="shared" si="356"/>
        <v>0</v>
      </c>
      <c r="M707" s="1697">
        <f t="shared" si="356"/>
        <v>0</v>
      </c>
      <c r="N707" s="1697">
        <f t="shared" si="356"/>
        <v>0</v>
      </c>
      <c r="O707" s="1697">
        <f t="shared" si="357"/>
        <v>0</v>
      </c>
      <c r="R707" s="1519"/>
      <c r="S707" s="1519"/>
      <c r="T707" s="1519"/>
      <c r="U707" s="1519"/>
      <c r="V707" s="1519"/>
      <c r="W707" s="1167"/>
      <c r="Z707" s="1167"/>
      <c r="AA707" s="1168"/>
      <c r="AB707" s="1167"/>
      <c r="AE707" s="1167"/>
      <c r="AF707" s="1168"/>
      <c r="AG707" s="1167"/>
      <c r="AJ707" s="1167"/>
      <c r="AK707" s="1168"/>
      <c r="AL707" s="1167"/>
      <c r="AO707" s="1167"/>
      <c r="AP707" s="1168"/>
      <c r="AQ707" s="305"/>
      <c r="AR707" s="305"/>
      <c r="AS707" s="305"/>
      <c r="AT707" s="305"/>
      <c r="AU707" s="305"/>
      <c r="AV707" s="305"/>
      <c r="BA707" s="305"/>
    </row>
    <row r="708" spans="1:318" s="1154" customFormat="1" ht="14.25" customHeight="1">
      <c r="C708" s="1519"/>
      <c r="D708" s="1519"/>
      <c r="E708" s="1659" t="s">
        <v>2936</v>
      </c>
      <c r="F708" s="1658"/>
      <c r="H708" s="1658"/>
      <c r="J708" s="1697">
        <f t="shared" ref="J708:N709" si="358">J687+J697</f>
        <v>0</v>
      </c>
      <c r="K708" s="1697">
        <f t="shared" si="358"/>
        <v>0</v>
      </c>
      <c r="L708" s="1697">
        <f t="shared" si="358"/>
        <v>0</v>
      </c>
      <c r="M708" s="1697">
        <f t="shared" si="358"/>
        <v>0</v>
      </c>
      <c r="N708" s="1697">
        <f t="shared" si="358"/>
        <v>0</v>
      </c>
      <c r="O708" s="1697">
        <f t="shared" si="357"/>
        <v>0</v>
      </c>
      <c r="R708" s="1519"/>
      <c r="S708" s="1519"/>
      <c r="T708" s="1519"/>
      <c r="U708" s="1519"/>
      <c r="V708" s="1519"/>
      <c r="W708" s="1167"/>
      <c r="Z708" s="1167"/>
      <c r="AA708" s="1168"/>
      <c r="AB708" s="1167"/>
      <c r="AE708" s="1167"/>
      <c r="AF708" s="1168"/>
      <c r="AG708" s="1167"/>
      <c r="AJ708" s="1167"/>
      <c r="AK708" s="1168"/>
      <c r="AL708" s="1167"/>
      <c r="AO708" s="1167"/>
      <c r="AP708" s="1168"/>
      <c r="AQ708" s="305"/>
      <c r="AR708" s="305"/>
      <c r="AS708" s="305"/>
      <c r="AT708" s="305"/>
      <c r="AU708" s="305"/>
      <c r="AV708" s="305"/>
      <c r="BA708" s="305"/>
    </row>
    <row r="709" spans="1:318" s="1154" customFormat="1" ht="14.25" customHeight="1">
      <c r="C709" s="1519"/>
      <c r="D709" s="1519"/>
      <c r="E709" s="1659"/>
      <c r="F709" s="1658"/>
      <c r="H709" s="1716" t="s">
        <v>2940</v>
      </c>
      <c r="J709" s="1697">
        <f t="shared" si="358"/>
        <v>0</v>
      </c>
      <c r="K709" s="1697">
        <f t="shared" si="358"/>
        <v>0</v>
      </c>
      <c r="L709" s="1697">
        <f t="shared" si="358"/>
        <v>0</v>
      </c>
      <c r="M709" s="1697">
        <f t="shared" si="358"/>
        <v>0</v>
      </c>
      <c r="N709" s="1697">
        <f t="shared" si="358"/>
        <v>0</v>
      </c>
      <c r="O709" s="1697">
        <f t="shared" si="357"/>
        <v>0</v>
      </c>
      <c r="R709" s="1519"/>
      <c r="S709" s="1519"/>
      <c r="T709" s="1519"/>
      <c r="U709" s="1519"/>
      <c r="V709" s="1519"/>
      <c r="W709" s="1167"/>
      <c r="Z709" s="1167"/>
      <c r="AA709" s="1168"/>
      <c r="AB709" s="1167"/>
      <c r="AE709" s="1167"/>
      <c r="AF709" s="1168"/>
      <c r="AG709" s="1167"/>
      <c r="AJ709" s="1167"/>
      <c r="AK709" s="1168"/>
      <c r="AL709" s="1167"/>
      <c r="AO709" s="1167"/>
      <c r="AP709" s="1168"/>
      <c r="AQ709" s="305"/>
      <c r="AR709" s="305"/>
      <c r="AS709" s="305"/>
      <c r="AT709" s="305"/>
      <c r="AU709" s="305"/>
      <c r="AV709" s="305"/>
      <c r="BA709" s="305"/>
    </row>
    <row r="710" spans="1:318" s="1154" customFormat="1" ht="14.25" customHeight="1">
      <c r="C710" s="1519"/>
      <c r="D710" s="1519"/>
      <c r="E710" s="1659" t="s">
        <v>2937</v>
      </c>
      <c r="F710" s="1658"/>
      <c r="H710" s="1715"/>
      <c r="J710" s="1697">
        <f t="shared" ref="J710:N711" si="359">J691</f>
        <v>0</v>
      </c>
      <c r="K710" s="1697">
        <f t="shared" si="359"/>
        <v>0</v>
      </c>
      <c r="L710" s="1697">
        <f t="shared" si="359"/>
        <v>0</v>
      </c>
      <c r="M710" s="1697">
        <f t="shared" si="359"/>
        <v>0</v>
      </c>
      <c r="N710" s="1697">
        <f t="shared" si="359"/>
        <v>0</v>
      </c>
      <c r="O710" s="1697">
        <f t="shared" si="357"/>
        <v>0</v>
      </c>
      <c r="R710" s="1519"/>
      <c r="S710" s="1519"/>
      <c r="T710" s="1519"/>
      <c r="U710" s="1519"/>
      <c r="V710" s="1519"/>
      <c r="W710" s="1167"/>
      <c r="Z710" s="1167"/>
      <c r="AA710" s="1168"/>
      <c r="AB710" s="1167"/>
      <c r="AE710" s="1167"/>
      <c r="AF710" s="1168"/>
      <c r="AG710" s="1167"/>
      <c r="AJ710" s="1167"/>
      <c r="AK710" s="1168"/>
      <c r="AL710" s="1167"/>
      <c r="AO710" s="1167"/>
      <c r="AP710" s="1168"/>
      <c r="AQ710" s="305"/>
      <c r="AR710" s="305"/>
      <c r="AS710" s="305"/>
      <c r="AT710" s="305"/>
      <c r="AU710" s="305"/>
      <c r="AV710" s="305"/>
      <c r="BA710" s="305"/>
    </row>
    <row r="711" spans="1:318" s="1154" customFormat="1" ht="14.25" customHeight="1">
      <c r="C711" s="1519"/>
      <c r="D711" s="1519"/>
      <c r="E711" s="1659"/>
      <c r="F711" s="1658"/>
      <c r="H711" s="1716" t="s">
        <v>2940</v>
      </c>
      <c r="J711" s="1697">
        <f t="shared" si="359"/>
        <v>0</v>
      </c>
      <c r="K711" s="1697">
        <f t="shared" si="359"/>
        <v>0</v>
      </c>
      <c r="L711" s="1697">
        <f t="shared" si="359"/>
        <v>0</v>
      </c>
      <c r="M711" s="1697">
        <f t="shared" si="359"/>
        <v>0</v>
      </c>
      <c r="N711" s="1697">
        <f t="shared" si="359"/>
        <v>0</v>
      </c>
      <c r="O711" s="1697">
        <f t="shared" si="357"/>
        <v>0</v>
      </c>
      <c r="R711" s="1519"/>
      <c r="S711" s="1519"/>
      <c r="T711" s="1519"/>
      <c r="U711" s="1519"/>
      <c r="V711" s="1519"/>
      <c r="W711" s="1167"/>
      <c r="Z711" s="1167"/>
      <c r="AA711" s="1168"/>
      <c r="AB711" s="1167"/>
      <c r="AE711" s="1167"/>
      <c r="AF711" s="1168"/>
      <c r="AG711" s="1167"/>
      <c r="AJ711" s="1167"/>
      <c r="AK711" s="1168"/>
      <c r="AL711" s="1167"/>
      <c r="AO711" s="1167"/>
      <c r="AP711" s="1168"/>
      <c r="AQ711" s="305"/>
      <c r="AR711" s="305"/>
      <c r="AS711" s="305"/>
      <c r="AT711" s="305"/>
      <c r="AU711" s="305"/>
      <c r="AV711" s="305"/>
      <c r="BA711" s="305"/>
    </row>
    <row r="712" spans="1:318" s="1154" customFormat="1" ht="14.25" customHeight="1">
      <c r="C712" s="1519"/>
      <c r="D712" s="1519"/>
      <c r="E712" s="1659" t="s">
        <v>2938</v>
      </c>
      <c r="F712" s="1658"/>
      <c r="H712" s="1715"/>
      <c r="J712" s="1697">
        <f t="shared" ref="J712:N713" si="360">J689+J693</f>
        <v>0</v>
      </c>
      <c r="K712" s="1697">
        <f t="shared" si="360"/>
        <v>0</v>
      </c>
      <c r="L712" s="1697">
        <f t="shared" si="360"/>
        <v>0</v>
      </c>
      <c r="M712" s="1697">
        <f t="shared" si="360"/>
        <v>0</v>
      </c>
      <c r="N712" s="1697">
        <f t="shared" si="360"/>
        <v>0</v>
      </c>
      <c r="O712" s="1697">
        <f t="shared" si="357"/>
        <v>0</v>
      </c>
      <c r="R712" s="1519"/>
      <c r="S712" s="1519"/>
      <c r="T712" s="1519"/>
      <c r="U712" s="1519"/>
      <c r="V712" s="1519"/>
      <c r="W712" s="1167"/>
      <c r="Z712" s="1167"/>
      <c r="AA712" s="1168"/>
      <c r="AB712" s="1167"/>
      <c r="AE712" s="1167"/>
      <c r="AF712" s="1168"/>
      <c r="AG712" s="1167"/>
      <c r="AJ712" s="1167"/>
      <c r="AK712" s="1168"/>
      <c r="AL712" s="1167"/>
      <c r="AO712" s="1167"/>
      <c r="AP712" s="1168"/>
      <c r="AQ712" s="305"/>
      <c r="AR712" s="305"/>
      <c r="AS712" s="305"/>
      <c r="AT712" s="305"/>
      <c r="AU712" s="305"/>
      <c r="AV712" s="305"/>
      <c r="BA712" s="305"/>
    </row>
    <row r="713" spans="1:318" s="1154" customFormat="1" ht="14.25" customHeight="1">
      <c r="C713" s="1167"/>
      <c r="D713" s="1167"/>
      <c r="E713" s="1718"/>
      <c r="F713" s="1658"/>
      <c r="H713" s="1716" t="s">
        <v>2940</v>
      </c>
      <c r="J713" s="1697">
        <f t="shared" si="360"/>
        <v>0</v>
      </c>
      <c r="K713" s="1697">
        <f t="shared" si="360"/>
        <v>0</v>
      </c>
      <c r="L713" s="1697">
        <f t="shared" si="360"/>
        <v>0</v>
      </c>
      <c r="M713" s="1697">
        <f t="shared" si="360"/>
        <v>0</v>
      </c>
      <c r="N713" s="1697">
        <f t="shared" si="360"/>
        <v>0</v>
      </c>
      <c r="O713" s="1697">
        <f t="shared" si="357"/>
        <v>0</v>
      </c>
      <c r="P713" s="1527" t="s">
        <v>3714</v>
      </c>
      <c r="R713" s="1519"/>
      <c r="S713" s="1519"/>
      <c r="T713" s="1519"/>
      <c r="U713" s="1519"/>
      <c r="V713" s="1519"/>
      <c r="W713" s="1167"/>
      <c r="Z713" s="1167"/>
      <c r="AA713" s="1168"/>
      <c r="AB713" s="1167"/>
      <c r="AE713" s="1167"/>
      <c r="AF713" s="1168"/>
      <c r="AG713" s="1167"/>
      <c r="AJ713" s="1167"/>
      <c r="AK713" s="1168"/>
      <c r="AL713" s="1167"/>
      <c r="AO713" s="1167"/>
      <c r="AP713" s="1168"/>
      <c r="AQ713" s="305"/>
      <c r="AR713" s="305"/>
      <c r="AS713" s="305"/>
      <c r="AT713" s="305"/>
      <c r="AU713" s="305"/>
      <c r="AV713" s="305"/>
      <c r="BA713" s="305"/>
    </row>
    <row r="714" spans="1:318" s="1154" customFormat="1" ht="9" customHeight="1">
      <c r="A714" s="1711"/>
      <c r="B714" s="1711"/>
      <c r="D714" s="1527"/>
      <c r="E714" s="1659"/>
      <c r="F714" s="1167"/>
      <c r="H714" s="1168"/>
      <c r="J714" s="1703"/>
      <c r="K714" s="1703"/>
      <c r="L714" s="1703"/>
      <c r="M714" s="1703"/>
      <c r="N714" s="1703"/>
      <c r="O714" s="1703"/>
      <c r="P714" s="1527"/>
      <c r="R714" s="1709"/>
      <c r="T714" s="1657"/>
      <c r="W714" s="1167"/>
      <c r="Z714" s="1167"/>
      <c r="AA714" s="1168"/>
      <c r="AB714" s="1167"/>
      <c r="AE714" s="1167"/>
      <c r="AF714" s="1168"/>
      <c r="AG714" s="1167"/>
      <c r="AJ714" s="1167"/>
      <c r="AK714" s="1168"/>
      <c r="AL714" s="1167"/>
      <c r="AO714" s="1167"/>
      <c r="AP714" s="1168"/>
      <c r="AQ714" s="1167"/>
      <c r="AR714" s="1167"/>
      <c r="AS714" s="1167"/>
      <c r="AT714" s="1167"/>
      <c r="AU714" s="1167"/>
      <c r="AV714" s="1167"/>
      <c r="AX714" s="1167"/>
      <c r="BA714" s="1167"/>
      <c r="BC714" s="1167"/>
      <c r="JV714" s="1525"/>
      <c r="KA714" s="1525"/>
      <c r="KB714" s="1525"/>
      <c r="KC714" s="1525"/>
      <c r="KD714" s="1525"/>
      <c r="KE714" s="1525"/>
      <c r="KF714" s="1525"/>
      <c r="KG714" s="1525"/>
      <c r="KH714" s="1525"/>
      <c r="KI714" s="1525"/>
      <c r="KJ714" s="1525"/>
      <c r="KK714" s="1525"/>
      <c r="KL714" s="1525"/>
      <c r="KM714" s="1525"/>
      <c r="KN714" s="1525"/>
      <c r="KO714" s="1525"/>
      <c r="KP714" s="1525"/>
      <c r="KQ714" s="1525"/>
      <c r="KR714" s="1525"/>
      <c r="KS714" s="1525"/>
      <c r="KT714" s="1525"/>
      <c r="KU714" s="1525"/>
      <c r="KV714" s="1525"/>
      <c r="KW714" s="1525"/>
      <c r="KX714" s="1525"/>
      <c r="KY714" s="1525"/>
      <c r="KZ714" s="1525"/>
      <c r="LA714" s="1525"/>
      <c r="LB714" s="1525"/>
      <c r="LC714" s="1525"/>
      <c r="LD714" s="1525"/>
      <c r="LE714" s="1525"/>
      <c r="LF714" s="1525"/>
    </row>
    <row r="715" spans="1:318" s="1154" customFormat="1" ht="12" customHeight="1">
      <c r="B715" s="1154" t="s">
        <v>1928</v>
      </c>
      <c r="C715" s="1167"/>
      <c r="D715" s="1167"/>
      <c r="E715" s="1167"/>
      <c r="F715" s="1167"/>
      <c r="H715" s="1715"/>
      <c r="J715" s="1694"/>
      <c r="K715" s="1694"/>
      <c r="L715" s="1694"/>
      <c r="M715" s="1694"/>
      <c r="N715" s="1694"/>
      <c r="O715" s="1694"/>
      <c r="P715" s="1527"/>
      <c r="R715" s="1714" t="str">
        <f>B715</f>
        <v>Unit Square Footage:</v>
      </c>
      <c r="S715" s="1714"/>
      <c r="T715" s="1714"/>
      <c r="W715" s="1167"/>
      <c r="Z715" s="1167"/>
      <c r="AA715" s="1168"/>
      <c r="AB715" s="1167"/>
      <c r="AE715" s="1167"/>
      <c r="AF715" s="1168"/>
      <c r="AG715" s="1167"/>
      <c r="AJ715" s="1167"/>
      <c r="AK715" s="1168"/>
      <c r="AL715" s="1167"/>
      <c r="AO715" s="1167"/>
      <c r="AP715" s="1168"/>
      <c r="AQ715" s="1167"/>
      <c r="AR715" s="1167"/>
      <c r="AS715" s="1167"/>
      <c r="AT715" s="1167"/>
      <c r="AU715" s="1167"/>
      <c r="AV715" s="1167"/>
      <c r="AX715" s="1167"/>
      <c r="BA715" s="1167"/>
      <c r="BC715" s="1167"/>
      <c r="JV715" s="1525"/>
      <c r="KA715" s="1525"/>
      <c r="KB715" s="1525"/>
      <c r="KC715" s="1525"/>
      <c r="KD715" s="1525"/>
      <c r="KE715" s="1525"/>
      <c r="KF715" s="1525"/>
      <c r="KG715" s="1525"/>
      <c r="KH715" s="1525"/>
      <c r="KI715" s="1525"/>
      <c r="KJ715" s="1525"/>
      <c r="KK715" s="1525"/>
      <c r="KL715" s="1525"/>
      <c r="KM715" s="1525"/>
      <c r="KN715" s="1525"/>
      <c r="KO715" s="1525"/>
      <c r="KP715" s="1525"/>
      <c r="KQ715" s="1525"/>
      <c r="KR715" s="1525"/>
      <c r="KS715" s="1525"/>
      <c r="KT715" s="1525"/>
      <c r="KU715" s="1525"/>
      <c r="KV715" s="1525"/>
      <c r="KW715" s="1525"/>
      <c r="KX715" s="1525"/>
      <c r="KY715" s="1525"/>
      <c r="KZ715" s="1525"/>
      <c r="LA715" s="1525"/>
      <c r="LB715" s="1525"/>
      <c r="LC715" s="1525"/>
      <c r="LD715" s="1525"/>
      <c r="LE715" s="1525"/>
      <c r="LF715" s="1525"/>
    </row>
    <row r="716" spans="1:318" s="1154" customFormat="1" ht="14.25" customHeight="1">
      <c r="C716" s="1167" t="s">
        <v>1902</v>
      </c>
      <c r="D716" s="1167"/>
      <c r="E716" s="1167"/>
      <c r="F716" s="1167"/>
      <c r="H716" s="1186" t="s">
        <v>3383</v>
      </c>
      <c r="J716" s="1710">
        <f>EH619</f>
        <v>0</v>
      </c>
      <c r="K716" s="1710">
        <f>EI619</f>
        <v>0</v>
      </c>
      <c r="L716" s="1710">
        <f>EJ619</f>
        <v>0</v>
      </c>
      <c r="M716" s="1710">
        <f>EK619</f>
        <v>0</v>
      </c>
      <c r="N716" s="1710">
        <f>EL619</f>
        <v>0</v>
      </c>
      <c r="O716" s="1719">
        <f t="shared" ref="O716:O722" si="361">SUM(J716:N716)</f>
        <v>0</v>
      </c>
      <c r="P716" s="1667" t="str">
        <f t="shared" ref="P716:P722" si="362">IF(OR(O627=0,O627=""),"",O716/O627)</f>
        <v/>
      </c>
      <c r="R716" s="1519"/>
      <c r="S716" s="1519"/>
      <c r="T716" s="1519"/>
      <c r="U716" s="1519"/>
      <c r="V716" s="1519"/>
      <c r="W716" s="1167"/>
      <c r="Z716" s="1167"/>
      <c r="AA716" s="1168"/>
      <c r="AB716" s="1167"/>
      <c r="AE716" s="1167"/>
      <c r="AF716" s="1168"/>
      <c r="AG716" s="1167"/>
      <c r="AJ716" s="1167"/>
      <c r="AK716" s="1168"/>
      <c r="AL716" s="1167"/>
      <c r="AO716" s="1167"/>
      <c r="AP716" s="1168"/>
      <c r="AQ716" s="305"/>
      <c r="AR716" s="305"/>
      <c r="AS716" s="305"/>
      <c r="AT716" s="305"/>
      <c r="AU716" s="305"/>
      <c r="AV716" s="305"/>
      <c r="AX716" s="1167"/>
      <c r="BA716" s="305"/>
      <c r="BC716" s="1167"/>
      <c r="JV716" s="1525"/>
      <c r="KA716" s="1525"/>
      <c r="KB716" s="1525"/>
      <c r="KC716" s="1525"/>
      <c r="KD716" s="1525"/>
      <c r="KE716" s="1525"/>
      <c r="KF716" s="1525"/>
      <c r="KG716" s="1525"/>
      <c r="KH716" s="1525"/>
      <c r="KI716" s="1525"/>
      <c r="KJ716" s="1525"/>
      <c r="KK716" s="1525"/>
      <c r="KL716" s="1525"/>
      <c r="KM716" s="1525"/>
      <c r="KN716" s="1525"/>
      <c r="KO716" s="1525"/>
      <c r="KP716" s="1525"/>
      <c r="KQ716" s="1525"/>
      <c r="KR716" s="1525"/>
      <c r="KS716" s="1525"/>
      <c r="KT716" s="1525"/>
      <c r="KU716" s="1525"/>
      <c r="KV716" s="1525"/>
      <c r="KW716" s="1525"/>
      <c r="KX716" s="1525"/>
      <c r="KY716" s="1525"/>
      <c r="KZ716" s="1525"/>
      <c r="LA716" s="1525"/>
      <c r="LB716" s="1525"/>
      <c r="LC716" s="1525"/>
      <c r="LD716" s="1525"/>
      <c r="LE716" s="1525"/>
      <c r="LF716" s="1525"/>
    </row>
    <row r="717" spans="1:318" s="1154" customFormat="1" ht="14.25" customHeight="1">
      <c r="C717" s="1167"/>
      <c r="D717" s="1167"/>
      <c r="E717" s="1167"/>
      <c r="F717" s="1167"/>
      <c r="H717" s="1715" t="s">
        <v>3385</v>
      </c>
      <c r="J717" s="1719">
        <f>EM619</f>
        <v>0</v>
      </c>
      <c r="K717" s="1719">
        <f>EN619</f>
        <v>0</v>
      </c>
      <c r="L717" s="1719">
        <f>EO619</f>
        <v>0</v>
      </c>
      <c r="M717" s="1719">
        <f>EP619</f>
        <v>0</v>
      </c>
      <c r="N717" s="1719">
        <f>EQ619</f>
        <v>0</v>
      </c>
      <c r="O717" s="1719">
        <f t="shared" si="361"/>
        <v>0</v>
      </c>
      <c r="P717" s="1667" t="str">
        <f t="shared" si="362"/>
        <v/>
      </c>
      <c r="R717" s="1519"/>
      <c r="S717" s="1519"/>
      <c r="T717" s="1519"/>
      <c r="U717" s="1519"/>
      <c r="V717" s="1519"/>
      <c r="W717" s="1167"/>
      <c r="Z717" s="1167"/>
      <c r="AA717" s="1168"/>
      <c r="AB717" s="1167"/>
      <c r="AE717" s="1167"/>
      <c r="AF717" s="1168"/>
      <c r="AG717" s="1167"/>
      <c r="AJ717" s="1167"/>
      <c r="AK717" s="1168"/>
      <c r="AL717" s="1167"/>
      <c r="AO717" s="1167"/>
      <c r="AP717" s="1168"/>
      <c r="AQ717" s="305"/>
      <c r="AR717" s="305"/>
      <c r="AS717" s="305"/>
      <c r="AT717" s="305"/>
      <c r="AU717" s="305"/>
      <c r="AV717" s="305"/>
      <c r="AX717" s="1167"/>
      <c r="BA717" s="305"/>
      <c r="BC717" s="1167"/>
      <c r="JV717" s="1525"/>
      <c r="KA717" s="1525"/>
      <c r="KB717" s="1525"/>
      <c r="KC717" s="1525"/>
      <c r="KD717" s="1525"/>
      <c r="KE717" s="1525"/>
      <c r="KF717" s="1525"/>
      <c r="KG717" s="1525"/>
      <c r="KH717" s="1525"/>
      <c r="KI717" s="1525"/>
      <c r="KJ717" s="1525"/>
      <c r="KK717" s="1525"/>
      <c r="KL717" s="1525"/>
      <c r="KM717" s="1525"/>
      <c r="KN717" s="1525"/>
      <c r="KO717" s="1525"/>
      <c r="KP717" s="1525"/>
      <c r="KQ717" s="1525"/>
      <c r="KR717" s="1525"/>
      <c r="KS717" s="1525"/>
      <c r="KT717" s="1525"/>
      <c r="KU717" s="1525"/>
      <c r="KV717" s="1525"/>
      <c r="KW717" s="1525"/>
      <c r="KX717" s="1525"/>
      <c r="KY717" s="1525"/>
      <c r="KZ717" s="1525"/>
      <c r="LA717" s="1525"/>
      <c r="LB717" s="1525"/>
      <c r="LC717" s="1525"/>
      <c r="LD717" s="1525"/>
      <c r="LE717" s="1525"/>
      <c r="LF717" s="1525"/>
    </row>
    <row r="718" spans="1:318" s="1154" customFormat="1" ht="14.25" customHeight="1">
      <c r="C718" s="1167"/>
      <c r="D718" s="1167"/>
      <c r="E718" s="1167"/>
      <c r="F718" s="1167"/>
      <c r="H718" s="1715" t="s">
        <v>1065</v>
      </c>
      <c r="J718" s="1719">
        <f>ER619</f>
        <v>0</v>
      </c>
      <c r="K718" s="1719">
        <f>ES619</f>
        <v>0</v>
      </c>
      <c r="L718" s="1719">
        <f>ET619</f>
        <v>0</v>
      </c>
      <c r="M718" s="1719">
        <f>EU619</f>
        <v>0</v>
      </c>
      <c r="N718" s="1719">
        <f>EV619</f>
        <v>0</v>
      </c>
      <c r="O718" s="1719">
        <f t="shared" si="361"/>
        <v>0</v>
      </c>
      <c r="P718" s="1667" t="str">
        <f t="shared" si="362"/>
        <v/>
      </c>
      <c r="R718" s="1519"/>
      <c r="S718" s="1519"/>
      <c r="T718" s="1519"/>
      <c r="U718" s="1519"/>
      <c r="V718" s="1519"/>
      <c r="W718" s="1167"/>
      <c r="Z718" s="1167"/>
      <c r="AA718" s="1168"/>
      <c r="AB718" s="1167"/>
      <c r="AE718" s="1167"/>
      <c r="AF718" s="1168"/>
      <c r="AG718" s="1167"/>
      <c r="AJ718" s="1167"/>
      <c r="AK718" s="1168"/>
      <c r="AL718" s="1167"/>
      <c r="AO718" s="1167"/>
      <c r="AP718" s="1168"/>
      <c r="AQ718" s="305"/>
      <c r="AR718" s="305"/>
      <c r="AS718" s="305"/>
      <c r="AT718" s="305"/>
      <c r="AU718" s="305"/>
      <c r="AV718" s="305"/>
      <c r="AX718" s="1167"/>
      <c r="BA718" s="305"/>
      <c r="BC718" s="1167"/>
      <c r="JV718" s="1525"/>
      <c r="KA718" s="1525"/>
      <c r="KB718" s="1525"/>
      <c r="KC718" s="1525"/>
      <c r="KD718" s="1525"/>
      <c r="KE718" s="1525"/>
      <c r="KF718" s="1525"/>
      <c r="KG718" s="1525"/>
      <c r="KH718" s="1525"/>
      <c r="KI718" s="1525"/>
      <c r="KJ718" s="1525"/>
      <c r="KK718" s="1525"/>
      <c r="KL718" s="1525"/>
      <c r="KM718" s="1525"/>
      <c r="KN718" s="1525"/>
      <c r="KO718" s="1525"/>
      <c r="KP718" s="1525"/>
      <c r="KQ718" s="1525"/>
      <c r="KR718" s="1525"/>
      <c r="KS718" s="1525"/>
      <c r="KT718" s="1525"/>
      <c r="KU718" s="1525"/>
      <c r="KV718" s="1525"/>
      <c r="KW718" s="1525"/>
      <c r="KX718" s="1525"/>
      <c r="KY718" s="1525"/>
      <c r="KZ718" s="1525"/>
      <c r="LA718" s="1525"/>
      <c r="LB718" s="1525"/>
      <c r="LC718" s="1525"/>
      <c r="LD718" s="1525"/>
      <c r="LE718" s="1525"/>
      <c r="LF718" s="1525"/>
    </row>
    <row r="719" spans="1:318" s="1154" customFormat="1" ht="14.25" customHeight="1">
      <c r="C719" s="1167"/>
      <c r="D719" s="1167"/>
      <c r="E719" s="1167"/>
      <c r="F719" s="1167"/>
      <c r="H719" s="1715" t="s">
        <v>109</v>
      </c>
      <c r="J719" s="1719">
        <f>EW619</f>
        <v>0</v>
      </c>
      <c r="K719" s="1719">
        <f>EX619</f>
        <v>0</v>
      </c>
      <c r="L719" s="1719">
        <f>EY619</f>
        <v>0</v>
      </c>
      <c r="M719" s="1719">
        <f>EZ619</f>
        <v>0</v>
      </c>
      <c r="N719" s="1719">
        <f>FA619</f>
        <v>0</v>
      </c>
      <c r="O719" s="1719">
        <f t="shared" si="361"/>
        <v>0</v>
      </c>
      <c r="P719" s="1667" t="str">
        <f t="shared" si="362"/>
        <v/>
      </c>
      <c r="R719" s="1519"/>
      <c r="S719" s="1519"/>
      <c r="T719" s="1519"/>
      <c r="U719" s="1519"/>
      <c r="V719" s="1519"/>
      <c r="W719" s="1167"/>
      <c r="Z719" s="1167"/>
      <c r="AA719" s="1168"/>
      <c r="AB719" s="1167"/>
      <c r="AE719" s="1167"/>
      <c r="AF719" s="1168"/>
      <c r="AG719" s="1167"/>
      <c r="AJ719" s="1167"/>
      <c r="AK719" s="1168"/>
      <c r="AL719" s="1167"/>
      <c r="AO719" s="1167"/>
      <c r="AP719" s="1168"/>
      <c r="AQ719" s="305"/>
      <c r="AR719" s="305"/>
      <c r="AS719" s="305"/>
      <c r="AT719" s="305"/>
      <c r="AU719" s="305"/>
      <c r="AV719" s="305"/>
      <c r="AX719" s="1167"/>
      <c r="BA719" s="305"/>
      <c r="BC719" s="1167"/>
      <c r="JV719" s="1525"/>
      <c r="KA719" s="1525"/>
      <c r="KB719" s="1525"/>
      <c r="KC719" s="1525"/>
      <c r="KD719" s="1525"/>
      <c r="KE719" s="1525"/>
      <c r="KF719" s="1525"/>
      <c r="KG719" s="1525"/>
      <c r="KH719" s="1525"/>
      <c r="KI719" s="1525"/>
      <c r="KJ719" s="1525"/>
      <c r="KK719" s="1525"/>
      <c r="KL719" s="1525"/>
      <c r="KM719" s="1525"/>
      <c r="KN719" s="1525"/>
      <c r="KO719" s="1525"/>
      <c r="KP719" s="1525"/>
      <c r="KQ719" s="1525"/>
      <c r="KR719" s="1525"/>
      <c r="KS719" s="1525"/>
      <c r="KT719" s="1525"/>
      <c r="KU719" s="1525"/>
      <c r="KV719" s="1525"/>
      <c r="KW719" s="1525"/>
      <c r="KX719" s="1525"/>
      <c r="KY719" s="1525"/>
      <c r="KZ719" s="1525"/>
      <c r="LA719" s="1525"/>
      <c r="LB719" s="1525"/>
      <c r="LC719" s="1525"/>
      <c r="LD719" s="1525"/>
      <c r="LE719" s="1525"/>
      <c r="LF719" s="1525"/>
    </row>
    <row r="720" spans="1:318" s="1154" customFormat="1" ht="14.25" customHeight="1">
      <c r="C720" s="1167"/>
      <c r="D720" s="1167"/>
      <c r="E720" s="1167"/>
      <c r="F720" s="1167"/>
      <c r="H720" s="1715" t="s">
        <v>3386</v>
      </c>
      <c r="J720" s="1719">
        <f>FB619</f>
        <v>0</v>
      </c>
      <c r="K720" s="1719">
        <f>FC619</f>
        <v>0</v>
      </c>
      <c r="L720" s="1719">
        <f>FD619</f>
        <v>0</v>
      </c>
      <c r="M720" s="1719">
        <f>FE619</f>
        <v>0</v>
      </c>
      <c r="N720" s="1719">
        <f>FF619</f>
        <v>0</v>
      </c>
      <c r="O720" s="1719">
        <f t="shared" si="361"/>
        <v>0</v>
      </c>
      <c r="P720" s="1667" t="str">
        <f t="shared" si="362"/>
        <v/>
      </c>
      <c r="R720" s="1519"/>
      <c r="S720" s="1519"/>
      <c r="T720" s="1519"/>
      <c r="U720" s="1519"/>
      <c r="V720" s="1519"/>
      <c r="W720" s="1167"/>
      <c r="Z720" s="1167"/>
      <c r="AA720" s="1168"/>
      <c r="AB720" s="1167"/>
      <c r="AE720" s="1167"/>
      <c r="AF720" s="1168"/>
      <c r="AG720" s="1167"/>
      <c r="AJ720" s="1167"/>
      <c r="AK720" s="1168"/>
      <c r="AL720" s="1167"/>
      <c r="AO720" s="1167"/>
      <c r="AP720" s="1168"/>
      <c r="AQ720" s="305"/>
      <c r="AR720" s="305"/>
      <c r="AS720" s="305"/>
      <c r="AT720" s="305"/>
      <c r="AU720" s="305"/>
      <c r="AV720" s="305"/>
      <c r="AX720" s="1167"/>
      <c r="BA720" s="305"/>
      <c r="BC720" s="1167"/>
      <c r="JV720" s="1525"/>
      <c r="KA720" s="1525"/>
      <c r="KB720" s="1525"/>
      <c r="KC720" s="1525"/>
      <c r="KD720" s="1525"/>
      <c r="KE720" s="1525"/>
      <c r="KF720" s="1525"/>
      <c r="KG720" s="1525"/>
      <c r="KH720" s="1525"/>
      <c r="KI720" s="1525"/>
      <c r="KJ720" s="1525"/>
      <c r="KK720" s="1525"/>
      <c r="KL720" s="1525"/>
      <c r="KM720" s="1525"/>
      <c r="KN720" s="1525"/>
      <c r="KO720" s="1525"/>
      <c r="KP720" s="1525"/>
      <c r="KQ720" s="1525"/>
      <c r="KR720" s="1525"/>
      <c r="KS720" s="1525"/>
      <c r="KT720" s="1525"/>
      <c r="KU720" s="1525"/>
      <c r="KV720" s="1525"/>
      <c r="KW720" s="1525"/>
      <c r="KX720" s="1525"/>
      <c r="KY720" s="1525"/>
      <c r="KZ720" s="1525"/>
      <c r="LA720" s="1525"/>
      <c r="LB720" s="1525"/>
      <c r="LC720" s="1525"/>
      <c r="LD720" s="1525"/>
      <c r="LE720" s="1525"/>
      <c r="LF720" s="1525"/>
    </row>
    <row r="721" spans="1:319" s="1154" customFormat="1" ht="14.25" customHeight="1">
      <c r="C721" s="1167"/>
      <c r="D721" s="1167"/>
      <c r="E721" s="1167"/>
      <c r="F721" s="1167"/>
      <c r="H721" s="1715" t="s">
        <v>3387</v>
      </c>
      <c r="J721" s="1719">
        <f>FG619</f>
        <v>0</v>
      </c>
      <c r="K721" s="1719">
        <f>FH619</f>
        <v>0</v>
      </c>
      <c r="L721" s="1719">
        <f>FI619</f>
        <v>0</v>
      </c>
      <c r="M721" s="1719">
        <f>FJ619</f>
        <v>0</v>
      </c>
      <c r="N721" s="1719">
        <f>FK619</f>
        <v>0</v>
      </c>
      <c r="O721" s="1719">
        <f t="shared" si="361"/>
        <v>0</v>
      </c>
      <c r="P721" s="1667" t="str">
        <f t="shared" si="362"/>
        <v/>
      </c>
      <c r="R721" s="1519"/>
      <c r="S721" s="1519"/>
      <c r="T721" s="1519"/>
      <c r="U721" s="1519"/>
      <c r="V721" s="1519"/>
      <c r="W721" s="1167"/>
      <c r="Z721" s="1167"/>
      <c r="AA721" s="1168"/>
      <c r="AB721" s="1167"/>
      <c r="AE721" s="1167"/>
      <c r="AF721" s="1168"/>
      <c r="AG721" s="1167"/>
      <c r="AJ721" s="1167"/>
      <c r="AK721" s="1168"/>
      <c r="AL721" s="1167"/>
      <c r="AO721" s="1167"/>
      <c r="AP721" s="1168"/>
      <c r="AQ721" s="305"/>
      <c r="AR721" s="305"/>
      <c r="AS721" s="305"/>
      <c r="AT721" s="305"/>
      <c r="AU721" s="305"/>
      <c r="AV721" s="305"/>
      <c r="AX721" s="1167"/>
      <c r="BA721" s="305"/>
      <c r="BC721" s="1167"/>
      <c r="JV721" s="1525"/>
      <c r="KA721" s="1525"/>
      <c r="KB721" s="1525"/>
      <c r="KC721" s="1525"/>
      <c r="KD721" s="1525"/>
      <c r="KE721" s="1525"/>
      <c r="KF721" s="1525"/>
      <c r="KG721" s="1525"/>
      <c r="KH721" s="1525"/>
      <c r="KI721" s="1525"/>
      <c r="KJ721" s="1525"/>
      <c r="KK721" s="1525"/>
      <c r="KL721" s="1525"/>
      <c r="KM721" s="1525"/>
      <c r="KN721" s="1525"/>
      <c r="KO721" s="1525"/>
      <c r="KP721" s="1525"/>
      <c r="KQ721" s="1525"/>
      <c r="KR721" s="1525"/>
      <c r="KS721" s="1525"/>
      <c r="KT721" s="1525"/>
      <c r="KU721" s="1525"/>
      <c r="KV721" s="1525"/>
      <c r="KW721" s="1525"/>
      <c r="KX721" s="1525"/>
      <c r="KY721" s="1525"/>
      <c r="KZ721" s="1525"/>
      <c r="LA721" s="1525"/>
      <c r="LB721" s="1525"/>
      <c r="LC721" s="1525"/>
      <c r="LD721" s="1525"/>
      <c r="LE721" s="1525"/>
      <c r="LF721" s="1525"/>
    </row>
    <row r="722" spans="1:319" s="1154" customFormat="1" ht="14.25" customHeight="1">
      <c r="C722" s="1167"/>
      <c r="D722" s="1167"/>
      <c r="E722" s="1167"/>
      <c r="F722" s="1167"/>
      <c r="H722" s="1186" t="s">
        <v>3388</v>
      </c>
      <c r="J722" s="1710">
        <f>FL619</f>
        <v>0</v>
      </c>
      <c r="K722" s="1710">
        <f>FM619</f>
        <v>0</v>
      </c>
      <c r="L722" s="1710">
        <f>FN619</f>
        <v>0</v>
      </c>
      <c r="M722" s="1710">
        <f>FO619</f>
        <v>0</v>
      </c>
      <c r="N722" s="1710">
        <f>FP619</f>
        <v>0</v>
      </c>
      <c r="O722" s="1719">
        <f t="shared" si="361"/>
        <v>0</v>
      </c>
      <c r="P722" s="1667" t="str">
        <f t="shared" si="362"/>
        <v/>
      </c>
      <c r="R722" s="1519"/>
      <c r="S722" s="1519"/>
      <c r="T722" s="1519"/>
      <c r="U722" s="1519"/>
      <c r="V722" s="1519"/>
      <c r="W722" s="1167"/>
      <c r="Z722" s="1167"/>
      <c r="AA722" s="1168"/>
      <c r="AB722" s="1167"/>
      <c r="AE722" s="1167"/>
      <c r="AF722" s="1168"/>
      <c r="AG722" s="1167"/>
      <c r="AJ722" s="1167"/>
      <c r="AK722" s="1168"/>
      <c r="AL722" s="1167"/>
      <c r="AO722" s="1167"/>
      <c r="AP722" s="1168"/>
      <c r="AQ722" s="305"/>
      <c r="AR722" s="305"/>
      <c r="AS722" s="305"/>
      <c r="AT722" s="305"/>
      <c r="AU722" s="305"/>
      <c r="AV722" s="305"/>
      <c r="AW722" s="1167"/>
      <c r="AX722" s="1167"/>
      <c r="BA722" s="305"/>
      <c r="BB722" s="1167"/>
      <c r="BC722" s="1167"/>
      <c r="JV722" s="1525"/>
      <c r="KA722" s="1525"/>
      <c r="KB722" s="1525"/>
      <c r="KC722" s="1525"/>
      <c r="KD722" s="1525"/>
      <c r="KE722" s="1525"/>
      <c r="KF722" s="1525"/>
      <c r="KG722" s="1525"/>
      <c r="KH722" s="1525"/>
      <c r="KI722" s="1525"/>
      <c r="KJ722" s="1525"/>
      <c r="KK722" s="1525"/>
      <c r="KL722" s="1525"/>
      <c r="KM722" s="1525"/>
      <c r="KN722" s="1525"/>
      <c r="KO722" s="1525"/>
      <c r="KP722" s="1525"/>
      <c r="KQ722" s="1525"/>
      <c r="KR722" s="1525"/>
      <c r="KS722" s="1525"/>
      <c r="KT722" s="1525"/>
      <c r="KU722" s="1525"/>
      <c r="KV722" s="1525"/>
      <c r="KW722" s="1525"/>
      <c r="KX722" s="1525"/>
      <c r="KY722" s="1525"/>
      <c r="KZ722" s="1525"/>
      <c r="LA722" s="1525"/>
      <c r="LB722" s="1525"/>
      <c r="LC722" s="1525"/>
      <c r="LD722" s="1525"/>
      <c r="LE722" s="1525"/>
      <c r="LF722" s="1525"/>
    </row>
    <row r="723" spans="1:319" s="1154" customFormat="1" ht="14.25" customHeight="1">
      <c r="C723" s="1167"/>
      <c r="D723" s="1167"/>
      <c r="E723" s="1167"/>
      <c r="F723" s="1167"/>
      <c r="H723" s="1715" t="s">
        <v>3398</v>
      </c>
      <c r="J723" s="1719">
        <f>SUM(J716:J722)</f>
        <v>0</v>
      </c>
      <c r="K723" s="1719">
        <f>SUM(K716:K722)</f>
        <v>0</v>
      </c>
      <c r="L723" s="1719">
        <f>SUM(L716:L722)</f>
        <v>0</v>
      </c>
      <c r="M723" s="1719">
        <f>SUM(M716:M722)</f>
        <v>0</v>
      </c>
      <c r="N723" s="1719">
        <f>SUM(N716:N722)</f>
        <v>0</v>
      </c>
      <c r="O723" s="1719">
        <f>SUM(J723:N723)</f>
        <v>0</v>
      </c>
      <c r="R723" s="1519"/>
      <c r="S723" s="1519"/>
      <c r="T723" s="1519"/>
      <c r="U723" s="1519"/>
      <c r="V723" s="1519"/>
      <c r="W723" s="1167"/>
      <c r="Z723" s="1167"/>
      <c r="AA723" s="1168"/>
      <c r="AB723" s="1167"/>
      <c r="AE723" s="1167"/>
      <c r="AF723" s="1168"/>
      <c r="AG723" s="1167"/>
      <c r="AJ723" s="1167"/>
      <c r="AK723" s="1168"/>
      <c r="AL723" s="1167"/>
      <c r="AO723" s="1167"/>
      <c r="AP723" s="1168"/>
      <c r="AQ723" s="305"/>
      <c r="AR723" s="305"/>
      <c r="AS723" s="305"/>
      <c r="AT723" s="305"/>
      <c r="AU723" s="305"/>
      <c r="AV723" s="305"/>
      <c r="AW723" s="1167"/>
      <c r="AX723" s="1167"/>
      <c r="BA723" s="305"/>
      <c r="BB723" s="1167"/>
      <c r="BC723" s="1167"/>
      <c r="JV723" s="1525"/>
      <c r="KA723" s="1525"/>
      <c r="KB723" s="1525"/>
      <c r="KC723" s="1525"/>
      <c r="KD723" s="1525"/>
      <c r="KE723" s="1525"/>
      <c r="KF723" s="1525"/>
      <c r="KG723" s="1525"/>
      <c r="KH723" s="1525"/>
      <c r="KI723" s="1525"/>
      <c r="KJ723" s="1525"/>
      <c r="KK723" s="1525"/>
      <c r="KL723" s="1525"/>
      <c r="KM723" s="1525"/>
      <c r="KN723" s="1525"/>
      <c r="KO723" s="1525"/>
      <c r="KP723" s="1525"/>
      <c r="KQ723" s="1525"/>
      <c r="KR723" s="1525"/>
      <c r="KS723" s="1525"/>
      <c r="KT723" s="1525"/>
      <c r="KU723" s="1525"/>
      <c r="KV723" s="1525"/>
      <c r="KW723" s="1525"/>
      <c r="KX723" s="1525"/>
      <c r="KY723" s="1525"/>
      <c r="KZ723" s="1525"/>
      <c r="LA723" s="1525"/>
      <c r="LB723" s="1525"/>
      <c r="LC723" s="1525"/>
      <c r="LD723" s="1525"/>
      <c r="LE723" s="1525"/>
      <c r="LF723" s="1525"/>
    </row>
    <row r="724" spans="1:319" s="1154" customFormat="1" ht="14.25" customHeight="1">
      <c r="C724" s="1167" t="s">
        <v>282</v>
      </c>
      <c r="D724" s="1167"/>
      <c r="E724" s="1167"/>
      <c r="F724" s="1167"/>
      <c r="G724" s="1167"/>
      <c r="J724" s="1719">
        <f>FQ619</f>
        <v>0</v>
      </c>
      <c r="K724" s="1719">
        <f>FR619</f>
        <v>0</v>
      </c>
      <c r="L724" s="1719">
        <f>FS619</f>
        <v>0</v>
      </c>
      <c r="M724" s="1719">
        <f>FT619</f>
        <v>0</v>
      </c>
      <c r="N724" s="1719">
        <f>FU619</f>
        <v>0</v>
      </c>
      <c r="O724" s="1719">
        <f>SUM(J724:N724)</f>
        <v>0</v>
      </c>
      <c r="P724" s="1667" t="str">
        <f>IF(OR(O635=0,O635=""),"",O724/O635)</f>
        <v/>
      </c>
      <c r="R724" s="1519"/>
      <c r="S724" s="1519"/>
      <c r="T724" s="1519"/>
      <c r="U724" s="1519"/>
      <c r="V724" s="1519"/>
      <c r="W724" s="1167"/>
      <c r="Z724" s="1167"/>
      <c r="AA724" s="1167"/>
      <c r="AB724" s="1167"/>
      <c r="AE724" s="1167"/>
      <c r="AF724" s="1167"/>
      <c r="AG724" s="1167"/>
      <c r="AJ724" s="1167"/>
      <c r="AK724" s="1167"/>
      <c r="AL724" s="1167"/>
      <c r="AO724" s="1167"/>
      <c r="AP724" s="1167"/>
      <c r="AQ724" s="305"/>
      <c r="AR724" s="305"/>
      <c r="AS724" s="305"/>
      <c r="AT724" s="305"/>
      <c r="AU724" s="305"/>
      <c r="AV724" s="305"/>
      <c r="AX724" s="1167"/>
      <c r="BA724" s="305"/>
      <c r="BC724" s="1167"/>
      <c r="JV724" s="1525"/>
      <c r="KA724" s="1525"/>
      <c r="KB724" s="1525"/>
      <c r="KC724" s="1525"/>
      <c r="KD724" s="1525"/>
      <c r="KE724" s="1525"/>
      <c r="KF724" s="1525"/>
      <c r="KG724" s="1525"/>
      <c r="KH724" s="1525"/>
      <c r="KI724" s="1525"/>
      <c r="KJ724" s="1525"/>
      <c r="KK724" s="1525"/>
      <c r="KL724" s="1525"/>
      <c r="KM724" s="1525"/>
      <c r="KN724" s="1525"/>
      <c r="KO724" s="1525"/>
      <c r="KP724" s="1525"/>
      <c r="KQ724" s="1525"/>
      <c r="KR724" s="1525"/>
      <c r="KS724" s="1525"/>
      <c r="KT724" s="1525"/>
      <c r="KU724" s="1525"/>
      <c r="KV724" s="1525"/>
      <c r="KW724" s="1525"/>
      <c r="KX724" s="1525"/>
      <c r="KY724" s="1525"/>
      <c r="KZ724" s="1525"/>
      <c r="LA724" s="1525"/>
      <c r="LB724" s="1525"/>
      <c r="LC724" s="1525"/>
      <c r="LD724" s="1525"/>
      <c r="LE724" s="1525"/>
      <c r="LF724" s="1525"/>
    </row>
    <row r="725" spans="1:319" s="1154" customFormat="1" ht="14.25" customHeight="1">
      <c r="C725" s="1167" t="s">
        <v>1054</v>
      </c>
      <c r="D725" s="1167"/>
      <c r="E725" s="1167"/>
      <c r="F725" s="1167"/>
      <c r="G725" s="1167"/>
      <c r="J725" s="1719">
        <f>SUM(J723:J724)</f>
        <v>0</v>
      </c>
      <c r="K725" s="1719">
        <f>SUM(K723:K724)</f>
        <v>0</v>
      </c>
      <c r="L725" s="1719">
        <f>SUM(L723:L724)</f>
        <v>0</v>
      </c>
      <c r="M725" s="1719">
        <f>SUM(M723:M724)</f>
        <v>0</v>
      </c>
      <c r="N725" s="1719">
        <f>SUM(N723:N724)</f>
        <v>0</v>
      </c>
      <c r="O725" s="1719">
        <f>SUM(J725:N725)</f>
        <v>0</v>
      </c>
      <c r="R725" s="1519"/>
      <c r="S725" s="1519"/>
      <c r="T725" s="1519"/>
      <c r="U725" s="1519"/>
      <c r="V725" s="1519"/>
      <c r="W725" s="1167"/>
      <c r="Z725" s="1167"/>
      <c r="AA725" s="1167"/>
      <c r="AB725" s="1167"/>
      <c r="AE725" s="1167"/>
      <c r="AF725" s="1167"/>
      <c r="AG725" s="1167"/>
      <c r="AJ725" s="1167"/>
      <c r="AK725" s="1167"/>
      <c r="AL725" s="1167"/>
      <c r="AO725" s="1167"/>
      <c r="AP725" s="1167"/>
      <c r="AQ725" s="305"/>
      <c r="AR725" s="305"/>
      <c r="AS725" s="305"/>
      <c r="AT725" s="305"/>
      <c r="AU725" s="305"/>
      <c r="AV725" s="305"/>
      <c r="AX725" s="1167"/>
      <c r="BA725" s="305"/>
      <c r="BC725" s="1167"/>
      <c r="JV725" s="1525"/>
      <c r="KA725" s="1525"/>
      <c r="KB725" s="1525"/>
      <c r="KC725" s="1525"/>
      <c r="KD725" s="1525"/>
      <c r="KE725" s="1525"/>
      <c r="KF725" s="1525"/>
      <c r="KG725" s="1525"/>
      <c r="KH725" s="1525"/>
      <c r="KI725" s="1525"/>
      <c r="KJ725" s="1525"/>
      <c r="KK725" s="1525"/>
      <c r="KL725" s="1525"/>
      <c r="KM725" s="1525"/>
      <c r="KN725" s="1525"/>
      <c r="KO725" s="1525"/>
      <c r="KP725" s="1525"/>
      <c r="KQ725" s="1525"/>
      <c r="KR725" s="1525"/>
      <c r="KS725" s="1525"/>
      <c r="KT725" s="1525"/>
      <c r="KU725" s="1525"/>
      <c r="KV725" s="1525"/>
      <c r="KW725" s="1525"/>
      <c r="KX725" s="1525"/>
      <c r="KY725" s="1525"/>
      <c r="KZ725" s="1525"/>
      <c r="LA725" s="1525"/>
      <c r="LB725" s="1525"/>
      <c r="LC725" s="1525"/>
      <c r="LD725" s="1525"/>
      <c r="LE725" s="1525"/>
      <c r="LF725" s="1525"/>
    </row>
    <row r="726" spans="1:319" s="1154" customFormat="1" ht="14.25" customHeight="1">
      <c r="C726" s="1167" t="s">
        <v>2224</v>
      </c>
      <c r="D726" s="1167"/>
      <c r="E726" s="1167"/>
      <c r="F726" s="1167"/>
      <c r="G726" s="1167"/>
      <c r="J726" s="1719">
        <f>GA619</f>
        <v>0</v>
      </c>
      <c r="K726" s="1719">
        <f>GB619</f>
        <v>0</v>
      </c>
      <c r="L726" s="1719">
        <f>GC619</f>
        <v>0</v>
      </c>
      <c r="M726" s="1719">
        <f>GD619</f>
        <v>0</v>
      </c>
      <c r="N726" s="1719">
        <f>GE619</f>
        <v>0</v>
      </c>
      <c r="O726" s="1719">
        <f>SUM(J726:N726)</f>
        <v>0</v>
      </c>
      <c r="P726" s="1667" t="str">
        <f>IF(OR(O637=0,O637=""),"",O726/O637)</f>
        <v/>
      </c>
      <c r="R726" s="1519"/>
      <c r="S726" s="1519"/>
      <c r="T726" s="1519"/>
      <c r="U726" s="1519"/>
      <c r="V726" s="1519"/>
      <c r="W726" s="1167"/>
      <c r="Z726" s="1167"/>
      <c r="AA726" s="1167"/>
      <c r="AB726" s="1167"/>
      <c r="AE726" s="1167"/>
      <c r="AF726" s="1167"/>
      <c r="AG726" s="1167"/>
      <c r="AJ726" s="1167"/>
      <c r="AK726" s="1167"/>
      <c r="AL726" s="1167"/>
      <c r="AO726" s="1167"/>
      <c r="AP726" s="1167"/>
      <c r="AQ726" s="305"/>
      <c r="AR726" s="305"/>
      <c r="AS726" s="305"/>
      <c r="AT726" s="305"/>
      <c r="AU726" s="305"/>
      <c r="AV726" s="305"/>
      <c r="AX726" s="1167"/>
      <c r="BA726" s="305"/>
      <c r="BC726" s="1167"/>
      <c r="JV726" s="1525"/>
      <c r="KA726" s="1525"/>
      <c r="KB726" s="1525"/>
      <c r="KC726" s="1525"/>
      <c r="KD726" s="1525"/>
      <c r="KE726" s="1525"/>
      <c r="KF726" s="1525"/>
      <c r="KG726" s="1525"/>
      <c r="KH726" s="1525"/>
      <c r="KI726" s="1525"/>
      <c r="KJ726" s="1525"/>
      <c r="KK726" s="1525"/>
      <c r="KL726" s="1525"/>
      <c r="KM726" s="1525"/>
      <c r="KN726" s="1525"/>
      <c r="KO726" s="1525"/>
      <c r="KP726" s="1525"/>
      <c r="KQ726" s="1525"/>
      <c r="KR726" s="1525"/>
      <c r="KS726" s="1525"/>
      <c r="KT726" s="1525"/>
      <c r="KU726" s="1525"/>
      <c r="KV726" s="1525"/>
      <c r="KW726" s="1525"/>
      <c r="KX726" s="1525"/>
      <c r="KY726" s="1525"/>
      <c r="KZ726" s="1525"/>
      <c r="LA726" s="1525"/>
      <c r="LB726" s="1525"/>
      <c r="LC726" s="1525"/>
      <c r="LD726" s="1525"/>
      <c r="LE726" s="1525"/>
      <c r="LF726" s="1525"/>
    </row>
    <row r="727" spans="1:319" s="1154" customFormat="1" ht="14.25" customHeight="1">
      <c r="C727" s="1167" t="s">
        <v>503</v>
      </c>
      <c r="D727" s="1167"/>
      <c r="E727" s="1167"/>
      <c r="F727" s="1167"/>
      <c r="G727" s="1167"/>
      <c r="J727" s="1719">
        <f>SUM(J725:J726)</f>
        <v>0</v>
      </c>
      <c r="K727" s="1719">
        <f>SUM(K725:K726)</f>
        <v>0</v>
      </c>
      <c r="L727" s="1719">
        <f>SUM(L725:L726)</f>
        <v>0</v>
      </c>
      <c r="M727" s="1719">
        <f>SUM(M725:M726)</f>
        <v>0</v>
      </c>
      <c r="N727" s="1719">
        <f>SUM(N725:N726)</f>
        <v>0</v>
      </c>
      <c r="O727" s="1719">
        <f>SUM(J727:N727)</f>
        <v>0</v>
      </c>
      <c r="R727" s="1519"/>
      <c r="S727" s="1519"/>
      <c r="T727" s="1519"/>
      <c r="U727" s="1519"/>
      <c r="V727" s="1519"/>
      <c r="W727" s="1167"/>
      <c r="Z727" s="1167"/>
      <c r="AA727" s="1167"/>
      <c r="AB727" s="1167"/>
      <c r="AE727" s="1167"/>
      <c r="AF727" s="1167"/>
      <c r="AG727" s="1167"/>
      <c r="AJ727" s="1167"/>
      <c r="AK727" s="1167"/>
      <c r="AL727" s="1167"/>
      <c r="AO727" s="1167"/>
      <c r="AP727" s="1167"/>
      <c r="AQ727" s="305"/>
      <c r="AR727" s="305"/>
      <c r="AS727" s="305"/>
      <c r="AT727" s="305"/>
      <c r="AU727" s="305"/>
      <c r="AV727" s="305"/>
      <c r="AX727" s="1167"/>
      <c r="BA727" s="305"/>
      <c r="BC727" s="1167"/>
      <c r="JV727" s="1525"/>
      <c r="KA727" s="1525"/>
      <c r="KB727" s="1525"/>
      <c r="KC727" s="1525"/>
      <c r="KD727" s="1525"/>
      <c r="KE727" s="1525"/>
      <c r="KF727" s="1525"/>
      <c r="KG727" s="1525"/>
      <c r="KH727" s="1525"/>
      <c r="KI727" s="1525"/>
      <c r="KJ727" s="1525"/>
      <c r="KK727" s="1525"/>
      <c r="KL727" s="1525"/>
      <c r="KM727" s="1525"/>
      <c r="KN727" s="1525"/>
      <c r="KO727" s="1525"/>
      <c r="KP727" s="1525"/>
      <c r="KQ727" s="1525"/>
      <c r="KR727" s="1525"/>
      <c r="KS727" s="1525"/>
      <c r="KT727" s="1525"/>
      <c r="KU727" s="1525"/>
      <c r="KV727" s="1525"/>
      <c r="KW727" s="1525"/>
      <c r="KX727" s="1525"/>
      <c r="KY727" s="1525"/>
      <c r="KZ727" s="1525"/>
      <c r="LA727" s="1525"/>
      <c r="LB727" s="1525"/>
      <c r="LC727" s="1525"/>
      <c r="LD727" s="1525"/>
      <c r="LE727" s="1525"/>
      <c r="LF727" s="1525"/>
    </row>
    <row r="728" spans="1:319" s="1154" customFormat="1" ht="14.1" customHeight="1">
      <c r="JV728" s="1525"/>
      <c r="KA728" s="1525"/>
      <c r="KB728" s="1525"/>
      <c r="KC728" s="1525"/>
      <c r="KD728" s="1525"/>
      <c r="KE728" s="1525"/>
      <c r="KF728" s="1525"/>
      <c r="KG728" s="1525"/>
      <c r="KH728" s="1525"/>
      <c r="KI728" s="1525"/>
      <c r="KJ728" s="1525"/>
      <c r="KK728" s="1525"/>
      <c r="KL728" s="1525"/>
      <c r="KM728" s="1525"/>
      <c r="KN728" s="1525"/>
      <c r="KO728" s="1525"/>
      <c r="KP728" s="1525"/>
      <c r="KQ728" s="1525"/>
      <c r="KR728" s="1525"/>
      <c r="KS728" s="1525"/>
      <c r="KT728" s="1525"/>
      <c r="KU728" s="1525"/>
      <c r="KV728" s="1525"/>
      <c r="KW728" s="1525"/>
      <c r="KX728" s="1525"/>
      <c r="KY728" s="1525"/>
      <c r="KZ728" s="1525"/>
      <c r="LA728" s="1525"/>
      <c r="LB728" s="1525"/>
      <c r="LC728" s="1525"/>
      <c r="LD728" s="1525"/>
      <c r="LE728" s="1525"/>
      <c r="LF728" s="1525"/>
    </row>
    <row r="729" spans="1:319" s="1167" customFormat="1" ht="14.1" customHeight="1">
      <c r="JV729" s="1524"/>
      <c r="KA729" s="1524"/>
      <c r="KB729" s="1524"/>
      <c r="KC729" s="1524"/>
      <c r="KD729" s="1524"/>
      <c r="KE729" s="1524"/>
      <c r="KF729" s="1524"/>
      <c r="KG729" s="1524"/>
      <c r="KH729" s="1524"/>
      <c r="KI729" s="1524"/>
      <c r="KJ729" s="1524"/>
      <c r="KK729" s="1524"/>
      <c r="KL729" s="1524"/>
      <c r="KM729" s="1524"/>
      <c r="KN729" s="1524"/>
      <c r="KO729" s="1524"/>
      <c r="KP729" s="1524"/>
      <c r="KQ729" s="1524"/>
      <c r="KR729" s="1524"/>
      <c r="KS729" s="1524"/>
      <c r="KT729" s="1524"/>
      <c r="KU729" s="1524"/>
      <c r="KV729" s="1524"/>
      <c r="KW729" s="1524"/>
      <c r="KX729" s="1524"/>
      <c r="KY729" s="1524"/>
      <c r="KZ729" s="1524"/>
      <c r="LA729" s="1524"/>
      <c r="LB729" s="1524"/>
      <c r="LC729" s="1524"/>
      <c r="LD729" s="1524"/>
      <c r="LE729" s="1524"/>
      <c r="LF729" s="1524"/>
    </row>
    <row r="730" spans="1:319" s="1167" customFormat="1" ht="14.25" customHeight="1">
      <c r="C730" s="1167" t="s">
        <v>3748</v>
      </c>
      <c r="J730" s="1720" t="str">
        <f>IF(OR(J638="",J638=0),"",J727/J638)</f>
        <v/>
      </c>
      <c r="K730" s="1720" t="str">
        <f>IF(OR(K638="",K638=0),"",K727/K638)</f>
        <v/>
      </c>
      <c r="L730" s="1720" t="str">
        <f>IF(OR(L638="",L638=0),"",L727/L638)</f>
        <v/>
      </c>
      <c r="M730" s="1720" t="str">
        <f>IF(OR(M638="",M638=0),"",M727/M638)</f>
        <v/>
      </c>
      <c r="N730" s="1720" t="str">
        <f>IF(OR(N638="",N638=0),"",N727/N638)</f>
        <v/>
      </c>
      <c r="O730" s="1720"/>
      <c r="JV730" s="1524"/>
      <c r="KA730" s="1524"/>
      <c r="KB730" s="1524"/>
      <c r="KC730" s="1524"/>
      <c r="KD730" s="1524"/>
      <c r="KE730" s="1524"/>
      <c r="KF730" s="1524"/>
      <c r="KG730" s="1524"/>
      <c r="KH730" s="1524"/>
      <c r="KI730" s="1524"/>
      <c r="KJ730" s="1524"/>
      <c r="KK730" s="1524"/>
      <c r="KL730" s="1524"/>
      <c r="KM730" s="1524"/>
      <c r="KN730" s="1524"/>
      <c r="KO730" s="1524"/>
      <c r="KP730" s="1524"/>
      <c r="KQ730" s="1524"/>
      <c r="KR730" s="1524"/>
      <c r="KS730" s="1524"/>
      <c r="KT730" s="1524"/>
      <c r="KU730" s="1524"/>
      <c r="KV730" s="1524"/>
      <c r="KW730" s="1524"/>
      <c r="KX730" s="1524"/>
      <c r="KY730" s="1524"/>
      <c r="KZ730" s="1524"/>
      <c r="LA730" s="1524"/>
      <c r="LB730" s="1524"/>
      <c r="LC730" s="1524"/>
      <c r="LD730" s="1524"/>
      <c r="LE730" s="1524"/>
      <c r="LF730" s="1524"/>
    </row>
    <row r="731" spans="1:319" s="1167" customFormat="1" ht="14.1" customHeight="1">
      <c r="JV731" s="1524"/>
      <c r="KA731" s="1524"/>
      <c r="KB731" s="1524"/>
      <c r="KC731" s="1524"/>
      <c r="KD731" s="1524"/>
      <c r="KE731" s="1524"/>
      <c r="KF731" s="1524"/>
      <c r="KG731" s="1524"/>
      <c r="KH731" s="1524"/>
      <c r="KI731" s="1524"/>
      <c r="KJ731" s="1524"/>
      <c r="KK731" s="1524"/>
      <c r="KL731" s="1524"/>
      <c r="KM731" s="1524"/>
      <c r="KN731" s="1524"/>
      <c r="KO731" s="1524"/>
      <c r="KP731" s="1524"/>
      <c r="KQ731" s="1524"/>
      <c r="KR731" s="1524"/>
      <c r="KS731" s="1524"/>
      <c r="KT731" s="1524"/>
      <c r="KU731" s="1524"/>
      <c r="KV731" s="1524"/>
      <c r="KW731" s="1524"/>
      <c r="KX731" s="1524"/>
      <c r="KY731" s="1524"/>
      <c r="KZ731" s="1524"/>
      <c r="LA731" s="1524"/>
      <c r="LB731" s="1524"/>
      <c r="LC731" s="1524"/>
      <c r="LD731" s="1524"/>
      <c r="LE731" s="1524"/>
      <c r="LF731" s="1524"/>
    </row>
    <row r="732" spans="1:319" s="1154" customFormat="1" ht="14.1" customHeight="1">
      <c r="A732" s="1154" t="s">
        <v>687</v>
      </c>
      <c r="B732" s="1154" t="s">
        <v>3749</v>
      </c>
      <c r="R732" s="1154" t="s">
        <v>1661</v>
      </c>
      <c r="T732" s="1167"/>
      <c r="KB732" s="1525"/>
      <c r="KC732" s="1525"/>
      <c r="KD732" s="1525"/>
      <c r="KE732" s="1525"/>
      <c r="KF732" s="1525"/>
      <c r="KG732" s="1525"/>
      <c r="KH732" s="1525"/>
      <c r="KI732" s="1525"/>
      <c r="KJ732" s="1525"/>
      <c r="KK732" s="1525"/>
      <c r="KL732" s="1525"/>
      <c r="KM732" s="1525"/>
      <c r="KN732" s="1525"/>
      <c r="KO732" s="1525"/>
      <c r="KP732" s="1525"/>
      <c r="KQ732" s="1525"/>
      <c r="KR732" s="1525"/>
      <c r="KS732" s="1525"/>
      <c r="KT732" s="1525"/>
      <c r="KU732" s="1525"/>
      <c r="KV732" s="1525"/>
      <c r="KW732" s="1525"/>
      <c r="KX732" s="1525"/>
      <c r="KY732" s="1525"/>
      <c r="KZ732" s="1525"/>
      <c r="LA732" s="1525"/>
      <c r="LB732" s="1525"/>
      <c r="LC732" s="1525"/>
      <c r="LD732" s="1525"/>
      <c r="LE732" s="1525"/>
      <c r="LF732" s="1525"/>
      <c r="LG732" s="1525"/>
    </row>
    <row r="733" spans="1:319" s="1154" customFormat="1" ht="2.25" customHeight="1">
      <c r="P733" s="1167"/>
      <c r="Q733" s="1167"/>
      <c r="JV733" s="1525"/>
      <c r="KA733" s="1525"/>
      <c r="KB733" s="1525"/>
      <c r="KC733" s="1525"/>
      <c r="KD733" s="1525"/>
      <c r="KE733" s="1525"/>
      <c r="KF733" s="1525"/>
      <c r="KG733" s="1525"/>
      <c r="KH733" s="1525"/>
      <c r="KI733" s="1525"/>
      <c r="KJ733" s="1525"/>
      <c r="KK733" s="1525"/>
      <c r="KL733" s="1525"/>
      <c r="KM733" s="1525"/>
      <c r="KN733" s="1525"/>
      <c r="KO733" s="1525"/>
      <c r="KP733" s="1525"/>
      <c r="KQ733" s="1525"/>
      <c r="KR733" s="1525"/>
      <c r="KS733" s="1525"/>
      <c r="KT733" s="1525"/>
      <c r="KU733" s="1525"/>
      <c r="KV733" s="1525"/>
      <c r="KW733" s="1525"/>
      <c r="KX733" s="1525"/>
      <c r="KY733" s="1525"/>
      <c r="KZ733" s="1525"/>
      <c r="LA733" s="1525"/>
      <c r="LB733" s="1525"/>
      <c r="LC733" s="1525"/>
      <c r="LD733" s="1525"/>
      <c r="LE733" s="1525"/>
      <c r="LF733" s="1525"/>
    </row>
    <row r="734" spans="1:319" s="1154" customFormat="1" ht="11.25" customHeight="1">
      <c r="B734" s="1656" t="s">
        <v>940</v>
      </c>
      <c r="C734" s="1656"/>
      <c r="D734" s="1659"/>
      <c r="E734" s="1656"/>
      <c r="F734" s="1656"/>
      <c r="G734" s="1656"/>
      <c r="H734" s="1721">
        <f>'Part VI-Revenues &amp; Expenses'!H174</f>
        <v>0</v>
      </c>
      <c r="I734" s="1721"/>
      <c r="J734" s="1656"/>
      <c r="K734" s="1713" t="s">
        <v>3715</v>
      </c>
      <c r="L734" s="1656"/>
      <c r="M734" s="1656"/>
      <c r="N734" s="1656"/>
      <c r="O734" s="1722" t="e">
        <f>H734/L620</f>
        <v>#DIV/0!</v>
      </c>
      <c r="P734" s="1659"/>
      <c r="Q734" s="1659"/>
      <c r="R734" s="1167" t="str">
        <f>B734</f>
        <v>Ancillary Income</v>
      </c>
      <c r="JV734" s="1525"/>
      <c r="KA734" s="1525"/>
      <c r="KB734" s="1525"/>
      <c r="KC734" s="1525"/>
      <c r="KD734" s="1525"/>
      <c r="KE734" s="1525"/>
      <c r="KF734" s="1525"/>
      <c r="KG734" s="1525"/>
      <c r="KH734" s="1525"/>
      <c r="KI734" s="1525"/>
      <c r="KJ734" s="1525"/>
      <c r="KK734" s="1525"/>
      <c r="KL734" s="1525"/>
      <c r="KM734" s="1525"/>
      <c r="KN734" s="1525"/>
      <c r="KO734" s="1525"/>
      <c r="KP734" s="1525"/>
      <c r="KQ734" s="1525"/>
      <c r="KR734" s="1525"/>
      <c r="KS734" s="1525"/>
      <c r="KT734" s="1525"/>
      <c r="KU734" s="1525"/>
      <c r="KV734" s="1525"/>
      <c r="KW734" s="1525"/>
      <c r="KX734" s="1525"/>
      <c r="KY734" s="1525"/>
      <c r="KZ734" s="1525"/>
      <c r="LA734" s="1525"/>
      <c r="LB734" s="1525"/>
      <c r="LC734" s="1525"/>
      <c r="LD734" s="1525"/>
      <c r="LE734" s="1525"/>
      <c r="LF734" s="1525"/>
    </row>
    <row r="735" spans="1:319" s="1154" customFormat="1" ht="2.25" customHeight="1">
      <c r="B735" s="1656"/>
      <c r="C735" s="1656"/>
      <c r="D735" s="1659"/>
      <c r="E735" s="1712"/>
      <c r="F735" s="1656"/>
      <c r="G735" s="1656"/>
      <c r="H735" s="1656"/>
      <c r="I735" s="1723"/>
      <c r="J735" s="1656"/>
      <c r="K735" s="1656"/>
      <c r="L735" s="1656"/>
      <c r="M735" s="1656"/>
      <c r="N735" s="1656"/>
      <c r="O735" s="1656"/>
      <c r="P735" s="1659"/>
      <c r="Q735" s="1659"/>
      <c r="JV735" s="1525"/>
      <c r="KA735" s="1525"/>
      <c r="KB735" s="1525"/>
      <c r="KC735" s="1525"/>
      <c r="KD735" s="1525"/>
      <c r="KE735" s="1525"/>
      <c r="KF735" s="1525"/>
      <c r="KG735" s="1525"/>
      <c r="KH735" s="1525"/>
      <c r="KI735" s="1525"/>
      <c r="KJ735" s="1525"/>
      <c r="KK735" s="1525"/>
      <c r="KL735" s="1525"/>
      <c r="KM735" s="1525"/>
      <c r="KN735" s="1525"/>
      <c r="KO735" s="1525"/>
      <c r="KP735" s="1525"/>
      <c r="KQ735" s="1525"/>
      <c r="KR735" s="1525"/>
      <c r="KS735" s="1525"/>
      <c r="KT735" s="1525"/>
      <c r="KU735" s="1525"/>
      <c r="KV735" s="1525"/>
      <c r="KW735" s="1525"/>
      <c r="KX735" s="1525"/>
      <c r="KY735" s="1525"/>
      <c r="KZ735" s="1525"/>
      <c r="LA735" s="1525"/>
      <c r="LB735" s="1525"/>
      <c r="LC735" s="1525"/>
      <c r="LD735" s="1525"/>
      <c r="LE735" s="1525"/>
      <c r="LF735" s="1525"/>
    </row>
    <row r="736" spans="1:319" s="1154" customFormat="1" ht="11.25" customHeight="1">
      <c r="B736" s="1656" t="s">
        <v>1327</v>
      </c>
      <c r="C736" s="1656"/>
      <c r="D736" s="1656"/>
      <c r="E736" s="1656"/>
      <c r="F736" s="1656"/>
      <c r="G736" s="1656"/>
      <c r="H736" s="1656"/>
      <c r="I736" s="1656"/>
      <c r="J736" s="1656"/>
      <c r="K736" s="1724"/>
      <c r="L736" s="1656"/>
      <c r="M736" s="1656"/>
      <c r="N736" s="1656"/>
      <c r="O736" s="1656"/>
      <c r="P736" s="1656"/>
      <c r="R736" s="1524" t="str">
        <f>B736</f>
        <v>Other Income (OI) by Year:</v>
      </c>
      <c r="JV736" s="1525"/>
      <c r="KA736" s="1525"/>
      <c r="KB736" s="1525"/>
      <c r="KC736" s="1525"/>
      <c r="KD736" s="1525"/>
      <c r="KE736" s="1525"/>
      <c r="KF736" s="1525"/>
      <c r="KG736" s="1525"/>
      <c r="KH736" s="1525"/>
      <c r="KI736" s="1525"/>
      <c r="KJ736" s="1525"/>
      <c r="KK736" s="1525"/>
      <c r="KL736" s="1525"/>
      <c r="KM736" s="1525"/>
      <c r="KN736" s="1525"/>
      <c r="KO736" s="1525"/>
      <c r="KP736" s="1525"/>
      <c r="KQ736" s="1525"/>
      <c r="KR736" s="1525"/>
      <c r="KS736" s="1525"/>
      <c r="KT736" s="1525"/>
      <c r="KU736" s="1525"/>
      <c r="KV736" s="1525"/>
      <c r="KW736" s="1525"/>
      <c r="KX736" s="1525"/>
      <c r="KY736" s="1525"/>
      <c r="KZ736" s="1525"/>
      <c r="LA736" s="1525"/>
      <c r="LB736" s="1525"/>
      <c r="LC736" s="1525"/>
      <c r="LD736" s="1525"/>
      <c r="LE736" s="1525"/>
      <c r="LF736" s="1525"/>
    </row>
    <row r="737" spans="2:318" s="1154" customFormat="1" ht="11.25" customHeight="1">
      <c r="B737" s="1652" t="s">
        <v>2030</v>
      </c>
      <c r="C737" s="1656"/>
      <c r="D737" s="1656"/>
      <c r="E737" s="1656"/>
      <c r="F737" s="1656"/>
      <c r="G737" s="1725">
        <v>1</v>
      </c>
      <c r="H737" s="1725">
        <v>2</v>
      </c>
      <c r="I737" s="1725">
        <v>3</v>
      </c>
      <c r="J737" s="1725">
        <v>4</v>
      </c>
      <c r="K737" s="1725">
        <v>5</v>
      </c>
      <c r="L737" s="1725">
        <v>6</v>
      </c>
      <c r="M737" s="1725">
        <v>7</v>
      </c>
      <c r="N737" s="1725">
        <v>8</v>
      </c>
      <c r="O737" s="1725">
        <v>9</v>
      </c>
      <c r="P737" s="1725">
        <v>10</v>
      </c>
      <c r="Q737" s="1726"/>
      <c r="R737" s="1167" t="str">
        <f>B737</f>
        <v>Included in Mgt Fee:</v>
      </c>
      <c r="JV737" s="1525"/>
      <c r="KA737" s="1525"/>
      <c r="KB737" s="1525"/>
      <c r="KC737" s="1525"/>
      <c r="KD737" s="1525"/>
      <c r="KE737" s="1525"/>
      <c r="KF737" s="1525"/>
      <c r="KG737" s="1525"/>
      <c r="KH737" s="1525"/>
      <c r="KI737" s="1525"/>
      <c r="KJ737" s="1525"/>
      <c r="KK737" s="1525"/>
      <c r="KL737" s="1525"/>
      <c r="KM737" s="1525"/>
      <c r="KN737" s="1525"/>
      <c r="KO737" s="1525"/>
      <c r="KP737" s="1525"/>
      <c r="KQ737" s="1525"/>
      <c r="KR737" s="1525"/>
      <c r="KS737" s="1525"/>
      <c r="KT737" s="1525"/>
      <c r="KU737" s="1525"/>
      <c r="KV737" s="1525"/>
      <c r="KW737" s="1525"/>
      <c r="KX737" s="1525"/>
      <c r="KY737" s="1525"/>
      <c r="KZ737" s="1525"/>
      <c r="LA737" s="1525"/>
      <c r="LB737" s="1525"/>
      <c r="LC737" s="1525"/>
      <c r="LD737" s="1525"/>
      <c r="LE737" s="1525"/>
      <c r="LF737" s="1525"/>
    </row>
    <row r="738" spans="2:318" s="1154" customFormat="1" ht="14.25" customHeight="1">
      <c r="B738" s="1659" t="s">
        <v>941</v>
      </c>
      <c r="C738" s="1659"/>
      <c r="D738" s="1659"/>
      <c r="E738" s="1659"/>
      <c r="F738" s="1659"/>
      <c r="G738" s="1727">
        <f>'Part VI-Revenues &amp; Expenses'!G178</f>
        <v>0</v>
      </c>
      <c r="H738" s="1727">
        <f>'Part VI-Revenues &amp; Expenses'!H178</f>
        <v>0</v>
      </c>
      <c r="I738" s="1727">
        <f>'Part VI-Revenues &amp; Expenses'!I178</f>
        <v>0</v>
      </c>
      <c r="J738" s="1727">
        <f>'Part VI-Revenues &amp; Expenses'!J178</f>
        <v>0</v>
      </c>
      <c r="K738" s="1727">
        <f>'Part VI-Revenues &amp; Expenses'!K178</f>
        <v>0</v>
      </c>
      <c r="L738" s="1727">
        <f>'Part VI-Revenues &amp; Expenses'!L178</f>
        <v>0</v>
      </c>
      <c r="M738" s="1727">
        <f>'Part VI-Revenues &amp; Expenses'!M178</f>
        <v>0</v>
      </c>
      <c r="N738" s="1727">
        <f>'Part VI-Revenues &amp; Expenses'!N178</f>
        <v>0</v>
      </c>
      <c r="O738" s="1727">
        <f>'Part VI-Revenues &amp; Expenses'!O178</f>
        <v>0</v>
      </c>
      <c r="P738" s="1727">
        <f>'Part VI-Revenues &amp; Expenses'!P178</f>
        <v>0</v>
      </c>
      <c r="Q738" s="1720"/>
      <c r="R738" s="1519"/>
      <c r="S738" s="1519"/>
      <c r="T738" s="1519"/>
      <c r="U738" s="1519"/>
      <c r="V738" s="1519"/>
      <c r="JV738" s="1525"/>
      <c r="KA738" s="1525"/>
      <c r="KB738" s="1525"/>
      <c r="KC738" s="1525"/>
      <c r="KD738" s="1525"/>
      <c r="KE738" s="1525"/>
      <c r="KF738" s="1525"/>
      <c r="KG738" s="1525"/>
      <c r="KH738" s="1525"/>
      <c r="KI738" s="1525"/>
      <c r="KJ738" s="1525"/>
      <c r="KK738" s="1525"/>
      <c r="KL738" s="1525"/>
      <c r="KM738" s="1525"/>
      <c r="KN738" s="1525"/>
      <c r="KO738" s="1525"/>
      <c r="KP738" s="1525"/>
      <c r="KQ738" s="1525"/>
      <c r="KR738" s="1525"/>
      <c r="KS738" s="1525"/>
      <c r="KT738" s="1525"/>
      <c r="KU738" s="1525"/>
      <c r="KV738" s="1525"/>
      <c r="KW738" s="1525"/>
      <c r="KX738" s="1525"/>
      <c r="KY738" s="1525"/>
      <c r="KZ738" s="1525"/>
      <c r="LA738" s="1525"/>
      <c r="LB738" s="1525"/>
      <c r="LC738" s="1525"/>
      <c r="LD738" s="1525"/>
      <c r="LE738" s="1525"/>
      <c r="LF738" s="1525"/>
    </row>
    <row r="739" spans="2:318" s="1154" customFormat="1" ht="14.25" customHeight="1">
      <c r="B739" s="1659" t="s">
        <v>686</v>
      </c>
      <c r="C739" s="1659">
        <f>'Part VI-Revenues &amp; Expenses'!C179</f>
        <v>0</v>
      </c>
      <c r="D739" s="1659"/>
      <c r="E739" s="1659"/>
      <c r="F739" s="1659"/>
      <c r="G739" s="1727">
        <f>'Part VI-Revenues &amp; Expenses'!G179</f>
        <v>0</v>
      </c>
      <c r="H739" s="1727">
        <f>'Part VI-Revenues &amp; Expenses'!H179</f>
        <v>0</v>
      </c>
      <c r="I739" s="1727">
        <f>'Part VI-Revenues &amp; Expenses'!I179</f>
        <v>0</v>
      </c>
      <c r="J739" s="1727">
        <f>'Part VI-Revenues &amp; Expenses'!J179</f>
        <v>0</v>
      </c>
      <c r="K739" s="1728">
        <f>'Part VI-Revenues &amp; Expenses'!K179</f>
        <v>0</v>
      </c>
      <c r="L739" s="1727">
        <f>'Part VI-Revenues &amp; Expenses'!L179</f>
        <v>0</v>
      </c>
      <c r="M739" s="1727">
        <f>'Part VI-Revenues &amp; Expenses'!M179</f>
        <v>0</v>
      </c>
      <c r="N739" s="1727">
        <f>'Part VI-Revenues &amp; Expenses'!N179</f>
        <v>0</v>
      </c>
      <c r="O739" s="1727">
        <f>'Part VI-Revenues &amp; Expenses'!O179</f>
        <v>0</v>
      </c>
      <c r="P739" s="1727">
        <f>'Part VI-Revenues &amp; Expenses'!P179</f>
        <v>0</v>
      </c>
      <c r="Q739" s="1720"/>
      <c r="R739" s="1519"/>
      <c r="S739" s="1519"/>
      <c r="T739" s="1519"/>
      <c r="U739" s="1519"/>
      <c r="V739" s="1519"/>
      <c r="JV739" s="1525"/>
      <c r="KA739" s="1525"/>
      <c r="KB739" s="1525"/>
      <c r="KC739" s="1525"/>
      <c r="KD739" s="1525"/>
      <c r="KE739" s="1525"/>
      <c r="KF739" s="1525"/>
      <c r="KG739" s="1525"/>
      <c r="KH739" s="1525"/>
      <c r="KI739" s="1525"/>
      <c r="KJ739" s="1525"/>
      <c r="KK739" s="1525"/>
      <c r="KL739" s="1525"/>
      <c r="KM739" s="1525"/>
      <c r="KN739" s="1525"/>
      <c r="KO739" s="1525"/>
      <c r="KP739" s="1525"/>
      <c r="KQ739" s="1525"/>
      <c r="KR739" s="1525"/>
      <c r="KS739" s="1525"/>
      <c r="KT739" s="1525"/>
      <c r="KU739" s="1525"/>
      <c r="KV739" s="1525"/>
      <c r="KW739" s="1525"/>
      <c r="KX739" s="1525"/>
      <c r="KY739" s="1525"/>
      <c r="KZ739" s="1525"/>
      <c r="LA739" s="1525"/>
      <c r="LB739" s="1525"/>
      <c r="LC739" s="1525"/>
      <c r="LD739" s="1525"/>
      <c r="LE739" s="1525"/>
      <c r="LF739" s="1525"/>
    </row>
    <row r="740" spans="2:318" s="1154" customFormat="1" ht="14.25" customHeight="1">
      <c r="B740" s="1659"/>
      <c r="C740" s="1659" t="s">
        <v>862</v>
      </c>
      <c r="D740" s="1659"/>
      <c r="E740" s="1659"/>
      <c r="F740" s="1659"/>
      <c r="G740" s="1729">
        <f t="shared" ref="G740:P740" si="363">SUM(G738:G739)</f>
        <v>0</v>
      </c>
      <c r="H740" s="1729">
        <f t="shared" si="363"/>
        <v>0</v>
      </c>
      <c r="I740" s="1729">
        <f t="shared" si="363"/>
        <v>0</v>
      </c>
      <c r="J740" s="1729">
        <f t="shared" si="363"/>
        <v>0</v>
      </c>
      <c r="K740" s="1729">
        <f t="shared" si="363"/>
        <v>0</v>
      </c>
      <c r="L740" s="1729">
        <f t="shared" si="363"/>
        <v>0</v>
      </c>
      <c r="M740" s="1729">
        <f t="shared" si="363"/>
        <v>0</v>
      </c>
      <c r="N740" s="1729">
        <f t="shared" si="363"/>
        <v>0</v>
      </c>
      <c r="O740" s="1729">
        <f t="shared" si="363"/>
        <v>0</v>
      </c>
      <c r="P740" s="1729">
        <f t="shared" si="363"/>
        <v>0</v>
      </c>
      <c r="Q740" s="305"/>
      <c r="R740" s="1519"/>
      <c r="S740" s="1519"/>
      <c r="T740" s="1519"/>
      <c r="U740" s="1519"/>
      <c r="V740" s="1519"/>
      <c r="JV740" s="1525"/>
      <c r="KA740" s="1525"/>
      <c r="KB740" s="1525"/>
      <c r="KC740" s="1525"/>
      <c r="KD740" s="1525"/>
      <c r="KE740" s="1525"/>
      <c r="KF740" s="1525"/>
      <c r="KG740" s="1525"/>
      <c r="KH740" s="1525"/>
      <c r="KI740" s="1525"/>
      <c r="KJ740" s="1525"/>
      <c r="KK740" s="1525"/>
      <c r="KL740" s="1525"/>
      <c r="KM740" s="1525"/>
      <c r="KN740" s="1525"/>
      <c r="KO740" s="1525"/>
      <c r="KP740" s="1525"/>
      <c r="KQ740" s="1525"/>
      <c r="KR740" s="1525"/>
      <c r="KS740" s="1525"/>
      <c r="KT740" s="1525"/>
      <c r="KU740" s="1525"/>
      <c r="KV740" s="1525"/>
      <c r="KW740" s="1525"/>
      <c r="KX740" s="1525"/>
      <c r="KY740" s="1525"/>
      <c r="KZ740" s="1525"/>
      <c r="LA740" s="1525"/>
      <c r="LB740" s="1525"/>
      <c r="LC740" s="1525"/>
      <c r="LD740" s="1525"/>
      <c r="LE740" s="1525"/>
      <c r="LF740" s="1525"/>
    </row>
    <row r="741" spans="2:318" s="1154" customFormat="1" ht="13.5" customHeight="1">
      <c r="B741" s="1652" t="s">
        <v>3716</v>
      </c>
      <c r="C741" s="1656"/>
      <c r="D741" s="1656"/>
      <c r="E741" s="1656"/>
      <c r="F741" s="1656"/>
      <c r="G741" s="1730"/>
      <c r="H741" s="1656"/>
      <c r="I741" s="1656"/>
      <c r="J741" s="1656"/>
      <c r="K741" s="1656"/>
      <c r="L741" s="1656"/>
      <c r="M741" s="1656"/>
      <c r="N741" s="1656"/>
      <c r="O741" s="1656"/>
      <c r="P741" s="1656"/>
      <c r="R741" s="1167" t="str">
        <f>B741</f>
        <v>NOT Included in Mgt Fee:</v>
      </c>
      <c r="JV741" s="1525"/>
      <c r="KA741" s="1525"/>
      <c r="KB741" s="1525"/>
      <c r="KC741" s="1525"/>
      <c r="KD741" s="1525"/>
      <c r="KE741" s="1525"/>
      <c r="KF741" s="1525"/>
      <c r="KG741" s="1525"/>
      <c r="KH741" s="1525"/>
      <c r="KI741" s="1525"/>
      <c r="KJ741" s="1525"/>
      <c r="KK741" s="1525"/>
      <c r="KL741" s="1525"/>
      <c r="KM741" s="1525"/>
      <c r="KN741" s="1525"/>
      <c r="KO741" s="1525"/>
      <c r="KP741" s="1525"/>
      <c r="KQ741" s="1525"/>
      <c r="KR741" s="1525"/>
      <c r="KS741" s="1525"/>
      <c r="KT741" s="1525"/>
      <c r="KU741" s="1525"/>
      <c r="KV741" s="1525"/>
      <c r="KW741" s="1525"/>
      <c r="KX741" s="1525"/>
      <c r="KY741" s="1525"/>
      <c r="KZ741" s="1525"/>
      <c r="LA741" s="1525"/>
      <c r="LB741" s="1525"/>
      <c r="LC741" s="1525"/>
      <c r="LD741" s="1525"/>
      <c r="LE741" s="1525"/>
      <c r="LF741" s="1525"/>
    </row>
    <row r="742" spans="2:318" s="1154" customFormat="1" ht="14.25" customHeight="1">
      <c r="B742" s="1659" t="s">
        <v>497</v>
      </c>
      <c r="C742" s="1659"/>
      <c r="D742" s="1659"/>
      <c r="E742" s="1659"/>
      <c r="F742" s="1659"/>
      <c r="G742" s="1727">
        <f>'Part VI-Revenues &amp; Expenses'!G182</f>
        <v>0</v>
      </c>
      <c r="H742" s="1727">
        <f>'Part VI-Revenues &amp; Expenses'!H182</f>
        <v>0</v>
      </c>
      <c r="I742" s="1727">
        <f>'Part VI-Revenues &amp; Expenses'!I182</f>
        <v>0</v>
      </c>
      <c r="J742" s="1727">
        <f>'Part VI-Revenues &amp; Expenses'!J182</f>
        <v>0</v>
      </c>
      <c r="K742" s="1727">
        <f>'Part VI-Revenues &amp; Expenses'!K182</f>
        <v>0</v>
      </c>
      <c r="L742" s="1727">
        <f>'Part VI-Revenues &amp; Expenses'!L182</f>
        <v>0</v>
      </c>
      <c r="M742" s="1727">
        <f>'Part VI-Revenues &amp; Expenses'!M182</f>
        <v>0</v>
      </c>
      <c r="N742" s="1727">
        <f>'Part VI-Revenues &amp; Expenses'!N182</f>
        <v>0</v>
      </c>
      <c r="O742" s="1727">
        <f>'Part VI-Revenues &amp; Expenses'!O182</f>
        <v>0</v>
      </c>
      <c r="P742" s="1727">
        <f>'Part VI-Revenues &amp; Expenses'!P182</f>
        <v>0</v>
      </c>
      <c r="Q742" s="1720"/>
      <c r="R742" s="1519"/>
      <c r="S742" s="1519"/>
      <c r="T742" s="1519"/>
      <c r="U742" s="1519"/>
      <c r="V742" s="1519"/>
      <c r="JV742" s="1525"/>
      <c r="KA742" s="1525"/>
      <c r="KB742" s="1525"/>
      <c r="KC742" s="1525"/>
      <c r="KD742" s="1525"/>
      <c r="KE742" s="1525"/>
      <c r="KF742" s="1525"/>
      <c r="KG742" s="1525"/>
      <c r="KH742" s="1525"/>
      <c r="KI742" s="1525"/>
      <c r="KJ742" s="1525"/>
      <c r="KK742" s="1525"/>
      <c r="KL742" s="1525"/>
      <c r="KM742" s="1525"/>
      <c r="KN742" s="1525"/>
      <c r="KO742" s="1525"/>
      <c r="KP742" s="1525"/>
      <c r="KQ742" s="1525"/>
      <c r="KR742" s="1525"/>
      <c r="KS742" s="1525"/>
      <c r="KT742" s="1525"/>
      <c r="KU742" s="1525"/>
      <c r="KV742" s="1525"/>
      <c r="KW742" s="1525"/>
      <c r="KX742" s="1525"/>
      <c r="KY742" s="1525"/>
      <c r="KZ742" s="1525"/>
      <c r="LA742" s="1525"/>
      <c r="LB742" s="1525"/>
      <c r="LC742" s="1525"/>
      <c r="LD742" s="1525"/>
      <c r="LE742" s="1525"/>
      <c r="LF742" s="1525"/>
    </row>
    <row r="743" spans="2:318" s="1154" customFormat="1" ht="14.25" customHeight="1">
      <c r="B743" s="1659" t="s">
        <v>686</v>
      </c>
      <c r="C743" s="1659">
        <f>'Part VI-Revenues &amp; Expenses'!C183</f>
        <v>0</v>
      </c>
      <c r="D743" s="1659"/>
      <c r="E743" s="1659"/>
      <c r="F743" s="1659"/>
      <c r="G743" s="1727">
        <f>'Part VI-Revenues &amp; Expenses'!G183</f>
        <v>0</v>
      </c>
      <c r="H743" s="1727">
        <f>'Part VI-Revenues &amp; Expenses'!H183</f>
        <v>0</v>
      </c>
      <c r="I743" s="1727">
        <f>'Part VI-Revenues &amp; Expenses'!I183</f>
        <v>0</v>
      </c>
      <c r="J743" s="1727">
        <f>'Part VI-Revenues &amp; Expenses'!J183</f>
        <v>0</v>
      </c>
      <c r="K743" s="1728">
        <f>'Part VI-Revenues &amp; Expenses'!K183</f>
        <v>0</v>
      </c>
      <c r="L743" s="1727">
        <f>'Part VI-Revenues &amp; Expenses'!L183</f>
        <v>0</v>
      </c>
      <c r="M743" s="1727">
        <f>'Part VI-Revenues &amp; Expenses'!M183</f>
        <v>0</v>
      </c>
      <c r="N743" s="1727">
        <f>'Part VI-Revenues &amp; Expenses'!N183</f>
        <v>0</v>
      </c>
      <c r="O743" s="1727">
        <f>'Part VI-Revenues &amp; Expenses'!O183</f>
        <v>0</v>
      </c>
      <c r="P743" s="1727">
        <f>'Part VI-Revenues &amp; Expenses'!P183</f>
        <v>0</v>
      </c>
      <c r="Q743" s="1720"/>
      <c r="R743" s="1519"/>
      <c r="S743" s="1519"/>
      <c r="T743" s="1519"/>
      <c r="U743" s="1519"/>
      <c r="V743" s="1519"/>
      <c r="JV743" s="1525"/>
      <c r="KA743" s="1525"/>
      <c r="KB743" s="1525"/>
      <c r="KC743" s="1525"/>
      <c r="KD743" s="1525"/>
      <c r="KE743" s="1525"/>
      <c r="KF743" s="1525"/>
      <c r="KG743" s="1525"/>
      <c r="KH743" s="1525"/>
      <c r="KI743" s="1525"/>
      <c r="KJ743" s="1525"/>
      <c r="KK743" s="1525"/>
      <c r="KL743" s="1525"/>
      <c r="KM743" s="1525"/>
      <c r="KN743" s="1525"/>
      <c r="KO743" s="1525"/>
      <c r="KP743" s="1525"/>
      <c r="KQ743" s="1525"/>
      <c r="KR743" s="1525"/>
      <c r="KS743" s="1525"/>
      <c r="KT743" s="1525"/>
      <c r="KU743" s="1525"/>
      <c r="KV743" s="1525"/>
      <c r="KW743" s="1525"/>
      <c r="KX743" s="1525"/>
      <c r="KY743" s="1525"/>
      <c r="KZ743" s="1525"/>
      <c r="LA743" s="1525"/>
      <c r="LB743" s="1525"/>
      <c r="LC743" s="1525"/>
      <c r="LD743" s="1525"/>
      <c r="LE743" s="1525"/>
      <c r="LF743" s="1525"/>
    </row>
    <row r="744" spans="2:318" s="1154" customFormat="1" ht="14.25" customHeight="1">
      <c r="B744" s="1659"/>
      <c r="C744" s="1659" t="s">
        <v>3717</v>
      </c>
      <c r="D744" s="1659"/>
      <c r="E744" s="1659"/>
      <c r="F744" s="1659"/>
      <c r="G744" s="1729">
        <f t="shared" ref="G744:P744" si="364">SUM(G742:G743)</f>
        <v>0</v>
      </c>
      <c r="H744" s="1729">
        <f t="shared" si="364"/>
        <v>0</v>
      </c>
      <c r="I744" s="1729">
        <f t="shared" si="364"/>
        <v>0</v>
      </c>
      <c r="J744" s="1729">
        <f t="shared" si="364"/>
        <v>0</v>
      </c>
      <c r="K744" s="1729">
        <f t="shared" si="364"/>
        <v>0</v>
      </c>
      <c r="L744" s="1729">
        <f t="shared" si="364"/>
        <v>0</v>
      </c>
      <c r="M744" s="1729">
        <f t="shared" si="364"/>
        <v>0</v>
      </c>
      <c r="N744" s="1729">
        <f t="shared" si="364"/>
        <v>0</v>
      </c>
      <c r="O744" s="1729">
        <f t="shared" si="364"/>
        <v>0</v>
      </c>
      <c r="P744" s="1729">
        <f t="shared" si="364"/>
        <v>0</v>
      </c>
      <c r="Q744" s="305"/>
      <c r="R744" s="1519"/>
      <c r="S744" s="1519"/>
      <c r="T744" s="1519"/>
      <c r="U744" s="1519"/>
      <c r="V744" s="1519"/>
      <c r="JV744" s="1525"/>
      <c r="KA744" s="1525"/>
      <c r="KB744" s="1525"/>
      <c r="KC744" s="1525"/>
      <c r="KD744" s="1525"/>
      <c r="KE744" s="1525"/>
      <c r="KF744" s="1525"/>
      <c r="KG744" s="1525"/>
      <c r="KH744" s="1525"/>
      <c r="KI744" s="1525"/>
      <c r="KJ744" s="1525"/>
      <c r="KK744" s="1525"/>
      <c r="KL744" s="1525"/>
      <c r="KM744" s="1525"/>
      <c r="KN744" s="1525"/>
      <c r="KO744" s="1525"/>
      <c r="KP744" s="1525"/>
      <c r="KQ744" s="1525"/>
      <c r="KR744" s="1525"/>
      <c r="KS744" s="1525"/>
      <c r="KT744" s="1525"/>
      <c r="KU744" s="1525"/>
      <c r="KV744" s="1525"/>
      <c r="KW744" s="1525"/>
      <c r="KX744" s="1525"/>
      <c r="KY744" s="1525"/>
      <c r="KZ744" s="1525"/>
      <c r="LA744" s="1525"/>
      <c r="LB744" s="1525"/>
      <c r="LC744" s="1525"/>
      <c r="LD744" s="1525"/>
      <c r="LE744" s="1525"/>
      <c r="LF744" s="1525"/>
    </row>
    <row r="745" spans="2:318" s="1154" customFormat="1" ht="13.5" customHeight="1">
      <c r="B745" s="1656"/>
      <c r="C745" s="1656"/>
      <c r="D745" s="1656"/>
      <c r="E745" s="1656"/>
      <c r="F745" s="1656"/>
      <c r="G745" s="1730"/>
      <c r="H745" s="1656"/>
      <c r="I745" s="1656"/>
      <c r="J745" s="1656"/>
      <c r="K745" s="1656"/>
      <c r="L745" s="1656"/>
      <c r="M745" s="1656"/>
      <c r="N745" s="1656"/>
      <c r="O745" s="1656"/>
      <c r="P745" s="1656"/>
      <c r="JV745" s="1525"/>
      <c r="KA745" s="1525"/>
      <c r="KB745" s="1525"/>
      <c r="KC745" s="1525"/>
      <c r="KD745" s="1525"/>
      <c r="KE745" s="1525"/>
      <c r="KF745" s="1525"/>
      <c r="KG745" s="1525"/>
      <c r="KH745" s="1525"/>
      <c r="KI745" s="1525"/>
      <c r="KJ745" s="1525"/>
      <c r="KK745" s="1525"/>
      <c r="KL745" s="1525"/>
      <c r="KM745" s="1525"/>
      <c r="KN745" s="1525"/>
      <c r="KO745" s="1525"/>
      <c r="KP745" s="1525"/>
      <c r="KQ745" s="1525"/>
      <c r="KR745" s="1525"/>
      <c r="KS745" s="1525"/>
      <c r="KT745" s="1525"/>
      <c r="KU745" s="1525"/>
      <c r="KV745" s="1525"/>
      <c r="KW745" s="1525"/>
      <c r="KX745" s="1525"/>
      <c r="KY745" s="1525"/>
      <c r="KZ745" s="1525"/>
      <c r="LA745" s="1525"/>
      <c r="LB745" s="1525"/>
      <c r="LC745" s="1525"/>
      <c r="LD745" s="1525"/>
      <c r="LE745" s="1525"/>
      <c r="LF745" s="1525"/>
    </row>
    <row r="746" spans="2:318" s="1154" customFormat="1" ht="13.5" customHeight="1">
      <c r="B746" s="1652" t="s">
        <v>2030</v>
      </c>
      <c r="C746" s="1656"/>
      <c r="D746" s="1656"/>
      <c r="E746" s="1656"/>
      <c r="F746" s="1656"/>
      <c r="G746" s="1725">
        <v>11</v>
      </c>
      <c r="H746" s="1725">
        <v>12</v>
      </c>
      <c r="I746" s="1725">
        <v>13</v>
      </c>
      <c r="J746" s="1725">
        <v>14</v>
      </c>
      <c r="K746" s="1725">
        <v>15</v>
      </c>
      <c r="L746" s="1725">
        <v>16</v>
      </c>
      <c r="M746" s="1725">
        <v>17</v>
      </c>
      <c r="N746" s="1725">
        <v>18</v>
      </c>
      <c r="O746" s="1725">
        <v>19</v>
      </c>
      <c r="P746" s="1725">
        <v>20</v>
      </c>
      <c r="R746" s="1683" t="s">
        <v>2330</v>
      </c>
      <c r="S746" s="1167" t="str">
        <f>B746</f>
        <v>Included in Mgt Fee:</v>
      </c>
      <c r="JV746" s="1525"/>
      <c r="KA746" s="1525"/>
      <c r="KB746" s="1525"/>
      <c r="KC746" s="1525"/>
      <c r="KD746" s="1525"/>
      <c r="KE746" s="1525"/>
      <c r="KF746" s="1525"/>
      <c r="KG746" s="1525"/>
      <c r="KH746" s="1525"/>
      <c r="KI746" s="1525"/>
      <c r="KJ746" s="1525"/>
      <c r="KK746" s="1525"/>
      <c r="KL746" s="1525"/>
      <c r="KM746" s="1525"/>
      <c r="KN746" s="1525"/>
      <c r="KO746" s="1525"/>
      <c r="KP746" s="1525"/>
      <c r="KQ746" s="1525"/>
      <c r="KR746" s="1525"/>
      <c r="KS746" s="1525"/>
      <c r="KT746" s="1525"/>
      <c r="KU746" s="1525"/>
      <c r="KV746" s="1525"/>
      <c r="KW746" s="1525"/>
      <c r="KX746" s="1525"/>
      <c r="KY746" s="1525"/>
      <c r="KZ746" s="1525"/>
      <c r="LA746" s="1525"/>
      <c r="LB746" s="1525"/>
      <c r="LC746" s="1525"/>
      <c r="LD746" s="1525"/>
      <c r="LE746" s="1525"/>
      <c r="LF746" s="1525"/>
    </row>
    <row r="747" spans="2:318" s="1154" customFormat="1" ht="14.25" customHeight="1">
      <c r="B747" s="1659" t="s">
        <v>941</v>
      </c>
      <c r="C747" s="1659"/>
      <c r="D747" s="1659"/>
      <c r="E747" s="1659"/>
      <c r="F747" s="1659"/>
      <c r="G747" s="1727">
        <f>'Part VI-Revenues &amp; Expenses'!G187</f>
        <v>0</v>
      </c>
      <c r="H747" s="1727">
        <f>'Part VI-Revenues &amp; Expenses'!H187</f>
        <v>0</v>
      </c>
      <c r="I747" s="1727">
        <f>'Part VI-Revenues &amp; Expenses'!I187</f>
        <v>0</v>
      </c>
      <c r="J747" s="1727">
        <f>'Part VI-Revenues &amp; Expenses'!J187</f>
        <v>0</v>
      </c>
      <c r="K747" s="1728">
        <f>'Part VI-Revenues &amp; Expenses'!K187</f>
        <v>0</v>
      </c>
      <c r="L747" s="1727">
        <f>'Part VI-Revenues &amp; Expenses'!L187</f>
        <v>0</v>
      </c>
      <c r="M747" s="1727">
        <f>'Part VI-Revenues &amp; Expenses'!M187</f>
        <v>0</v>
      </c>
      <c r="N747" s="1727">
        <f>'Part VI-Revenues &amp; Expenses'!N187</f>
        <v>0</v>
      </c>
      <c r="O747" s="1727">
        <f>'Part VI-Revenues &amp; Expenses'!O187</f>
        <v>0</v>
      </c>
      <c r="P747" s="1727">
        <f>'Part VI-Revenues &amp; Expenses'!P187</f>
        <v>0</v>
      </c>
      <c r="Q747" s="1720"/>
      <c r="R747" s="1519"/>
      <c r="S747" s="1519"/>
      <c r="T747" s="1519"/>
      <c r="U747" s="1519"/>
      <c r="V747" s="1519"/>
      <c r="JV747" s="1525"/>
      <c r="KA747" s="1525"/>
      <c r="KB747" s="1525"/>
      <c r="KC747" s="1525"/>
      <c r="KD747" s="1525"/>
      <c r="KE747" s="1525"/>
      <c r="KF747" s="1525"/>
      <c r="KG747" s="1525"/>
      <c r="KH747" s="1525"/>
      <c r="KI747" s="1525"/>
      <c r="KJ747" s="1525"/>
      <c r="KK747" s="1525"/>
      <c r="KL747" s="1525"/>
      <c r="KM747" s="1525"/>
      <c r="KN747" s="1525"/>
      <c r="KO747" s="1525"/>
      <c r="KP747" s="1525"/>
      <c r="KQ747" s="1525"/>
      <c r="KR747" s="1525"/>
      <c r="KS747" s="1525"/>
      <c r="KT747" s="1525"/>
      <c r="KU747" s="1525"/>
      <c r="KV747" s="1525"/>
      <c r="KW747" s="1525"/>
      <c r="KX747" s="1525"/>
      <c r="KY747" s="1525"/>
      <c r="KZ747" s="1525"/>
      <c r="LA747" s="1525"/>
      <c r="LB747" s="1525"/>
      <c r="LC747" s="1525"/>
      <c r="LD747" s="1525"/>
      <c r="LE747" s="1525"/>
      <c r="LF747" s="1525"/>
    </row>
    <row r="748" spans="2:318" s="1154" customFormat="1" ht="14.25" customHeight="1">
      <c r="B748" s="1659" t="s">
        <v>686</v>
      </c>
      <c r="C748" s="1659">
        <f>'Part VI-Revenues &amp; Expenses'!C188</f>
        <v>0</v>
      </c>
      <c r="D748" s="1659"/>
      <c r="E748" s="1659"/>
      <c r="F748" s="1659"/>
      <c r="G748" s="1727">
        <f>'Part VI-Revenues &amp; Expenses'!G188</f>
        <v>0</v>
      </c>
      <c r="H748" s="1727">
        <f>'Part VI-Revenues &amp; Expenses'!H188</f>
        <v>0</v>
      </c>
      <c r="I748" s="1727">
        <f>'Part VI-Revenues &amp; Expenses'!I188</f>
        <v>0</v>
      </c>
      <c r="J748" s="1727">
        <f>'Part VI-Revenues &amp; Expenses'!J188</f>
        <v>0</v>
      </c>
      <c r="K748" s="1728">
        <f>'Part VI-Revenues &amp; Expenses'!K188</f>
        <v>0</v>
      </c>
      <c r="L748" s="1727">
        <f>'Part VI-Revenues &amp; Expenses'!L188</f>
        <v>0</v>
      </c>
      <c r="M748" s="1727">
        <f>'Part VI-Revenues &amp; Expenses'!M188</f>
        <v>0</v>
      </c>
      <c r="N748" s="1727">
        <f>'Part VI-Revenues &amp; Expenses'!N188</f>
        <v>0</v>
      </c>
      <c r="O748" s="1727">
        <f>'Part VI-Revenues &amp; Expenses'!O188</f>
        <v>0</v>
      </c>
      <c r="P748" s="1727">
        <f>'Part VI-Revenues &amp; Expenses'!P188</f>
        <v>0</v>
      </c>
      <c r="Q748" s="1720"/>
      <c r="R748" s="1519"/>
      <c r="S748" s="1519"/>
      <c r="T748" s="1519"/>
      <c r="U748" s="1519"/>
      <c r="V748" s="1519"/>
      <c r="JV748" s="1525"/>
      <c r="KA748" s="1525"/>
      <c r="KB748" s="1525"/>
      <c r="KC748" s="1525"/>
      <c r="KD748" s="1525"/>
      <c r="KE748" s="1525"/>
      <c r="KF748" s="1525"/>
      <c r="KG748" s="1525"/>
      <c r="KH748" s="1525"/>
      <c r="KI748" s="1525"/>
      <c r="KJ748" s="1525"/>
      <c r="KK748" s="1525"/>
      <c r="KL748" s="1525"/>
      <c r="KM748" s="1525"/>
      <c r="KN748" s="1525"/>
      <c r="KO748" s="1525"/>
      <c r="KP748" s="1525"/>
      <c r="KQ748" s="1525"/>
      <c r="KR748" s="1525"/>
      <c r="KS748" s="1525"/>
      <c r="KT748" s="1525"/>
      <c r="KU748" s="1525"/>
      <c r="KV748" s="1525"/>
      <c r="KW748" s="1525"/>
      <c r="KX748" s="1525"/>
      <c r="KY748" s="1525"/>
      <c r="KZ748" s="1525"/>
      <c r="LA748" s="1525"/>
      <c r="LB748" s="1525"/>
      <c r="LC748" s="1525"/>
      <c r="LD748" s="1525"/>
      <c r="LE748" s="1525"/>
      <c r="LF748" s="1525"/>
    </row>
    <row r="749" spans="2:318" s="1154" customFormat="1" ht="14.25" customHeight="1">
      <c r="B749" s="1659"/>
      <c r="C749" s="1659" t="s">
        <v>862</v>
      </c>
      <c r="D749" s="1659"/>
      <c r="E749" s="1659"/>
      <c r="F749" s="1659"/>
      <c r="G749" s="1729">
        <f t="shared" ref="G749:P749" si="365">SUM(G747:G748)</f>
        <v>0</v>
      </c>
      <c r="H749" s="1729">
        <f t="shared" si="365"/>
        <v>0</v>
      </c>
      <c r="I749" s="1729">
        <f t="shared" si="365"/>
        <v>0</v>
      </c>
      <c r="J749" s="1729">
        <f t="shared" si="365"/>
        <v>0</v>
      </c>
      <c r="K749" s="1729">
        <f t="shared" si="365"/>
        <v>0</v>
      </c>
      <c r="L749" s="1729">
        <f t="shared" si="365"/>
        <v>0</v>
      </c>
      <c r="M749" s="1729">
        <f t="shared" si="365"/>
        <v>0</v>
      </c>
      <c r="N749" s="1729">
        <f t="shared" si="365"/>
        <v>0</v>
      </c>
      <c r="O749" s="1729">
        <f t="shared" si="365"/>
        <v>0</v>
      </c>
      <c r="P749" s="1729">
        <f t="shared" si="365"/>
        <v>0</v>
      </c>
      <c r="Q749" s="305"/>
      <c r="R749" s="1519"/>
      <c r="S749" s="1519"/>
      <c r="T749" s="1519"/>
      <c r="U749" s="1519"/>
      <c r="V749" s="1519"/>
      <c r="JV749" s="1525"/>
      <c r="KA749" s="1525"/>
      <c r="KB749" s="1525"/>
      <c r="KC749" s="1525"/>
      <c r="KD749" s="1525"/>
      <c r="KE749" s="1525"/>
      <c r="KF749" s="1525"/>
      <c r="KG749" s="1525"/>
      <c r="KH749" s="1525"/>
      <c r="KI749" s="1525"/>
      <c r="KJ749" s="1525"/>
      <c r="KK749" s="1525"/>
      <c r="KL749" s="1525"/>
      <c r="KM749" s="1525"/>
      <c r="KN749" s="1525"/>
      <c r="KO749" s="1525"/>
      <c r="KP749" s="1525"/>
      <c r="KQ749" s="1525"/>
      <c r="KR749" s="1525"/>
      <c r="KS749" s="1525"/>
      <c r="KT749" s="1525"/>
      <c r="KU749" s="1525"/>
      <c r="KV749" s="1525"/>
      <c r="KW749" s="1525"/>
      <c r="KX749" s="1525"/>
      <c r="KY749" s="1525"/>
      <c r="KZ749" s="1525"/>
      <c r="LA749" s="1525"/>
      <c r="LB749" s="1525"/>
      <c r="LC749" s="1525"/>
      <c r="LD749" s="1525"/>
      <c r="LE749" s="1525"/>
      <c r="LF749" s="1525"/>
    </row>
    <row r="750" spans="2:318" s="1154" customFormat="1" ht="13.5" customHeight="1">
      <c r="B750" s="1652" t="s">
        <v>3716</v>
      </c>
      <c r="C750" s="1656"/>
      <c r="D750" s="1656"/>
      <c r="E750" s="1656"/>
      <c r="F750" s="1656"/>
      <c r="G750" s="1730"/>
      <c r="H750" s="1656"/>
      <c r="I750" s="1656"/>
      <c r="J750" s="1656"/>
      <c r="K750" s="1656"/>
      <c r="L750" s="1656"/>
      <c r="M750" s="1656"/>
      <c r="N750" s="1656"/>
      <c r="O750" s="1656"/>
      <c r="P750" s="1656"/>
      <c r="R750" s="1167" t="str">
        <f>B750</f>
        <v>NOT Included in Mgt Fee:</v>
      </c>
      <c r="JV750" s="1525"/>
      <c r="KA750" s="1525"/>
      <c r="KB750" s="1525"/>
      <c r="KC750" s="1525"/>
      <c r="KD750" s="1525"/>
      <c r="KE750" s="1525"/>
      <c r="KF750" s="1525"/>
      <c r="KG750" s="1525"/>
      <c r="KH750" s="1525"/>
      <c r="KI750" s="1525"/>
      <c r="KJ750" s="1525"/>
      <c r="KK750" s="1525"/>
      <c r="KL750" s="1525"/>
      <c r="KM750" s="1525"/>
      <c r="KN750" s="1525"/>
      <c r="KO750" s="1525"/>
      <c r="KP750" s="1525"/>
      <c r="KQ750" s="1525"/>
      <c r="KR750" s="1525"/>
      <c r="KS750" s="1525"/>
      <c r="KT750" s="1525"/>
      <c r="KU750" s="1525"/>
      <c r="KV750" s="1525"/>
      <c r="KW750" s="1525"/>
      <c r="KX750" s="1525"/>
      <c r="KY750" s="1525"/>
      <c r="KZ750" s="1525"/>
      <c r="LA750" s="1525"/>
      <c r="LB750" s="1525"/>
      <c r="LC750" s="1525"/>
      <c r="LD750" s="1525"/>
      <c r="LE750" s="1525"/>
      <c r="LF750" s="1525"/>
    </row>
    <row r="751" spans="2:318" s="1154" customFormat="1" ht="14.25" customHeight="1">
      <c r="B751" s="1659" t="s">
        <v>497</v>
      </c>
      <c r="C751" s="1659"/>
      <c r="D751" s="1659"/>
      <c r="E751" s="1659"/>
      <c r="F751" s="1659"/>
      <c r="G751" s="1727">
        <f>'Part VI-Revenues &amp; Expenses'!G191</f>
        <v>0</v>
      </c>
      <c r="H751" s="1727">
        <f>'Part VI-Revenues &amp; Expenses'!H191</f>
        <v>0</v>
      </c>
      <c r="I751" s="1727">
        <f>'Part VI-Revenues &amp; Expenses'!I191</f>
        <v>0</v>
      </c>
      <c r="J751" s="1727">
        <f>'Part VI-Revenues &amp; Expenses'!J191</f>
        <v>0</v>
      </c>
      <c r="K751" s="1728">
        <f>'Part VI-Revenues &amp; Expenses'!K191</f>
        <v>0</v>
      </c>
      <c r="L751" s="1727">
        <f>'Part VI-Revenues &amp; Expenses'!L191</f>
        <v>0</v>
      </c>
      <c r="M751" s="1727">
        <f>'Part VI-Revenues &amp; Expenses'!M191</f>
        <v>0</v>
      </c>
      <c r="N751" s="1727">
        <f>'Part VI-Revenues &amp; Expenses'!N191</f>
        <v>0</v>
      </c>
      <c r="O751" s="1727">
        <f>'Part VI-Revenues &amp; Expenses'!O191</f>
        <v>0</v>
      </c>
      <c r="P751" s="1727">
        <f>'Part VI-Revenues &amp; Expenses'!P191</f>
        <v>0</v>
      </c>
      <c r="Q751" s="1720"/>
      <c r="R751" s="1519"/>
      <c r="S751" s="1519"/>
      <c r="T751" s="1519"/>
      <c r="U751" s="1519"/>
      <c r="V751" s="1519"/>
      <c r="JV751" s="1525"/>
      <c r="KA751" s="1525"/>
      <c r="KB751" s="1525"/>
      <c r="KC751" s="1525"/>
      <c r="KD751" s="1525"/>
      <c r="KE751" s="1525"/>
      <c r="KF751" s="1525"/>
      <c r="KG751" s="1525"/>
      <c r="KH751" s="1525"/>
      <c r="KI751" s="1525"/>
      <c r="KJ751" s="1525"/>
      <c r="KK751" s="1525"/>
      <c r="KL751" s="1525"/>
      <c r="KM751" s="1525"/>
      <c r="KN751" s="1525"/>
      <c r="KO751" s="1525"/>
      <c r="KP751" s="1525"/>
      <c r="KQ751" s="1525"/>
      <c r="KR751" s="1525"/>
      <c r="KS751" s="1525"/>
      <c r="KT751" s="1525"/>
      <c r="KU751" s="1525"/>
      <c r="KV751" s="1525"/>
      <c r="KW751" s="1525"/>
      <c r="KX751" s="1525"/>
      <c r="KY751" s="1525"/>
      <c r="KZ751" s="1525"/>
      <c r="LA751" s="1525"/>
      <c r="LB751" s="1525"/>
      <c r="LC751" s="1525"/>
      <c r="LD751" s="1525"/>
      <c r="LE751" s="1525"/>
      <c r="LF751" s="1525"/>
    </row>
    <row r="752" spans="2:318" s="1154" customFormat="1" ht="14.25" customHeight="1">
      <c r="B752" s="1659" t="s">
        <v>686</v>
      </c>
      <c r="C752" s="1659">
        <f>'Part VI-Revenues &amp; Expenses'!C192</f>
        <v>0</v>
      </c>
      <c r="D752" s="1659"/>
      <c r="E752" s="1659"/>
      <c r="F752" s="1659"/>
      <c r="G752" s="1727">
        <f>'Part VI-Revenues &amp; Expenses'!G192</f>
        <v>0</v>
      </c>
      <c r="H752" s="1727">
        <f>'Part VI-Revenues &amp; Expenses'!H192</f>
        <v>0</v>
      </c>
      <c r="I752" s="1727">
        <f>'Part VI-Revenues &amp; Expenses'!I192</f>
        <v>0</v>
      </c>
      <c r="J752" s="1727">
        <f>'Part VI-Revenues &amp; Expenses'!J192</f>
        <v>0</v>
      </c>
      <c r="K752" s="1728">
        <f>'Part VI-Revenues &amp; Expenses'!K192</f>
        <v>0</v>
      </c>
      <c r="L752" s="1727">
        <f>'Part VI-Revenues &amp; Expenses'!L192</f>
        <v>0</v>
      </c>
      <c r="M752" s="1727">
        <f>'Part VI-Revenues &amp; Expenses'!M192</f>
        <v>0</v>
      </c>
      <c r="N752" s="1727">
        <f>'Part VI-Revenues &amp; Expenses'!N192</f>
        <v>0</v>
      </c>
      <c r="O752" s="1727">
        <f>'Part VI-Revenues &amp; Expenses'!O192</f>
        <v>0</v>
      </c>
      <c r="P752" s="1727">
        <f>'Part VI-Revenues &amp; Expenses'!P192</f>
        <v>0</v>
      </c>
      <c r="Q752" s="1720"/>
      <c r="R752" s="1519"/>
      <c r="S752" s="1519"/>
      <c r="T752" s="1519"/>
      <c r="U752" s="1519"/>
      <c r="V752" s="1519"/>
      <c r="JV752" s="1525"/>
      <c r="KA752" s="1525"/>
      <c r="KB752" s="1525"/>
      <c r="KC752" s="1525"/>
      <c r="KD752" s="1525"/>
      <c r="KE752" s="1525"/>
      <c r="KF752" s="1525"/>
      <c r="KG752" s="1525"/>
      <c r="KH752" s="1525"/>
      <c r="KI752" s="1525"/>
      <c r="KJ752" s="1525"/>
      <c r="KK752" s="1525"/>
      <c r="KL752" s="1525"/>
      <c r="KM752" s="1525"/>
      <c r="KN752" s="1525"/>
      <c r="KO752" s="1525"/>
      <c r="KP752" s="1525"/>
      <c r="KQ752" s="1525"/>
      <c r="KR752" s="1525"/>
      <c r="KS752" s="1525"/>
      <c r="KT752" s="1525"/>
      <c r="KU752" s="1525"/>
      <c r="KV752" s="1525"/>
      <c r="KW752" s="1525"/>
      <c r="KX752" s="1525"/>
      <c r="KY752" s="1525"/>
      <c r="KZ752" s="1525"/>
      <c r="LA752" s="1525"/>
      <c r="LB752" s="1525"/>
      <c r="LC752" s="1525"/>
      <c r="LD752" s="1525"/>
      <c r="LE752" s="1525"/>
      <c r="LF752" s="1525"/>
    </row>
    <row r="753" spans="2:318" s="1154" customFormat="1" ht="14.25" customHeight="1">
      <c r="B753" s="1659"/>
      <c r="C753" s="1659" t="s">
        <v>3717</v>
      </c>
      <c r="D753" s="1659"/>
      <c r="E753" s="1659"/>
      <c r="F753" s="1659"/>
      <c r="G753" s="1729">
        <f t="shared" ref="G753:P753" si="366">SUM(G751:G752)</f>
        <v>0</v>
      </c>
      <c r="H753" s="1729">
        <f t="shared" si="366"/>
        <v>0</v>
      </c>
      <c r="I753" s="1729">
        <f t="shared" si="366"/>
        <v>0</v>
      </c>
      <c r="J753" s="1729">
        <f t="shared" si="366"/>
        <v>0</v>
      </c>
      <c r="K753" s="1729">
        <f t="shared" si="366"/>
        <v>0</v>
      </c>
      <c r="L753" s="1729">
        <f t="shared" si="366"/>
        <v>0</v>
      </c>
      <c r="M753" s="1729">
        <f t="shared" si="366"/>
        <v>0</v>
      </c>
      <c r="N753" s="1729">
        <f t="shared" si="366"/>
        <v>0</v>
      </c>
      <c r="O753" s="1729">
        <f t="shared" si="366"/>
        <v>0</v>
      </c>
      <c r="P753" s="1729">
        <f t="shared" si="366"/>
        <v>0</v>
      </c>
      <c r="Q753" s="305"/>
      <c r="R753" s="1519"/>
      <c r="S753" s="1519"/>
      <c r="T753" s="1519"/>
      <c r="U753" s="1519"/>
      <c r="V753" s="1519"/>
      <c r="JV753" s="1525"/>
      <c r="KA753" s="1525"/>
      <c r="KB753" s="1525"/>
      <c r="KC753" s="1525"/>
      <c r="KD753" s="1525"/>
      <c r="KE753" s="1525"/>
      <c r="KF753" s="1525"/>
      <c r="KG753" s="1525"/>
      <c r="KH753" s="1525"/>
      <c r="KI753" s="1525"/>
      <c r="KJ753" s="1525"/>
      <c r="KK753" s="1525"/>
      <c r="KL753" s="1525"/>
      <c r="KM753" s="1525"/>
      <c r="KN753" s="1525"/>
      <c r="KO753" s="1525"/>
      <c r="KP753" s="1525"/>
      <c r="KQ753" s="1525"/>
      <c r="KR753" s="1525"/>
      <c r="KS753" s="1525"/>
      <c r="KT753" s="1525"/>
      <c r="KU753" s="1525"/>
      <c r="KV753" s="1525"/>
      <c r="KW753" s="1525"/>
      <c r="KX753" s="1525"/>
      <c r="KY753" s="1525"/>
      <c r="KZ753" s="1525"/>
      <c r="LA753" s="1525"/>
      <c r="LB753" s="1525"/>
      <c r="LC753" s="1525"/>
      <c r="LD753" s="1525"/>
      <c r="LE753" s="1525"/>
      <c r="LF753" s="1525"/>
    </row>
    <row r="754" spans="2:318" s="1154" customFormat="1" ht="13.5" customHeight="1">
      <c r="B754" s="1656"/>
      <c r="C754" s="1656"/>
      <c r="D754" s="1656"/>
      <c r="E754" s="1656"/>
      <c r="F754" s="1656"/>
      <c r="G754" s="1730"/>
      <c r="H754" s="1656"/>
      <c r="I754" s="1656"/>
      <c r="J754" s="1656"/>
      <c r="K754" s="1656"/>
      <c r="L754" s="1656"/>
      <c r="M754" s="1656"/>
      <c r="N754" s="1656"/>
      <c r="O754" s="1656"/>
      <c r="P754" s="1656"/>
      <c r="JV754" s="1525"/>
      <c r="KA754" s="1525"/>
      <c r="KB754" s="1525"/>
      <c r="KC754" s="1525"/>
      <c r="KD754" s="1525"/>
      <c r="KE754" s="1525"/>
      <c r="KF754" s="1525"/>
      <c r="KG754" s="1525"/>
      <c r="KH754" s="1525"/>
      <c r="KI754" s="1525"/>
      <c r="KJ754" s="1525"/>
      <c r="KK754" s="1525"/>
      <c r="KL754" s="1525"/>
      <c r="KM754" s="1525"/>
      <c r="KN754" s="1525"/>
      <c r="KO754" s="1525"/>
      <c r="KP754" s="1525"/>
      <c r="KQ754" s="1525"/>
      <c r="KR754" s="1525"/>
      <c r="KS754" s="1525"/>
      <c r="KT754" s="1525"/>
      <c r="KU754" s="1525"/>
      <c r="KV754" s="1525"/>
      <c r="KW754" s="1525"/>
      <c r="KX754" s="1525"/>
      <c r="KY754" s="1525"/>
      <c r="KZ754" s="1525"/>
      <c r="LA754" s="1525"/>
      <c r="LB754" s="1525"/>
      <c r="LC754" s="1525"/>
      <c r="LD754" s="1525"/>
      <c r="LE754" s="1525"/>
      <c r="LF754" s="1525"/>
    </row>
    <row r="755" spans="2:318" s="1154" customFormat="1" ht="13.5" customHeight="1">
      <c r="B755" s="1652" t="s">
        <v>2030</v>
      </c>
      <c r="C755" s="1656"/>
      <c r="D755" s="1656"/>
      <c r="E755" s="1656"/>
      <c r="F755" s="1656"/>
      <c r="G755" s="1725">
        <v>21</v>
      </c>
      <c r="H755" s="1725">
        <v>22</v>
      </c>
      <c r="I755" s="1725">
        <v>23</v>
      </c>
      <c r="J755" s="1725">
        <v>24</v>
      </c>
      <c r="K755" s="1725">
        <v>25</v>
      </c>
      <c r="L755" s="1725">
        <v>26</v>
      </c>
      <c r="M755" s="1725">
        <v>27</v>
      </c>
      <c r="N755" s="1725">
        <v>28</v>
      </c>
      <c r="O755" s="1725">
        <v>29</v>
      </c>
      <c r="P755" s="1725">
        <v>30</v>
      </c>
      <c r="Q755" s="1726"/>
      <c r="R755" s="1683" t="s">
        <v>2331</v>
      </c>
      <c r="S755" s="1167" t="str">
        <f>B755</f>
        <v>Included in Mgt Fee:</v>
      </c>
      <c r="JV755" s="1525"/>
      <c r="KA755" s="1525"/>
      <c r="KB755" s="1525"/>
      <c r="KC755" s="1525"/>
      <c r="KD755" s="1525"/>
      <c r="KE755" s="1525"/>
      <c r="KF755" s="1525"/>
      <c r="KG755" s="1525"/>
      <c r="KH755" s="1525"/>
      <c r="KI755" s="1525"/>
      <c r="KJ755" s="1525"/>
      <c r="KK755" s="1525"/>
      <c r="KL755" s="1525"/>
      <c r="KM755" s="1525"/>
      <c r="KN755" s="1525"/>
      <c r="KO755" s="1525"/>
      <c r="KP755" s="1525"/>
      <c r="KQ755" s="1525"/>
      <c r="KR755" s="1525"/>
      <c r="KS755" s="1525"/>
      <c r="KT755" s="1525"/>
      <c r="KU755" s="1525"/>
      <c r="KV755" s="1525"/>
      <c r="KW755" s="1525"/>
      <c r="KX755" s="1525"/>
      <c r="KY755" s="1525"/>
      <c r="KZ755" s="1525"/>
      <c r="LA755" s="1525"/>
      <c r="LB755" s="1525"/>
      <c r="LC755" s="1525"/>
      <c r="LD755" s="1525"/>
      <c r="LE755" s="1525"/>
      <c r="LF755" s="1525"/>
    </row>
    <row r="756" spans="2:318" s="1154" customFormat="1" ht="14.25" customHeight="1">
      <c r="B756" s="1659" t="s">
        <v>941</v>
      </c>
      <c r="C756" s="1659"/>
      <c r="D756" s="1659"/>
      <c r="E756" s="1659"/>
      <c r="F756" s="1659"/>
      <c r="G756" s="1727">
        <f>'Part VI-Revenues &amp; Expenses'!G196</f>
        <v>0</v>
      </c>
      <c r="H756" s="1727">
        <f>'Part VI-Revenues &amp; Expenses'!H196</f>
        <v>0</v>
      </c>
      <c r="I756" s="1727">
        <f>'Part VI-Revenues &amp; Expenses'!I196</f>
        <v>0</v>
      </c>
      <c r="J756" s="1727">
        <f>'Part VI-Revenues &amp; Expenses'!J196</f>
        <v>0</v>
      </c>
      <c r="K756" s="1728">
        <f>'Part VI-Revenues &amp; Expenses'!K196</f>
        <v>0</v>
      </c>
      <c r="L756" s="1727">
        <f>'Part VI-Revenues &amp; Expenses'!L196</f>
        <v>0</v>
      </c>
      <c r="M756" s="1727">
        <f>'Part VI-Revenues &amp; Expenses'!M196</f>
        <v>0</v>
      </c>
      <c r="N756" s="1727">
        <f>'Part VI-Revenues &amp; Expenses'!N196</f>
        <v>0</v>
      </c>
      <c r="O756" s="1727">
        <f>'Part VI-Revenues &amp; Expenses'!O196</f>
        <v>0</v>
      </c>
      <c r="P756" s="1727">
        <f>'Part VI-Revenues &amp; Expenses'!P196</f>
        <v>0</v>
      </c>
      <c r="Q756" s="1720"/>
      <c r="R756" s="1519"/>
      <c r="S756" s="1519"/>
      <c r="T756" s="1519"/>
      <c r="U756" s="1519"/>
      <c r="V756" s="1519"/>
      <c r="JV756" s="1525"/>
      <c r="KA756" s="1525"/>
      <c r="KB756" s="1525"/>
      <c r="KC756" s="1525"/>
      <c r="KD756" s="1525"/>
      <c r="KE756" s="1525"/>
      <c r="KF756" s="1525"/>
      <c r="KG756" s="1525"/>
      <c r="KH756" s="1525"/>
      <c r="KI756" s="1525"/>
      <c r="KJ756" s="1525"/>
      <c r="KK756" s="1525"/>
      <c r="KL756" s="1525"/>
      <c r="KM756" s="1525"/>
      <c r="KN756" s="1525"/>
      <c r="KO756" s="1525"/>
      <c r="KP756" s="1525"/>
      <c r="KQ756" s="1525"/>
      <c r="KR756" s="1525"/>
      <c r="KS756" s="1525"/>
      <c r="KT756" s="1525"/>
      <c r="KU756" s="1525"/>
      <c r="KV756" s="1525"/>
      <c r="KW756" s="1525"/>
      <c r="KX756" s="1525"/>
      <c r="KY756" s="1525"/>
      <c r="KZ756" s="1525"/>
      <c r="LA756" s="1525"/>
      <c r="LB756" s="1525"/>
      <c r="LC756" s="1525"/>
      <c r="LD756" s="1525"/>
      <c r="LE756" s="1525"/>
      <c r="LF756" s="1525"/>
    </row>
    <row r="757" spans="2:318" s="1154" customFormat="1" ht="14.25" customHeight="1">
      <c r="B757" s="1659" t="s">
        <v>686</v>
      </c>
      <c r="C757" s="1659">
        <f>'Part VI-Revenues &amp; Expenses'!C197</f>
        <v>0</v>
      </c>
      <c r="D757" s="1659"/>
      <c r="E757" s="1659"/>
      <c r="F757" s="1659"/>
      <c r="G757" s="1727">
        <f>'Part VI-Revenues &amp; Expenses'!G197</f>
        <v>0</v>
      </c>
      <c r="H757" s="1727">
        <f>'Part VI-Revenues &amp; Expenses'!H197</f>
        <v>0</v>
      </c>
      <c r="I757" s="1727">
        <f>'Part VI-Revenues &amp; Expenses'!I197</f>
        <v>0</v>
      </c>
      <c r="J757" s="1727">
        <f>'Part VI-Revenues &amp; Expenses'!J197</f>
        <v>0</v>
      </c>
      <c r="K757" s="1728">
        <f>'Part VI-Revenues &amp; Expenses'!K197</f>
        <v>0</v>
      </c>
      <c r="L757" s="1727">
        <f>'Part VI-Revenues &amp; Expenses'!L197</f>
        <v>0</v>
      </c>
      <c r="M757" s="1727">
        <f>'Part VI-Revenues &amp; Expenses'!M197</f>
        <v>0</v>
      </c>
      <c r="N757" s="1727">
        <f>'Part VI-Revenues &amp; Expenses'!N197</f>
        <v>0</v>
      </c>
      <c r="O757" s="1727">
        <f>'Part VI-Revenues &amp; Expenses'!O197</f>
        <v>0</v>
      </c>
      <c r="P757" s="1727">
        <f>'Part VI-Revenues &amp; Expenses'!P197</f>
        <v>0</v>
      </c>
      <c r="Q757" s="1720"/>
      <c r="R757" s="1519"/>
      <c r="S757" s="1519"/>
      <c r="T757" s="1519"/>
      <c r="U757" s="1519"/>
      <c r="V757" s="1519"/>
      <c r="JV757" s="1525"/>
      <c r="KA757" s="1525"/>
      <c r="KB757" s="1525"/>
      <c r="KC757" s="1525"/>
      <c r="KD757" s="1525"/>
      <c r="KE757" s="1525"/>
      <c r="KF757" s="1525"/>
      <c r="KG757" s="1525"/>
      <c r="KH757" s="1525"/>
      <c r="KI757" s="1525"/>
      <c r="KJ757" s="1525"/>
      <c r="KK757" s="1525"/>
      <c r="KL757" s="1525"/>
      <c r="KM757" s="1525"/>
      <c r="KN757" s="1525"/>
      <c r="KO757" s="1525"/>
      <c r="KP757" s="1525"/>
      <c r="KQ757" s="1525"/>
      <c r="KR757" s="1525"/>
      <c r="KS757" s="1525"/>
      <c r="KT757" s="1525"/>
      <c r="KU757" s="1525"/>
      <c r="KV757" s="1525"/>
      <c r="KW757" s="1525"/>
      <c r="KX757" s="1525"/>
      <c r="KY757" s="1525"/>
      <c r="KZ757" s="1525"/>
      <c r="LA757" s="1525"/>
      <c r="LB757" s="1525"/>
      <c r="LC757" s="1525"/>
      <c r="LD757" s="1525"/>
      <c r="LE757" s="1525"/>
      <c r="LF757" s="1525"/>
    </row>
    <row r="758" spans="2:318" s="1154" customFormat="1" ht="14.25" customHeight="1">
      <c r="B758" s="1659"/>
      <c r="C758" s="1659" t="s">
        <v>862</v>
      </c>
      <c r="D758" s="1659"/>
      <c r="E758" s="1659"/>
      <c r="F758" s="1659"/>
      <c r="G758" s="1729">
        <f t="shared" ref="G758:P758" si="367">SUM(G756:G757)</f>
        <v>0</v>
      </c>
      <c r="H758" s="1729">
        <f t="shared" si="367"/>
        <v>0</v>
      </c>
      <c r="I758" s="1729">
        <f t="shared" si="367"/>
        <v>0</v>
      </c>
      <c r="J758" s="1729">
        <f t="shared" si="367"/>
        <v>0</v>
      </c>
      <c r="K758" s="1729">
        <f t="shared" si="367"/>
        <v>0</v>
      </c>
      <c r="L758" s="1729">
        <f t="shared" si="367"/>
        <v>0</v>
      </c>
      <c r="M758" s="1729">
        <f t="shared" si="367"/>
        <v>0</v>
      </c>
      <c r="N758" s="1729">
        <f t="shared" si="367"/>
        <v>0</v>
      </c>
      <c r="O758" s="1729">
        <f t="shared" si="367"/>
        <v>0</v>
      </c>
      <c r="P758" s="1729">
        <f t="shared" si="367"/>
        <v>0</v>
      </c>
      <c r="Q758" s="305"/>
      <c r="R758" s="1519"/>
      <c r="S758" s="1519"/>
      <c r="T758" s="1519"/>
      <c r="U758" s="1519"/>
      <c r="V758" s="1519"/>
      <c r="JV758" s="1525"/>
      <c r="KA758" s="1525"/>
      <c r="KB758" s="1525"/>
      <c r="KC758" s="1525"/>
      <c r="KD758" s="1525"/>
      <c r="KE758" s="1525"/>
      <c r="KF758" s="1525"/>
      <c r="KG758" s="1525"/>
      <c r="KH758" s="1525"/>
      <c r="KI758" s="1525"/>
      <c r="KJ758" s="1525"/>
      <c r="KK758" s="1525"/>
      <c r="KL758" s="1525"/>
      <c r="KM758" s="1525"/>
      <c r="KN758" s="1525"/>
      <c r="KO758" s="1525"/>
      <c r="KP758" s="1525"/>
      <c r="KQ758" s="1525"/>
      <c r="KR758" s="1525"/>
      <c r="KS758" s="1525"/>
      <c r="KT758" s="1525"/>
      <c r="KU758" s="1525"/>
      <c r="KV758" s="1525"/>
      <c r="KW758" s="1525"/>
      <c r="KX758" s="1525"/>
      <c r="KY758" s="1525"/>
      <c r="KZ758" s="1525"/>
      <c r="LA758" s="1525"/>
      <c r="LB758" s="1525"/>
      <c r="LC758" s="1525"/>
      <c r="LD758" s="1525"/>
      <c r="LE758" s="1525"/>
      <c r="LF758" s="1525"/>
    </row>
    <row r="759" spans="2:318" s="1154" customFormat="1" ht="13.5" customHeight="1">
      <c r="B759" s="1652" t="s">
        <v>3716</v>
      </c>
      <c r="C759" s="1656"/>
      <c r="D759" s="1656"/>
      <c r="E759" s="1656"/>
      <c r="F759" s="1656"/>
      <c r="G759" s="1730"/>
      <c r="H759" s="1656"/>
      <c r="I759" s="1656"/>
      <c r="J759" s="1656"/>
      <c r="K759" s="1656"/>
      <c r="L759" s="1656"/>
      <c r="M759" s="1656"/>
      <c r="N759" s="1656"/>
      <c r="O759" s="1656"/>
      <c r="P759" s="1656"/>
      <c r="R759" s="1167" t="str">
        <f>B759</f>
        <v>NOT Included in Mgt Fee:</v>
      </c>
      <c r="JV759" s="1525"/>
      <c r="KA759" s="1525"/>
      <c r="KB759" s="1525"/>
      <c r="KC759" s="1525"/>
      <c r="KD759" s="1525"/>
      <c r="KE759" s="1525"/>
      <c r="KF759" s="1525"/>
      <c r="KG759" s="1525"/>
      <c r="KH759" s="1525"/>
      <c r="KI759" s="1525"/>
      <c r="KJ759" s="1525"/>
      <c r="KK759" s="1525"/>
      <c r="KL759" s="1525"/>
      <c r="KM759" s="1525"/>
      <c r="KN759" s="1525"/>
      <c r="KO759" s="1525"/>
      <c r="KP759" s="1525"/>
      <c r="KQ759" s="1525"/>
      <c r="KR759" s="1525"/>
      <c r="KS759" s="1525"/>
      <c r="KT759" s="1525"/>
      <c r="KU759" s="1525"/>
      <c r="KV759" s="1525"/>
      <c r="KW759" s="1525"/>
      <c r="KX759" s="1525"/>
      <c r="KY759" s="1525"/>
      <c r="KZ759" s="1525"/>
      <c r="LA759" s="1525"/>
      <c r="LB759" s="1525"/>
      <c r="LC759" s="1525"/>
      <c r="LD759" s="1525"/>
      <c r="LE759" s="1525"/>
      <c r="LF759" s="1525"/>
    </row>
    <row r="760" spans="2:318" s="1154" customFormat="1" ht="14.25" customHeight="1">
      <c r="B760" s="1659" t="s">
        <v>497</v>
      </c>
      <c r="C760" s="1659"/>
      <c r="D760" s="1659"/>
      <c r="E760" s="1659"/>
      <c r="F760" s="1659"/>
      <c r="G760" s="1727">
        <f>'Part VI-Revenues &amp; Expenses'!G200</f>
        <v>0</v>
      </c>
      <c r="H760" s="1727">
        <f>'Part VI-Revenues &amp; Expenses'!H200</f>
        <v>0</v>
      </c>
      <c r="I760" s="1727">
        <f>'Part VI-Revenues &amp; Expenses'!I200</f>
        <v>0</v>
      </c>
      <c r="J760" s="1727">
        <f>'Part VI-Revenues &amp; Expenses'!J200</f>
        <v>0</v>
      </c>
      <c r="K760" s="1728">
        <f>'Part VI-Revenues &amp; Expenses'!K200</f>
        <v>0</v>
      </c>
      <c r="L760" s="1727">
        <f>'Part VI-Revenues &amp; Expenses'!L200</f>
        <v>0</v>
      </c>
      <c r="M760" s="1727">
        <f>'Part VI-Revenues &amp; Expenses'!M200</f>
        <v>0</v>
      </c>
      <c r="N760" s="1727">
        <f>'Part VI-Revenues &amp; Expenses'!N200</f>
        <v>0</v>
      </c>
      <c r="O760" s="1727">
        <f>'Part VI-Revenues &amp; Expenses'!O200</f>
        <v>0</v>
      </c>
      <c r="P760" s="1727">
        <f>'Part VI-Revenues &amp; Expenses'!P200</f>
        <v>0</v>
      </c>
      <c r="Q760" s="1720"/>
      <c r="R760" s="1519"/>
      <c r="S760" s="1519"/>
      <c r="T760" s="1519"/>
      <c r="U760" s="1519"/>
      <c r="V760" s="1519"/>
      <c r="JV760" s="1525"/>
      <c r="KA760" s="1525"/>
      <c r="KB760" s="1525"/>
      <c r="KC760" s="1525"/>
      <c r="KD760" s="1525"/>
      <c r="KE760" s="1525"/>
      <c r="KF760" s="1525"/>
      <c r="KG760" s="1525"/>
      <c r="KH760" s="1525"/>
      <c r="KI760" s="1525"/>
      <c r="KJ760" s="1525"/>
      <c r="KK760" s="1525"/>
      <c r="KL760" s="1525"/>
      <c r="KM760" s="1525"/>
      <c r="KN760" s="1525"/>
      <c r="KO760" s="1525"/>
      <c r="KP760" s="1525"/>
      <c r="KQ760" s="1525"/>
      <c r="KR760" s="1525"/>
      <c r="KS760" s="1525"/>
      <c r="KT760" s="1525"/>
      <c r="KU760" s="1525"/>
      <c r="KV760" s="1525"/>
      <c r="KW760" s="1525"/>
      <c r="KX760" s="1525"/>
      <c r="KY760" s="1525"/>
      <c r="KZ760" s="1525"/>
      <c r="LA760" s="1525"/>
      <c r="LB760" s="1525"/>
      <c r="LC760" s="1525"/>
      <c r="LD760" s="1525"/>
      <c r="LE760" s="1525"/>
      <c r="LF760" s="1525"/>
    </row>
    <row r="761" spans="2:318" s="1154" customFormat="1" ht="14.25" customHeight="1">
      <c r="B761" s="1659" t="s">
        <v>686</v>
      </c>
      <c r="C761" s="1659">
        <f>'Part VI-Revenues &amp; Expenses'!C201</f>
        <v>0</v>
      </c>
      <c r="D761" s="1659"/>
      <c r="E761" s="1659"/>
      <c r="F761" s="1659"/>
      <c r="G761" s="1727">
        <f>'Part VI-Revenues &amp; Expenses'!G201</f>
        <v>0</v>
      </c>
      <c r="H761" s="1727">
        <f>'Part VI-Revenues &amp; Expenses'!H201</f>
        <v>0</v>
      </c>
      <c r="I761" s="1727">
        <f>'Part VI-Revenues &amp; Expenses'!I201</f>
        <v>0</v>
      </c>
      <c r="J761" s="1727">
        <f>'Part VI-Revenues &amp; Expenses'!J201</f>
        <v>0</v>
      </c>
      <c r="K761" s="1728">
        <f>'Part VI-Revenues &amp; Expenses'!K201</f>
        <v>0</v>
      </c>
      <c r="L761" s="1727">
        <f>'Part VI-Revenues &amp; Expenses'!L201</f>
        <v>0</v>
      </c>
      <c r="M761" s="1727">
        <f>'Part VI-Revenues &amp; Expenses'!M201</f>
        <v>0</v>
      </c>
      <c r="N761" s="1727">
        <f>'Part VI-Revenues &amp; Expenses'!N201</f>
        <v>0</v>
      </c>
      <c r="O761" s="1727">
        <f>'Part VI-Revenues &amp; Expenses'!O201</f>
        <v>0</v>
      </c>
      <c r="P761" s="1727">
        <f>'Part VI-Revenues &amp; Expenses'!P201</f>
        <v>0</v>
      </c>
      <c r="Q761" s="1720"/>
      <c r="R761" s="1519"/>
      <c r="S761" s="1519"/>
      <c r="T761" s="1519"/>
      <c r="U761" s="1519"/>
      <c r="V761" s="1519"/>
      <c r="JV761" s="1525"/>
      <c r="KA761" s="1525"/>
      <c r="KB761" s="1525"/>
      <c r="KC761" s="1525"/>
      <c r="KD761" s="1525"/>
      <c r="KE761" s="1525"/>
      <c r="KF761" s="1525"/>
      <c r="KG761" s="1525"/>
      <c r="KH761" s="1525"/>
      <c r="KI761" s="1525"/>
      <c r="KJ761" s="1525"/>
      <c r="KK761" s="1525"/>
      <c r="KL761" s="1525"/>
      <c r="KM761" s="1525"/>
      <c r="KN761" s="1525"/>
      <c r="KO761" s="1525"/>
      <c r="KP761" s="1525"/>
      <c r="KQ761" s="1525"/>
      <c r="KR761" s="1525"/>
      <c r="KS761" s="1525"/>
      <c r="KT761" s="1525"/>
      <c r="KU761" s="1525"/>
      <c r="KV761" s="1525"/>
      <c r="KW761" s="1525"/>
      <c r="KX761" s="1525"/>
      <c r="KY761" s="1525"/>
      <c r="KZ761" s="1525"/>
      <c r="LA761" s="1525"/>
      <c r="LB761" s="1525"/>
      <c r="LC761" s="1525"/>
      <c r="LD761" s="1525"/>
      <c r="LE761" s="1525"/>
      <c r="LF761" s="1525"/>
    </row>
    <row r="762" spans="2:318" s="1154" customFormat="1" ht="14.25" customHeight="1">
      <c r="B762" s="1659"/>
      <c r="C762" s="1659" t="s">
        <v>3717</v>
      </c>
      <c r="D762" s="1659"/>
      <c r="E762" s="1659"/>
      <c r="F762" s="1659"/>
      <c r="G762" s="1729">
        <f t="shared" ref="G762:P762" si="368">SUM(G760:G761)</f>
        <v>0</v>
      </c>
      <c r="H762" s="1729">
        <f t="shared" si="368"/>
        <v>0</v>
      </c>
      <c r="I762" s="1729">
        <f t="shared" si="368"/>
        <v>0</v>
      </c>
      <c r="J762" s="1729">
        <f t="shared" si="368"/>
        <v>0</v>
      </c>
      <c r="K762" s="1729">
        <f t="shared" si="368"/>
        <v>0</v>
      </c>
      <c r="L762" s="1729">
        <f t="shared" si="368"/>
        <v>0</v>
      </c>
      <c r="M762" s="1729">
        <f t="shared" si="368"/>
        <v>0</v>
      </c>
      <c r="N762" s="1729">
        <f t="shared" si="368"/>
        <v>0</v>
      </c>
      <c r="O762" s="1729">
        <f t="shared" si="368"/>
        <v>0</v>
      </c>
      <c r="P762" s="1729">
        <f t="shared" si="368"/>
        <v>0</v>
      </c>
      <c r="Q762" s="305"/>
      <c r="R762" s="1519"/>
      <c r="S762" s="1519"/>
      <c r="T762" s="1519"/>
      <c r="U762" s="1519"/>
      <c r="V762" s="1519"/>
      <c r="JV762" s="1525"/>
      <c r="KA762" s="1525"/>
      <c r="KB762" s="1525"/>
      <c r="KC762" s="1525"/>
      <c r="KD762" s="1525"/>
      <c r="KE762" s="1525"/>
      <c r="KF762" s="1525"/>
      <c r="KG762" s="1525"/>
      <c r="KH762" s="1525"/>
      <c r="KI762" s="1525"/>
      <c r="KJ762" s="1525"/>
      <c r="KK762" s="1525"/>
      <c r="KL762" s="1525"/>
      <c r="KM762" s="1525"/>
      <c r="KN762" s="1525"/>
      <c r="KO762" s="1525"/>
      <c r="KP762" s="1525"/>
      <c r="KQ762" s="1525"/>
      <c r="KR762" s="1525"/>
      <c r="KS762" s="1525"/>
      <c r="KT762" s="1525"/>
      <c r="KU762" s="1525"/>
      <c r="KV762" s="1525"/>
      <c r="KW762" s="1525"/>
      <c r="KX762" s="1525"/>
      <c r="KY762" s="1525"/>
      <c r="KZ762" s="1525"/>
      <c r="LA762" s="1525"/>
      <c r="LB762" s="1525"/>
      <c r="LC762" s="1525"/>
      <c r="LD762" s="1525"/>
      <c r="LE762" s="1525"/>
      <c r="LF762" s="1525"/>
    </row>
    <row r="763" spans="2:318" s="1154" customFormat="1" ht="13.5" customHeight="1">
      <c r="B763" s="1656"/>
      <c r="C763" s="1656"/>
      <c r="D763" s="1656"/>
      <c r="E763" s="1656"/>
      <c r="F763" s="1656"/>
      <c r="G763" s="1730"/>
      <c r="H763" s="1656"/>
      <c r="I763" s="1656"/>
      <c r="J763" s="1656"/>
      <c r="K763" s="1656"/>
      <c r="L763" s="1656"/>
      <c r="M763" s="1656"/>
      <c r="N763" s="1656"/>
      <c r="O763" s="1656"/>
      <c r="P763" s="1656"/>
      <c r="JV763" s="1525"/>
      <c r="KA763" s="1525"/>
      <c r="KB763" s="1525"/>
      <c r="KC763" s="1525"/>
      <c r="KD763" s="1525"/>
      <c r="KE763" s="1525"/>
      <c r="KF763" s="1525"/>
      <c r="KG763" s="1525"/>
      <c r="KH763" s="1525"/>
      <c r="KI763" s="1525"/>
      <c r="KJ763" s="1525"/>
      <c r="KK763" s="1525"/>
      <c r="KL763" s="1525"/>
      <c r="KM763" s="1525"/>
      <c r="KN763" s="1525"/>
      <c r="KO763" s="1525"/>
      <c r="KP763" s="1525"/>
      <c r="KQ763" s="1525"/>
      <c r="KR763" s="1525"/>
      <c r="KS763" s="1525"/>
      <c r="KT763" s="1525"/>
      <c r="KU763" s="1525"/>
      <c r="KV763" s="1525"/>
      <c r="KW763" s="1525"/>
      <c r="KX763" s="1525"/>
      <c r="KY763" s="1525"/>
      <c r="KZ763" s="1525"/>
      <c r="LA763" s="1525"/>
      <c r="LB763" s="1525"/>
      <c r="LC763" s="1525"/>
      <c r="LD763" s="1525"/>
      <c r="LE763" s="1525"/>
      <c r="LF763" s="1525"/>
    </row>
    <row r="764" spans="2:318" s="1154" customFormat="1" ht="13.5" customHeight="1">
      <c r="B764" s="1652" t="s">
        <v>2030</v>
      </c>
      <c r="C764" s="1656"/>
      <c r="D764" s="1656"/>
      <c r="E764" s="1656"/>
      <c r="F764" s="1656"/>
      <c r="G764" s="1725">
        <v>31</v>
      </c>
      <c r="H764" s="1725">
        <v>32</v>
      </c>
      <c r="I764" s="1725">
        <v>33</v>
      </c>
      <c r="J764" s="1725">
        <v>34</v>
      </c>
      <c r="K764" s="1725">
        <v>35</v>
      </c>
      <c r="L764" s="1656"/>
      <c r="M764" s="1656"/>
      <c r="N764" s="1656"/>
      <c r="O764" s="1656"/>
      <c r="P764" s="1656"/>
      <c r="R764" s="1683" t="s">
        <v>2331</v>
      </c>
      <c r="S764" s="1167" t="str">
        <f>B764</f>
        <v>Included in Mgt Fee:</v>
      </c>
      <c r="JV764" s="1525"/>
      <c r="KA764" s="1525"/>
      <c r="KB764" s="1525"/>
      <c r="KC764" s="1525"/>
      <c r="KD764" s="1525"/>
      <c r="KE764" s="1525"/>
      <c r="KF764" s="1525"/>
      <c r="KG764" s="1525"/>
      <c r="KH764" s="1525"/>
      <c r="KI764" s="1525"/>
      <c r="KJ764" s="1525"/>
      <c r="KK764" s="1525"/>
      <c r="KL764" s="1525"/>
      <c r="KM764" s="1525"/>
      <c r="KN764" s="1525"/>
      <c r="KO764" s="1525"/>
      <c r="KP764" s="1525"/>
      <c r="KQ764" s="1525"/>
      <c r="KR764" s="1525"/>
      <c r="KS764" s="1525"/>
      <c r="KT764" s="1525"/>
      <c r="KU764" s="1525"/>
      <c r="KV764" s="1525"/>
      <c r="KW764" s="1525"/>
      <c r="KX764" s="1525"/>
      <c r="KY764" s="1525"/>
      <c r="KZ764" s="1525"/>
      <c r="LA764" s="1525"/>
      <c r="LB764" s="1525"/>
      <c r="LC764" s="1525"/>
      <c r="LD764" s="1525"/>
      <c r="LE764" s="1525"/>
      <c r="LF764" s="1525"/>
    </row>
    <row r="765" spans="2:318" s="1154" customFormat="1" ht="14.25" customHeight="1">
      <c r="B765" s="1659" t="s">
        <v>941</v>
      </c>
      <c r="C765" s="1659"/>
      <c r="D765" s="1659"/>
      <c r="E765" s="1659"/>
      <c r="F765" s="1659"/>
      <c r="G765" s="1727">
        <f>'Part VI-Revenues &amp; Expenses'!G205</f>
        <v>0</v>
      </c>
      <c r="H765" s="1727">
        <f>'Part VI-Revenues &amp; Expenses'!H205</f>
        <v>0</v>
      </c>
      <c r="I765" s="1727">
        <f>'Part VI-Revenues &amp; Expenses'!I205</f>
        <v>0</v>
      </c>
      <c r="J765" s="1727">
        <f>'Part VI-Revenues &amp; Expenses'!J205</f>
        <v>0</v>
      </c>
      <c r="K765" s="1728">
        <f>'Part VI-Revenues &amp; Expenses'!K205</f>
        <v>0</v>
      </c>
      <c r="L765" s="1656"/>
      <c r="M765" s="1656"/>
      <c r="N765" s="1656"/>
      <c r="O765" s="1656"/>
      <c r="P765" s="1656"/>
      <c r="R765" s="1519"/>
      <c r="S765" s="1519"/>
      <c r="T765" s="1519"/>
      <c r="U765" s="1519"/>
      <c r="V765" s="1519"/>
      <c r="JV765" s="1525"/>
      <c r="KA765" s="1525"/>
      <c r="KB765" s="1525"/>
      <c r="KC765" s="1525"/>
      <c r="KD765" s="1525"/>
      <c r="KE765" s="1525"/>
      <c r="KF765" s="1525"/>
      <c r="KG765" s="1525"/>
      <c r="KH765" s="1525"/>
      <c r="KI765" s="1525"/>
      <c r="KJ765" s="1525"/>
      <c r="KK765" s="1525"/>
      <c r="KL765" s="1525"/>
      <c r="KM765" s="1525"/>
      <c r="KN765" s="1525"/>
      <c r="KO765" s="1525"/>
      <c r="KP765" s="1525"/>
      <c r="KQ765" s="1525"/>
      <c r="KR765" s="1525"/>
      <c r="KS765" s="1525"/>
      <c r="KT765" s="1525"/>
      <c r="KU765" s="1525"/>
      <c r="KV765" s="1525"/>
      <c r="KW765" s="1525"/>
      <c r="KX765" s="1525"/>
      <c r="KY765" s="1525"/>
      <c r="KZ765" s="1525"/>
      <c r="LA765" s="1525"/>
      <c r="LB765" s="1525"/>
      <c r="LC765" s="1525"/>
      <c r="LD765" s="1525"/>
      <c r="LE765" s="1525"/>
      <c r="LF765" s="1525"/>
    </row>
    <row r="766" spans="2:318" s="1154" customFormat="1" ht="14.25" customHeight="1">
      <c r="B766" s="1659" t="s">
        <v>686</v>
      </c>
      <c r="C766" s="1659">
        <f>'Part VI-Revenues &amp; Expenses'!C206</f>
        <v>0</v>
      </c>
      <c r="D766" s="1659"/>
      <c r="E766" s="1659"/>
      <c r="F766" s="1659"/>
      <c r="G766" s="1727">
        <f>'Part VI-Revenues &amp; Expenses'!G206</f>
        <v>0</v>
      </c>
      <c r="H766" s="1727">
        <f>'Part VI-Revenues &amp; Expenses'!H206</f>
        <v>0</v>
      </c>
      <c r="I766" s="1727">
        <f>'Part VI-Revenues &amp; Expenses'!I206</f>
        <v>0</v>
      </c>
      <c r="J766" s="1727">
        <f>'Part VI-Revenues &amp; Expenses'!J206</f>
        <v>0</v>
      </c>
      <c r="K766" s="1728">
        <f>'Part VI-Revenues &amp; Expenses'!K206</f>
        <v>0</v>
      </c>
      <c r="L766" s="1656"/>
      <c r="M766" s="1656"/>
      <c r="N766" s="1656"/>
      <c r="O766" s="1656"/>
      <c r="P766" s="1656"/>
      <c r="R766" s="1519"/>
      <c r="S766" s="1519"/>
      <c r="T766" s="1519"/>
      <c r="U766" s="1519"/>
      <c r="V766" s="1519"/>
      <c r="JV766" s="1525"/>
      <c r="KA766" s="1525"/>
      <c r="KB766" s="1525"/>
      <c r="KC766" s="1525"/>
      <c r="KD766" s="1525"/>
      <c r="KE766" s="1525"/>
      <c r="KF766" s="1525"/>
      <c r="KG766" s="1525"/>
      <c r="KH766" s="1525"/>
      <c r="KI766" s="1525"/>
      <c r="KJ766" s="1525"/>
      <c r="KK766" s="1525"/>
      <c r="KL766" s="1525"/>
      <c r="KM766" s="1525"/>
      <c r="KN766" s="1525"/>
      <c r="KO766" s="1525"/>
      <c r="KP766" s="1525"/>
      <c r="KQ766" s="1525"/>
      <c r="KR766" s="1525"/>
      <c r="KS766" s="1525"/>
      <c r="KT766" s="1525"/>
      <c r="KU766" s="1525"/>
      <c r="KV766" s="1525"/>
      <c r="KW766" s="1525"/>
      <c r="KX766" s="1525"/>
      <c r="KY766" s="1525"/>
      <c r="KZ766" s="1525"/>
      <c r="LA766" s="1525"/>
      <c r="LB766" s="1525"/>
      <c r="LC766" s="1525"/>
      <c r="LD766" s="1525"/>
      <c r="LE766" s="1525"/>
      <c r="LF766" s="1525"/>
    </row>
    <row r="767" spans="2:318" s="1154" customFormat="1" ht="14.25" customHeight="1">
      <c r="B767" s="1659"/>
      <c r="C767" s="1659" t="s">
        <v>862</v>
      </c>
      <c r="D767" s="1659"/>
      <c r="E767" s="1659"/>
      <c r="F767" s="1659"/>
      <c r="G767" s="1729">
        <f>SUM(G765:G766)</f>
        <v>0</v>
      </c>
      <c r="H767" s="1729">
        <f>SUM(H765:H766)</f>
        <v>0</v>
      </c>
      <c r="I767" s="1729">
        <f>SUM(I765:I766)</f>
        <v>0</v>
      </c>
      <c r="J767" s="1729">
        <f>SUM(J765:J766)</f>
        <v>0</v>
      </c>
      <c r="K767" s="1729">
        <f>SUM(K765:K766)</f>
        <v>0</v>
      </c>
      <c r="L767" s="1656"/>
      <c r="M767" s="1656"/>
      <c r="N767" s="1656"/>
      <c r="O767" s="1656"/>
      <c r="P767" s="1656"/>
      <c r="R767" s="1519"/>
      <c r="S767" s="1519"/>
      <c r="T767" s="1519"/>
      <c r="U767" s="1519"/>
      <c r="V767" s="1519"/>
      <c r="JV767" s="1525"/>
      <c r="KA767" s="1525"/>
      <c r="KB767" s="1525"/>
      <c r="KC767" s="1525"/>
      <c r="KD767" s="1525"/>
      <c r="KE767" s="1525"/>
      <c r="KF767" s="1525"/>
      <c r="KG767" s="1525"/>
      <c r="KH767" s="1525"/>
      <c r="KI767" s="1525"/>
      <c r="KJ767" s="1525"/>
      <c r="KK767" s="1525"/>
      <c r="KL767" s="1525"/>
      <c r="KM767" s="1525"/>
      <c r="KN767" s="1525"/>
      <c r="KO767" s="1525"/>
      <c r="KP767" s="1525"/>
      <c r="KQ767" s="1525"/>
      <c r="KR767" s="1525"/>
      <c r="KS767" s="1525"/>
      <c r="KT767" s="1525"/>
      <c r="KU767" s="1525"/>
      <c r="KV767" s="1525"/>
      <c r="KW767" s="1525"/>
      <c r="KX767" s="1525"/>
      <c r="KY767" s="1525"/>
      <c r="KZ767" s="1525"/>
      <c r="LA767" s="1525"/>
      <c r="LB767" s="1525"/>
      <c r="LC767" s="1525"/>
      <c r="LD767" s="1525"/>
      <c r="LE767" s="1525"/>
      <c r="LF767" s="1525"/>
    </row>
    <row r="768" spans="2:318" s="1154" customFormat="1" ht="13.5" customHeight="1">
      <c r="B768" s="1652" t="s">
        <v>3716</v>
      </c>
      <c r="C768" s="1656"/>
      <c r="D768" s="1656"/>
      <c r="E768" s="1656"/>
      <c r="F768" s="1656"/>
      <c r="G768" s="1730"/>
      <c r="H768" s="1656"/>
      <c r="I768" s="1656"/>
      <c r="J768" s="1656"/>
      <c r="K768" s="1656"/>
      <c r="L768" s="1656"/>
      <c r="M768" s="1656"/>
      <c r="N768" s="1656"/>
      <c r="O768" s="1656"/>
      <c r="P768" s="1656"/>
      <c r="R768" s="1167" t="str">
        <f>B768</f>
        <v>NOT Included in Mgt Fee:</v>
      </c>
      <c r="JV768" s="1525"/>
      <c r="KA768" s="1525"/>
      <c r="KB768" s="1525"/>
      <c r="KC768" s="1525"/>
      <c r="KD768" s="1525"/>
      <c r="KE768" s="1525"/>
      <c r="KF768" s="1525"/>
      <c r="KG768" s="1525"/>
      <c r="KH768" s="1525"/>
      <c r="KI768" s="1525"/>
      <c r="KJ768" s="1525"/>
      <c r="KK768" s="1525"/>
      <c r="KL768" s="1525"/>
      <c r="KM768" s="1525"/>
      <c r="KN768" s="1525"/>
      <c r="KO768" s="1525"/>
      <c r="KP768" s="1525"/>
      <c r="KQ768" s="1525"/>
      <c r="KR768" s="1525"/>
      <c r="KS768" s="1525"/>
      <c r="KT768" s="1525"/>
      <c r="KU768" s="1525"/>
      <c r="KV768" s="1525"/>
      <c r="KW768" s="1525"/>
      <c r="KX768" s="1525"/>
      <c r="KY768" s="1525"/>
      <c r="KZ768" s="1525"/>
      <c r="LA768" s="1525"/>
      <c r="LB768" s="1525"/>
      <c r="LC768" s="1525"/>
      <c r="LD768" s="1525"/>
      <c r="LE768" s="1525"/>
      <c r="LF768" s="1525"/>
    </row>
    <row r="769" spans="1:318" s="1154" customFormat="1" ht="14.25" customHeight="1">
      <c r="B769" s="1659" t="s">
        <v>497</v>
      </c>
      <c r="C769" s="1659"/>
      <c r="D769" s="1659"/>
      <c r="E769" s="1659"/>
      <c r="F769" s="1659"/>
      <c r="G769" s="1727">
        <f>'Part VI-Revenues &amp; Expenses'!G209</f>
        <v>0</v>
      </c>
      <c r="H769" s="1727">
        <f>'Part VI-Revenues &amp; Expenses'!H209</f>
        <v>0</v>
      </c>
      <c r="I769" s="1727">
        <f>'Part VI-Revenues &amp; Expenses'!I209</f>
        <v>0</v>
      </c>
      <c r="J769" s="1727">
        <f>'Part VI-Revenues &amp; Expenses'!J209</f>
        <v>0</v>
      </c>
      <c r="K769" s="1728">
        <f>'Part VI-Revenues &amp; Expenses'!K209</f>
        <v>0</v>
      </c>
      <c r="L769" s="1656"/>
      <c r="M769" s="1656"/>
      <c r="N769" s="1656"/>
      <c r="O769" s="1656"/>
      <c r="P769" s="1656"/>
      <c r="R769" s="1519"/>
      <c r="S769" s="1519"/>
      <c r="T769" s="1519"/>
      <c r="U769" s="1519"/>
      <c r="V769" s="1519"/>
      <c r="JV769" s="1525"/>
      <c r="KA769" s="1525"/>
      <c r="KB769" s="1525"/>
      <c r="KC769" s="1525"/>
      <c r="KD769" s="1525"/>
      <c r="KE769" s="1525"/>
      <c r="KF769" s="1525"/>
      <c r="KG769" s="1525"/>
      <c r="KH769" s="1525"/>
      <c r="KI769" s="1525"/>
      <c r="KJ769" s="1525"/>
      <c r="KK769" s="1525"/>
      <c r="KL769" s="1525"/>
      <c r="KM769" s="1525"/>
      <c r="KN769" s="1525"/>
      <c r="KO769" s="1525"/>
      <c r="KP769" s="1525"/>
      <c r="KQ769" s="1525"/>
      <c r="KR769" s="1525"/>
      <c r="KS769" s="1525"/>
      <c r="KT769" s="1525"/>
      <c r="KU769" s="1525"/>
      <c r="KV769" s="1525"/>
      <c r="KW769" s="1525"/>
      <c r="KX769" s="1525"/>
      <c r="KY769" s="1525"/>
      <c r="KZ769" s="1525"/>
      <c r="LA769" s="1525"/>
      <c r="LB769" s="1525"/>
      <c r="LC769" s="1525"/>
      <c r="LD769" s="1525"/>
      <c r="LE769" s="1525"/>
      <c r="LF769" s="1525"/>
    </row>
    <row r="770" spans="1:318" s="1154" customFormat="1" ht="14.25" customHeight="1">
      <c r="B770" s="1659" t="s">
        <v>686</v>
      </c>
      <c r="C770" s="1659">
        <f>'Part VI-Revenues &amp; Expenses'!C210</f>
        <v>0</v>
      </c>
      <c r="D770" s="1659"/>
      <c r="E770" s="1659"/>
      <c r="F770" s="1659"/>
      <c r="G770" s="1727">
        <f>'Part VI-Revenues &amp; Expenses'!G210</f>
        <v>0</v>
      </c>
      <c r="H770" s="1727">
        <f>'Part VI-Revenues &amp; Expenses'!H210</f>
        <v>0</v>
      </c>
      <c r="I770" s="1727">
        <f>'Part VI-Revenues &amp; Expenses'!I210</f>
        <v>0</v>
      </c>
      <c r="J770" s="1727">
        <f>'Part VI-Revenues &amp; Expenses'!J210</f>
        <v>0</v>
      </c>
      <c r="K770" s="1728">
        <f>'Part VI-Revenues &amp; Expenses'!K210</f>
        <v>0</v>
      </c>
      <c r="L770" s="1656"/>
      <c r="M770" s="1656"/>
      <c r="N770" s="1656"/>
      <c r="O770" s="1656"/>
      <c r="P770" s="1656"/>
      <c r="R770" s="1519"/>
      <c r="S770" s="1519"/>
      <c r="T770" s="1519"/>
      <c r="U770" s="1519"/>
      <c r="V770" s="1519"/>
      <c r="JV770" s="1525"/>
      <c r="KA770" s="1525"/>
      <c r="KB770" s="1525"/>
      <c r="KC770" s="1525"/>
      <c r="KD770" s="1525"/>
      <c r="KE770" s="1525"/>
      <c r="KF770" s="1525"/>
      <c r="KG770" s="1525"/>
      <c r="KH770" s="1525"/>
      <c r="KI770" s="1525"/>
      <c r="KJ770" s="1525"/>
      <c r="KK770" s="1525"/>
      <c r="KL770" s="1525"/>
      <c r="KM770" s="1525"/>
      <c r="KN770" s="1525"/>
      <c r="KO770" s="1525"/>
      <c r="KP770" s="1525"/>
      <c r="KQ770" s="1525"/>
      <c r="KR770" s="1525"/>
      <c r="KS770" s="1525"/>
      <c r="KT770" s="1525"/>
      <c r="KU770" s="1525"/>
      <c r="KV770" s="1525"/>
      <c r="KW770" s="1525"/>
      <c r="KX770" s="1525"/>
      <c r="KY770" s="1525"/>
      <c r="KZ770" s="1525"/>
      <c r="LA770" s="1525"/>
      <c r="LB770" s="1525"/>
      <c r="LC770" s="1525"/>
      <c r="LD770" s="1525"/>
      <c r="LE770" s="1525"/>
      <c r="LF770" s="1525"/>
    </row>
    <row r="771" spans="1:318" s="1154" customFormat="1" ht="14.25" customHeight="1">
      <c r="B771" s="1659"/>
      <c r="C771" s="1659" t="s">
        <v>3717</v>
      </c>
      <c r="D771" s="1659"/>
      <c r="E771" s="1659"/>
      <c r="F771" s="1659"/>
      <c r="G771" s="1729">
        <f>SUM(G769:G770)</f>
        <v>0</v>
      </c>
      <c r="H771" s="1729">
        <f>SUM(H769:H770)</f>
        <v>0</v>
      </c>
      <c r="I771" s="1729">
        <f>SUM(I769:I770)</f>
        <v>0</v>
      </c>
      <c r="J771" s="1729">
        <f>SUM(J769:J770)</f>
        <v>0</v>
      </c>
      <c r="K771" s="1729">
        <f>SUM(K769:K770)</f>
        <v>0</v>
      </c>
      <c r="L771" s="1656"/>
      <c r="M771" s="1656"/>
      <c r="N771" s="1656"/>
      <c r="O771" s="1656"/>
      <c r="P771" s="1656"/>
      <c r="R771" s="1519"/>
      <c r="S771" s="1519"/>
      <c r="T771" s="1519"/>
      <c r="U771" s="1519"/>
      <c r="V771" s="1519"/>
      <c r="JV771" s="1525"/>
      <c r="KA771" s="1525"/>
      <c r="KB771" s="1525"/>
      <c r="KC771" s="1525"/>
      <c r="KD771" s="1525"/>
      <c r="KE771" s="1525"/>
      <c r="KF771" s="1525"/>
      <c r="KG771" s="1525"/>
      <c r="KH771" s="1525"/>
      <c r="KI771" s="1525"/>
      <c r="KJ771" s="1525"/>
      <c r="KK771" s="1525"/>
      <c r="KL771" s="1525"/>
      <c r="KM771" s="1525"/>
      <c r="KN771" s="1525"/>
      <c r="KO771" s="1525"/>
      <c r="KP771" s="1525"/>
      <c r="KQ771" s="1525"/>
      <c r="KR771" s="1525"/>
      <c r="KS771" s="1525"/>
      <c r="KT771" s="1525"/>
      <c r="KU771" s="1525"/>
      <c r="KV771" s="1525"/>
      <c r="KW771" s="1525"/>
      <c r="KX771" s="1525"/>
      <c r="KY771" s="1525"/>
      <c r="KZ771" s="1525"/>
      <c r="LA771" s="1525"/>
      <c r="LB771" s="1525"/>
      <c r="LC771" s="1525"/>
      <c r="LD771" s="1525"/>
      <c r="LE771" s="1525"/>
      <c r="LF771" s="1525"/>
    </row>
    <row r="772" spans="1:318" s="1154" customFormat="1" ht="2.25" customHeight="1">
      <c r="F772" s="1731"/>
      <c r="G772" s="1731"/>
      <c r="JV772" s="1525"/>
      <c r="KA772" s="1525"/>
      <c r="KB772" s="1525"/>
      <c r="KC772" s="1525"/>
      <c r="KD772" s="1525"/>
      <c r="KE772" s="1525"/>
      <c r="KF772" s="1525"/>
      <c r="KG772" s="1525"/>
      <c r="KH772" s="1525"/>
      <c r="KI772" s="1525"/>
      <c r="KJ772" s="1525"/>
      <c r="KK772" s="1525"/>
      <c r="KL772" s="1525"/>
      <c r="KM772" s="1525"/>
      <c r="KN772" s="1525"/>
      <c r="KO772" s="1525"/>
      <c r="KP772" s="1525"/>
      <c r="KQ772" s="1525"/>
      <c r="KR772" s="1525"/>
      <c r="KS772" s="1525"/>
      <c r="KT772" s="1525"/>
      <c r="KU772" s="1525"/>
      <c r="KV772" s="1525"/>
      <c r="KW772" s="1525"/>
      <c r="KX772" s="1525"/>
      <c r="KY772" s="1525"/>
      <c r="KZ772" s="1525"/>
      <c r="LA772" s="1525"/>
      <c r="LB772" s="1525"/>
      <c r="LC772" s="1525"/>
      <c r="LD772" s="1525"/>
      <c r="LE772" s="1525"/>
      <c r="LF772" s="1525"/>
    </row>
    <row r="773" spans="1:318" s="1167" customFormat="1" ht="11.25" customHeight="1">
      <c r="A773" s="1167" t="s">
        <v>1614</v>
      </c>
      <c r="B773" s="1523" t="s">
        <v>943</v>
      </c>
      <c r="C773" s="1523"/>
      <c r="D773" s="1523"/>
      <c r="E773" s="1523"/>
      <c r="F773" s="1523"/>
      <c r="G773" s="1523"/>
      <c r="H773" s="1523"/>
      <c r="I773" s="1523"/>
      <c r="J773" s="1523"/>
      <c r="K773" s="1523"/>
      <c r="M773" s="1691"/>
      <c r="N773" s="1524"/>
      <c r="O773" s="1524"/>
      <c r="R773" s="1167" t="str">
        <f>B773</f>
        <v>ANNUAL OPERATING EXPENSE BUDGET</v>
      </c>
      <c r="S773" s="1154"/>
      <c r="W773" s="1154"/>
      <c r="AB773" s="1154"/>
      <c r="AG773" s="1154"/>
      <c r="AL773" s="1154"/>
      <c r="JV773" s="1524"/>
      <c r="KA773" s="1524"/>
      <c r="KB773" s="1524"/>
      <c r="KC773" s="1524"/>
      <c r="KD773" s="1524"/>
      <c r="KE773" s="1524"/>
      <c r="KF773" s="1524"/>
      <c r="KG773" s="1524"/>
      <c r="KH773" s="1524"/>
      <c r="KI773" s="1524"/>
      <c r="KJ773" s="1524"/>
      <c r="KK773" s="1524"/>
      <c r="KL773" s="1524"/>
      <c r="KM773" s="1524"/>
      <c r="KN773" s="1524"/>
      <c r="KO773" s="1524"/>
      <c r="KP773" s="1524"/>
      <c r="KQ773" s="1524"/>
      <c r="KR773" s="1524"/>
      <c r="KS773" s="1524"/>
      <c r="KT773" s="1524"/>
      <c r="KU773" s="1524"/>
      <c r="KV773" s="1524"/>
      <c r="KW773" s="1524"/>
      <c r="KX773" s="1524"/>
      <c r="KY773" s="1524"/>
      <c r="KZ773" s="1524"/>
      <c r="LA773" s="1524"/>
      <c r="LB773" s="1524"/>
      <c r="LC773" s="1524"/>
      <c r="LD773" s="1524"/>
      <c r="LE773" s="1524"/>
      <c r="LF773" s="1524"/>
    </row>
    <row r="774" spans="1:318" s="1167" customFormat="1" ht="11.25" customHeight="1">
      <c r="B774" s="1523"/>
      <c r="C774" s="1523"/>
      <c r="D774" s="1523"/>
      <c r="E774" s="1523"/>
      <c r="F774" s="1523"/>
      <c r="G774" s="1523"/>
      <c r="H774" s="1523"/>
      <c r="I774" s="1523"/>
      <c r="J774" s="1523"/>
      <c r="R774" s="1732" t="s">
        <v>1661</v>
      </c>
      <c r="S774" s="1732"/>
      <c r="JV774" s="1524"/>
      <c r="KA774" s="1524"/>
      <c r="KB774" s="1524"/>
      <c r="KC774" s="1524"/>
      <c r="KD774" s="1524"/>
      <c r="KE774" s="1524"/>
      <c r="KF774" s="1524"/>
      <c r="KG774" s="1524"/>
      <c r="KH774" s="1524"/>
      <c r="KI774" s="1524"/>
      <c r="KJ774" s="1524"/>
      <c r="KK774" s="1524"/>
      <c r="KL774" s="1524"/>
      <c r="KM774" s="1524"/>
      <c r="KN774" s="1524"/>
      <c r="KO774" s="1524"/>
      <c r="KP774" s="1524"/>
      <c r="KQ774" s="1524"/>
      <c r="KR774" s="1524"/>
      <c r="KS774" s="1524"/>
      <c r="KT774" s="1524"/>
      <c r="KU774" s="1524"/>
      <c r="KV774" s="1524"/>
      <c r="KW774" s="1524"/>
      <c r="KX774" s="1524"/>
      <c r="KY774" s="1524"/>
      <c r="KZ774" s="1524"/>
      <c r="LA774" s="1524"/>
      <c r="LB774" s="1524"/>
      <c r="LC774" s="1524"/>
      <c r="LD774" s="1524"/>
      <c r="LE774" s="1524"/>
      <c r="LF774" s="1524"/>
    </row>
    <row r="775" spans="1:318" s="1167" customFormat="1" ht="13.35" customHeight="1">
      <c r="B775" s="1167" t="s">
        <v>1192</v>
      </c>
      <c r="F775" s="1154"/>
      <c r="G775" s="1154"/>
      <c r="I775" s="1167" t="s">
        <v>1276</v>
      </c>
      <c r="N775" s="1167" t="s">
        <v>1275</v>
      </c>
      <c r="R775" s="1519"/>
      <c r="S775" s="1519"/>
      <c r="T775" s="1519"/>
      <c r="U775" s="1519"/>
      <c r="V775" s="1519"/>
      <c r="W775" s="1154"/>
      <c r="AB775" s="1154"/>
      <c r="AG775" s="1154"/>
      <c r="AL775" s="1154"/>
      <c r="JV775" s="1524"/>
      <c r="KA775" s="1524"/>
      <c r="KB775" s="1524"/>
      <c r="KC775" s="1524"/>
      <c r="KD775" s="1524"/>
      <c r="KE775" s="1524"/>
      <c r="KF775" s="1524"/>
      <c r="KG775" s="1524"/>
      <c r="KH775" s="1524"/>
      <c r="KI775" s="1524"/>
      <c r="KJ775" s="1524"/>
      <c r="KK775" s="1524"/>
      <c r="KL775" s="1524"/>
      <c r="KM775" s="1524"/>
      <c r="KN775" s="1524"/>
      <c r="KO775" s="1524"/>
      <c r="KP775" s="1524"/>
      <c r="KQ775" s="1524"/>
      <c r="KR775" s="1524"/>
      <c r="KS775" s="1524"/>
      <c r="KT775" s="1524"/>
      <c r="KU775" s="1524"/>
      <c r="KV775" s="1524"/>
      <c r="KW775" s="1524"/>
      <c r="KX775" s="1524"/>
      <c r="KY775" s="1524"/>
      <c r="KZ775" s="1524"/>
      <c r="LA775" s="1524"/>
      <c r="LB775" s="1524"/>
      <c r="LC775" s="1524"/>
      <c r="LD775" s="1524"/>
      <c r="LE775" s="1524"/>
      <c r="LF775" s="1524"/>
    </row>
    <row r="776" spans="1:318" s="1167" customFormat="1" ht="15.6" customHeight="1">
      <c r="B776" s="1167" t="s">
        <v>1958</v>
      </c>
      <c r="F776" s="1719">
        <f>'Part VI-Revenues &amp; Expenses'!F216</f>
        <v>0</v>
      </c>
      <c r="G776" s="1719"/>
      <c r="I776" s="1167" t="s">
        <v>1277</v>
      </c>
      <c r="K776" s="1719">
        <f>'Part VI-Revenues &amp; Expenses'!K216</f>
        <v>0</v>
      </c>
      <c r="L776" s="1719"/>
      <c r="N776" s="1167" t="s">
        <v>863</v>
      </c>
      <c r="P776" s="1720">
        <f>'Part VI-Revenues &amp; Expenses'!P216</f>
        <v>0</v>
      </c>
      <c r="Q776" s="1720"/>
      <c r="R776" s="1519"/>
      <c r="S776" s="1519"/>
      <c r="T776" s="1519"/>
      <c r="U776" s="1519"/>
      <c r="V776" s="1519"/>
      <c r="W776" s="1154"/>
      <c r="AB776" s="1154"/>
      <c r="AG776" s="1154"/>
      <c r="AL776" s="1154"/>
      <c r="JV776" s="1524"/>
      <c r="KA776" s="1524"/>
      <c r="KB776" s="1524"/>
      <c r="KC776" s="1524"/>
      <c r="KD776" s="1524"/>
      <c r="KE776" s="1524"/>
      <c r="KF776" s="1524"/>
      <c r="KG776" s="1524"/>
      <c r="KH776" s="1524"/>
      <c r="KI776" s="1524"/>
      <c r="KJ776" s="1524"/>
      <c r="KK776" s="1524"/>
      <c r="KL776" s="1524"/>
      <c r="KM776" s="1524"/>
      <c r="KN776" s="1524"/>
      <c r="KO776" s="1524"/>
      <c r="KP776" s="1524"/>
      <c r="KQ776" s="1524"/>
      <c r="KR776" s="1524"/>
      <c r="KS776" s="1524"/>
      <c r="KT776" s="1524"/>
      <c r="KU776" s="1524"/>
      <c r="KV776" s="1524"/>
      <c r="KW776" s="1524"/>
      <c r="KX776" s="1524"/>
      <c r="KY776" s="1524"/>
      <c r="KZ776" s="1524"/>
      <c r="LA776" s="1524"/>
      <c r="LB776" s="1524"/>
      <c r="LC776" s="1524"/>
      <c r="LD776" s="1524"/>
      <c r="LE776" s="1524"/>
      <c r="LF776" s="1524"/>
    </row>
    <row r="777" spans="1:318" s="1167" customFormat="1" ht="15.6" customHeight="1">
      <c r="B777" s="1167" t="s">
        <v>1266</v>
      </c>
      <c r="F777" s="1719">
        <f>'Part VI-Revenues &amp; Expenses'!F217</f>
        <v>0</v>
      </c>
      <c r="G777" s="1719"/>
      <c r="I777" s="1167" t="s">
        <v>1278</v>
      </c>
      <c r="K777" s="1719">
        <f>'Part VI-Revenues &amp; Expenses'!K217</f>
        <v>0</v>
      </c>
      <c r="L777" s="1719"/>
      <c r="N777" s="1167" t="s">
        <v>133</v>
      </c>
      <c r="P777" s="1720">
        <f>'Part VI-Revenues &amp; Expenses'!P217</f>
        <v>0</v>
      </c>
      <c r="Q777" s="1720"/>
      <c r="R777" s="1519"/>
      <c r="S777" s="1519"/>
      <c r="T777" s="1519"/>
      <c r="U777" s="1519"/>
      <c r="V777" s="1519"/>
      <c r="W777" s="1154"/>
      <c r="AB777" s="1154"/>
      <c r="AG777" s="1154"/>
      <c r="AL777" s="1154"/>
      <c r="JV777" s="1524"/>
      <c r="KA777" s="1524"/>
      <c r="KB777" s="1524"/>
      <c r="KC777" s="1524"/>
      <c r="KD777" s="1524"/>
      <c r="KE777" s="1524"/>
      <c r="KF777" s="1524"/>
      <c r="KG777" s="1524"/>
      <c r="KH777" s="1524"/>
      <c r="KI777" s="1524"/>
      <c r="KJ777" s="1524"/>
      <c r="KK777" s="1524"/>
      <c r="KL777" s="1524"/>
      <c r="KM777" s="1524"/>
      <c r="KN777" s="1524"/>
      <c r="KO777" s="1524"/>
      <c r="KP777" s="1524"/>
      <c r="KQ777" s="1524"/>
      <c r="KR777" s="1524"/>
      <c r="KS777" s="1524"/>
      <c r="KT777" s="1524"/>
      <c r="KU777" s="1524"/>
      <c r="KV777" s="1524"/>
      <c r="KW777" s="1524"/>
      <c r="KX777" s="1524"/>
      <c r="KY777" s="1524"/>
      <c r="KZ777" s="1524"/>
      <c r="LA777" s="1524"/>
      <c r="LB777" s="1524"/>
      <c r="LC777" s="1524"/>
      <c r="LD777" s="1524"/>
      <c r="LE777" s="1524"/>
      <c r="LF777" s="1524"/>
    </row>
    <row r="778" spans="1:318" s="1167" customFormat="1" ht="15.6" customHeight="1">
      <c r="B778" s="1167" t="s">
        <v>1146</v>
      </c>
      <c r="F778" s="1719">
        <f>'Part VI-Revenues &amp; Expenses'!F218</f>
        <v>0</v>
      </c>
      <c r="G778" s="1719"/>
      <c r="J778" s="1733" t="s">
        <v>171</v>
      </c>
      <c r="K778" s="1719">
        <f>SUM(K776:L777)</f>
        <v>0</v>
      </c>
      <c r="L778" s="1719"/>
      <c r="N778" s="1734" t="str">
        <f>'Part VI-Revenues &amp; Expenses'!N218</f>
        <v>Other (describe here)</v>
      </c>
      <c r="O778" s="1734"/>
      <c r="P778" s="1720">
        <f>'Part VI-Revenues &amp; Expenses'!P218</f>
        <v>0</v>
      </c>
      <c r="Q778" s="1720"/>
      <c r="R778" s="1519"/>
      <c r="S778" s="1519"/>
      <c r="T778" s="1519"/>
      <c r="U778" s="1519"/>
      <c r="V778" s="1519"/>
      <c r="W778" s="1154"/>
      <c r="AB778" s="1154"/>
      <c r="AG778" s="1154"/>
      <c r="AL778" s="1154"/>
      <c r="JV778" s="1524"/>
      <c r="KA778" s="1524"/>
      <c r="KB778" s="1524"/>
      <c r="KC778" s="1524"/>
      <c r="KD778" s="1524"/>
      <c r="KE778" s="1524"/>
      <c r="KF778" s="1524"/>
      <c r="KG778" s="1524"/>
      <c r="KH778" s="1524"/>
      <c r="KI778" s="1524"/>
      <c r="KJ778" s="1524"/>
      <c r="KK778" s="1524"/>
      <c r="KL778" s="1524"/>
      <c r="KM778" s="1524"/>
      <c r="KN778" s="1524"/>
      <c r="KO778" s="1524"/>
      <c r="KP778" s="1524"/>
      <c r="KQ778" s="1524"/>
      <c r="KR778" s="1524"/>
      <c r="KS778" s="1524"/>
      <c r="KT778" s="1524"/>
      <c r="KU778" s="1524"/>
      <c r="KV778" s="1524"/>
      <c r="KW778" s="1524"/>
      <c r="KX778" s="1524"/>
      <c r="KY778" s="1524"/>
      <c r="KZ778" s="1524"/>
      <c r="LA778" s="1524"/>
      <c r="LB778" s="1524"/>
      <c r="LC778" s="1524"/>
      <c r="LD778" s="1524"/>
      <c r="LE778" s="1524"/>
      <c r="LF778" s="1524"/>
    </row>
    <row r="779" spans="1:318" s="1167" customFormat="1" ht="15.6" customHeight="1">
      <c r="B779" s="1168" t="str">
        <f>'Part VI-Revenues &amp; Expenses'!B219</f>
        <v>Other (describe here)</v>
      </c>
      <c r="C779" s="1168"/>
      <c r="D779" s="1168"/>
      <c r="E779" s="1168"/>
      <c r="F779" s="1719">
        <f>'Part VI-Revenues &amp; Expenses'!F219</f>
        <v>0</v>
      </c>
      <c r="G779" s="1719"/>
      <c r="N779" s="1733" t="s">
        <v>171</v>
      </c>
      <c r="P779" s="1720">
        <f>SUM(P776:P778)</f>
        <v>0</v>
      </c>
      <c r="Q779" s="1720"/>
      <c r="R779" s="1519"/>
      <c r="S779" s="1519"/>
      <c r="T779" s="1519"/>
      <c r="U779" s="1519"/>
      <c r="V779" s="1519"/>
      <c r="W779" s="1154"/>
      <c r="AB779" s="1154"/>
      <c r="AG779" s="1154"/>
      <c r="AL779" s="1154"/>
      <c r="JV779" s="1524"/>
      <c r="KA779" s="1524"/>
      <c r="KB779" s="1524"/>
      <c r="KC779" s="1524"/>
      <c r="KD779" s="1524"/>
      <c r="KE779" s="1524"/>
      <c r="KF779" s="1524"/>
      <c r="KG779" s="1524"/>
      <c r="KH779" s="1524"/>
      <c r="KI779" s="1524"/>
      <c r="KJ779" s="1524"/>
      <c r="KK779" s="1524"/>
      <c r="KL779" s="1524"/>
      <c r="KM779" s="1524"/>
      <c r="KN779" s="1524"/>
      <c r="KO779" s="1524"/>
      <c r="KP779" s="1524"/>
      <c r="KQ779" s="1524"/>
      <c r="KR779" s="1524"/>
      <c r="KS779" s="1524"/>
      <c r="KT779" s="1524"/>
      <c r="KU779" s="1524"/>
      <c r="KV779" s="1524"/>
      <c r="KW779" s="1524"/>
      <c r="KX779" s="1524"/>
      <c r="KY779" s="1524"/>
      <c r="KZ779" s="1524"/>
      <c r="LA779" s="1524"/>
      <c r="LB779" s="1524"/>
      <c r="LC779" s="1524"/>
      <c r="LD779" s="1524"/>
      <c r="LE779" s="1524"/>
      <c r="LF779" s="1524"/>
    </row>
    <row r="780" spans="1:318" s="1167" customFormat="1" ht="15.6" customHeight="1">
      <c r="C780" s="1733" t="s">
        <v>171</v>
      </c>
      <c r="F780" s="1719">
        <f>SUM(F776:G779)</f>
        <v>0</v>
      </c>
      <c r="G780" s="1719"/>
      <c r="J780" s="1697"/>
      <c r="R780" s="1519"/>
      <c r="S780" s="1519"/>
      <c r="T780" s="1519"/>
      <c r="U780" s="1519"/>
      <c r="V780" s="1519"/>
      <c r="W780" s="1154"/>
      <c r="AB780" s="1154"/>
      <c r="AG780" s="1154"/>
      <c r="AL780" s="1154"/>
      <c r="JV780" s="1524"/>
      <c r="KA780" s="1524"/>
      <c r="KB780" s="1524"/>
      <c r="KC780" s="1524"/>
      <c r="KD780" s="1524"/>
      <c r="KE780" s="1524"/>
      <c r="KF780" s="1524"/>
      <c r="KG780" s="1524"/>
      <c r="KH780" s="1524"/>
      <c r="KI780" s="1524"/>
      <c r="KJ780" s="1524"/>
      <c r="KK780" s="1524"/>
      <c r="KL780" s="1524"/>
      <c r="KM780" s="1524"/>
      <c r="KN780" s="1524"/>
      <c r="KO780" s="1524"/>
      <c r="KP780" s="1524"/>
      <c r="KQ780" s="1524"/>
      <c r="KR780" s="1524"/>
      <c r="KS780" s="1524"/>
      <c r="KT780" s="1524"/>
      <c r="KU780" s="1524"/>
      <c r="KV780" s="1524"/>
      <c r="KW780" s="1524"/>
      <c r="KX780" s="1524"/>
      <c r="KY780" s="1524"/>
      <c r="KZ780" s="1524"/>
      <c r="LA780" s="1524"/>
      <c r="LB780" s="1524"/>
      <c r="LC780" s="1524"/>
      <c r="LD780" s="1524"/>
      <c r="LE780" s="1524"/>
      <c r="LF780" s="1524"/>
    </row>
    <row r="781" spans="1:318" s="1167" customFormat="1" ht="21" customHeight="1">
      <c r="D781" s="1733"/>
      <c r="F781" s="1697"/>
      <c r="G781" s="1697"/>
      <c r="J781" s="1697"/>
      <c r="O781" s="1733"/>
      <c r="R781" s="1519"/>
      <c r="S781" s="1519"/>
      <c r="T781" s="1519"/>
      <c r="U781" s="1519"/>
      <c r="V781" s="1519"/>
      <c r="JV781" s="1524"/>
      <c r="KA781" s="1524"/>
      <c r="KB781" s="1524"/>
      <c r="KC781" s="1524"/>
      <c r="KD781" s="1524"/>
      <c r="KE781" s="1524"/>
      <c r="KF781" s="1524"/>
      <c r="KG781" s="1524"/>
      <c r="KH781" s="1524"/>
      <c r="KI781" s="1524"/>
      <c r="KJ781" s="1524"/>
      <c r="KK781" s="1524"/>
      <c r="KL781" s="1524"/>
      <c r="KM781" s="1524"/>
      <c r="KN781" s="1524"/>
      <c r="KO781" s="1524"/>
      <c r="KP781" s="1524"/>
      <c r="KQ781" s="1524"/>
      <c r="KR781" s="1524"/>
      <c r="KS781" s="1524"/>
      <c r="KT781" s="1524"/>
      <c r="KU781" s="1524"/>
      <c r="KV781" s="1524"/>
      <c r="KW781" s="1524"/>
      <c r="KX781" s="1524"/>
      <c r="KY781" s="1524"/>
      <c r="KZ781" s="1524"/>
      <c r="LA781" s="1524"/>
      <c r="LB781" s="1524"/>
      <c r="LC781" s="1524"/>
      <c r="LD781" s="1524"/>
      <c r="LE781" s="1524"/>
      <c r="LF781" s="1524"/>
    </row>
    <row r="782" spans="1:318" s="1167" customFormat="1" ht="13.35" customHeight="1">
      <c r="B782" s="1167" t="s">
        <v>1193</v>
      </c>
      <c r="D782" s="1735"/>
      <c r="I782" s="1167" t="s">
        <v>1194</v>
      </c>
      <c r="N782" s="1167" t="s">
        <v>1279</v>
      </c>
      <c r="P782" s="1736">
        <f>'Part VI-Revenues &amp; Expenses'!P222</f>
        <v>0</v>
      </c>
      <c r="Q782" s="1736"/>
      <c r="R782" s="1519"/>
      <c r="S782" s="1519"/>
      <c r="T782" s="1519"/>
      <c r="U782" s="1519"/>
      <c r="V782" s="1519"/>
      <c r="W782" s="1154"/>
      <c r="AB782" s="1154"/>
      <c r="AG782" s="1154"/>
      <c r="AL782" s="1154"/>
      <c r="JV782" s="1524"/>
      <c r="KA782" s="1524"/>
      <c r="KB782" s="1524"/>
      <c r="KC782" s="1524"/>
      <c r="KD782" s="1524"/>
      <c r="KE782" s="1524"/>
      <c r="KF782" s="1524"/>
      <c r="KG782" s="1524"/>
      <c r="KH782" s="1524"/>
      <c r="KI782" s="1524"/>
      <c r="KJ782" s="1524"/>
      <c r="KK782" s="1524"/>
      <c r="KL782" s="1524"/>
      <c r="KM782" s="1524"/>
      <c r="KN782" s="1524"/>
      <c r="KO782" s="1524"/>
      <c r="KP782" s="1524"/>
      <c r="KQ782" s="1524"/>
      <c r="KR782" s="1524"/>
      <c r="KS782" s="1524"/>
      <c r="KT782" s="1524"/>
      <c r="KU782" s="1524"/>
      <c r="KV782" s="1524"/>
      <c r="KW782" s="1524"/>
      <c r="KX782" s="1524"/>
      <c r="KY782" s="1524"/>
      <c r="KZ782" s="1524"/>
      <c r="LA782" s="1524"/>
      <c r="LB782" s="1524"/>
      <c r="LC782" s="1524"/>
      <c r="LD782" s="1524"/>
      <c r="LE782" s="1524"/>
      <c r="LF782" s="1524"/>
    </row>
    <row r="783" spans="1:318" s="1167" customFormat="1" ht="15.6" customHeight="1">
      <c r="B783" s="1167" t="s">
        <v>1271</v>
      </c>
      <c r="D783" s="1735"/>
      <c r="F783" s="1719">
        <f>'Part VI-Revenues &amp; Expenses'!F223</f>
        <v>0</v>
      </c>
      <c r="G783" s="1719"/>
      <c r="I783" s="1167" t="s">
        <v>1455</v>
      </c>
      <c r="K783" s="1720">
        <f>'Part VI-Revenues &amp; Expenses'!K223</f>
        <v>0</v>
      </c>
      <c r="L783" s="1720"/>
      <c r="N783" s="1737" t="e">
        <f>+P782/(O638*0.93)</f>
        <v>#DIV/0!</v>
      </c>
      <c r="O783" s="1701" t="s">
        <v>2371</v>
      </c>
      <c r="R783" s="1519"/>
      <c r="S783" s="1519"/>
      <c r="T783" s="1519"/>
      <c r="U783" s="1519"/>
      <c r="V783" s="1519"/>
      <c r="W783" s="1154"/>
      <c r="AB783" s="1154"/>
      <c r="AG783" s="1154"/>
      <c r="AL783" s="1154"/>
      <c r="JV783" s="1524"/>
      <c r="KA783" s="1524"/>
      <c r="KB783" s="1524"/>
      <c r="KC783" s="1524"/>
      <c r="KD783" s="1524"/>
      <c r="KE783" s="1524"/>
      <c r="KF783" s="1524"/>
      <c r="KG783" s="1524"/>
      <c r="KH783" s="1524"/>
      <c r="KI783" s="1524"/>
      <c r="KJ783" s="1524"/>
      <c r="KK783" s="1524"/>
      <c r="KL783" s="1524"/>
      <c r="KM783" s="1524"/>
      <c r="KN783" s="1524"/>
      <c r="KO783" s="1524"/>
      <c r="KP783" s="1524"/>
      <c r="KQ783" s="1524"/>
      <c r="KR783" s="1524"/>
      <c r="KS783" s="1524"/>
      <c r="KT783" s="1524"/>
      <c r="KU783" s="1524"/>
      <c r="KV783" s="1524"/>
      <c r="KW783" s="1524"/>
      <c r="KX783" s="1524"/>
      <c r="KY783" s="1524"/>
      <c r="KZ783" s="1524"/>
      <c r="LA783" s="1524"/>
      <c r="LB783" s="1524"/>
      <c r="LC783" s="1524"/>
      <c r="LD783" s="1524"/>
      <c r="LE783" s="1524"/>
      <c r="LF783" s="1524"/>
    </row>
    <row r="784" spans="1:318" s="1167" customFormat="1" ht="15.6" customHeight="1">
      <c r="B784" s="1167" t="s">
        <v>1272</v>
      </c>
      <c r="D784" s="1735"/>
      <c r="F784" s="1719">
        <f>'Part VI-Revenues &amp; Expenses'!F224</f>
        <v>0</v>
      </c>
      <c r="G784" s="1719"/>
      <c r="I784" s="1167" t="s">
        <v>1834</v>
      </c>
      <c r="K784" s="1720">
        <f>'Part VI-Revenues &amp; Expenses'!K224</f>
        <v>0</v>
      </c>
      <c r="L784" s="1720"/>
      <c r="N784" s="1737" t="e">
        <f>+P782/(O638*0.93)/12</f>
        <v>#DIV/0!</v>
      </c>
      <c r="O784" s="1701" t="s">
        <v>2372</v>
      </c>
      <c r="R784" s="1519"/>
      <c r="S784" s="1519"/>
      <c r="T784" s="1519"/>
      <c r="U784" s="1519"/>
      <c r="V784" s="1519"/>
      <c r="W784" s="1154"/>
      <c r="AB784" s="1154"/>
      <c r="AG784" s="1154"/>
      <c r="AL784" s="1154"/>
      <c r="JV784" s="1524"/>
      <c r="KA784" s="1524"/>
      <c r="KB784" s="1524"/>
      <c r="KC784" s="1524"/>
      <c r="KD784" s="1524"/>
      <c r="KE784" s="1524"/>
      <c r="KF784" s="1524"/>
      <c r="KG784" s="1524"/>
      <c r="KH784" s="1524"/>
      <c r="KI784" s="1524"/>
      <c r="KJ784" s="1524"/>
      <c r="KK784" s="1524"/>
      <c r="KL784" s="1524"/>
      <c r="KM784" s="1524"/>
      <c r="KN784" s="1524"/>
      <c r="KO784" s="1524"/>
      <c r="KP784" s="1524"/>
      <c r="KQ784" s="1524"/>
      <c r="KR784" s="1524"/>
      <c r="KS784" s="1524"/>
      <c r="KT784" s="1524"/>
      <c r="KU784" s="1524"/>
      <c r="KV784" s="1524"/>
      <c r="KW784" s="1524"/>
      <c r="KX784" s="1524"/>
      <c r="KY784" s="1524"/>
      <c r="KZ784" s="1524"/>
      <c r="LA784" s="1524"/>
      <c r="LB784" s="1524"/>
      <c r="LC784" s="1524"/>
      <c r="LD784" s="1524"/>
      <c r="LE784" s="1524"/>
      <c r="LF784" s="1524"/>
    </row>
    <row r="785" spans="2:318" s="1167" customFormat="1" ht="15.6" customHeight="1">
      <c r="B785" s="1167" t="s">
        <v>1273</v>
      </c>
      <c r="D785" s="1735"/>
      <c r="F785" s="1719">
        <f>'Part VI-Revenues &amp; Expenses'!F225</f>
        <v>0</v>
      </c>
      <c r="G785" s="1719"/>
      <c r="I785" s="1167" t="s">
        <v>1456</v>
      </c>
      <c r="K785" s="1720">
        <f>'Part VI-Revenues &amp; Expenses'!K225</f>
        <v>0</v>
      </c>
      <c r="L785" s="1720"/>
      <c r="N785" s="1168" t="s">
        <v>3401</v>
      </c>
      <c r="O785" s="1738"/>
      <c r="P785" s="1738"/>
      <c r="Q785" s="1698"/>
      <c r="R785" s="1519"/>
      <c r="S785" s="1519"/>
      <c r="T785" s="1519"/>
      <c r="U785" s="1519"/>
      <c r="V785" s="1519"/>
      <c r="W785" s="1154"/>
      <c r="AB785" s="1154"/>
      <c r="AG785" s="1154"/>
      <c r="AL785" s="1154"/>
      <c r="JV785" s="1524"/>
      <c r="KA785" s="1524"/>
      <c r="KB785" s="1524"/>
      <c r="KC785" s="1524"/>
      <c r="KD785" s="1524"/>
      <c r="KE785" s="1524"/>
      <c r="KF785" s="1524"/>
      <c r="KG785" s="1524"/>
      <c r="KH785" s="1524"/>
      <c r="KI785" s="1524"/>
      <c r="KJ785" s="1524"/>
      <c r="KK785" s="1524"/>
      <c r="KL785" s="1524"/>
      <c r="KM785" s="1524"/>
      <c r="KN785" s="1524"/>
      <c r="KO785" s="1524"/>
      <c r="KP785" s="1524"/>
      <c r="KQ785" s="1524"/>
      <c r="KR785" s="1524"/>
      <c r="KS785" s="1524"/>
      <c r="KT785" s="1524"/>
      <c r="KU785" s="1524"/>
      <c r="KV785" s="1524"/>
      <c r="KW785" s="1524"/>
      <c r="KX785" s="1524"/>
      <c r="KY785" s="1524"/>
      <c r="KZ785" s="1524"/>
      <c r="LA785" s="1524"/>
      <c r="LB785" s="1524"/>
      <c r="LC785" s="1524"/>
      <c r="LD785" s="1524"/>
      <c r="LE785" s="1524"/>
      <c r="LF785" s="1524"/>
    </row>
    <row r="786" spans="2:318" s="1167" customFormat="1" ht="15.6" customHeight="1">
      <c r="B786" s="1167" t="s">
        <v>2082</v>
      </c>
      <c r="D786" s="1735"/>
      <c r="F786" s="1719">
        <f>'Part VI-Revenues &amp; Expenses'!F226</f>
        <v>0</v>
      </c>
      <c r="G786" s="1719"/>
      <c r="I786" s="1734" t="str">
        <f>'Part VI-Revenues &amp; Expenses'!I226</f>
        <v>Other (describe here)</v>
      </c>
      <c r="J786" s="1734"/>
      <c r="K786" s="1720">
        <f>'Part VI-Revenues &amp; Expenses'!K226</f>
        <v>0</v>
      </c>
      <c r="L786" s="1720"/>
      <c r="N786" s="1738"/>
      <c r="O786" s="1738"/>
      <c r="P786" s="1738"/>
      <c r="Q786" s="1698"/>
      <c r="R786" s="1519"/>
      <c r="S786" s="1519"/>
      <c r="T786" s="1519"/>
      <c r="U786" s="1519"/>
      <c r="V786" s="1519"/>
      <c r="W786" s="1154"/>
      <c r="AB786" s="1154"/>
      <c r="AG786" s="1154"/>
      <c r="AL786" s="1154"/>
      <c r="JV786" s="1524"/>
      <c r="KA786" s="1524"/>
      <c r="KB786" s="1524"/>
      <c r="KC786" s="1524"/>
      <c r="KD786" s="1524"/>
      <c r="KE786" s="1524"/>
      <c r="KF786" s="1524"/>
      <c r="KG786" s="1524"/>
      <c r="KH786" s="1524"/>
      <c r="KI786" s="1524"/>
      <c r="KJ786" s="1524"/>
      <c r="KK786" s="1524"/>
      <c r="KL786" s="1524"/>
      <c r="KM786" s="1524"/>
      <c r="KN786" s="1524"/>
      <c r="KO786" s="1524"/>
      <c r="KP786" s="1524"/>
      <c r="KQ786" s="1524"/>
      <c r="KR786" s="1524"/>
      <c r="KS786" s="1524"/>
      <c r="KT786" s="1524"/>
      <c r="KU786" s="1524"/>
      <c r="KV786" s="1524"/>
      <c r="KW786" s="1524"/>
      <c r="KX786" s="1524"/>
      <c r="KY786" s="1524"/>
      <c r="KZ786" s="1524"/>
      <c r="LA786" s="1524"/>
      <c r="LB786" s="1524"/>
      <c r="LC786" s="1524"/>
      <c r="LD786" s="1524"/>
      <c r="LE786" s="1524"/>
      <c r="LF786" s="1524"/>
    </row>
    <row r="787" spans="2:318" s="1167" customFormat="1" ht="15.6" customHeight="1">
      <c r="B787" s="1167" t="s">
        <v>1453</v>
      </c>
      <c r="D787" s="1735"/>
      <c r="F787" s="1719">
        <f>'Part VI-Revenues &amp; Expenses'!F227</f>
        <v>0</v>
      </c>
      <c r="G787" s="1719"/>
      <c r="J787" s="1733" t="s">
        <v>171</v>
      </c>
      <c r="K787" s="1720">
        <f>SUM(K783:K786)</f>
        <v>0</v>
      </c>
      <c r="L787" s="1720"/>
      <c r="M787" s="1711" t="str">
        <f>IF(P789="","",IF(P787&lt;P789, "WARNING! OE below required minimum.",""))</f>
        <v/>
      </c>
      <c r="N787" s="1167" t="s">
        <v>1949</v>
      </c>
      <c r="P787" s="1720">
        <f>F780+F789+F800+K778+K787+K797+P779+P782</f>
        <v>0</v>
      </c>
      <c r="R787" s="1519"/>
      <c r="S787" s="1519"/>
      <c r="T787" s="1519"/>
      <c r="U787" s="1519"/>
      <c r="V787" s="1519"/>
      <c r="W787" s="1154"/>
      <c r="AB787" s="1154"/>
      <c r="AG787" s="1154"/>
      <c r="AL787" s="1154"/>
      <c r="JV787" s="1524"/>
      <c r="KA787" s="1524"/>
      <c r="KB787" s="1524"/>
      <c r="KC787" s="1524"/>
      <c r="KD787" s="1524"/>
      <c r="KE787" s="1524"/>
      <c r="KF787" s="1524"/>
      <c r="KG787" s="1524"/>
      <c r="KH787" s="1524"/>
      <c r="KI787" s="1524"/>
      <c r="KJ787" s="1524"/>
      <c r="KK787" s="1524"/>
      <c r="KL787" s="1524"/>
      <c r="KM787" s="1524"/>
      <c r="KN787" s="1524"/>
      <c r="KO787" s="1524"/>
      <c r="KP787" s="1524"/>
      <c r="KQ787" s="1524"/>
      <c r="KR787" s="1524"/>
      <c r="KS787" s="1524"/>
      <c r="KT787" s="1524"/>
      <c r="KU787" s="1524"/>
      <c r="KV787" s="1524"/>
      <c r="KW787" s="1524"/>
      <c r="KX787" s="1524"/>
      <c r="KY787" s="1524"/>
      <c r="KZ787" s="1524"/>
      <c r="LA787" s="1524"/>
      <c r="LB787" s="1524"/>
      <c r="LC787" s="1524"/>
      <c r="LD787" s="1524"/>
      <c r="LE787" s="1524"/>
      <c r="LF787" s="1524"/>
    </row>
    <row r="788" spans="2:318" s="1167" customFormat="1" ht="15.6" customHeight="1">
      <c r="B788" s="1168" t="str">
        <f>'Part VI-Revenues &amp; Expenses'!B228</f>
        <v>Other (describe here)</v>
      </c>
      <c r="C788" s="1168"/>
      <c r="D788" s="1168"/>
      <c r="E788" s="1168"/>
      <c r="F788" s="1719">
        <f>'Part VI-Revenues &amp; Expenses'!F228</f>
        <v>0</v>
      </c>
      <c r="G788" s="1719"/>
      <c r="J788" s="1697"/>
      <c r="M788" s="1711"/>
      <c r="N788" s="1701" t="s">
        <v>2373</v>
      </c>
      <c r="O788" s="1737" t="e">
        <f>+P787/O638</f>
        <v>#DIV/0!</v>
      </c>
      <c r="Q788" s="1720"/>
      <c r="R788" s="1519"/>
      <c r="S788" s="1519"/>
      <c r="T788" s="1519"/>
      <c r="U788" s="1519"/>
      <c r="V788" s="1519"/>
      <c r="W788" s="1154"/>
      <c r="AB788" s="1154"/>
      <c r="AG788" s="1154"/>
      <c r="AL788" s="1154"/>
      <c r="JV788" s="1524"/>
      <c r="KA788" s="1524"/>
      <c r="KB788" s="1524"/>
      <c r="KC788" s="1524"/>
      <c r="KD788" s="1524"/>
      <c r="KE788" s="1524"/>
      <c r="KF788" s="1524"/>
      <c r="KG788" s="1524"/>
      <c r="KH788" s="1524"/>
      <c r="KI788" s="1524"/>
      <c r="KJ788" s="1524"/>
      <c r="KK788" s="1524"/>
      <c r="KL788" s="1524"/>
      <c r="KM788" s="1524"/>
      <c r="KN788" s="1524"/>
      <c r="KO788" s="1524"/>
      <c r="KP788" s="1524"/>
      <c r="KQ788" s="1524"/>
      <c r="KR788" s="1524"/>
      <c r="KS788" s="1524"/>
      <c r="KT788" s="1524"/>
      <c r="KU788" s="1524"/>
      <c r="KV788" s="1524"/>
      <c r="KW788" s="1524"/>
      <c r="KX788" s="1524"/>
      <c r="KY788" s="1524"/>
      <c r="KZ788" s="1524"/>
      <c r="LA788" s="1524"/>
      <c r="LB788" s="1524"/>
      <c r="LC788" s="1524"/>
      <c r="LD788" s="1524"/>
      <c r="LE788" s="1524"/>
      <c r="LF788" s="1524"/>
    </row>
    <row r="789" spans="2:318" s="1167" customFormat="1" ht="15.6" customHeight="1">
      <c r="C789" s="1733" t="s">
        <v>171</v>
      </c>
      <c r="F789" s="1719">
        <f>SUM(F783:G788)</f>
        <v>0</v>
      </c>
      <c r="G789" s="1719"/>
      <c r="J789" s="1697"/>
      <c r="M789" s="1711"/>
      <c r="O789" s="1701"/>
      <c r="P789" s="1720"/>
      <c r="R789" s="1519"/>
      <c r="S789" s="1519"/>
      <c r="T789" s="1519"/>
      <c r="U789" s="1519"/>
      <c r="V789" s="1519"/>
      <c r="W789" s="1154"/>
      <c r="AB789" s="1154"/>
      <c r="AG789" s="1154"/>
      <c r="AL789" s="1154"/>
      <c r="JV789" s="1524"/>
      <c r="KA789" s="1524"/>
      <c r="KB789" s="1524"/>
      <c r="KC789" s="1524"/>
      <c r="KD789" s="1524"/>
      <c r="KE789" s="1524"/>
      <c r="KF789" s="1524"/>
      <c r="KG789" s="1524"/>
      <c r="KH789" s="1524"/>
      <c r="KI789" s="1524"/>
      <c r="KJ789" s="1524"/>
      <c r="KK789" s="1524"/>
      <c r="KL789" s="1524"/>
      <c r="KM789" s="1524"/>
      <c r="KN789" s="1524"/>
      <c r="KO789" s="1524"/>
      <c r="KP789" s="1524"/>
      <c r="KQ789" s="1524"/>
      <c r="KR789" s="1524"/>
      <c r="KS789" s="1524"/>
      <c r="KT789" s="1524"/>
      <c r="KU789" s="1524"/>
      <c r="KV789" s="1524"/>
      <c r="KW789" s="1524"/>
      <c r="KX789" s="1524"/>
      <c r="KY789" s="1524"/>
      <c r="KZ789" s="1524"/>
      <c r="LA789" s="1524"/>
      <c r="LB789" s="1524"/>
      <c r="LC789" s="1524"/>
      <c r="LD789" s="1524"/>
      <c r="LE789" s="1524"/>
      <c r="LF789" s="1524"/>
    </row>
    <row r="790" spans="2:318" s="1167" customFormat="1" ht="21" customHeight="1">
      <c r="D790" s="1733"/>
      <c r="F790" s="1697"/>
      <c r="G790" s="1697"/>
      <c r="J790" s="1697"/>
      <c r="M790" s="1711"/>
      <c r="R790" s="1519"/>
      <c r="S790" s="1519"/>
      <c r="T790" s="1519"/>
      <c r="U790" s="1519"/>
      <c r="V790" s="1519"/>
      <c r="JV790" s="1524"/>
      <c r="KA790" s="1524"/>
      <c r="KB790" s="1524"/>
      <c r="KC790" s="1524"/>
      <c r="KD790" s="1524"/>
      <c r="KE790" s="1524"/>
      <c r="KF790" s="1524"/>
      <c r="KG790" s="1524"/>
      <c r="KH790" s="1524"/>
      <c r="KI790" s="1524"/>
      <c r="KJ790" s="1524"/>
      <c r="KK790" s="1524"/>
      <c r="KL790" s="1524"/>
      <c r="KM790" s="1524"/>
      <c r="KN790" s="1524"/>
      <c r="KO790" s="1524"/>
      <c r="KP790" s="1524"/>
      <c r="KQ790" s="1524"/>
      <c r="KR790" s="1524"/>
      <c r="KS790" s="1524"/>
      <c r="KT790" s="1524"/>
      <c r="KU790" s="1524"/>
      <c r="KV790" s="1524"/>
      <c r="KW790" s="1524"/>
      <c r="KX790" s="1524"/>
      <c r="KY790" s="1524"/>
      <c r="KZ790" s="1524"/>
      <c r="LA790" s="1524"/>
      <c r="LB790" s="1524"/>
      <c r="LC790" s="1524"/>
      <c r="LD790" s="1524"/>
      <c r="LE790" s="1524"/>
      <c r="LF790" s="1524"/>
    </row>
    <row r="791" spans="2:318" s="1167" customFormat="1" ht="15.75" customHeight="1">
      <c r="B791" s="1167" t="s">
        <v>1195</v>
      </c>
      <c r="D791" s="1735"/>
      <c r="I791" s="1167" t="s">
        <v>1274</v>
      </c>
      <c r="J791" s="1739" t="s">
        <v>3402</v>
      </c>
      <c r="N791" s="1167" t="s">
        <v>3021</v>
      </c>
      <c r="P791" s="1740">
        <f>P800</f>
        <v>0</v>
      </c>
      <c r="Q791" s="1736"/>
      <c r="R791" s="1519"/>
      <c r="S791" s="1519"/>
      <c r="T791" s="1519"/>
      <c r="U791" s="1519"/>
      <c r="V791" s="1519"/>
      <c r="W791" s="1154"/>
      <c r="AB791" s="1154"/>
      <c r="AG791" s="1154"/>
      <c r="AL791" s="1154"/>
      <c r="JV791" s="1524"/>
      <c r="KA791" s="1524"/>
      <c r="KB791" s="1524"/>
      <c r="KC791" s="1524"/>
      <c r="KD791" s="1524"/>
      <c r="KE791" s="1524"/>
      <c r="KF791" s="1524"/>
      <c r="KG791" s="1524"/>
      <c r="KH791" s="1524"/>
      <c r="KI791" s="1524"/>
      <c r="KJ791" s="1524"/>
      <c r="KK791" s="1524"/>
      <c r="KL791" s="1524"/>
      <c r="KM791" s="1524"/>
      <c r="KN791" s="1524"/>
      <c r="KO791" s="1524"/>
      <c r="KP791" s="1524"/>
      <c r="KQ791" s="1524"/>
      <c r="KR791" s="1524"/>
      <c r="KS791" s="1524"/>
      <c r="KT791" s="1524"/>
      <c r="KU791" s="1524"/>
      <c r="KV791" s="1524"/>
      <c r="KW791" s="1524"/>
      <c r="KX791" s="1524"/>
      <c r="KY791" s="1524"/>
      <c r="KZ791" s="1524"/>
      <c r="LA791" s="1524"/>
      <c r="LB791" s="1524"/>
      <c r="LC791" s="1524"/>
      <c r="LD791" s="1524"/>
      <c r="LE791" s="1524"/>
      <c r="LF791" s="1524"/>
    </row>
    <row r="792" spans="2:318" s="1167" customFormat="1" ht="15.6" customHeight="1">
      <c r="B792" s="1167" t="s">
        <v>1457</v>
      </c>
      <c r="D792" s="1735"/>
      <c r="F792" s="1719">
        <f>'Part VI-Revenues &amp; Expenses'!F232</f>
        <v>0</v>
      </c>
      <c r="G792" s="1719"/>
      <c r="I792" s="1167" t="s">
        <v>1267</v>
      </c>
      <c r="J792" s="1741" t="e">
        <f>K792/12/O638</f>
        <v>#DIV/0!</v>
      </c>
      <c r="K792" s="1720">
        <f>'Part VI-Revenues &amp; Expenses'!K232</f>
        <v>0</v>
      </c>
      <c r="L792" s="1720"/>
      <c r="M792" s="1711" t="str">
        <f>IF(P791&lt;P800, "WARNING! RR proposed is below the DCA required minimum.","")</f>
        <v/>
      </c>
      <c r="N792" s="1168" t="s">
        <v>3403</v>
      </c>
      <c r="P792" s="1742" t="e">
        <f>P791/O800</f>
        <v>#DIV/0!</v>
      </c>
      <c r="Q792" s="1740"/>
      <c r="R792" s="1519"/>
      <c r="S792" s="1519"/>
      <c r="T792" s="1519"/>
      <c r="U792" s="1519"/>
      <c r="V792" s="1519"/>
      <c r="W792" s="1154"/>
      <c r="AB792" s="1154"/>
      <c r="AG792" s="1154"/>
      <c r="AL792" s="1154"/>
      <c r="JV792" s="1524"/>
      <c r="KA792" s="1524"/>
      <c r="KB792" s="1524"/>
      <c r="KC792" s="1524"/>
      <c r="KD792" s="1524"/>
      <c r="KE792" s="1524"/>
      <c r="KF792" s="1524"/>
      <c r="KG792" s="1524"/>
      <c r="KH792" s="1524"/>
      <c r="KI792" s="1524"/>
      <c r="KJ792" s="1524"/>
      <c r="KK792" s="1524"/>
      <c r="KL792" s="1524"/>
      <c r="KM792" s="1524"/>
      <c r="KN792" s="1524"/>
      <c r="KO792" s="1524"/>
      <c r="KP792" s="1524"/>
      <c r="KQ792" s="1524"/>
      <c r="KR792" s="1524"/>
      <c r="KS792" s="1524"/>
      <c r="KT792" s="1524"/>
      <c r="KU792" s="1524"/>
      <c r="KV792" s="1524"/>
      <c r="KW792" s="1524"/>
      <c r="KX792" s="1524"/>
      <c r="KY792" s="1524"/>
      <c r="KZ792" s="1524"/>
      <c r="LA792" s="1524"/>
      <c r="LB792" s="1524"/>
      <c r="LC792" s="1524"/>
      <c r="LD792" s="1524"/>
      <c r="LE792" s="1524"/>
      <c r="LF792" s="1524"/>
    </row>
    <row r="793" spans="2:318" s="1167" customFormat="1" ht="15.6" customHeight="1">
      <c r="B793" s="1167" t="s">
        <v>1458</v>
      </c>
      <c r="D793" s="1735"/>
      <c r="F793" s="1719">
        <f>'Part VI-Revenues &amp; Expenses'!F233</f>
        <v>0</v>
      </c>
      <c r="G793" s="1719"/>
      <c r="I793" s="1167" t="s">
        <v>1268</v>
      </c>
      <c r="J793" s="1741" t="e">
        <f>K793/12/O638</f>
        <v>#DIV/0!</v>
      </c>
      <c r="K793" s="1720">
        <f>'Part VI-Revenues &amp; Expenses'!K233</f>
        <v>0</v>
      </c>
      <c r="L793" s="1720"/>
      <c r="M793" s="1711"/>
      <c r="N793" s="1743" t="s">
        <v>3404</v>
      </c>
      <c r="O793" s="1743"/>
      <c r="P793" s="1743"/>
      <c r="R793" s="1519"/>
      <c r="S793" s="1519"/>
      <c r="T793" s="1519"/>
      <c r="U793" s="1519"/>
      <c r="V793" s="1519"/>
      <c r="W793" s="1154"/>
      <c r="AB793" s="1154"/>
      <c r="AG793" s="1154"/>
      <c r="AL793" s="1154"/>
      <c r="JV793" s="1524"/>
      <c r="KA793" s="1524"/>
      <c r="KB793" s="1524"/>
      <c r="KC793" s="1524"/>
      <c r="KD793" s="1524"/>
      <c r="KE793" s="1524"/>
      <c r="KF793" s="1524"/>
      <c r="KG793" s="1524"/>
      <c r="KH793" s="1524"/>
      <c r="KI793" s="1524"/>
      <c r="KJ793" s="1524"/>
      <c r="KK793" s="1524"/>
      <c r="KL793" s="1524"/>
      <c r="KM793" s="1524"/>
      <c r="KN793" s="1524"/>
      <c r="KO793" s="1524"/>
      <c r="KP793" s="1524"/>
      <c r="KQ793" s="1524"/>
      <c r="KR793" s="1524"/>
      <c r="KS793" s="1524"/>
      <c r="KT793" s="1524"/>
      <c r="KU793" s="1524"/>
      <c r="KV793" s="1524"/>
      <c r="KW793" s="1524"/>
      <c r="KX793" s="1524"/>
      <c r="KY793" s="1524"/>
      <c r="KZ793" s="1524"/>
      <c r="LA793" s="1524"/>
      <c r="LB793" s="1524"/>
      <c r="LC793" s="1524"/>
      <c r="LD793" s="1524"/>
      <c r="LE793" s="1524"/>
      <c r="LF793" s="1524"/>
    </row>
    <row r="794" spans="2:318" s="1167" customFormat="1" ht="15.6" customHeight="1">
      <c r="B794" s="1167" t="s">
        <v>1459</v>
      </c>
      <c r="D794" s="1735"/>
      <c r="F794" s="1719">
        <f>'Part VI-Revenues &amp; Expenses'!F234</f>
        <v>0</v>
      </c>
      <c r="G794" s="1719"/>
      <c r="I794" s="1167" t="s">
        <v>2090</v>
      </c>
      <c r="J794" s="1741" t="e">
        <f>K794/12/O638</f>
        <v>#DIV/0!</v>
      </c>
      <c r="K794" s="1720">
        <f>'Part VI-Revenues &amp; Expenses'!K234</f>
        <v>0</v>
      </c>
      <c r="L794" s="1720"/>
      <c r="M794" s="1711"/>
      <c r="N794" s="1744" t="s">
        <v>2357</v>
      </c>
      <c r="O794" s="1745" t="s">
        <v>3405</v>
      </c>
      <c r="P794" s="1745" t="s">
        <v>2993</v>
      </c>
      <c r="Q794" s="1745"/>
      <c r="R794" s="1519"/>
      <c r="S794" s="1519"/>
      <c r="T794" s="1519"/>
      <c r="U794" s="1519"/>
      <c r="V794" s="1519"/>
      <c r="W794" s="1154"/>
      <c r="AB794" s="1154"/>
      <c r="AG794" s="1154"/>
      <c r="AL794" s="1154"/>
      <c r="JV794" s="1524"/>
      <c r="KA794" s="1524"/>
      <c r="KB794" s="1524"/>
      <c r="KC794" s="1524"/>
      <c r="KD794" s="1524"/>
      <c r="KE794" s="1524"/>
      <c r="KF794" s="1524"/>
      <c r="KG794" s="1524"/>
      <c r="KH794" s="1524"/>
      <c r="KI794" s="1524"/>
      <c r="KJ794" s="1524"/>
      <c r="KK794" s="1524"/>
      <c r="KL794" s="1524"/>
      <c r="KM794" s="1524"/>
      <c r="KN794" s="1524"/>
      <c r="KO794" s="1524"/>
      <c r="KP794" s="1524"/>
      <c r="KQ794" s="1524"/>
      <c r="KR794" s="1524"/>
      <c r="KS794" s="1524"/>
      <c r="KT794" s="1524"/>
      <c r="KU794" s="1524"/>
      <c r="KV794" s="1524"/>
      <c r="KW794" s="1524"/>
      <c r="KX794" s="1524"/>
      <c r="KY794" s="1524"/>
      <c r="KZ794" s="1524"/>
      <c r="LA794" s="1524"/>
      <c r="LB794" s="1524"/>
      <c r="LC794" s="1524"/>
      <c r="LD794" s="1524"/>
      <c r="LE794" s="1524"/>
      <c r="LF794" s="1524"/>
    </row>
    <row r="795" spans="2:318" s="1167" customFormat="1" ht="15.6" customHeight="1">
      <c r="B795" s="1167" t="s">
        <v>929</v>
      </c>
      <c r="D795" s="1735"/>
      <c r="F795" s="1719">
        <f>'Part VI-Revenues &amp; Expenses'!F235</f>
        <v>0</v>
      </c>
      <c r="G795" s="1719"/>
      <c r="I795" s="1167" t="s">
        <v>1270</v>
      </c>
      <c r="K795" s="1720">
        <f>'Part VI-Revenues &amp; Expenses'!K235</f>
        <v>0</v>
      </c>
      <c r="L795" s="1720"/>
      <c r="M795" s="1711"/>
      <c r="N795" s="1746" t="s">
        <v>34</v>
      </c>
      <c r="R795" s="1519"/>
      <c r="S795" s="1519"/>
      <c r="T795" s="1519"/>
      <c r="U795" s="1519"/>
      <c r="V795" s="1519"/>
      <c r="W795" s="1154"/>
      <c r="AB795" s="1154"/>
      <c r="AG795" s="1154"/>
      <c r="AL795" s="1154"/>
      <c r="JV795" s="1524"/>
      <c r="KA795" s="1524"/>
      <c r="KB795" s="1524"/>
      <c r="KC795" s="1524"/>
      <c r="KD795" s="1524"/>
      <c r="KE795" s="1524"/>
      <c r="KF795" s="1524"/>
      <c r="KG795" s="1524"/>
      <c r="KH795" s="1524"/>
      <c r="KI795" s="1524"/>
      <c r="KJ795" s="1524"/>
      <c r="KK795" s="1524"/>
      <c r="KL795" s="1524"/>
      <c r="KM795" s="1524"/>
      <c r="KN795" s="1524"/>
      <c r="KO795" s="1524"/>
      <c r="KP795" s="1524"/>
      <c r="KQ795" s="1524"/>
      <c r="KR795" s="1524"/>
      <c r="KS795" s="1524"/>
      <c r="KT795" s="1524"/>
      <c r="KU795" s="1524"/>
      <c r="KV795" s="1524"/>
      <c r="KW795" s="1524"/>
      <c r="KX795" s="1524"/>
      <c r="KY795" s="1524"/>
      <c r="KZ795" s="1524"/>
      <c r="LA795" s="1524"/>
      <c r="LB795" s="1524"/>
      <c r="LC795" s="1524"/>
      <c r="LD795" s="1524"/>
      <c r="LE795" s="1524"/>
      <c r="LF795" s="1524"/>
    </row>
    <row r="796" spans="2:318" s="1167" customFormat="1" ht="15.6" customHeight="1">
      <c r="B796" s="1167" t="s">
        <v>930</v>
      </c>
      <c r="D796" s="1735"/>
      <c r="F796" s="1719">
        <f>'Part VI-Revenues &amp; Expenses'!F236</f>
        <v>0</v>
      </c>
      <c r="G796" s="1719"/>
      <c r="I796" s="1734" t="str">
        <f>'Part VI-Revenues &amp; Expenses'!I236</f>
        <v>Other (describe here)</v>
      </c>
      <c r="J796" s="1734"/>
      <c r="K796" s="1720">
        <f>'Part VI-Revenues &amp; Expenses'!K236</f>
        <v>0</v>
      </c>
      <c r="L796" s="1720"/>
      <c r="M796" s="1711"/>
      <c r="N796" s="1658" t="s">
        <v>2985</v>
      </c>
      <c r="O796" s="1747" t="str">
        <f>'Part VI-Revenues &amp; Expenses'!O236</f>
        <v>0 units x $350 =</v>
      </c>
      <c r="P796" s="1747">
        <f>'Part VI-Revenues &amp; Expenses'!P236</f>
        <v>0</v>
      </c>
      <c r="Q796" s="1747"/>
      <c r="R796" s="1519"/>
      <c r="S796" s="1519"/>
      <c r="T796" s="1519"/>
      <c r="U796" s="1519"/>
      <c r="V796" s="1519"/>
      <c r="W796" s="1154"/>
      <c r="AB796" s="1154"/>
      <c r="AG796" s="1154"/>
      <c r="AL796" s="1154"/>
      <c r="JV796" s="1524"/>
      <c r="KA796" s="1524"/>
      <c r="KB796" s="1524"/>
      <c r="KC796" s="1524"/>
      <c r="KD796" s="1524"/>
      <c r="KE796" s="1524"/>
      <c r="KF796" s="1524"/>
      <c r="KG796" s="1524"/>
      <c r="KH796" s="1524"/>
      <c r="KI796" s="1524"/>
      <c r="KJ796" s="1524"/>
      <c r="KK796" s="1524"/>
      <c r="KL796" s="1524"/>
      <c r="KM796" s="1524"/>
      <c r="KN796" s="1524"/>
      <c r="KO796" s="1524"/>
      <c r="KP796" s="1524"/>
      <c r="KQ796" s="1524"/>
      <c r="KR796" s="1524"/>
      <c r="KS796" s="1524"/>
      <c r="KT796" s="1524"/>
      <c r="KU796" s="1524"/>
      <c r="KV796" s="1524"/>
      <c r="KW796" s="1524"/>
      <c r="KX796" s="1524"/>
      <c r="KY796" s="1524"/>
      <c r="KZ796" s="1524"/>
      <c r="LA796" s="1524"/>
      <c r="LB796" s="1524"/>
      <c r="LC796" s="1524"/>
      <c r="LD796" s="1524"/>
      <c r="LE796" s="1524"/>
      <c r="LF796" s="1524"/>
    </row>
    <row r="797" spans="2:318" s="1167" customFormat="1" ht="15.6" customHeight="1">
      <c r="B797" s="1167" t="s">
        <v>931</v>
      </c>
      <c r="D797" s="1735"/>
      <c r="F797" s="1719">
        <f>'Part VI-Revenues &amp; Expenses'!F237</f>
        <v>0</v>
      </c>
      <c r="G797" s="1719"/>
      <c r="J797" s="1733" t="s">
        <v>171</v>
      </c>
      <c r="K797" s="1720">
        <f>SUM(K792:K796)</f>
        <v>0</v>
      </c>
      <c r="L797" s="1720"/>
      <c r="M797" s="1711"/>
      <c r="N797" s="1658" t="s">
        <v>2984</v>
      </c>
      <c r="O797" s="1747" t="str">
        <f>'Part VI-Revenues &amp; Expenses'!O237</f>
        <v>0 units x $250 =</v>
      </c>
      <c r="P797" s="1747">
        <f>'Part VI-Revenues &amp; Expenses'!P237</f>
        <v>0</v>
      </c>
      <c r="Q797" s="1747"/>
      <c r="R797" s="1519"/>
      <c r="S797" s="1519"/>
      <c r="T797" s="1519"/>
      <c r="U797" s="1519"/>
      <c r="V797" s="1519"/>
      <c r="W797" s="1154"/>
      <c r="AB797" s="1154"/>
      <c r="AG797" s="1154"/>
      <c r="AL797" s="1154"/>
      <c r="JV797" s="1524"/>
      <c r="KA797" s="1524"/>
      <c r="KB797" s="1524"/>
      <c r="KC797" s="1524"/>
      <c r="KD797" s="1524"/>
      <c r="KE797" s="1524"/>
      <c r="KF797" s="1524"/>
      <c r="KG797" s="1524"/>
      <c r="KH797" s="1524"/>
      <c r="KI797" s="1524"/>
      <c r="KJ797" s="1524"/>
      <c r="KK797" s="1524"/>
      <c r="KL797" s="1524"/>
      <c r="KM797" s="1524"/>
      <c r="KN797" s="1524"/>
      <c r="KO797" s="1524"/>
      <c r="KP797" s="1524"/>
      <c r="KQ797" s="1524"/>
      <c r="KR797" s="1524"/>
      <c r="KS797" s="1524"/>
      <c r="KT797" s="1524"/>
      <c r="KU797" s="1524"/>
      <c r="KV797" s="1524"/>
      <c r="KW797" s="1524"/>
      <c r="KX797" s="1524"/>
      <c r="KY797" s="1524"/>
      <c r="KZ797" s="1524"/>
      <c r="LA797" s="1524"/>
      <c r="LB797" s="1524"/>
      <c r="LC797" s="1524"/>
      <c r="LD797" s="1524"/>
      <c r="LE797" s="1524"/>
      <c r="LF797" s="1524"/>
    </row>
    <row r="798" spans="2:318" s="1167" customFormat="1" ht="15.6" customHeight="1">
      <c r="B798" s="1167" t="s">
        <v>807</v>
      </c>
      <c r="D798" s="1735"/>
      <c r="F798" s="1719">
        <f>'Part VI-Revenues &amp; Expenses'!F238</f>
        <v>0</v>
      </c>
      <c r="G798" s="1719"/>
      <c r="J798" s="1697"/>
      <c r="M798" s="1711"/>
      <c r="N798" s="1658" t="s">
        <v>2988</v>
      </c>
      <c r="O798" s="1747" t="str">
        <f>'Part VI-Revenues &amp; Expenses'!O238</f>
        <v>0 units x $420 =</v>
      </c>
      <c r="P798" s="1747">
        <f>'Part VI-Revenues &amp; Expenses'!P238</f>
        <v>0</v>
      </c>
      <c r="Q798" s="1747"/>
      <c r="R798" s="1519"/>
      <c r="S798" s="1519"/>
      <c r="T798" s="1519"/>
      <c r="U798" s="1519"/>
      <c r="V798" s="1519"/>
      <c r="W798" s="1154"/>
      <c r="AB798" s="1154"/>
      <c r="AG798" s="1154"/>
      <c r="AL798" s="1154"/>
      <c r="JV798" s="1524"/>
      <c r="KA798" s="1524"/>
      <c r="KB798" s="1524"/>
      <c r="KC798" s="1524"/>
      <c r="KD798" s="1524"/>
      <c r="KE798" s="1524"/>
      <c r="KF798" s="1524"/>
      <c r="KG798" s="1524"/>
      <c r="KH798" s="1524"/>
      <c r="KI798" s="1524"/>
      <c r="KJ798" s="1524"/>
      <c r="KK798" s="1524"/>
      <c r="KL798" s="1524"/>
      <c r="KM798" s="1524"/>
      <c r="KN798" s="1524"/>
      <c r="KO798" s="1524"/>
      <c r="KP798" s="1524"/>
      <c r="KQ798" s="1524"/>
      <c r="KR798" s="1524"/>
      <c r="KS798" s="1524"/>
      <c r="KT798" s="1524"/>
      <c r="KU798" s="1524"/>
      <c r="KV798" s="1524"/>
      <c r="KW798" s="1524"/>
      <c r="KX798" s="1524"/>
      <c r="KY798" s="1524"/>
      <c r="KZ798" s="1524"/>
      <c r="LA798" s="1524"/>
      <c r="LB798" s="1524"/>
      <c r="LC798" s="1524"/>
      <c r="LD798" s="1524"/>
      <c r="LE798" s="1524"/>
      <c r="LF798" s="1524"/>
    </row>
    <row r="799" spans="2:318" s="1167" customFormat="1" ht="15.6" customHeight="1">
      <c r="B799" s="1168" t="str">
        <f>'Part VI-Revenues &amp; Expenses'!B239</f>
        <v>Other (describe here)</v>
      </c>
      <c r="C799" s="1168"/>
      <c r="D799" s="1168"/>
      <c r="E799" s="1168"/>
      <c r="F799" s="1719">
        <f>'Part VI-Revenues &amp; Expenses'!F239</f>
        <v>0</v>
      </c>
      <c r="G799" s="1719"/>
      <c r="J799" s="1697"/>
      <c r="N799" s="1658" t="s">
        <v>2983</v>
      </c>
      <c r="O799" s="1747" t="str">
        <f>'Part VI-Revenues &amp; Expenses'!O239</f>
        <v>0 units x $420 =</v>
      </c>
      <c r="P799" s="1747">
        <f>'Part VI-Revenues &amp; Expenses'!P239</f>
        <v>0</v>
      </c>
      <c r="Q799" s="1747"/>
      <c r="R799" s="1519"/>
      <c r="S799" s="1519"/>
      <c r="T799" s="1519"/>
      <c r="U799" s="1519"/>
      <c r="V799" s="1519"/>
      <c r="W799" s="1154"/>
      <c r="AB799" s="1154"/>
      <c r="AG799" s="1154"/>
      <c r="AL799" s="1154"/>
      <c r="JV799" s="1524"/>
      <c r="KA799" s="1524"/>
      <c r="KB799" s="1524"/>
      <c r="KC799" s="1524"/>
      <c r="KD799" s="1524"/>
      <c r="KE799" s="1524"/>
      <c r="KF799" s="1524"/>
      <c r="KG799" s="1524"/>
      <c r="KH799" s="1524"/>
      <c r="KI799" s="1524"/>
      <c r="KJ799" s="1524"/>
      <c r="KK799" s="1524"/>
      <c r="KL799" s="1524"/>
      <c r="KM799" s="1524"/>
      <c r="KN799" s="1524"/>
      <c r="KO799" s="1524"/>
      <c r="KP799" s="1524"/>
      <c r="KQ799" s="1524"/>
      <c r="KR799" s="1524"/>
      <c r="KS799" s="1524"/>
      <c r="KT799" s="1524"/>
      <c r="KU799" s="1524"/>
      <c r="KV799" s="1524"/>
      <c r="KW799" s="1524"/>
      <c r="KX799" s="1524"/>
      <c r="KY799" s="1524"/>
      <c r="KZ799" s="1524"/>
      <c r="LA799" s="1524"/>
      <c r="LB799" s="1524"/>
      <c r="LC799" s="1524"/>
      <c r="LD799" s="1524"/>
      <c r="LE799" s="1524"/>
      <c r="LF799" s="1524"/>
    </row>
    <row r="800" spans="2:318" s="1167" customFormat="1" ht="15.6" customHeight="1">
      <c r="C800" s="1733" t="s">
        <v>171</v>
      </c>
      <c r="F800" s="1719">
        <f>SUM(F792:G799)</f>
        <v>0</v>
      </c>
      <c r="G800" s="1719"/>
      <c r="J800" s="1697"/>
      <c r="N800" s="1683" t="s">
        <v>2360</v>
      </c>
      <c r="O800" s="1679">
        <f>SUM(ME619:MI619)+SUM(MJ619:MN619)+SUM(MO619:MS619)+O684</f>
        <v>0</v>
      </c>
      <c r="P800" s="1679">
        <f>SUM(P796:P799)</f>
        <v>0</v>
      </c>
      <c r="Q800" s="1747"/>
      <c r="R800" s="1519"/>
      <c r="S800" s="1519"/>
      <c r="T800" s="1519"/>
      <c r="U800" s="1519"/>
      <c r="V800" s="1519"/>
      <c r="W800" s="1154"/>
      <c r="AB800" s="1154"/>
      <c r="AG800" s="1154"/>
      <c r="AL800" s="1154"/>
      <c r="JV800" s="1524"/>
      <c r="KA800" s="1524"/>
      <c r="KB800" s="1524"/>
      <c r="KC800" s="1524"/>
      <c r="KD800" s="1524"/>
      <c r="KE800" s="1524"/>
      <c r="KF800" s="1524"/>
      <c r="KG800" s="1524"/>
      <c r="KH800" s="1524"/>
      <c r="KI800" s="1524"/>
      <c r="KJ800" s="1524"/>
      <c r="KK800" s="1524"/>
      <c r="KL800" s="1524"/>
      <c r="KM800" s="1524"/>
      <c r="KN800" s="1524"/>
      <c r="KO800" s="1524"/>
      <c r="KP800" s="1524"/>
      <c r="KQ800" s="1524"/>
      <c r="KR800" s="1524"/>
      <c r="KS800" s="1524"/>
      <c r="KT800" s="1524"/>
      <c r="KU800" s="1524"/>
      <c r="KV800" s="1524"/>
      <c r="KW800" s="1524"/>
      <c r="KX800" s="1524"/>
      <c r="KY800" s="1524"/>
      <c r="KZ800" s="1524"/>
      <c r="LA800" s="1524"/>
      <c r="LB800" s="1524"/>
      <c r="LC800" s="1524"/>
      <c r="LD800" s="1524"/>
      <c r="LE800" s="1524"/>
      <c r="LF800" s="1524"/>
    </row>
    <row r="801" spans="1:318" s="1167" customFormat="1" ht="6" customHeight="1">
      <c r="C801" s="1733"/>
      <c r="F801" s="1697"/>
      <c r="G801" s="1697"/>
      <c r="J801" s="1697"/>
      <c r="W801" s="1154"/>
      <c r="AB801" s="1154"/>
      <c r="AG801" s="1154"/>
      <c r="AL801" s="1154"/>
      <c r="JV801" s="1524"/>
      <c r="KA801" s="1524"/>
      <c r="KB801" s="1524"/>
      <c r="KC801" s="1524"/>
      <c r="KD801" s="1524"/>
      <c r="KE801" s="1524"/>
      <c r="KF801" s="1524"/>
      <c r="KG801" s="1524"/>
      <c r="KH801" s="1524"/>
      <c r="KI801" s="1524"/>
      <c r="KJ801" s="1524"/>
      <c r="KK801" s="1524"/>
      <c r="KL801" s="1524"/>
      <c r="KM801" s="1524"/>
      <c r="KN801" s="1524"/>
      <c r="KO801" s="1524"/>
      <c r="KP801" s="1524"/>
      <c r="KQ801" s="1524"/>
      <c r="KR801" s="1524"/>
      <c r="KS801" s="1524"/>
      <c r="KT801" s="1524"/>
      <c r="KU801" s="1524"/>
      <c r="KV801" s="1524"/>
      <c r="KW801" s="1524"/>
      <c r="KX801" s="1524"/>
      <c r="KY801" s="1524"/>
      <c r="KZ801" s="1524"/>
      <c r="LA801" s="1524"/>
      <c r="LB801" s="1524"/>
      <c r="LC801" s="1524"/>
      <c r="LD801" s="1524"/>
      <c r="LE801" s="1524"/>
      <c r="LF801" s="1524"/>
    </row>
    <row r="802" spans="1:318" s="1167" customFormat="1" ht="15.6" customHeight="1">
      <c r="C802" s="1733"/>
      <c r="F802" s="1697"/>
      <c r="G802" s="1697"/>
      <c r="J802" s="1697"/>
      <c r="N802" s="1167" t="s">
        <v>1950</v>
      </c>
      <c r="P802" s="1720">
        <f>P787+P791</f>
        <v>0</v>
      </c>
      <c r="Q802" s="1720"/>
      <c r="W802" s="1154"/>
      <c r="AB802" s="1154"/>
      <c r="AG802" s="1154"/>
      <c r="AL802" s="1154"/>
      <c r="JV802" s="1524"/>
      <c r="KA802" s="1524"/>
      <c r="KB802" s="1524"/>
      <c r="KC802" s="1524"/>
      <c r="KD802" s="1524"/>
      <c r="KE802" s="1524"/>
      <c r="KF802" s="1524"/>
      <c r="KG802" s="1524"/>
      <c r="KH802" s="1524"/>
      <c r="KI802" s="1524"/>
      <c r="KJ802" s="1524"/>
      <c r="KK802" s="1524"/>
      <c r="KL802" s="1524"/>
      <c r="KM802" s="1524"/>
      <c r="KN802" s="1524"/>
      <c r="KO802" s="1524"/>
      <c r="KP802" s="1524"/>
      <c r="KQ802" s="1524"/>
      <c r="KR802" s="1524"/>
      <c r="KS802" s="1524"/>
      <c r="KT802" s="1524"/>
      <c r="KU802" s="1524"/>
      <c r="KV802" s="1524"/>
      <c r="KW802" s="1524"/>
      <c r="KX802" s="1524"/>
      <c r="KY802" s="1524"/>
      <c r="KZ802" s="1524"/>
      <c r="LA802" s="1524"/>
      <c r="LB802" s="1524"/>
      <c r="LC802" s="1524"/>
      <c r="LD802" s="1524"/>
      <c r="LE802" s="1524"/>
      <c r="LF802" s="1524"/>
    </row>
    <row r="803" spans="1:318" s="1167" customFormat="1" ht="25.5" customHeight="1">
      <c r="C803" s="1733"/>
      <c r="F803" s="1697"/>
      <c r="G803" s="1697"/>
      <c r="J803" s="1697"/>
      <c r="P803" s="1720"/>
      <c r="Q803" s="1720"/>
      <c r="W803" s="1154"/>
      <c r="AB803" s="1154"/>
      <c r="AG803" s="1154"/>
      <c r="AL803" s="1154"/>
      <c r="JV803" s="1524"/>
      <c r="KA803" s="1524"/>
      <c r="KB803" s="1524"/>
      <c r="KC803" s="1524"/>
      <c r="KD803" s="1524"/>
      <c r="KE803" s="1524"/>
      <c r="KF803" s="1524"/>
      <c r="KG803" s="1524"/>
      <c r="KH803" s="1524"/>
      <c r="KI803" s="1524"/>
      <c r="KJ803" s="1524"/>
      <c r="KK803" s="1524"/>
      <c r="KL803" s="1524"/>
      <c r="KM803" s="1524"/>
      <c r="KN803" s="1524"/>
      <c r="KO803" s="1524"/>
      <c r="KP803" s="1524"/>
      <c r="KQ803" s="1524"/>
      <c r="KR803" s="1524"/>
      <c r="KS803" s="1524"/>
      <c r="KT803" s="1524"/>
      <c r="KU803" s="1524"/>
      <c r="KV803" s="1524"/>
      <c r="KW803" s="1524"/>
      <c r="KX803" s="1524"/>
      <c r="KY803" s="1524"/>
      <c r="KZ803" s="1524"/>
      <c r="LA803" s="1524"/>
      <c r="LB803" s="1524"/>
      <c r="LC803" s="1524"/>
      <c r="LD803" s="1524"/>
      <c r="LE803" s="1524"/>
      <c r="LF803" s="1524"/>
    </row>
    <row r="804" spans="1:318" s="1167" customFormat="1" ht="15" customHeight="1">
      <c r="A804" s="1154" t="s">
        <v>1616</v>
      </c>
      <c r="B804" s="1167" t="s">
        <v>3406</v>
      </c>
      <c r="C804" s="1733"/>
      <c r="F804" s="1748" t="s">
        <v>3407</v>
      </c>
      <c r="G804" s="1697"/>
      <c r="H804" s="1720">
        <f>'Part VI-Revenues &amp; Expenses'!H244</f>
        <v>0</v>
      </c>
      <c r="I804" s="1720"/>
      <c r="J804" s="1523" t="s">
        <v>3408</v>
      </c>
      <c r="K804" s="1667">
        <f>'Part VI-Revenues &amp; Expenses'!K244</f>
        <v>0</v>
      </c>
      <c r="N804" s="1167" t="s">
        <v>3409</v>
      </c>
      <c r="P804" s="1667">
        <f>H804*K804</f>
        <v>0</v>
      </c>
      <c r="Q804" s="1720"/>
      <c r="R804" s="1519"/>
      <c r="S804" s="1519"/>
      <c r="T804" s="1519"/>
      <c r="U804" s="1519"/>
      <c r="V804" s="1519"/>
      <c r="W804" s="1154"/>
      <c r="AB804" s="1154"/>
      <c r="AG804" s="1154"/>
      <c r="AL804" s="1154"/>
      <c r="JV804" s="1524"/>
      <c r="KA804" s="1524"/>
      <c r="KB804" s="1524"/>
      <c r="KC804" s="1524"/>
      <c r="KD804" s="1524"/>
      <c r="KE804" s="1524"/>
      <c r="KF804" s="1524"/>
      <c r="KG804" s="1524"/>
      <c r="KH804" s="1524"/>
      <c r="KI804" s="1524"/>
      <c r="KJ804" s="1524"/>
      <c r="KK804" s="1524"/>
      <c r="KL804" s="1524"/>
      <c r="KM804" s="1524"/>
      <c r="KN804" s="1524"/>
      <c r="KO804" s="1524"/>
      <c r="KP804" s="1524"/>
      <c r="KQ804" s="1524"/>
      <c r="KR804" s="1524"/>
      <c r="KS804" s="1524"/>
      <c r="KT804" s="1524"/>
      <c r="KU804" s="1524"/>
      <c r="KV804" s="1524"/>
      <c r="KW804" s="1524"/>
      <c r="KX804" s="1524"/>
      <c r="KY804" s="1524"/>
      <c r="KZ804" s="1524"/>
      <c r="LA804" s="1524"/>
      <c r="LB804" s="1524"/>
      <c r="LC804" s="1524"/>
      <c r="LD804" s="1524"/>
      <c r="LE804" s="1524"/>
      <c r="LF804" s="1524"/>
    </row>
    <row r="805" spans="1:318" s="1167" customFormat="1" ht="6" customHeight="1">
      <c r="C805" s="1733"/>
      <c r="F805" s="1697"/>
      <c r="G805" s="1697"/>
      <c r="J805" s="1697"/>
      <c r="P805" s="1720"/>
      <c r="Q805" s="1720"/>
      <c r="W805" s="1154"/>
      <c r="AB805" s="1154"/>
      <c r="AG805" s="1154"/>
      <c r="AL805" s="1154"/>
      <c r="JV805" s="1524"/>
      <c r="KA805" s="1524"/>
      <c r="KB805" s="1524"/>
      <c r="KC805" s="1524"/>
      <c r="KD805" s="1524"/>
      <c r="KE805" s="1524"/>
      <c r="KF805" s="1524"/>
      <c r="KG805" s="1524"/>
      <c r="KH805" s="1524"/>
      <c r="KI805" s="1524"/>
      <c r="KJ805" s="1524"/>
      <c r="KK805" s="1524"/>
      <c r="KL805" s="1524"/>
      <c r="KM805" s="1524"/>
      <c r="KN805" s="1524"/>
      <c r="KO805" s="1524"/>
      <c r="KP805" s="1524"/>
      <c r="KQ805" s="1524"/>
      <c r="KR805" s="1524"/>
      <c r="KS805" s="1524"/>
      <c r="KT805" s="1524"/>
      <c r="KU805" s="1524"/>
      <c r="KV805" s="1524"/>
      <c r="KW805" s="1524"/>
      <c r="KX805" s="1524"/>
      <c r="KY805" s="1524"/>
      <c r="KZ805" s="1524"/>
      <c r="LA805" s="1524"/>
      <c r="LB805" s="1524"/>
      <c r="LC805" s="1524"/>
      <c r="LD805" s="1524"/>
      <c r="LE805" s="1524"/>
      <c r="LF805" s="1524"/>
    </row>
    <row r="806" spans="1:318" s="1167" customFormat="1" ht="15" customHeight="1">
      <c r="B806" s="1167" t="s">
        <v>3410</v>
      </c>
      <c r="C806" s="1733"/>
      <c r="F806" s="1697"/>
      <c r="G806" s="1697"/>
      <c r="I806" s="1524" t="str">
        <f>'Part VI-Revenues &amp; Expenses'!I246</f>
        <v>&lt;&lt;Select&gt;&gt;</v>
      </c>
      <c r="J806" s="1748" t="s">
        <v>3411</v>
      </c>
      <c r="K806" s="1524" t="str">
        <f>'Part VI-Revenues &amp; Expenses'!K246</f>
        <v>&lt;&lt;Select&gt;&gt;</v>
      </c>
      <c r="L806" s="1524" t="s">
        <v>3412</v>
      </c>
      <c r="M806" s="1667">
        <f>'Part VI-Revenues &amp; Expenses'!M246</f>
        <v>0</v>
      </c>
      <c r="N806" s="1167" t="s">
        <v>3413</v>
      </c>
      <c r="P806" s="1667">
        <f>'Part VI-Revenues &amp; Expenses'!P246</f>
        <v>0</v>
      </c>
      <c r="Q806" s="1720"/>
      <c r="R806" s="1519"/>
      <c r="S806" s="1519"/>
      <c r="T806" s="1519"/>
      <c r="U806" s="1519"/>
      <c r="V806" s="1519"/>
      <c r="W806" s="1154"/>
      <c r="AB806" s="1154"/>
      <c r="AG806" s="1154"/>
      <c r="AL806" s="1154"/>
      <c r="JV806" s="1524"/>
      <c r="KA806" s="1524"/>
      <c r="KB806" s="1524"/>
      <c r="KC806" s="1524"/>
      <c r="KD806" s="1524"/>
      <c r="KE806" s="1524"/>
      <c r="KF806" s="1524"/>
      <c r="KG806" s="1524"/>
      <c r="KH806" s="1524"/>
      <c r="KI806" s="1524"/>
      <c r="KJ806" s="1524"/>
      <c r="KK806" s="1524"/>
      <c r="KL806" s="1524"/>
      <c r="KM806" s="1524"/>
      <c r="KN806" s="1524"/>
      <c r="KO806" s="1524"/>
      <c r="KP806" s="1524"/>
      <c r="KQ806" s="1524"/>
      <c r="KR806" s="1524"/>
      <c r="KS806" s="1524"/>
      <c r="KT806" s="1524"/>
      <c r="KU806" s="1524"/>
      <c r="KV806" s="1524"/>
      <c r="KW806" s="1524"/>
      <c r="KX806" s="1524"/>
      <c r="KY806" s="1524"/>
      <c r="KZ806" s="1524"/>
      <c r="LA806" s="1524"/>
      <c r="LB806" s="1524"/>
      <c r="LC806" s="1524"/>
      <c r="LD806" s="1524"/>
      <c r="LE806" s="1524"/>
      <c r="LF806" s="1524"/>
    </row>
    <row r="807" spans="1:318" s="1167" customFormat="1" ht="39" customHeight="1">
      <c r="C807" s="1733"/>
      <c r="F807" s="1697"/>
      <c r="G807" s="1697"/>
      <c r="J807" s="1697"/>
      <c r="P807" s="1720"/>
      <c r="Q807" s="1720"/>
      <c r="W807" s="1154"/>
      <c r="AB807" s="1154"/>
      <c r="AG807" s="1154"/>
      <c r="AL807" s="1154"/>
      <c r="JV807" s="1524"/>
      <c r="KA807" s="1524"/>
      <c r="KB807" s="1524"/>
      <c r="KC807" s="1524"/>
      <c r="KD807" s="1524"/>
      <c r="KE807" s="1524"/>
      <c r="KF807" s="1524"/>
      <c r="KG807" s="1524"/>
      <c r="KH807" s="1524"/>
      <c r="KI807" s="1524"/>
      <c r="KJ807" s="1524"/>
      <c r="KK807" s="1524"/>
      <c r="KL807" s="1524"/>
      <c r="KM807" s="1524"/>
      <c r="KN807" s="1524"/>
      <c r="KO807" s="1524"/>
      <c r="KP807" s="1524"/>
      <c r="KQ807" s="1524"/>
      <c r="KR807" s="1524"/>
      <c r="KS807" s="1524"/>
      <c r="KT807" s="1524"/>
      <c r="KU807" s="1524"/>
      <c r="KV807" s="1524"/>
      <c r="KW807" s="1524"/>
      <c r="KX807" s="1524"/>
      <c r="KY807" s="1524"/>
      <c r="KZ807" s="1524"/>
      <c r="LA807" s="1524"/>
      <c r="LB807" s="1524"/>
      <c r="LC807" s="1524"/>
      <c r="LD807" s="1524"/>
      <c r="LE807" s="1524"/>
      <c r="LF807" s="1524"/>
    </row>
    <row r="808" spans="1:318" s="1154" customFormat="1" ht="12" customHeight="1">
      <c r="A808" s="1154" t="s">
        <v>3414</v>
      </c>
      <c r="B808" s="1154" t="s">
        <v>531</v>
      </c>
      <c r="M808" s="1154" t="s">
        <v>3415</v>
      </c>
      <c r="JV808" s="1525"/>
      <c r="KA808" s="1525"/>
      <c r="KB808" s="1525"/>
      <c r="KC808" s="1525"/>
      <c r="KD808" s="1525"/>
      <c r="KE808" s="1525"/>
      <c r="KF808" s="1525"/>
      <c r="KG808" s="1525"/>
      <c r="KH808" s="1525"/>
      <c r="KI808" s="1525"/>
      <c r="KJ808" s="1525"/>
      <c r="KK808" s="1525"/>
      <c r="KL808" s="1525"/>
      <c r="KM808" s="1525"/>
      <c r="KN808" s="1525"/>
      <c r="KO808" s="1525"/>
      <c r="KP808" s="1525"/>
      <c r="KQ808" s="1525"/>
      <c r="KR808" s="1525"/>
      <c r="KS808" s="1525"/>
      <c r="KT808" s="1525"/>
      <c r="KU808" s="1525"/>
      <c r="KV808" s="1525"/>
      <c r="KW808" s="1525"/>
      <c r="KX808" s="1525"/>
      <c r="KY808" s="1525"/>
      <c r="KZ808" s="1525"/>
      <c r="LA808" s="1525"/>
      <c r="LB808" s="1525"/>
      <c r="LC808" s="1525"/>
      <c r="LD808" s="1525"/>
      <c r="LE808" s="1525"/>
      <c r="LF808" s="1525"/>
    </row>
    <row r="809" spans="1:318" s="1154" customFormat="1" ht="408.75" customHeight="1">
      <c r="A809" s="1749" t="str">
        <f>'Part VI-Revenues &amp; Expenses'!A249</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809" s="1749"/>
      <c r="C809" s="1749"/>
      <c r="D809" s="1749"/>
      <c r="E809" s="1749"/>
      <c r="F809" s="1749"/>
      <c r="G809" s="1749"/>
      <c r="H809" s="1749"/>
      <c r="I809" s="1749"/>
      <c r="J809" s="1749"/>
      <c r="K809" s="1749"/>
      <c r="L809" s="1749"/>
      <c r="M809" s="1749">
        <f>'Part VI-Revenues &amp; Expenses'!M249</f>
        <v>0</v>
      </c>
      <c r="N809" s="1749"/>
      <c r="O809" s="1749"/>
      <c r="P809" s="1749"/>
      <c r="Q809" s="1750" t="s">
        <v>3417</v>
      </c>
      <c r="R809" s="1750"/>
      <c r="S809" s="1750"/>
      <c r="T809" s="1750"/>
      <c r="JV809" s="1525"/>
      <c r="KA809" s="1525"/>
      <c r="KB809" s="1525"/>
      <c r="KC809" s="1525"/>
      <c r="KD809" s="1525"/>
      <c r="KE809" s="1525"/>
      <c r="KF809" s="1525"/>
      <c r="KG809" s="1525"/>
      <c r="KH809" s="1525"/>
      <c r="KI809" s="1525"/>
      <c r="KJ809" s="1525"/>
      <c r="KK809" s="1525"/>
      <c r="KL809" s="1525"/>
      <c r="KM809" s="1525"/>
      <c r="KN809" s="1525"/>
      <c r="KO809" s="1525"/>
      <c r="KP809" s="1525"/>
      <c r="KQ809" s="1525"/>
      <c r="KR809" s="1525"/>
      <c r="KS809" s="1525"/>
      <c r="KT809" s="1525"/>
      <c r="KU809" s="1525"/>
      <c r="KV809" s="1525"/>
      <c r="KW809" s="1525"/>
      <c r="KX809" s="1525"/>
      <c r="KY809" s="1525"/>
      <c r="KZ809" s="1525"/>
      <c r="LA809" s="1525"/>
      <c r="LB809" s="1525"/>
      <c r="LC809" s="1525"/>
      <c r="LD809" s="1525"/>
      <c r="LE809" s="1525"/>
      <c r="LF809" s="1525"/>
    </row>
    <row r="811" spans="1:318" ht="14.1" customHeight="1">
      <c r="A811" s="1536" t="str">
        <f>CONCATENATE("PART SEVEN - OPERATING PRO FORMA","  -  ",'Part I-Project Information'!$O$6," ",'Part I-Project Information'!$F$34,", ",'Part I-Project Information'!F848,", ",'Part I-Project Information'!J849," County")</f>
        <v>PART SEVEN - OPERATING PRO FORMA  -   , ,  County</v>
      </c>
      <c r="B811" s="1596"/>
      <c r="C811" s="1596"/>
      <c r="D811" s="1596"/>
      <c r="E811" s="1596"/>
      <c r="F811" s="1596"/>
      <c r="G811" s="1596"/>
      <c r="H811" s="1596"/>
      <c r="I811" s="1596"/>
      <c r="J811" s="1596"/>
      <c r="K811" s="1596"/>
      <c r="L811" s="1536"/>
      <c r="M811" s="1536"/>
      <c r="N811" s="1536" t="str">
        <f>A811</f>
        <v>PART SEVEN - OPERATING PRO FORMA  -   , ,  County</v>
      </c>
      <c r="O811" s="1536"/>
      <c r="P811" s="1536"/>
    </row>
    <row r="812" spans="1:318" ht="13.5" customHeight="1">
      <c r="A812" s="1596"/>
      <c r="B812" s="1596"/>
      <c r="C812" s="1596"/>
      <c r="D812" s="1596"/>
      <c r="E812" s="1596"/>
      <c r="F812" s="1596"/>
      <c r="G812" s="1596"/>
      <c r="H812" s="1596"/>
      <c r="I812" s="1596"/>
      <c r="J812" s="1596"/>
      <c r="K812" s="1596"/>
      <c r="N812" s="1596" t="s">
        <v>1661</v>
      </c>
      <c r="O812" s="1596"/>
    </row>
    <row r="813" spans="1:318" ht="13.5" customHeight="1">
      <c r="A813" s="838" t="s">
        <v>85</v>
      </c>
      <c r="C813" s="1596"/>
      <c r="D813" s="838" t="s">
        <v>75</v>
      </c>
      <c r="E813" s="1537"/>
      <c r="F813" s="1532" t="s">
        <v>3718</v>
      </c>
      <c r="N813" s="838" t="str">
        <f>A813</f>
        <v>I.  OPERATING ASSUMPTIONS</v>
      </c>
      <c r="O813" s="1596"/>
    </row>
    <row r="814" spans="1:318" ht="2.4500000000000002" customHeight="1">
      <c r="C814" s="1596"/>
    </row>
    <row r="815" spans="1:318" ht="13.5" customHeight="1">
      <c r="A815" s="838" t="s">
        <v>1951</v>
      </c>
      <c r="B815" s="1751">
        <v>0.02</v>
      </c>
      <c r="C815" s="1596"/>
      <c r="D815" s="1614" t="s">
        <v>3750</v>
      </c>
      <c r="E815" s="1614"/>
      <c r="F815" s="1614"/>
      <c r="G815" s="1752">
        <f>'Part VII-Pro Forma'!G5</f>
        <v>0</v>
      </c>
      <c r="H815" s="1753" t="s">
        <v>1715</v>
      </c>
      <c r="K815" s="1754" t="e">
        <f>IF(($B$14+$B$15+$B$16+$B$17)=0,"",B840/($B$14+$B$15+$B$16+$B$17))</f>
        <v>#VALUE!</v>
      </c>
      <c r="N815" s="1614"/>
      <c r="O815" s="1614"/>
    </row>
    <row r="816" spans="1:318">
      <c r="A816" s="838" t="s">
        <v>1952</v>
      </c>
      <c r="B816" s="1751">
        <v>0.03</v>
      </c>
      <c r="C816" s="1596"/>
      <c r="D816" s="1614"/>
      <c r="E816" s="1614"/>
      <c r="F816" s="1614"/>
      <c r="G816" s="1755">
        <f>IF(OR('Part III-Sources of Funds'!E815="Yes",'Part III-Sources of Funds'!H815&gt;0),'DCA Underwriting Assumptions'!$Q$96,0)</f>
        <v>0</v>
      </c>
      <c r="N816" s="1614"/>
      <c r="O816" s="1614"/>
    </row>
    <row r="817" spans="1:19">
      <c r="A817" s="838" t="s">
        <v>1954</v>
      </c>
      <c r="B817" s="1751">
        <v>0.03</v>
      </c>
      <c r="C817" s="1596"/>
      <c r="D817" s="1536" t="s">
        <v>249</v>
      </c>
      <c r="G817" s="1756"/>
      <c r="H817" s="1753" t="s">
        <v>2109</v>
      </c>
      <c r="K817" s="1754" t="e">
        <f>IF(($B$14+$B$15+$B$16+$B$17)=0,"",-B831/($B$14+$B$15+$B$16+$B$17))</f>
        <v>#VALUE!</v>
      </c>
      <c r="N817" s="1614"/>
      <c r="O817" s="1614"/>
    </row>
    <row r="818" spans="1:19" ht="13.35" customHeight="1">
      <c r="A818" s="838" t="s">
        <v>1953</v>
      </c>
      <c r="B818" s="1751">
        <f>'Part VII-Pro Forma'!B8</f>
        <v>7.0000000000000007E-2</v>
      </c>
      <c r="C818" s="1530" t="str">
        <f>IF(B818&lt;0.07, "Must be &gt;= 7%!","")</f>
        <v/>
      </c>
      <c r="D818" s="1536" t="s">
        <v>2222</v>
      </c>
      <c r="G818" s="1757">
        <f>'Part VII-Pro Forma'!G8</f>
        <v>0</v>
      </c>
      <c r="H818" s="1758" t="s">
        <v>1326</v>
      </c>
      <c r="K818" s="1759">
        <f>'Part VII-Pro Forma'!K8</f>
        <v>0</v>
      </c>
      <c r="N818" s="1614"/>
      <c r="O818" s="1614"/>
    </row>
    <row r="819" spans="1:19">
      <c r="A819" s="838" t="s">
        <v>1304</v>
      </c>
      <c r="B819" s="1751">
        <v>0.02</v>
      </c>
      <c r="D819" s="1536" t="s">
        <v>1549</v>
      </c>
      <c r="G819" s="1757">
        <f>'Part VII-Pro Forma'!G9</f>
        <v>0</v>
      </c>
      <c r="H819" s="1758" t="s">
        <v>2094</v>
      </c>
      <c r="K819" s="1760">
        <f>'Part VII-Pro Forma'!K9</f>
        <v>0</v>
      </c>
      <c r="N819" s="1614"/>
      <c r="O819" s="1614"/>
    </row>
    <row r="820" spans="1:19" ht="9" customHeight="1"/>
    <row r="821" spans="1:19">
      <c r="A821" s="838" t="s">
        <v>86</v>
      </c>
      <c r="D821" s="1761"/>
      <c r="N821" s="838" t="str">
        <f>A821</f>
        <v>II.  OPERATING PRO FORMA</v>
      </c>
    </row>
    <row r="822" spans="1:19" ht="2.4500000000000002" customHeight="1"/>
    <row r="823" spans="1:19" ht="14.45" customHeight="1">
      <c r="A823" s="838" t="s">
        <v>2199</v>
      </c>
      <c r="B823" s="838">
        <v>1</v>
      </c>
      <c r="C823" s="838">
        <f t="shared" ref="C823:K823" si="369">B823+1</f>
        <v>2</v>
      </c>
      <c r="D823" s="838">
        <f t="shared" si="369"/>
        <v>3</v>
      </c>
      <c r="E823" s="838">
        <f t="shared" si="369"/>
        <v>4</v>
      </c>
      <c r="F823" s="838">
        <f t="shared" si="369"/>
        <v>5</v>
      </c>
      <c r="G823" s="838">
        <f t="shared" si="369"/>
        <v>6</v>
      </c>
      <c r="H823" s="838">
        <f t="shared" si="369"/>
        <v>7</v>
      </c>
      <c r="I823" s="838">
        <f t="shared" si="369"/>
        <v>8</v>
      </c>
      <c r="J823" s="838">
        <f t="shared" si="369"/>
        <v>9</v>
      </c>
      <c r="K823" s="838">
        <f t="shared" si="369"/>
        <v>10</v>
      </c>
      <c r="N823" s="1596" t="s">
        <v>2332</v>
      </c>
      <c r="O823" s="1596"/>
    </row>
    <row r="824" spans="1:19" ht="13.35" customHeight="1">
      <c r="A824" s="838" t="s">
        <v>2133</v>
      </c>
      <c r="B824" s="1762">
        <f>'Part VII-Pro Forma'!B14</f>
        <v>0</v>
      </c>
      <c r="C824" s="1762">
        <f>'Part VII-Pro Forma'!C14</f>
        <v>0</v>
      </c>
      <c r="D824" s="1762">
        <f>'Part VII-Pro Forma'!D14</f>
        <v>0</v>
      </c>
      <c r="E824" s="1762">
        <f>'Part VII-Pro Forma'!E14</f>
        <v>0</v>
      </c>
      <c r="F824" s="1762">
        <f>'Part VII-Pro Forma'!F14</f>
        <v>0</v>
      </c>
      <c r="G824" s="1762">
        <f>'Part VII-Pro Forma'!G14</f>
        <v>0</v>
      </c>
      <c r="H824" s="1762">
        <f>'Part VII-Pro Forma'!H14</f>
        <v>0</v>
      </c>
      <c r="I824" s="1762">
        <f>'Part VII-Pro Forma'!I14</f>
        <v>0</v>
      </c>
      <c r="J824" s="1762">
        <f>'Part VII-Pro Forma'!J14</f>
        <v>0</v>
      </c>
      <c r="K824" s="1762">
        <f>'Part VII-Pro Forma'!K14</f>
        <v>0</v>
      </c>
      <c r="N824" s="1614"/>
      <c r="O824" s="1614"/>
      <c r="Q824" s="1596"/>
      <c r="S824" s="1763" t="s">
        <v>3420</v>
      </c>
    </row>
    <row r="825" spans="1:19" ht="13.35" customHeight="1">
      <c r="A825" s="838" t="s">
        <v>940</v>
      </c>
      <c r="B825" s="1762">
        <f>'Part VII-Pro Forma'!B15</f>
        <v>0</v>
      </c>
      <c r="C825" s="1762">
        <f>'Part VII-Pro Forma'!C15</f>
        <v>0</v>
      </c>
      <c r="D825" s="1762">
        <f>'Part VII-Pro Forma'!D15</f>
        <v>0</v>
      </c>
      <c r="E825" s="1762">
        <f>'Part VII-Pro Forma'!E15</f>
        <v>0</v>
      </c>
      <c r="F825" s="1762">
        <f>'Part VII-Pro Forma'!F15</f>
        <v>0</v>
      </c>
      <c r="G825" s="1762">
        <f>'Part VII-Pro Forma'!G15</f>
        <v>0</v>
      </c>
      <c r="H825" s="1762">
        <f>'Part VII-Pro Forma'!H15</f>
        <v>0</v>
      </c>
      <c r="I825" s="1762">
        <f>'Part VII-Pro Forma'!I15</f>
        <v>0</v>
      </c>
      <c r="J825" s="1762">
        <f>'Part VII-Pro Forma'!J15</f>
        <v>0</v>
      </c>
      <c r="K825" s="1762">
        <f>'Part VII-Pro Forma'!K15</f>
        <v>0</v>
      </c>
      <c r="N825" s="1614"/>
      <c r="O825" s="1614"/>
      <c r="Q825" s="1596"/>
      <c r="S825" s="1763"/>
    </row>
    <row r="826" spans="1:19" ht="13.35" customHeight="1">
      <c r="A826" s="838" t="s">
        <v>2134</v>
      </c>
      <c r="B826" s="1762">
        <f>'Part VII-Pro Forma'!B16</f>
        <v>0</v>
      </c>
      <c r="C826" s="1762">
        <f>'Part VII-Pro Forma'!C16</f>
        <v>0</v>
      </c>
      <c r="D826" s="1762">
        <f>'Part VII-Pro Forma'!D16</f>
        <v>0</v>
      </c>
      <c r="E826" s="1762">
        <f>'Part VII-Pro Forma'!E16</f>
        <v>0</v>
      </c>
      <c r="F826" s="1762">
        <f>'Part VII-Pro Forma'!F16</f>
        <v>0</v>
      </c>
      <c r="G826" s="1762">
        <f>'Part VII-Pro Forma'!G16</f>
        <v>0</v>
      </c>
      <c r="H826" s="1762">
        <f>'Part VII-Pro Forma'!H16</f>
        <v>0</v>
      </c>
      <c r="I826" s="1762">
        <f>'Part VII-Pro Forma'!I16</f>
        <v>0</v>
      </c>
      <c r="J826" s="1762">
        <f>'Part VII-Pro Forma'!J16</f>
        <v>0</v>
      </c>
      <c r="K826" s="1762">
        <f>'Part VII-Pro Forma'!K16</f>
        <v>0</v>
      </c>
      <c r="N826" s="1614"/>
      <c r="O826" s="1614"/>
      <c r="P826" s="1596"/>
      <c r="Q826" s="1763" t="s">
        <v>3421</v>
      </c>
      <c r="R826" s="1763" t="s">
        <v>3422</v>
      </c>
      <c r="S826" s="1763"/>
    </row>
    <row r="827" spans="1:19" ht="13.35" customHeight="1">
      <c r="A827" s="838" t="s">
        <v>47</v>
      </c>
      <c r="B827" s="1762">
        <f>'Part VII-Pro Forma'!B17</f>
        <v>0</v>
      </c>
      <c r="C827" s="1762">
        <f>'Part VII-Pro Forma'!C17</f>
        <v>0</v>
      </c>
      <c r="D827" s="1762">
        <f>'Part VII-Pro Forma'!D17</f>
        <v>0</v>
      </c>
      <c r="E827" s="1762">
        <f>'Part VII-Pro Forma'!E17</f>
        <v>0</v>
      </c>
      <c r="F827" s="1762">
        <f>'Part VII-Pro Forma'!F17</f>
        <v>0</v>
      </c>
      <c r="G827" s="1762">
        <f>'Part VII-Pro Forma'!G17</f>
        <v>0</v>
      </c>
      <c r="H827" s="1762">
        <f>'Part VII-Pro Forma'!H17</f>
        <v>0</v>
      </c>
      <c r="I827" s="1762">
        <f>'Part VII-Pro Forma'!I17</f>
        <v>0</v>
      </c>
      <c r="J827" s="1762">
        <f>'Part VII-Pro Forma'!J17</f>
        <v>0</v>
      </c>
      <c r="K827" s="1762">
        <f>'Part VII-Pro Forma'!K17</f>
        <v>0</v>
      </c>
      <c r="N827" s="1614"/>
      <c r="O827" s="1614"/>
      <c r="P827" s="1596"/>
      <c r="Q827" s="1763"/>
      <c r="R827" s="1763"/>
      <c r="S827" s="1763"/>
    </row>
    <row r="828" spans="1:19" ht="13.35" customHeight="1">
      <c r="A828" s="838" t="s">
        <v>48</v>
      </c>
      <c r="B828" s="1762">
        <f>'Part VII-Pro Forma'!B18</f>
        <v>0</v>
      </c>
      <c r="C828" s="1762">
        <f>'Part VII-Pro Forma'!C18</f>
        <v>0</v>
      </c>
      <c r="D828" s="1762">
        <f>'Part VII-Pro Forma'!D18</f>
        <v>0</v>
      </c>
      <c r="E828" s="1762">
        <f>'Part VII-Pro Forma'!E18</f>
        <v>0</v>
      </c>
      <c r="F828" s="1762">
        <f>'Part VII-Pro Forma'!F18</f>
        <v>0</v>
      </c>
      <c r="G828" s="1762">
        <f>'Part VII-Pro Forma'!G18</f>
        <v>0</v>
      </c>
      <c r="H828" s="1762">
        <f>'Part VII-Pro Forma'!H18</f>
        <v>0</v>
      </c>
      <c r="I828" s="1762">
        <f>'Part VII-Pro Forma'!I18</f>
        <v>0</v>
      </c>
      <c r="J828" s="1762">
        <f>'Part VII-Pro Forma'!J18</f>
        <v>0</v>
      </c>
      <c r="K828" s="1762">
        <f>'Part VII-Pro Forma'!K18</f>
        <v>0</v>
      </c>
      <c r="N828" s="1614"/>
      <c r="O828" s="1614"/>
    </row>
    <row r="829" spans="1:19" ht="13.35" customHeight="1">
      <c r="A829" s="838" t="s">
        <v>3423</v>
      </c>
      <c r="B829" s="1762">
        <f>SUM(B824:B828)</f>
        <v>0</v>
      </c>
      <c r="C829" s="1762">
        <f t="shared" ref="C829:K829" si="370">SUM(C824:C828)</f>
        <v>0</v>
      </c>
      <c r="D829" s="1762">
        <f t="shared" si="370"/>
        <v>0</v>
      </c>
      <c r="E829" s="1762">
        <f t="shared" si="370"/>
        <v>0</v>
      </c>
      <c r="F829" s="1762">
        <f t="shared" si="370"/>
        <v>0</v>
      </c>
      <c r="G829" s="1762">
        <f t="shared" si="370"/>
        <v>0</v>
      </c>
      <c r="H829" s="1762">
        <f t="shared" si="370"/>
        <v>0</v>
      </c>
      <c r="I829" s="1762">
        <f t="shared" si="370"/>
        <v>0</v>
      </c>
      <c r="J829" s="1762">
        <f t="shared" si="370"/>
        <v>0</v>
      </c>
      <c r="K829" s="1762">
        <f t="shared" si="370"/>
        <v>0</v>
      </c>
      <c r="N829" s="1614"/>
      <c r="O829" s="1614"/>
    </row>
    <row r="830" spans="1:19" ht="13.35" customHeight="1">
      <c r="A830" s="838" t="s">
        <v>571</v>
      </c>
      <c r="B830" s="1762">
        <f>'Part VII-Pro Forma'!B20</f>
        <v>0</v>
      </c>
      <c r="C830" s="1762">
        <f>'Part VII-Pro Forma'!C20</f>
        <v>0</v>
      </c>
      <c r="D830" s="1762">
        <f>'Part VII-Pro Forma'!D20</f>
        <v>0</v>
      </c>
      <c r="E830" s="1762">
        <f>'Part VII-Pro Forma'!E20</f>
        <v>0</v>
      </c>
      <c r="F830" s="1762">
        <f>'Part VII-Pro Forma'!F20</f>
        <v>0</v>
      </c>
      <c r="G830" s="1762">
        <f>'Part VII-Pro Forma'!G20</f>
        <v>0</v>
      </c>
      <c r="H830" s="1762">
        <f>'Part VII-Pro Forma'!H20</f>
        <v>0</v>
      </c>
      <c r="I830" s="1762">
        <f>'Part VII-Pro Forma'!I20</f>
        <v>0</v>
      </c>
      <c r="J830" s="1762">
        <f>'Part VII-Pro Forma'!J20</f>
        <v>0</v>
      </c>
      <c r="K830" s="1762">
        <f>'Part VII-Pro Forma'!K20</f>
        <v>0</v>
      </c>
      <c r="N830" s="1614"/>
      <c r="O830" s="1614"/>
      <c r="Q830" s="1764">
        <v>1</v>
      </c>
      <c r="R830" s="1765">
        <f>-B841</f>
        <v>0</v>
      </c>
      <c r="S830" s="1765">
        <f>B842+R830</f>
        <v>0</v>
      </c>
    </row>
    <row r="831" spans="1:19" ht="13.35" customHeight="1">
      <c r="A831" s="838" t="s">
        <v>1035</v>
      </c>
      <c r="B831" s="1762" t="str">
        <f>'Part VII-Pro Forma'!B21</f>
        <v>Choose mgt fee</v>
      </c>
      <c r="C831" s="1762" t="str">
        <f>'Part VII-Pro Forma'!C21</f>
        <v>Choose mgt fee</v>
      </c>
      <c r="D831" s="1762" t="str">
        <f>'Part VII-Pro Forma'!D21</f>
        <v>Choose mgt fee</v>
      </c>
      <c r="E831" s="1762" t="str">
        <f>'Part VII-Pro Forma'!E21</f>
        <v>Choose mgt fee</v>
      </c>
      <c r="F831" s="1762" t="str">
        <f>'Part VII-Pro Forma'!F21</f>
        <v>Choose mgt fee</v>
      </c>
      <c r="G831" s="1762" t="str">
        <f>'Part VII-Pro Forma'!G21</f>
        <v>Choose mgt fee</v>
      </c>
      <c r="H831" s="1762" t="str">
        <f>'Part VII-Pro Forma'!H21</f>
        <v>Choose mgt fee</v>
      </c>
      <c r="I831" s="1762" t="str">
        <f>'Part VII-Pro Forma'!I21</f>
        <v>Choose mgt fee</v>
      </c>
      <c r="J831" s="1762" t="str">
        <f>'Part VII-Pro Forma'!J21</f>
        <v>Choose mgt fee</v>
      </c>
      <c r="K831" s="1762" t="str">
        <f>'Part VII-Pro Forma'!K21</f>
        <v>Choose mgt fee</v>
      </c>
      <c r="N831" s="1614"/>
      <c r="O831" s="1614"/>
      <c r="Q831" s="1764">
        <v>2</v>
      </c>
      <c r="R831" s="1765">
        <f>-SUM(B841:C841)</f>
        <v>0</v>
      </c>
      <c r="S831" s="1765">
        <f>SUM(B842:C842)+R831</f>
        <v>0</v>
      </c>
    </row>
    <row r="832" spans="1:19" ht="13.35" customHeight="1">
      <c r="A832" s="838" t="s">
        <v>1110</v>
      </c>
      <c r="B832" s="1762">
        <f>'Part VII-Pro Forma'!B22</f>
        <v>0</v>
      </c>
      <c r="C832" s="1762">
        <f>'Part VII-Pro Forma'!C22</f>
        <v>0</v>
      </c>
      <c r="D832" s="1762">
        <f>'Part VII-Pro Forma'!D22</f>
        <v>0</v>
      </c>
      <c r="E832" s="1762">
        <f>'Part VII-Pro Forma'!E22</f>
        <v>0</v>
      </c>
      <c r="F832" s="1762">
        <f>'Part VII-Pro Forma'!F22</f>
        <v>0</v>
      </c>
      <c r="G832" s="1762">
        <f>'Part VII-Pro Forma'!G22</f>
        <v>0</v>
      </c>
      <c r="H832" s="1762">
        <f>'Part VII-Pro Forma'!H22</f>
        <v>0</v>
      </c>
      <c r="I832" s="1762">
        <f>'Part VII-Pro Forma'!I22</f>
        <v>0</v>
      </c>
      <c r="J832" s="1762">
        <f>'Part VII-Pro Forma'!J22</f>
        <v>0</v>
      </c>
      <c r="K832" s="1762">
        <f>'Part VII-Pro Forma'!K22</f>
        <v>0</v>
      </c>
      <c r="N832" s="1614"/>
      <c r="O832" s="1614"/>
      <c r="Q832" s="1764">
        <v>3</v>
      </c>
      <c r="R832" s="1765">
        <f>-SUM(B841:D841)</f>
        <v>0</v>
      </c>
      <c r="S832" s="1765">
        <f>SUM(B842:D842)+R832</f>
        <v>0</v>
      </c>
    </row>
    <row r="833" spans="1:19" ht="13.35" customHeight="1">
      <c r="A833" s="838" t="s">
        <v>3424</v>
      </c>
      <c r="B833" s="1762">
        <f>'Part VII-Pro Forma'!B23</f>
        <v>0</v>
      </c>
      <c r="C833" s="1762">
        <f>'Part VII-Pro Forma'!C23</f>
        <v>0</v>
      </c>
      <c r="D833" s="1762">
        <f>'Part VII-Pro Forma'!D23</f>
        <v>0</v>
      </c>
      <c r="E833" s="1762">
        <f>'Part VII-Pro Forma'!E23</f>
        <v>0</v>
      </c>
      <c r="F833" s="1762">
        <f>'Part VII-Pro Forma'!F23</f>
        <v>0</v>
      </c>
      <c r="G833" s="1762">
        <f>'Part VII-Pro Forma'!G23</f>
        <v>0</v>
      </c>
      <c r="H833" s="1762">
        <f>'Part VII-Pro Forma'!H23</f>
        <v>0</v>
      </c>
      <c r="I833" s="1762">
        <f>'Part VII-Pro Forma'!I23</f>
        <v>0</v>
      </c>
      <c r="J833" s="1762">
        <f>'Part VII-Pro Forma'!J23</f>
        <v>0</v>
      </c>
      <c r="K833" s="1762">
        <f>'Part VII-Pro Forma'!K23</f>
        <v>0</v>
      </c>
      <c r="N833" s="1614"/>
      <c r="O833" s="1614"/>
      <c r="Q833" s="1764">
        <v>4</v>
      </c>
      <c r="R833" s="1765">
        <f>-SUM(B841:E841)</f>
        <v>0</v>
      </c>
      <c r="S833" s="1765">
        <f>SUM(B842:E842)+R833</f>
        <v>0</v>
      </c>
    </row>
    <row r="834" spans="1:19" ht="13.35" customHeight="1">
      <c r="A834" s="838" t="s">
        <v>1111</v>
      </c>
      <c r="B834" s="1762">
        <f>SUM(B829:B833)</f>
        <v>0</v>
      </c>
      <c r="C834" s="1762">
        <f t="shared" ref="C834:J834" si="371">SUM(C829:C833)</f>
        <v>0</v>
      </c>
      <c r="D834" s="1762">
        <f t="shared" si="371"/>
        <v>0</v>
      </c>
      <c r="E834" s="1762">
        <f t="shared" si="371"/>
        <v>0</v>
      </c>
      <c r="F834" s="1762">
        <f t="shared" si="371"/>
        <v>0</v>
      </c>
      <c r="G834" s="1762">
        <f t="shared" si="371"/>
        <v>0</v>
      </c>
      <c r="H834" s="1762">
        <f t="shared" si="371"/>
        <v>0</v>
      </c>
      <c r="I834" s="1762">
        <f t="shared" si="371"/>
        <v>0</v>
      </c>
      <c r="J834" s="1762">
        <f t="shared" si="371"/>
        <v>0</v>
      </c>
      <c r="K834" s="1762">
        <f>SUM(K829:K833)</f>
        <v>0</v>
      </c>
      <c r="N834" s="1614"/>
      <c r="O834" s="1614"/>
      <c r="Q834" s="1764">
        <v>5</v>
      </c>
      <c r="R834" s="1765">
        <f>-SUM(B841:F841)</f>
        <v>0</v>
      </c>
      <c r="S834" s="1765">
        <f>SUM(B842:F842)+R834</f>
        <v>0</v>
      </c>
    </row>
    <row r="835" spans="1:19" ht="13.35" customHeight="1">
      <c r="A835" s="838" t="s">
        <v>1444</v>
      </c>
      <c r="B835" s="1762">
        <f>'Part VII-Pro Forma'!B25</f>
        <v>0</v>
      </c>
      <c r="C835" s="1762">
        <f>'Part VII-Pro Forma'!C25</f>
        <v>0</v>
      </c>
      <c r="D835" s="1762">
        <f>'Part VII-Pro Forma'!D25</f>
        <v>0</v>
      </c>
      <c r="E835" s="1762">
        <f>'Part VII-Pro Forma'!E25</f>
        <v>0</v>
      </c>
      <c r="F835" s="1762">
        <f>'Part VII-Pro Forma'!F25</f>
        <v>0</v>
      </c>
      <c r="G835" s="1762">
        <f>'Part VII-Pro Forma'!G25</f>
        <v>0</v>
      </c>
      <c r="H835" s="1762">
        <f>'Part VII-Pro Forma'!H25</f>
        <v>0</v>
      </c>
      <c r="I835" s="1762">
        <f>'Part VII-Pro Forma'!I25</f>
        <v>0</v>
      </c>
      <c r="J835" s="1762">
        <f>'Part VII-Pro Forma'!J25</f>
        <v>0</v>
      </c>
      <c r="K835" s="1762">
        <f>'Part VII-Pro Forma'!K25</f>
        <v>0</v>
      </c>
      <c r="N835" s="1614"/>
      <c r="O835" s="1614"/>
      <c r="Q835" s="1764">
        <v>6</v>
      </c>
      <c r="R835" s="1765">
        <f>-SUM(B841:G841)</f>
        <v>0</v>
      </c>
      <c r="S835" s="1765">
        <f>SUM(B842:G842)+R835</f>
        <v>0</v>
      </c>
    </row>
    <row r="836" spans="1:19" ht="13.35" customHeight="1">
      <c r="A836" s="838" t="s">
        <v>1445</v>
      </c>
      <c r="B836" s="1762">
        <f>'Part VII-Pro Forma'!B26</f>
        <v>0</v>
      </c>
      <c r="C836" s="1762">
        <f>'Part VII-Pro Forma'!C26</f>
        <v>0</v>
      </c>
      <c r="D836" s="1762">
        <f>'Part VII-Pro Forma'!D26</f>
        <v>0</v>
      </c>
      <c r="E836" s="1762">
        <f>'Part VII-Pro Forma'!E26</f>
        <v>0</v>
      </c>
      <c r="F836" s="1762">
        <f>'Part VII-Pro Forma'!F26</f>
        <v>0</v>
      </c>
      <c r="G836" s="1762">
        <f>'Part VII-Pro Forma'!G26</f>
        <v>0</v>
      </c>
      <c r="H836" s="1762">
        <f>'Part VII-Pro Forma'!H26</f>
        <v>0</v>
      </c>
      <c r="I836" s="1762">
        <f>'Part VII-Pro Forma'!I26</f>
        <v>0</v>
      </c>
      <c r="J836" s="1762">
        <f>'Part VII-Pro Forma'!J26</f>
        <v>0</v>
      </c>
      <c r="K836" s="1762">
        <f>'Part VII-Pro Forma'!K26</f>
        <v>0</v>
      </c>
      <c r="N836" s="1614"/>
      <c r="O836" s="1614"/>
      <c r="Q836" s="1764">
        <v>7</v>
      </c>
      <c r="R836" s="1765">
        <f>-SUM(B841:H841)</f>
        <v>0</v>
      </c>
      <c r="S836" s="1765">
        <f>SUM(B842:H842)+R836</f>
        <v>0</v>
      </c>
    </row>
    <row r="837" spans="1:19" ht="13.35" customHeight="1">
      <c r="A837" s="838" t="s">
        <v>1446</v>
      </c>
      <c r="B837" s="1762">
        <f>'Part VII-Pro Forma'!B27</f>
        <v>0</v>
      </c>
      <c r="C837" s="1762">
        <f>'Part VII-Pro Forma'!C27</f>
        <v>0</v>
      </c>
      <c r="D837" s="1762">
        <f>'Part VII-Pro Forma'!D27</f>
        <v>0</v>
      </c>
      <c r="E837" s="1762">
        <f>'Part VII-Pro Forma'!E27</f>
        <v>0</v>
      </c>
      <c r="F837" s="1762">
        <f>'Part VII-Pro Forma'!F27</f>
        <v>0</v>
      </c>
      <c r="G837" s="1762">
        <f>'Part VII-Pro Forma'!G27</f>
        <v>0</v>
      </c>
      <c r="H837" s="1762">
        <f>'Part VII-Pro Forma'!H27</f>
        <v>0</v>
      </c>
      <c r="I837" s="1762">
        <f>'Part VII-Pro Forma'!I27</f>
        <v>0</v>
      </c>
      <c r="J837" s="1762">
        <f>'Part VII-Pro Forma'!J27</f>
        <v>0</v>
      </c>
      <c r="K837" s="1762">
        <f>'Part VII-Pro Forma'!K27</f>
        <v>0</v>
      </c>
      <c r="N837" s="1614"/>
      <c r="O837" s="1614"/>
      <c r="Q837" s="1764">
        <v>8</v>
      </c>
      <c r="R837" s="1765">
        <f>-SUM(B841:I841)</f>
        <v>0</v>
      </c>
      <c r="S837" s="1765">
        <f>SUM(B842:I842)+R837</f>
        <v>0</v>
      </c>
    </row>
    <row r="838" spans="1:19" ht="13.35" customHeight="1">
      <c r="A838" s="838" t="s">
        <v>3425</v>
      </c>
      <c r="B838" s="1762">
        <f>'Part VII-Pro Forma'!B28</f>
        <v>0</v>
      </c>
      <c r="C838" s="1762">
        <f>'Part VII-Pro Forma'!C28</f>
        <v>0</v>
      </c>
      <c r="D838" s="1762">
        <f>'Part VII-Pro Forma'!D28</f>
        <v>0</v>
      </c>
      <c r="E838" s="1762">
        <f>'Part VII-Pro Forma'!E28</f>
        <v>0</v>
      </c>
      <c r="F838" s="1762">
        <f>'Part VII-Pro Forma'!F28</f>
        <v>0</v>
      </c>
      <c r="G838" s="1762">
        <f>'Part VII-Pro Forma'!G28</f>
        <v>0</v>
      </c>
      <c r="H838" s="1762">
        <f>'Part VII-Pro Forma'!H28</f>
        <v>0</v>
      </c>
      <c r="I838" s="1762">
        <f>'Part VII-Pro Forma'!I28</f>
        <v>0</v>
      </c>
      <c r="J838" s="1762">
        <f>'Part VII-Pro Forma'!J28</f>
        <v>0</v>
      </c>
      <c r="K838" s="1762">
        <f>'Part VII-Pro Forma'!K28</f>
        <v>0</v>
      </c>
      <c r="N838" s="1614"/>
      <c r="O838" s="1614"/>
      <c r="Q838" s="1764">
        <v>9</v>
      </c>
      <c r="R838" s="1765">
        <f>-SUM(B841:J841)</f>
        <v>0</v>
      </c>
      <c r="S838" s="1765">
        <f>SUM(B842:J842)+R838</f>
        <v>0</v>
      </c>
    </row>
    <row r="839" spans="1:19" ht="13.35" customHeight="1">
      <c r="A839" s="838" t="s">
        <v>706</v>
      </c>
      <c r="B839" s="1762">
        <f>'Part VII-Pro Forma'!B29</f>
        <v>0</v>
      </c>
      <c r="C839" s="1762">
        <f>'Part VII-Pro Forma'!C29</f>
        <v>0</v>
      </c>
      <c r="D839" s="1762">
        <f>'Part VII-Pro Forma'!D29</f>
        <v>0</v>
      </c>
      <c r="E839" s="1762">
        <f>'Part VII-Pro Forma'!E29</f>
        <v>0</v>
      </c>
      <c r="F839" s="1762">
        <f>'Part VII-Pro Forma'!F29</f>
        <v>0</v>
      </c>
      <c r="G839" s="1762">
        <f>'Part VII-Pro Forma'!G29</f>
        <v>0</v>
      </c>
      <c r="H839" s="1762">
        <f>'Part VII-Pro Forma'!H29</f>
        <v>0</v>
      </c>
      <c r="I839" s="1762">
        <f>'Part VII-Pro Forma'!I29</f>
        <v>0</v>
      </c>
      <c r="J839" s="1762">
        <f>'Part VII-Pro Forma'!J29</f>
        <v>0</v>
      </c>
      <c r="K839" s="1762">
        <f>'Part VII-Pro Forma'!K29</f>
        <v>0</v>
      </c>
      <c r="N839" s="1614"/>
      <c r="O839" s="1614"/>
      <c r="Q839" s="1764">
        <v>10</v>
      </c>
      <c r="R839" s="1765">
        <f>-SUM(B841:K841)</f>
        <v>0</v>
      </c>
      <c r="S839" s="1765">
        <f>SUM(B842:K842)+R839</f>
        <v>0</v>
      </c>
    </row>
    <row r="840" spans="1:19" ht="13.35" customHeight="1">
      <c r="A840" s="838" t="s">
        <v>1079</v>
      </c>
      <c r="B840" s="1762">
        <f>'Part VII-Pro Forma'!B30</f>
        <v>0</v>
      </c>
      <c r="C840" s="1762">
        <f>'Part VII-Pro Forma'!C30</f>
        <v>0</v>
      </c>
      <c r="D840" s="1762">
        <f>'Part VII-Pro Forma'!D30</f>
        <v>0</v>
      </c>
      <c r="E840" s="1762">
        <f>'Part VII-Pro Forma'!E30</f>
        <v>0</v>
      </c>
      <c r="F840" s="1762">
        <f>'Part VII-Pro Forma'!F30</f>
        <v>0</v>
      </c>
      <c r="G840" s="1762">
        <f>'Part VII-Pro Forma'!G30</f>
        <v>0</v>
      </c>
      <c r="H840" s="1762">
        <f>'Part VII-Pro Forma'!H30</f>
        <v>0</v>
      </c>
      <c r="I840" s="1762">
        <f>'Part VII-Pro Forma'!I30</f>
        <v>0</v>
      </c>
      <c r="J840" s="1762">
        <f>'Part VII-Pro Forma'!J30</f>
        <v>0</v>
      </c>
      <c r="K840" s="1762">
        <f>'Part VII-Pro Forma'!K30</f>
        <v>0</v>
      </c>
      <c r="N840" s="1614"/>
      <c r="O840" s="1614"/>
      <c r="Q840" s="1764">
        <v>11</v>
      </c>
      <c r="R840" s="1765">
        <f>-SUM(B841:K841)-B873</f>
        <v>0</v>
      </c>
      <c r="S840" s="1765">
        <f>SUM(B842:K842)+B874+R840</f>
        <v>0</v>
      </c>
    </row>
    <row r="841" spans="1:19" ht="13.35" customHeight="1">
      <c r="A841" s="838" t="s">
        <v>1112</v>
      </c>
      <c r="B841" s="1762">
        <f>'Part VII-Pro Forma'!B31</f>
        <v>0</v>
      </c>
      <c r="C841" s="1762">
        <f>'Part VII-Pro Forma'!C31</f>
        <v>0</v>
      </c>
      <c r="D841" s="1762">
        <f>'Part VII-Pro Forma'!D31</f>
        <v>0</v>
      </c>
      <c r="E841" s="1762">
        <f>'Part VII-Pro Forma'!E31</f>
        <v>0</v>
      </c>
      <c r="F841" s="1762">
        <f>'Part VII-Pro Forma'!F31</f>
        <v>0</v>
      </c>
      <c r="G841" s="1762">
        <f>'Part VII-Pro Forma'!G31</f>
        <v>0</v>
      </c>
      <c r="H841" s="1762">
        <f>'Part VII-Pro Forma'!H31</f>
        <v>0</v>
      </c>
      <c r="I841" s="1762">
        <f>'Part VII-Pro Forma'!I31</f>
        <v>0</v>
      </c>
      <c r="J841" s="1762">
        <f>'Part VII-Pro Forma'!J31</f>
        <v>0</v>
      </c>
      <c r="K841" s="1762">
        <f>'Part VII-Pro Forma'!K31</f>
        <v>0</v>
      </c>
      <c r="N841" s="1614"/>
      <c r="O841" s="1614"/>
      <c r="Q841" s="1764">
        <v>12</v>
      </c>
      <c r="R841" s="1765">
        <f>-SUM(B841:K841) - SUM(B873:C873)</f>
        <v>0</v>
      </c>
      <c r="S841" s="1765">
        <f>SUM(B842:K842) + SUM(B874:C874)+R841</f>
        <v>0</v>
      </c>
    </row>
    <row r="842" spans="1:19" ht="13.35" customHeight="1">
      <c r="A842" s="838" t="s">
        <v>1080</v>
      </c>
      <c r="B842" s="1762">
        <f t="shared" ref="B842:K842" si="372">SUM(B834:B841)</f>
        <v>0</v>
      </c>
      <c r="C842" s="1762">
        <f t="shared" si="372"/>
        <v>0</v>
      </c>
      <c r="D842" s="1762">
        <f t="shared" si="372"/>
        <v>0</v>
      </c>
      <c r="E842" s="1762">
        <f t="shared" si="372"/>
        <v>0</v>
      </c>
      <c r="F842" s="1762">
        <f t="shared" si="372"/>
        <v>0</v>
      </c>
      <c r="G842" s="1762">
        <f t="shared" si="372"/>
        <v>0</v>
      </c>
      <c r="H842" s="1762">
        <f t="shared" si="372"/>
        <v>0</v>
      </c>
      <c r="I842" s="1762">
        <f t="shared" si="372"/>
        <v>0</v>
      </c>
      <c r="J842" s="1762">
        <f t="shared" si="372"/>
        <v>0</v>
      </c>
      <c r="K842" s="1762">
        <f t="shared" si="372"/>
        <v>0</v>
      </c>
      <c r="N842" s="1614"/>
      <c r="O842" s="1614"/>
      <c r="Q842" s="1764">
        <v>13</v>
      </c>
      <c r="R842" s="1765">
        <f>-SUM(B841:K841) - SUM(B873:D873)</f>
        <v>0</v>
      </c>
      <c r="S842" s="1765">
        <f>SUM(B842:K842) + SUM(B874:D874)+R842</f>
        <v>0</v>
      </c>
    </row>
    <row r="843" spans="1:19" ht="13.35" customHeight="1">
      <c r="A843" s="838" t="str">
        <f>IF('Part III-Sources of Funds'!$E$38 = "Neither", "", "DCR Mortgage A")</f>
        <v>DCR Mortgage A</v>
      </c>
      <c r="B843" s="1766" t="str">
        <f t="shared" ref="B843:K843" si="373">IF(B835=0,"",-B834/B835)</f>
        <v/>
      </c>
      <c r="C843" s="1766" t="str">
        <f t="shared" si="373"/>
        <v/>
      </c>
      <c r="D843" s="1766" t="str">
        <f t="shared" si="373"/>
        <v/>
      </c>
      <c r="E843" s="1766" t="str">
        <f t="shared" si="373"/>
        <v/>
      </c>
      <c r="F843" s="1766" t="str">
        <f t="shared" si="373"/>
        <v/>
      </c>
      <c r="G843" s="1766" t="str">
        <f t="shared" si="373"/>
        <v/>
      </c>
      <c r="H843" s="1766" t="str">
        <f t="shared" si="373"/>
        <v/>
      </c>
      <c r="I843" s="1766" t="str">
        <f t="shared" si="373"/>
        <v/>
      </c>
      <c r="J843" s="1766" t="str">
        <f t="shared" si="373"/>
        <v/>
      </c>
      <c r="K843" s="1766" t="str">
        <f t="shared" si="373"/>
        <v/>
      </c>
      <c r="N843" s="1614"/>
      <c r="O843" s="1614"/>
      <c r="Q843" s="1764">
        <v>14</v>
      </c>
      <c r="R843" s="1765">
        <f>-SUM(B841:K841) - SUM(B873:E873)</f>
        <v>0</v>
      </c>
      <c r="S843" s="1765">
        <f>SUM(B842:K842) + SUM(B874:E874)+R843</f>
        <v>0</v>
      </c>
    </row>
    <row r="844" spans="1:19" ht="13.35" customHeight="1">
      <c r="A844" s="838" t="str">
        <f>IF('Part III-Sources of Funds'!$E$38 = "Neither", "", "DCR Mortgage B")</f>
        <v>DCR Mortgage B</v>
      </c>
      <c r="B844" s="1766" t="str">
        <f t="shared" ref="B844:K844" si="374">IF(B836=0,"",-(B834+B835)/B836)</f>
        <v/>
      </c>
      <c r="C844" s="1766" t="str">
        <f t="shared" si="374"/>
        <v/>
      </c>
      <c r="D844" s="1766" t="str">
        <f t="shared" si="374"/>
        <v/>
      </c>
      <c r="E844" s="1766" t="str">
        <f t="shared" si="374"/>
        <v/>
      </c>
      <c r="F844" s="1766" t="str">
        <f t="shared" si="374"/>
        <v/>
      </c>
      <c r="G844" s="1766" t="str">
        <f t="shared" si="374"/>
        <v/>
      </c>
      <c r="H844" s="1766" t="str">
        <f t="shared" si="374"/>
        <v/>
      </c>
      <c r="I844" s="1766" t="str">
        <f t="shared" si="374"/>
        <v/>
      </c>
      <c r="J844" s="1766" t="str">
        <f t="shared" si="374"/>
        <v/>
      </c>
      <c r="K844" s="1766" t="str">
        <f t="shared" si="374"/>
        <v/>
      </c>
      <c r="N844" s="1614"/>
      <c r="O844" s="1614"/>
      <c r="Q844" s="1764">
        <v>15</v>
      </c>
      <c r="R844" s="1765">
        <f>-SUM(B841:K841) - SUM(B873:F873)</f>
        <v>0</v>
      </c>
      <c r="S844" s="1765">
        <f>SUM(B842:K842) + SUM(B874:F874)+R844</f>
        <v>0</v>
      </c>
    </row>
    <row r="845" spans="1:19" ht="13.35" customHeight="1">
      <c r="A845" s="838" t="str">
        <f>IF('Part III-Sources of Funds'!$E$38 = "Neither", "DCR First Mortgage", "DCR Mortgage C")</f>
        <v>DCR Mortgage C</v>
      </c>
      <c r="B845" s="1766" t="str">
        <f t="shared" ref="B845:K845" si="375">IF(B837=0,"",-(B834+B835+B836)/B837)</f>
        <v/>
      </c>
      <c r="C845" s="1766" t="str">
        <f t="shared" si="375"/>
        <v/>
      </c>
      <c r="D845" s="1766" t="str">
        <f t="shared" si="375"/>
        <v/>
      </c>
      <c r="E845" s="1766" t="str">
        <f t="shared" si="375"/>
        <v/>
      </c>
      <c r="F845" s="1766" t="str">
        <f t="shared" si="375"/>
        <v/>
      </c>
      <c r="G845" s="1766" t="str">
        <f t="shared" si="375"/>
        <v/>
      </c>
      <c r="H845" s="1766" t="str">
        <f t="shared" si="375"/>
        <v/>
      </c>
      <c r="I845" s="1766" t="str">
        <f t="shared" si="375"/>
        <v/>
      </c>
      <c r="J845" s="1766" t="str">
        <f t="shared" si="375"/>
        <v/>
      </c>
      <c r="K845" s="1766" t="str">
        <f t="shared" si="375"/>
        <v/>
      </c>
      <c r="N845" s="1614"/>
      <c r="O845" s="1614"/>
      <c r="Q845" s="1764">
        <v>16</v>
      </c>
      <c r="R845" s="1765">
        <f>-SUM(B841:K841) - SUM(B873:G873)</f>
        <v>0</v>
      </c>
      <c r="S845" s="1765">
        <f>SUM(B842:K842) + SUM(B874:G874)+R845</f>
        <v>0</v>
      </c>
    </row>
    <row r="846" spans="1:19" ht="13.35" customHeight="1">
      <c r="A846" s="838" t="s">
        <v>723</v>
      </c>
      <c r="B846" s="1766" t="str">
        <f t="shared" ref="B846:K846" si="376">IF(B838=0,"",-(B834+B835+B836+B837)/B838)</f>
        <v/>
      </c>
      <c r="C846" s="1766" t="str">
        <f t="shared" si="376"/>
        <v/>
      </c>
      <c r="D846" s="1766" t="str">
        <f t="shared" si="376"/>
        <v/>
      </c>
      <c r="E846" s="1766" t="str">
        <f t="shared" si="376"/>
        <v/>
      </c>
      <c r="F846" s="1766" t="str">
        <f t="shared" si="376"/>
        <v/>
      </c>
      <c r="G846" s="1766" t="str">
        <f t="shared" si="376"/>
        <v/>
      </c>
      <c r="H846" s="1766" t="str">
        <f t="shared" si="376"/>
        <v/>
      </c>
      <c r="I846" s="1766" t="str">
        <f t="shared" si="376"/>
        <v/>
      </c>
      <c r="J846" s="1766" t="str">
        <f t="shared" si="376"/>
        <v/>
      </c>
      <c r="K846" s="1766" t="str">
        <f t="shared" si="376"/>
        <v/>
      </c>
      <c r="N846" s="1614"/>
      <c r="O846" s="1614"/>
      <c r="Q846" s="1764">
        <v>17</v>
      </c>
      <c r="R846" s="1765">
        <f>-SUM(B841:K841) - SUM(B873:H873)</f>
        <v>0</v>
      </c>
      <c r="S846" s="1765">
        <f>SUM(B842:K842) + SUM(B874:H874)+R846</f>
        <v>0</v>
      </c>
    </row>
    <row r="847" spans="1:19" ht="13.35" customHeight="1">
      <c r="A847" s="838" t="s">
        <v>3426</v>
      </c>
      <c r="B847" s="1766" t="str">
        <f t="shared" ref="B847:K847" si="377">IF(AND(B835=0,B836=0,B837=0,B838=0),"",-B834/(B835+B836+B837+B838))</f>
        <v/>
      </c>
      <c r="C847" s="1766" t="str">
        <f t="shared" si="377"/>
        <v/>
      </c>
      <c r="D847" s="1766" t="str">
        <f t="shared" si="377"/>
        <v/>
      </c>
      <c r="E847" s="1766" t="str">
        <f t="shared" si="377"/>
        <v/>
      </c>
      <c r="F847" s="1766" t="str">
        <f t="shared" si="377"/>
        <v/>
      </c>
      <c r="G847" s="1766" t="str">
        <f t="shared" si="377"/>
        <v/>
      </c>
      <c r="H847" s="1766" t="str">
        <f t="shared" si="377"/>
        <v/>
      </c>
      <c r="I847" s="1766" t="str">
        <f t="shared" si="377"/>
        <v/>
      </c>
      <c r="J847" s="1766" t="str">
        <f t="shared" si="377"/>
        <v/>
      </c>
      <c r="K847" s="1766" t="str">
        <f t="shared" si="377"/>
        <v/>
      </c>
      <c r="N847" s="1614"/>
      <c r="O847" s="1614"/>
      <c r="Q847" s="1764">
        <v>18</v>
      </c>
      <c r="R847" s="1765">
        <f>-SUM(B841:K841) - SUM(B873:I873)</f>
        <v>0</v>
      </c>
      <c r="S847" s="1765">
        <f>SUM(B842:K842) + SUM(B874:I874)+R847</f>
        <v>0</v>
      </c>
    </row>
    <row r="848" spans="1:19" ht="13.35" customHeight="1">
      <c r="A848" s="838" t="s">
        <v>713</v>
      </c>
      <c r="B848" s="1767" t="str">
        <f t="shared" ref="B848:K848" si="378">IF(OR(B831="Choose mgt fee",B831="Choose One!"),"",(B824+B825+B826+B827+B828) / -(B830+B831+B832))</f>
        <v/>
      </c>
      <c r="C848" s="1767" t="str">
        <f t="shared" si="378"/>
        <v/>
      </c>
      <c r="D848" s="1767" t="str">
        <f t="shared" si="378"/>
        <v/>
      </c>
      <c r="E848" s="1767" t="str">
        <f t="shared" si="378"/>
        <v/>
      </c>
      <c r="F848" s="1767" t="str">
        <f t="shared" si="378"/>
        <v/>
      </c>
      <c r="G848" s="1767" t="str">
        <f t="shared" si="378"/>
        <v/>
      </c>
      <c r="H848" s="1767" t="str">
        <f t="shared" si="378"/>
        <v/>
      </c>
      <c r="I848" s="1767" t="str">
        <f t="shared" si="378"/>
        <v/>
      </c>
      <c r="J848" s="1767" t="str">
        <f t="shared" si="378"/>
        <v/>
      </c>
      <c r="K848" s="1767" t="str">
        <f t="shared" si="378"/>
        <v/>
      </c>
      <c r="N848" s="1614"/>
      <c r="O848" s="1614"/>
      <c r="Q848" s="1764">
        <v>19</v>
      </c>
      <c r="R848" s="1765">
        <f>-SUM(B841:K841) - SUM(B873:J873)</f>
        <v>0</v>
      </c>
      <c r="S848" s="1765">
        <f>SUM(B842:K842) + SUM(B874:J874)+R848</f>
        <v>0</v>
      </c>
    </row>
    <row r="849" spans="1:19" ht="13.35" customHeight="1">
      <c r="A849" s="838" t="s">
        <v>2326</v>
      </c>
      <c r="B849" s="1762" t="str">
        <f>'Part VII-Pro Forma'!B39</f>
        <v/>
      </c>
      <c r="C849" s="1762" t="str">
        <f>'Part VII-Pro Forma'!C39</f>
        <v/>
      </c>
      <c r="D849" s="1762" t="str">
        <f>'Part VII-Pro Forma'!D39</f>
        <v/>
      </c>
      <c r="E849" s="1762" t="str">
        <f>'Part VII-Pro Forma'!E39</f>
        <v/>
      </c>
      <c r="F849" s="1762" t="str">
        <f>'Part VII-Pro Forma'!F39</f>
        <v/>
      </c>
      <c r="G849" s="1762" t="str">
        <f>'Part VII-Pro Forma'!G39</f>
        <v/>
      </c>
      <c r="H849" s="1762" t="str">
        <f>'Part VII-Pro Forma'!H39</f>
        <v/>
      </c>
      <c r="I849" s="1762" t="str">
        <f>'Part VII-Pro Forma'!I39</f>
        <v/>
      </c>
      <c r="J849" s="1762" t="str">
        <f>'Part VII-Pro Forma'!J39</f>
        <v/>
      </c>
      <c r="K849" s="1762" t="str">
        <f>'Part VII-Pro Forma'!K39</f>
        <v/>
      </c>
      <c r="N849" s="1614"/>
      <c r="O849" s="1614"/>
      <c r="Q849" s="1764">
        <v>20</v>
      </c>
      <c r="R849" s="1765">
        <f>-SUM(B841:K841) - SUM(B873:K873)</f>
        <v>0</v>
      </c>
      <c r="S849" s="1765">
        <f>SUM(B842:K842) + SUM(B874:K874)+R849</f>
        <v>0</v>
      </c>
    </row>
    <row r="850" spans="1:19" ht="13.35" customHeight="1">
      <c r="A850" s="838" t="s">
        <v>2327</v>
      </c>
      <c r="B850" s="1762" t="str">
        <f>'Part VII-Pro Forma'!B40</f>
        <v/>
      </c>
      <c r="C850" s="1762" t="str">
        <f>'Part VII-Pro Forma'!C40</f>
        <v/>
      </c>
      <c r="D850" s="1762" t="str">
        <f>'Part VII-Pro Forma'!D40</f>
        <v/>
      </c>
      <c r="E850" s="1762" t="str">
        <f>'Part VII-Pro Forma'!E40</f>
        <v/>
      </c>
      <c r="F850" s="1762" t="str">
        <f>'Part VII-Pro Forma'!F40</f>
        <v/>
      </c>
      <c r="G850" s="1762" t="str">
        <f>'Part VII-Pro Forma'!G40</f>
        <v/>
      </c>
      <c r="H850" s="1762" t="str">
        <f>'Part VII-Pro Forma'!H40</f>
        <v/>
      </c>
      <c r="I850" s="1762" t="str">
        <f>'Part VII-Pro Forma'!I40</f>
        <v/>
      </c>
      <c r="J850" s="1762" t="str">
        <f>'Part VII-Pro Forma'!J40</f>
        <v/>
      </c>
      <c r="K850" s="1762" t="str">
        <f>'Part VII-Pro Forma'!K40</f>
        <v/>
      </c>
      <c r="N850" s="1614"/>
      <c r="O850" s="1614"/>
    </row>
    <row r="851" spans="1:19" ht="13.35" customHeight="1">
      <c r="A851" s="838" t="s">
        <v>2328</v>
      </c>
      <c r="B851" s="1762" t="str">
        <f>'Part VII-Pro Forma'!B41</f>
        <v/>
      </c>
      <c r="C851" s="1762" t="str">
        <f>'Part VII-Pro Forma'!C41</f>
        <v/>
      </c>
      <c r="D851" s="1762" t="str">
        <f>'Part VII-Pro Forma'!D41</f>
        <v/>
      </c>
      <c r="E851" s="1762" t="str">
        <f>'Part VII-Pro Forma'!E41</f>
        <v/>
      </c>
      <c r="F851" s="1762" t="str">
        <f>'Part VII-Pro Forma'!F41</f>
        <v/>
      </c>
      <c r="G851" s="1762" t="str">
        <f>'Part VII-Pro Forma'!G41</f>
        <v/>
      </c>
      <c r="H851" s="1762" t="str">
        <f>'Part VII-Pro Forma'!H41</f>
        <v/>
      </c>
      <c r="I851" s="1762" t="str">
        <f>'Part VII-Pro Forma'!I41</f>
        <v/>
      </c>
      <c r="J851" s="1762" t="str">
        <f>'Part VII-Pro Forma'!J41</f>
        <v/>
      </c>
      <c r="K851" s="1762" t="str">
        <f>'Part VII-Pro Forma'!K41</f>
        <v/>
      </c>
      <c r="N851" s="1614"/>
      <c r="O851" s="1614"/>
    </row>
    <row r="852" spans="1:19" ht="13.35" customHeight="1">
      <c r="A852" s="838" t="s">
        <v>724</v>
      </c>
      <c r="B852" s="1762" t="str">
        <f>'Part VII-Pro Forma'!B42</f>
        <v/>
      </c>
      <c r="C852" s="1762" t="str">
        <f>'Part VII-Pro Forma'!C42</f>
        <v/>
      </c>
      <c r="D852" s="1762" t="str">
        <f>'Part VII-Pro Forma'!D42</f>
        <v/>
      </c>
      <c r="E852" s="1762" t="str">
        <f>'Part VII-Pro Forma'!E42</f>
        <v/>
      </c>
      <c r="F852" s="1762" t="str">
        <f>'Part VII-Pro Forma'!F42</f>
        <v/>
      </c>
      <c r="G852" s="1762" t="str">
        <f>'Part VII-Pro Forma'!G42</f>
        <v/>
      </c>
      <c r="H852" s="1762" t="str">
        <f>'Part VII-Pro Forma'!H42</f>
        <v/>
      </c>
      <c r="I852" s="1762" t="str">
        <f>'Part VII-Pro Forma'!I42</f>
        <v/>
      </c>
      <c r="J852" s="1762" t="str">
        <f>'Part VII-Pro Forma'!J42</f>
        <v/>
      </c>
      <c r="K852" s="1762" t="str">
        <f>'Part VII-Pro Forma'!K42</f>
        <v/>
      </c>
      <c r="N852" s="1614"/>
      <c r="O852" s="1614"/>
    </row>
    <row r="853" spans="1:19" ht="13.35" customHeight="1">
      <c r="A853" s="838" t="s">
        <v>1145</v>
      </c>
      <c r="B853" s="1762" t="str">
        <f>'Part VII-Pro Forma'!B43</f>
        <v/>
      </c>
      <c r="C853" s="1762" t="str">
        <f>'Part VII-Pro Forma'!C43</f>
        <v/>
      </c>
      <c r="D853" s="1762" t="str">
        <f>'Part VII-Pro Forma'!D43</f>
        <v/>
      </c>
      <c r="E853" s="1762" t="str">
        <f>'Part VII-Pro Forma'!E43</f>
        <v/>
      </c>
      <c r="F853" s="1762" t="str">
        <f>'Part VII-Pro Forma'!F43</f>
        <v/>
      </c>
      <c r="G853" s="1762" t="str">
        <f>'Part VII-Pro Forma'!G43</f>
        <v/>
      </c>
      <c r="H853" s="1762" t="str">
        <f>'Part VII-Pro Forma'!H43</f>
        <v/>
      </c>
      <c r="I853" s="1762" t="str">
        <f>'Part VII-Pro Forma'!I43</f>
        <v/>
      </c>
      <c r="J853" s="1762" t="str">
        <f>'Part VII-Pro Forma'!J43</f>
        <v/>
      </c>
      <c r="K853" s="1762" t="str">
        <f>'Part VII-Pro Forma'!K43</f>
        <v/>
      </c>
      <c r="N853" s="1614"/>
      <c r="O853" s="1614"/>
    </row>
    <row r="854" spans="1:19" ht="4.3499999999999996" customHeight="1">
      <c r="B854" s="1762"/>
      <c r="C854" s="1762"/>
      <c r="D854" s="1762"/>
      <c r="E854" s="1762"/>
      <c r="F854" s="1762"/>
      <c r="G854" s="1762"/>
      <c r="H854" s="1762"/>
      <c r="I854" s="1762"/>
      <c r="J854" s="1762"/>
      <c r="K854" s="1762"/>
    </row>
    <row r="855" spans="1:19" ht="14.45" customHeight="1">
      <c r="A855" s="838" t="s">
        <v>2199</v>
      </c>
      <c r="B855" s="1762">
        <f>K823+1</f>
        <v>11</v>
      </c>
      <c r="C855" s="1762">
        <f t="shared" ref="C855:K855" si="379">B855+1</f>
        <v>12</v>
      </c>
      <c r="D855" s="1762">
        <f t="shared" si="379"/>
        <v>13</v>
      </c>
      <c r="E855" s="1762">
        <f t="shared" si="379"/>
        <v>14</v>
      </c>
      <c r="F855" s="1762">
        <f t="shared" si="379"/>
        <v>15</v>
      </c>
      <c r="G855" s="1762">
        <f t="shared" si="379"/>
        <v>16</v>
      </c>
      <c r="H855" s="1762">
        <f t="shared" si="379"/>
        <v>17</v>
      </c>
      <c r="I855" s="1762">
        <f t="shared" si="379"/>
        <v>18</v>
      </c>
      <c r="J855" s="1762">
        <f t="shared" si="379"/>
        <v>19</v>
      </c>
      <c r="K855" s="1762">
        <f t="shared" si="379"/>
        <v>20</v>
      </c>
      <c r="N855" s="1596" t="s">
        <v>2330</v>
      </c>
      <c r="O855" s="1596"/>
    </row>
    <row r="856" spans="1:19" ht="13.35" customHeight="1">
      <c r="A856" s="838" t="s">
        <v>2133</v>
      </c>
      <c r="B856" s="1762">
        <f>'Part VII-Pro Forma'!B46</f>
        <v>0</v>
      </c>
      <c r="C856" s="1762">
        <f>'Part VII-Pro Forma'!C46</f>
        <v>0</v>
      </c>
      <c r="D856" s="1762">
        <f>'Part VII-Pro Forma'!D46</f>
        <v>0</v>
      </c>
      <c r="E856" s="1762">
        <f>'Part VII-Pro Forma'!E46</f>
        <v>0</v>
      </c>
      <c r="F856" s="1762">
        <f>'Part VII-Pro Forma'!F46</f>
        <v>0</v>
      </c>
      <c r="G856" s="1762">
        <f>'Part VII-Pro Forma'!G46</f>
        <v>0</v>
      </c>
      <c r="H856" s="1762">
        <f>'Part VII-Pro Forma'!H46</f>
        <v>0</v>
      </c>
      <c r="I856" s="1762">
        <f>'Part VII-Pro Forma'!I46</f>
        <v>0</v>
      </c>
      <c r="J856" s="1762">
        <f>'Part VII-Pro Forma'!J46</f>
        <v>0</v>
      </c>
      <c r="K856" s="1762">
        <f>'Part VII-Pro Forma'!K46</f>
        <v>0</v>
      </c>
      <c r="N856" s="1614"/>
      <c r="O856" s="1614"/>
    </row>
    <row r="857" spans="1:19" ht="13.35" customHeight="1">
      <c r="A857" s="838" t="s">
        <v>940</v>
      </c>
      <c r="B857" s="1762">
        <f>'Part VII-Pro Forma'!B47</f>
        <v>0</v>
      </c>
      <c r="C857" s="1762">
        <f>'Part VII-Pro Forma'!C47</f>
        <v>0</v>
      </c>
      <c r="D857" s="1762">
        <f>'Part VII-Pro Forma'!D47</f>
        <v>0</v>
      </c>
      <c r="E857" s="1762">
        <f>'Part VII-Pro Forma'!E47</f>
        <v>0</v>
      </c>
      <c r="F857" s="1762">
        <f>'Part VII-Pro Forma'!F47</f>
        <v>0</v>
      </c>
      <c r="G857" s="1762">
        <f>'Part VII-Pro Forma'!G47</f>
        <v>0</v>
      </c>
      <c r="H857" s="1762">
        <f>'Part VII-Pro Forma'!H47</f>
        <v>0</v>
      </c>
      <c r="I857" s="1762">
        <f>'Part VII-Pro Forma'!I47</f>
        <v>0</v>
      </c>
      <c r="J857" s="1762">
        <f>'Part VII-Pro Forma'!J47</f>
        <v>0</v>
      </c>
      <c r="K857" s="1762">
        <f>'Part VII-Pro Forma'!K47</f>
        <v>0</v>
      </c>
      <c r="N857" s="1614"/>
      <c r="O857" s="1614"/>
    </row>
    <row r="858" spans="1:19" ht="13.35" customHeight="1">
      <c r="A858" s="838" t="s">
        <v>2134</v>
      </c>
      <c r="B858" s="1762">
        <f>'Part VII-Pro Forma'!B48</f>
        <v>0</v>
      </c>
      <c r="C858" s="1762">
        <f>'Part VII-Pro Forma'!C48</f>
        <v>0</v>
      </c>
      <c r="D858" s="1762">
        <f>'Part VII-Pro Forma'!D48</f>
        <v>0</v>
      </c>
      <c r="E858" s="1762">
        <f>'Part VII-Pro Forma'!E48</f>
        <v>0</v>
      </c>
      <c r="F858" s="1762">
        <f>'Part VII-Pro Forma'!F48</f>
        <v>0</v>
      </c>
      <c r="G858" s="1762">
        <f>'Part VII-Pro Forma'!G48</f>
        <v>0</v>
      </c>
      <c r="H858" s="1762">
        <f>'Part VII-Pro Forma'!H48</f>
        <v>0</v>
      </c>
      <c r="I858" s="1762">
        <f>'Part VII-Pro Forma'!I48</f>
        <v>0</v>
      </c>
      <c r="J858" s="1762">
        <f>'Part VII-Pro Forma'!J48</f>
        <v>0</v>
      </c>
      <c r="K858" s="1762">
        <f>'Part VII-Pro Forma'!K48</f>
        <v>0</v>
      </c>
      <c r="N858" s="1614"/>
      <c r="O858" s="1614"/>
    </row>
    <row r="859" spans="1:19" ht="13.35" customHeight="1">
      <c r="A859" s="838" t="s">
        <v>47</v>
      </c>
      <c r="B859" s="1762">
        <f>'Part VII-Pro Forma'!B49</f>
        <v>0</v>
      </c>
      <c r="C859" s="1762">
        <f>'Part VII-Pro Forma'!C49</f>
        <v>0</v>
      </c>
      <c r="D859" s="1762">
        <f>'Part VII-Pro Forma'!D49</f>
        <v>0</v>
      </c>
      <c r="E859" s="1762">
        <f>'Part VII-Pro Forma'!E49</f>
        <v>0</v>
      </c>
      <c r="F859" s="1762">
        <f>'Part VII-Pro Forma'!F49</f>
        <v>0</v>
      </c>
      <c r="G859" s="1762">
        <f>'Part VII-Pro Forma'!G49</f>
        <v>0</v>
      </c>
      <c r="H859" s="1762">
        <f>'Part VII-Pro Forma'!H49</f>
        <v>0</v>
      </c>
      <c r="I859" s="1762">
        <f>'Part VII-Pro Forma'!I49</f>
        <v>0</v>
      </c>
      <c r="J859" s="1762">
        <f>'Part VII-Pro Forma'!J49</f>
        <v>0</v>
      </c>
      <c r="K859" s="1762">
        <f>'Part VII-Pro Forma'!K49</f>
        <v>0</v>
      </c>
      <c r="N859" s="1614"/>
      <c r="O859" s="1614"/>
    </row>
    <row r="860" spans="1:19" ht="13.35" customHeight="1">
      <c r="A860" s="838" t="s">
        <v>48</v>
      </c>
      <c r="B860" s="1762">
        <f>'Part VII-Pro Forma'!B50</f>
        <v>0</v>
      </c>
      <c r="C860" s="1762">
        <f>'Part VII-Pro Forma'!C50</f>
        <v>0</v>
      </c>
      <c r="D860" s="1762">
        <f>'Part VII-Pro Forma'!D50</f>
        <v>0</v>
      </c>
      <c r="E860" s="1762">
        <f>'Part VII-Pro Forma'!E50</f>
        <v>0</v>
      </c>
      <c r="F860" s="1762">
        <f>'Part VII-Pro Forma'!F50</f>
        <v>0</v>
      </c>
      <c r="G860" s="1762">
        <f>'Part VII-Pro Forma'!G50</f>
        <v>0</v>
      </c>
      <c r="H860" s="1762">
        <f>'Part VII-Pro Forma'!H50</f>
        <v>0</v>
      </c>
      <c r="I860" s="1762">
        <f>'Part VII-Pro Forma'!I50</f>
        <v>0</v>
      </c>
      <c r="J860" s="1762">
        <f>'Part VII-Pro Forma'!J50</f>
        <v>0</v>
      </c>
      <c r="K860" s="1762">
        <f>'Part VII-Pro Forma'!K50</f>
        <v>0</v>
      </c>
      <c r="N860" s="1614"/>
      <c r="O860" s="1614"/>
    </row>
    <row r="861" spans="1:19" ht="13.35" customHeight="1">
      <c r="A861" s="838" t="s">
        <v>3423</v>
      </c>
      <c r="B861" s="1762">
        <f>SUM(B856:B860)</f>
        <v>0</v>
      </c>
      <c r="C861" s="1762">
        <f t="shared" ref="C861:K861" si="380">SUM(C856:C860)</f>
        <v>0</v>
      </c>
      <c r="D861" s="1762">
        <f t="shared" si="380"/>
        <v>0</v>
      </c>
      <c r="E861" s="1762">
        <f t="shared" si="380"/>
        <v>0</v>
      </c>
      <c r="F861" s="1762">
        <f t="shared" si="380"/>
        <v>0</v>
      </c>
      <c r="G861" s="1762">
        <f t="shared" si="380"/>
        <v>0</v>
      </c>
      <c r="H861" s="1762">
        <f t="shared" si="380"/>
        <v>0</v>
      </c>
      <c r="I861" s="1762">
        <f t="shared" si="380"/>
        <v>0</v>
      </c>
      <c r="J861" s="1762">
        <f t="shared" si="380"/>
        <v>0</v>
      </c>
      <c r="K861" s="1762">
        <f t="shared" si="380"/>
        <v>0</v>
      </c>
      <c r="N861" s="1614"/>
      <c r="O861" s="1614"/>
    </row>
    <row r="862" spans="1:19" ht="13.35" customHeight="1">
      <c r="A862" s="838" t="s">
        <v>571</v>
      </c>
      <c r="B862" s="1762">
        <f>'Part VII-Pro Forma'!B52</f>
        <v>0</v>
      </c>
      <c r="C862" s="1762">
        <f>'Part VII-Pro Forma'!C52</f>
        <v>0</v>
      </c>
      <c r="D862" s="1762">
        <f>'Part VII-Pro Forma'!D52</f>
        <v>0</v>
      </c>
      <c r="E862" s="1762">
        <f>'Part VII-Pro Forma'!E52</f>
        <v>0</v>
      </c>
      <c r="F862" s="1762">
        <f>'Part VII-Pro Forma'!F52</f>
        <v>0</v>
      </c>
      <c r="G862" s="1762">
        <f>'Part VII-Pro Forma'!G52</f>
        <v>0</v>
      </c>
      <c r="H862" s="1762">
        <f>'Part VII-Pro Forma'!H52</f>
        <v>0</v>
      </c>
      <c r="I862" s="1762">
        <f>'Part VII-Pro Forma'!I52</f>
        <v>0</v>
      </c>
      <c r="J862" s="1762">
        <f>'Part VII-Pro Forma'!J52</f>
        <v>0</v>
      </c>
      <c r="K862" s="1762">
        <f>'Part VII-Pro Forma'!K52</f>
        <v>0</v>
      </c>
      <c r="N862" s="1614"/>
      <c r="O862" s="1614"/>
    </row>
    <row r="863" spans="1:19" ht="13.35" customHeight="1">
      <c r="A863" s="838" t="s">
        <v>1035</v>
      </c>
      <c r="B863" s="1762" t="str">
        <f>'Part VII-Pro Forma'!B53</f>
        <v>Choose mgt fee</v>
      </c>
      <c r="C863" s="1762" t="str">
        <f>'Part VII-Pro Forma'!C53</f>
        <v>Choose mgt fee</v>
      </c>
      <c r="D863" s="1762" t="str">
        <f>'Part VII-Pro Forma'!D53</f>
        <v>Choose mgt fee</v>
      </c>
      <c r="E863" s="1762" t="str">
        <f>'Part VII-Pro Forma'!E53</f>
        <v>Choose mgt fee</v>
      </c>
      <c r="F863" s="1762" t="str">
        <f>'Part VII-Pro Forma'!F53</f>
        <v>Choose mgt fee</v>
      </c>
      <c r="G863" s="1762" t="str">
        <f>'Part VII-Pro Forma'!G53</f>
        <v>Choose mgt fee</v>
      </c>
      <c r="H863" s="1762" t="str">
        <f>'Part VII-Pro Forma'!H53</f>
        <v>Choose mgt fee</v>
      </c>
      <c r="I863" s="1762" t="str">
        <f>'Part VII-Pro Forma'!I53</f>
        <v>Choose mgt fee</v>
      </c>
      <c r="J863" s="1762" t="str">
        <f>'Part VII-Pro Forma'!J53</f>
        <v>Choose mgt fee</v>
      </c>
      <c r="K863" s="1762" t="str">
        <f>'Part VII-Pro Forma'!K53</f>
        <v>Choose mgt fee</v>
      </c>
      <c r="N863" s="1614"/>
      <c r="O863" s="1614"/>
    </row>
    <row r="864" spans="1:19" ht="13.35" customHeight="1">
      <c r="A864" s="838" t="s">
        <v>1110</v>
      </c>
      <c r="B864" s="1762">
        <f>'Part VII-Pro Forma'!B54</f>
        <v>0</v>
      </c>
      <c r="C864" s="1762">
        <f>'Part VII-Pro Forma'!C54</f>
        <v>0</v>
      </c>
      <c r="D864" s="1762">
        <f>'Part VII-Pro Forma'!D54</f>
        <v>0</v>
      </c>
      <c r="E864" s="1762">
        <f>'Part VII-Pro Forma'!E54</f>
        <v>0</v>
      </c>
      <c r="F864" s="1762">
        <f>'Part VII-Pro Forma'!F54</f>
        <v>0</v>
      </c>
      <c r="G864" s="1762">
        <f>'Part VII-Pro Forma'!G54</f>
        <v>0</v>
      </c>
      <c r="H864" s="1762">
        <f>'Part VII-Pro Forma'!H54</f>
        <v>0</v>
      </c>
      <c r="I864" s="1762">
        <f>'Part VII-Pro Forma'!I54</f>
        <v>0</v>
      </c>
      <c r="J864" s="1762">
        <f>'Part VII-Pro Forma'!J54</f>
        <v>0</v>
      </c>
      <c r="K864" s="1762">
        <f>'Part VII-Pro Forma'!K54</f>
        <v>0</v>
      </c>
      <c r="N864" s="1614"/>
      <c r="O864" s="1614"/>
    </row>
    <row r="865" spans="1:19" ht="13.35" customHeight="1">
      <c r="A865" s="838" t="s">
        <v>3424</v>
      </c>
      <c r="B865" s="1762">
        <f>'Part VII-Pro Forma'!B55</f>
        <v>0</v>
      </c>
      <c r="C865" s="1762">
        <f>'Part VII-Pro Forma'!C55</f>
        <v>0</v>
      </c>
      <c r="D865" s="1762">
        <f>'Part VII-Pro Forma'!D55</f>
        <v>0</v>
      </c>
      <c r="E865" s="1762">
        <f>'Part VII-Pro Forma'!E55</f>
        <v>0</v>
      </c>
      <c r="F865" s="1762">
        <f>'Part VII-Pro Forma'!F55</f>
        <v>0</v>
      </c>
      <c r="G865" s="1762">
        <f>'Part VII-Pro Forma'!G55</f>
        <v>0</v>
      </c>
      <c r="H865" s="1762">
        <f>'Part VII-Pro Forma'!H55</f>
        <v>0</v>
      </c>
      <c r="I865" s="1762">
        <f>'Part VII-Pro Forma'!I55</f>
        <v>0</v>
      </c>
      <c r="J865" s="1762">
        <f>'Part VII-Pro Forma'!J55</f>
        <v>0</v>
      </c>
      <c r="K865" s="1762">
        <f>'Part VII-Pro Forma'!K55</f>
        <v>0</v>
      </c>
      <c r="N865" s="1614"/>
      <c r="O865" s="1614"/>
      <c r="Q865" s="1764">
        <v>10</v>
      </c>
      <c r="R865" s="1765">
        <f>-SUM(B870:K870)</f>
        <v>0</v>
      </c>
      <c r="S865" s="1765">
        <f>SUM(B871:K871)+R865</f>
        <v>0</v>
      </c>
    </row>
    <row r="866" spans="1:19" ht="13.35" customHeight="1">
      <c r="A866" s="838" t="s">
        <v>1111</v>
      </c>
      <c r="B866" s="1762">
        <f>SUM(B861:B865)</f>
        <v>0</v>
      </c>
      <c r="C866" s="1762">
        <f t="shared" ref="C866:J866" si="381">SUM(C861:C865)</f>
        <v>0</v>
      </c>
      <c r="D866" s="1762">
        <f t="shared" si="381"/>
        <v>0</v>
      </c>
      <c r="E866" s="1762">
        <f t="shared" si="381"/>
        <v>0</v>
      </c>
      <c r="F866" s="1762">
        <f t="shared" si="381"/>
        <v>0</v>
      </c>
      <c r="G866" s="1762">
        <f t="shared" si="381"/>
        <v>0</v>
      </c>
      <c r="H866" s="1762">
        <f t="shared" si="381"/>
        <v>0</v>
      </c>
      <c r="I866" s="1762">
        <f t="shared" si="381"/>
        <v>0</v>
      </c>
      <c r="J866" s="1762">
        <f t="shared" si="381"/>
        <v>0</v>
      </c>
      <c r="K866" s="1762">
        <f>SUM(K861:K865)</f>
        <v>0</v>
      </c>
      <c r="N866" s="1614"/>
      <c r="O866" s="1614"/>
    </row>
    <row r="867" spans="1:19" ht="13.35" customHeight="1">
      <c r="A867" s="838" t="str">
        <f>$A835</f>
        <v>Mortgage A</v>
      </c>
      <c r="B867" s="1762">
        <f>'Part VII-Pro Forma'!B57</f>
        <v>0</v>
      </c>
      <c r="C867" s="1762">
        <f>'Part VII-Pro Forma'!C57</f>
        <v>0</v>
      </c>
      <c r="D867" s="1762">
        <f>'Part VII-Pro Forma'!D57</f>
        <v>0</v>
      </c>
      <c r="E867" s="1762">
        <f>'Part VII-Pro Forma'!E57</f>
        <v>0</v>
      </c>
      <c r="F867" s="1762">
        <f>'Part VII-Pro Forma'!F57</f>
        <v>0</v>
      </c>
      <c r="G867" s="1762">
        <f>'Part VII-Pro Forma'!G57</f>
        <v>0</v>
      </c>
      <c r="H867" s="1762">
        <f>'Part VII-Pro Forma'!H57</f>
        <v>0</v>
      </c>
      <c r="I867" s="1762">
        <f>'Part VII-Pro Forma'!I57</f>
        <v>0</v>
      </c>
      <c r="J867" s="1762">
        <f>'Part VII-Pro Forma'!J57</f>
        <v>0</v>
      </c>
      <c r="K867" s="1762">
        <f>'Part VII-Pro Forma'!K57</f>
        <v>0</v>
      </c>
      <c r="N867" s="1614"/>
      <c r="O867" s="1614"/>
    </row>
    <row r="868" spans="1:19" ht="13.35" customHeight="1">
      <c r="A868" s="838" t="str">
        <f>$A836</f>
        <v>Mortgage B</v>
      </c>
      <c r="B868" s="1762">
        <f>'Part VII-Pro Forma'!B58</f>
        <v>0</v>
      </c>
      <c r="C868" s="1762">
        <f>'Part VII-Pro Forma'!C58</f>
        <v>0</v>
      </c>
      <c r="D868" s="1762">
        <f>'Part VII-Pro Forma'!D58</f>
        <v>0</v>
      </c>
      <c r="E868" s="1762">
        <f>'Part VII-Pro Forma'!E58</f>
        <v>0</v>
      </c>
      <c r="F868" s="1762">
        <f>'Part VII-Pro Forma'!F58</f>
        <v>0</v>
      </c>
      <c r="G868" s="1762">
        <f>'Part VII-Pro Forma'!G58</f>
        <v>0</v>
      </c>
      <c r="H868" s="1762">
        <f>'Part VII-Pro Forma'!H58</f>
        <v>0</v>
      </c>
      <c r="I868" s="1762">
        <f>'Part VII-Pro Forma'!I58</f>
        <v>0</v>
      </c>
      <c r="J868" s="1762">
        <f>'Part VII-Pro Forma'!J58</f>
        <v>0</v>
      </c>
      <c r="K868" s="1762">
        <f>'Part VII-Pro Forma'!K58</f>
        <v>0</v>
      </c>
      <c r="N868" s="1614"/>
      <c r="O868" s="1614"/>
    </row>
    <row r="869" spans="1:19" ht="13.35" customHeight="1">
      <c r="A869" s="838" t="str">
        <f>$A837</f>
        <v>Mortgage C</v>
      </c>
      <c r="B869" s="1762">
        <f>'Part VII-Pro Forma'!B59</f>
        <v>0</v>
      </c>
      <c r="C869" s="1762">
        <f>'Part VII-Pro Forma'!C59</f>
        <v>0</v>
      </c>
      <c r="D869" s="1762">
        <f>'Part VII-Pro Forma'!D59</f>
        <v>0</v>
      </c>
      <c r="E869" s="1762">
        <f>'Part VII-Pro Forma'!E59</f>
        <v>0</v>
      </c>
      <c r="F869" s="1762">
        <f>'Part VII-Pro Forma'!F59</f>
        <v>0</v>
      </c>
      <c r="G869" s="1762">
        <f>'Part VII-Pro Forma'!G59</f>
        <v>0</v>
      </c>
      <c r="H869" s="1762">
        <f>'Part VII-Pro Forma'!H59</f>
        <v>0</v>
      </c>
      <c r="I869" s="1762">
        <f>'Part VII-Pro Forma'!I59</f>
        <v>0</v>
      </c>
      <c r="J869" s="1762">
        <f>'Part VII-Pro Forma'!J59</f>
        <v>0</v>
      </c>
      <c r="K869" s="1762">
        <f>'Part VII-Pro Forma'!K59</f>
        <v>0</v>
      </c>
      <c r="N869" s="1614"/>
      <c r="O869" s="1614"/>
    </row>
    <row r="870" spans="1:19" ht="13.35" customHeight="1">
      <c r="A870" s="838" t="str">
        <f>$A838</f>
        <v>D/S Other Source,not DDF</v>
      </c>
      <c r="B870" s="1762">
        <f>'Part VII-Pro Forma'!B60</f>
        <v>0</v>
      </c>
      <c r="C870" s="1762">
        <f>'Part VII-Pro Forma'!C60</f>
        <v>0</v>
      </c>
      <c r="D870" s="1762">
        <f>'Part VII-Pro Forma'!D60</f>
        <v>0</v>
      </c>
      <c r="E870" s="1762">
        <f>'Part VII-Pro Forma'!E60</f>
        <v>0</v>
      </c>
      <c r="F870" s="1762">
        <f>'Part VII-Pro Forma'!F60</f>
        <v>0</v>
      </c>
      <c r="G870" s="1762">
        <f>'Part VII-Pro Forma'!G60</f>
        <v>0</v>
      </c>
      <c r="H870" s="1762">
        <f>'Part VII-Pro Forma'!H60</f>
        <v>0</v>
      </c>
      <c r="I870" s="1762">
        <f>'Part VII-Pro Forma'!I60</f>
        <v>0</v>
      </c>
      <c r="J870" s="1762">
        <f>'Part VII-Pro Forma'!J60</f>
        <v>0</v>
      </c>
      <c r="K870" s="1762">
        <f>'Part VII-Pro Forma'!K60</f>
        <v>0</v>
      </c>
      <c r="N870" s="1614"/>
      <c r="O870" s="1614"/>
    </row>
    <row r="871" spans="1:19" ht="13.35" customHeight="1">
      <c r="A871" s="838" t="s">
        <v>706</v>
      </c>
      <c r="B871" s="1762">
        <f>'Part VII-Pro Forma'!B61</f>
        <v>0</v>
      </c>
      <c r="C871" s="1762">
        <f>'Part VII-Pro Forma'!C61</f>
        <v>0</v>
      </c>
      <c r="D871" s="1762">
        <f>'Part VII-Pro Forma'!D61</f>
        <v>0</v>
      </c>
      <c r="E871" s="1762">
        <f>'Part VII-Pro Forma'!E61</f>
        <v>0</v>
      </c>
      <c r="F871" s="1762">
        <f>'Part VII-Pro Forma'!F61</f>
        <v>0</v>
      </c>
      <c r="G871" s="1762">
        <f>'Part VII-Pro Forma'!G61</f>
        <v>0</v>
      </c>
      <c r="H871" s="1762">
        <f>'Part VII-Pro Forma'!H61</f>
        <v>0</v>
      </c>
      <c r="I871" s="1762">
        <f>'Part VII-Pro Forma'!I61</f>
        <v>0</v>
      </c>
      <c r="J871" s="1762">
        <f>'Part VII-Pro Forma'!J61</f>
        <v>0</v>
      </c>
      <c r="K871" s="1762">
        <f>'Part VII-Pro Forma'!K61</f>
        <v>0</v>
      </c>
      <c r="N871" s="1614"/>
      <c r="O871" s="1614"/>
    </row>
    <row r="872" spans="1:19" ht="13.35" customHeight="1">
      <c r="A872" s="838" t="s">
        <v>1079</v>
      </c>
      <c r="B872" s="1762">
        <f>'Part VII-Pro Forma'!B62</f>
        <v>0</v>
      </c>
      <c r="C872" s="1762">
        <f>'Part VII-Pro Forma'!C62</f>
        <v>0</v>
      </c>
      <c r="D872" s="1762">
        <f>'Part VII-Pro Forma'!D62</f>
        <v>0</v>
      </c>
      <c r="E872" s="1762">
        <f>'Part VII-Pro Forma'!E62</f>
        <v>0</v>
      </c>
      <c r="F872" s="1762">
        <f>'Part VII-Pro Forma'!F62</f>
        <v>0</v>
      </c>
      <c r="G872" s="1762">
        <f>'Part VII-Pro Forma'!G62</f>
        <v>0</v>
      </c>
      <c r="H872" s="1762">
        <f>'Part VII-Pro Forma'!H62</f>
        <v>0</v>
      </c>
      <c r="I872" s="1762">
        <f>'Part VII-Pro Forma'!I62</f>
        <v>0</v>
      </c>
      <c r="J872" s="1762">
        <f>'Part VII-Pro Forma'!J62</f>
        <v>0</v>
      </c>
      <c r="K872" s="1762">
        <f>'Part VII-Pro Forma'!K62</f>
        <v>0</v>
      </c>
      <c r="N872" s="1614"/>
      <c r="O872" s="1614"/>
      <c r="Q872" s="1764"/>
      <c r="R872" s="1765"/>
    </row>
    <row r="873" spans="1:19" ht="13.35" customHeight="1">
      <c r="A873" s="838" t="s">
        <v>1112</v>
      </c>
      <c r="B873" s="1762">
        <f>'Part VII-Pro Forma'!B63</f>
        <v>0</v>
      </c>
      <c r="C873" s="1762">
        <f>'Part VII-Pro Forma'!C63</f>
        <v>0</v>
      </c>
      <c r="D873" s="1762">
        <f>'Part VII-Pro Forma'!D63</f>
        <v>0</v>
      </c>
      <c r="E873" s="1762">
        <f>'Part VII-Pro Forma'!E63</f>
        <v>0</v>
      </c>
      <c r="F873" s="1762">
        <f>'Part VII-Pro Forma'!F63</f>
        <v>0</v>
      </c>
      <c r="G873" s="1762">
        <f>'Part VII-Pro Forma'!G63</f>
        <v>0</v>
      </c>
      <c r="H873" s="1762">
        <f>'Part VII-Pro Forma'!H63</f>
        <v>0</v>
      </c>
      <c r="I873" s="1762">
        <f>'Part VII-Pro Forma'!I63</f>
        <v>0</v>
      </c>
      <c r="J873" s="1762">
        <f>'Part VII-Pro Forma'!J63</f>
        <v>0</v>
      </c>
      <c r="K873" s="1762">
        <f>'Part VII-Pro Forma'!K63</f>
        <v>0</v>
      </c>
      <c r="N873" s="1614"/>
      <c r="O873" s="1614"/>
    </row>
    <row r="874" spans="1:19" ht="13.35" customHeight="1">
      <c r="A874" s="838" t="s">
        <v>1080</v>
      </c>
      <c r="B874" s="1762">
        <f t="shared" ref="B874:K874" si="382">SUM(B866:B873)</f>
        <v>0</v>
      </c>
      <c r="C874" s="1762">
        <f t="shared" si="382"/>
        <v>0</v>
      </c>
      <c r="D874" s="1762">
        <f t="shared" si="382"/>
        <v>0</v>
      </c>
      <c r="E874" s="1762">
        <f t="shared" si="382"/>
        <v>0</v>
      </c>
      <c r="F874" s="1762">
        <f t="shared" si="382"/>
        <v>0</v>
      </c>
      <c r="G874" s="1762">
        <f t="shared" si="382"/>
        <v>0</v>
      </c>
      <c r="H874" s="1762">
        <f t="shared" si="382"/>
        <v>0</v>
      </c>
      <c r="I874" s="1762">
        <f t="shared" si="382"/>
        <v>0</v>
      </c>
      <c r="J874" s="1762">
        <f t="shared" si="382"/>
        <v>0</v>
      </c>
      <c r="K874" s="1762">
        <f t="shared" si="382"/>
        <v>0</v>
      </c>
      <c r="N874" s="1614"/>
      <c r="O874" s="1614"/>
    </row>
    <row r="875" spans="1:19" ht="13.35" customHeight="1">
      <c r="A875" s="838" t="str">
        <f>$A843</f>
        <v>DCR Mortgage A</v>
      </c>
      <c r="B875" s="1766" t="str">
        <f t="shared" ref="B875:K875" si="383">IF(B867=0,"",-B866/B867)</f>
        <v/>
      </c>
      <c r="C875" s="1766" t="str">
        <f t="shared" si="383"/>
        <v/>
      </c>
      <c r="D875" s="1766" t="str">
        <f t="shared" si="383"/>
        <v/>
      </c>
      <c r="E875" s="1766" t="str">
        <f t="shared" si="383"/>
        <v/>
      </c>
      <c r="F875" s="1766" t="str">
        <f t="shared" si="383"/>
        <v/>
      </c>
      <c r="G875" s="1766" t="str">
        <f t="shared" si="383"/>
        <v/>
      </c>
      <c r="H875" s="1766" t="str">
        <f t="shared" si="383"/>
        <v/>
      </c>
      <c r="I875" s="1766" t="str">
        <f t="shared" si="383"/>
        <v/>
      </c>
      <c r="J875" s="1766" t="str">
        <f t="shared" si="383"/>
        <v/>
      </c>
      <c r="K875" s="1766" t="str">
        <f t="shared" si="383"/>
        <v/>
      </c>
      <c r="N875" s="1614"/>
      <c r="O875" s="1614"/>
    </row>
    <row r="876" spans="1:19" ht="13.35" customHeight="1">
      <c r="A876" s="838" t="str">
        <f>$A844</f>
        <v>DCR Mortgage B</v>
      </c>
      <c r="B876" s="1766" t="str">
        <f t="shared" ref="B876:K876" si="384">IF(B868=0,"",-(B866+B867)/B868)</f>
        <v/>
      </c>
      <c r="C876" s="1766" t="str">
        <f t="shared" si="384"/>
        <v/>
      </c>
      <c r="D876" s="1766" t="str">
        <f t="shared" si="384"/>
        <v/>
      </c>
      <c r="E876" s="1766" t="str">
        <f t="shared" si="384"/>
        <v/>
      </c>
      <c r="F876" s="1766" t="str">
        <f t="shared" si="384"/>
        <v/>
      </c>
      <c r="G876" s="1766" t="str">
        <f t="shared" si="384"/>
        <v/>
      </c>
      <c r="H876" s="1766" t="str">
        <f t="shared" si="384"/>
        <v/>
      </c>
      <c r="I876" s="1766" t="str">
        <f t="shared" si="384"/>
        <v/>
      </c>
      <c r="J876" s="1766" t="str">
        <f t="shared" si="384"/>
        <v/>
      </c>
      <c r="K876" s="1766" t="str">
        <f t="shared" si="384"/>
        <v/>
      </c>
      <c r="N876" s="1614"/>
      <c r="O876" s="1614"/>
    </row>
    <row r="877" spans="1:19" ht="13.35" customHeight="1">
      <c r="A877" s="838" t="str">
        <f>$A845</f>
        <v>DCR Mortgage C</v>
      </c>
      <c r="B877" s="1766" t="str">
        <f t="shared" ref="B877:K877" si="385">IF(B869=0,"",-(B866+B867+B868)/B869)</f>
        <v/>
      </c>
      <c r="C877" s="1766" t="str">
        <f t="shared" si="385"/>
        <v/>
      </c>
      <c r="D877" s="1766" t="str">
        <f t="shared" si="385"/>
        <v/>
      </c>
      <c r="E877" s="1766" t="str">
        <f t="shared" si="385"/>
        <v/>
      </c>
      <c r="F877" s="1766" t="str">
        <f t="shared" si="385"/>
        <v/>
      </c>
      <c r="G877" s="1766" t="str">
        <f t="shared" si="385"/>
        <v/>
      </c>
      <c r="H877" s="1766" t="str">
        <f t="shared" si="385"/>
        <v/>
      </c>
      <c r="I877" s="1766" t="str">
        <f t="shared" si="385"/>
        <v/>
      </c>
      <c r="J877" s="1766" t="str">
        <f t="shared" si="385"/>
        <v/>
      </c>
      <c r="K877" s="1766" t="str">
        <f t="shared" si="385"/>
        <v/>
      </c>
      <c r="N877" s="1614"/>
      <c r="O877" s="1614"/>
    </row>
    <row r="878" spans="1:19" ht="13.35" customHeight="1">
      <c r="A878" s="838" t="str">
        <f>$A846</f>
        <v>DCR Other Source</v>
      </c>
      <c r="B878" s="1766" t="str">
        <f t="shared" ref="B878:K878" si="386">IF(B870=0,"",-(B866+B867+B868+B869)/B870)</f>
        <v/>
      </c>
      <c r="C878" s="1766" t="str">
        <f t="shared" si="386"/>
        <v/>
      </c>
      <c r="D878" s="1766" t="str">
        <f t="shared" si="386"/>
        <v/>
      </c>
      <c r="E878" s="1766" t="str">
        <f t="shared" si="386"/>
        <v/>
      </c>
      <c r="F878" s="1766" t="str">
        <f t="shared" si="386"/>
        <v/>
      </c>
      <c r="G878" s="1766" t="str">
        <f t="shared" si="386"/>
        <v/>
      </c>
      <c r="H878" s="1766" t="str">
        <f t="shared" si="386"/>
        <v/>
      </c>
      <c r="I878" s="1766" t="str">
        <f t="shared" si="386"/>
        <v/>
      </c>
      <c r="J878" s="1766" t="str">
        <f t="shared" si="386"/>
        <v/>
      </c>
      <c r="K878" s="1766" t="str">
        <f t="shared" si="386"/>
        <v/>
      </c>
      <c r="N878" s="1614"/>
      <c r="O878" s="1614"/>
    </row>
    <row r="879" spans="1:19" ht="13.35" customHeight="1">
      <c r="A879" s="838" t="s">
        <v>3426</v>
      </c>
      <c r="B879" s="1766" t="str">
        <f t="shared" ref="B879:K879" si="387">IF(AND(B867=0,B868=0,B869=0,B870=0),"",-B866/(B867+B868+B869+B870))</f>
        <v/>
      </c>
      <c r="C879" s="1766" t="str">
        <f t="shared" si="387"/>
        <v/>
      </c>
      <c r="D879" s="1766" t="str">
        <f t="shared" si="387"/>
        <v/>
      </c>
      <c r="E879" s="1766" t="str">
        <f t="shared" si="387"/>
        <v/>
      </c>
      <c r="F879" s="1766" t="str">
        <f t="shared" si="387"/>
        <v/>
      </c>
      <c r="G879" s="1766" t="str">
        <f t="shared" si="387"/>
        <v/>
      </c>
      <c r="H879" s="1766" t="str">
        <f t="shared" si="387"/>
        <v/>
      </c>
      <c r="I879" s="1766" t="str">
        <f t="shared" si="387"/>
        <v/>
      </c>
      <c r="J879" s="1766" t="str">
        <f t="shared" si="387"/>
        <v/>
      </c>
      <c r="K879" s="1766" t="str">
        <f t="shared" si="387"/>
        <v/>
      </c>
      <c r="N879" s="1614"/>
      <c r="O879" s="1614"/>
    </row>
    <row r="880" spans="1:19" ht="13.35" customHeight="1">
      <c r="A880" s="838" t="s">
        <v>713</v>
      </c>
      <c r="B880" s="1767" t="str">
        <f t="shared" ref="B880:K880" si="388">IF(OR(B863="Choose mgt fee",B863="Choose One!"),"",(B856+B857+B858+B859+B860) / -(B862+B863+B864))</f>
        <v/>
      </c>
      <c r="C880" s="1767" t="str">
        <f t="shared" si="388"/>
        <v/>
      </c>
      <c r="D880" s="1767" t="str">
        <f t="shared" si="388"/>
        <v/>
      </c>
      <c r="E880" s="1767" t="str">
        <f t="shared" si="388"/>
        <v/>
      </c>
      <c r="F880" s="1767" t="str">
        <f t="shared" si="388"/>
        <v/>
      </c>
      <c r="G880" s="1767" t="str">
        <f t="shared" si="388"/>
        <v/>
      </c>
      <c r="H880" s="1767" t="str">
        <f t="shared" si="388"/>
        <v/>
      </c>
      <c r="I880" s="1767" t="str">
        <f t="shared" si="388"/>
        <v/>
      </c>
      <c r="J880" s="1767" t="str">
        <f t="shared" si="388"/>
        <v/>
      </c>
      <c r="K880" s="1767" t="str">
        <f t="shared" si="388"/>
        <v/>
      </c>
      <c r="N880" s="1614"/>
      <c r="O880" s="1614"/>
    </row>
    <row r="881" spans="1:15" ht="13.35" customHeight="1">
      <c r="A881" s="838" t="s">
        <v>2326</v>
      </c>
      <c r="B881" s="1762" t="str">
        <f>'Part VII-Pro Forma'!B71</f>
        <v/>
      </c>
      <c r="C881" s="1762" t="str">
        <f>'Part VII-Pro Forma'!C71</f>
        <v/>
      </c>
      <c r="D881" s="1762" t="str">
        <f>'Part VII-Pro Forma'!D71</f>
        <v/>
      </c>
      <c r="E881" s="1762" t="str">
        <f>'Part VII-Pro Forma'!E71</f>
        <v/>
      </c>
      <c r="F881" s="1762" t="str">
        <f>'Part VII-Pro Forma'!F71</f>
        <v/>
      </c>
      <c r="G881" s="1762" t="str">
        <f>'Part VII-Pro Forma'!G71</f>
        <v/>
      </c>
      <c r="H881" s="1762" t="str">
        <f>'Part VII-Pro Forma'!H71</f>
        <v/>
      </c>
      <c r="I881" s="1762" t="str">
        <f>'Part VII-Pro Forma'!I71</f>
        <v/>
      </c>
      <c r="J881" s="1762" t="str">
        <f>'Part VII-Pro Forma'!J71</f>
        <v/>
      </c>
      <c r="K881" s="1762" t="str">
        <f>'Part VII-Pro Forma'!K71</f>
        <v/>
      </c>
      <c r="N881" s="1614"/>
      <c r="O881" s="1614"/>
    </row>
    <row r="882" spans="1:15" ht="13.35" customHeight="1">
      <c r="A882" s="838" t="s">
        <v>2327</v>
      </c>
      <c r="B882" s="1762" t="str">
        <f>'Part VII-Pro Forma'!B72</f>
        <v/>
      </c>
      <c r="C882" s="1762" t="str">
        <f>'Part VII-Pro Forma'!C72</f>
        <v/>
      </c>
      <c r="D882" s="1762" t="str">
        <f>'Part VII-Pro Forma'!D72</f>
        <v/>
      </c>
      <c r="E882" s="1762" t="str">
        <f>'Part VII-Pro Forma'!E72</f>
        <v/>
      </c>
      <c r="F882" s="1762" t="str">
        <f>'Part VII-Pro Forma'!F72</f>
        <v/>
      </c>
      <c r="G882" s="1762" t="str">
        <f>'Part VII-Pro Forma'!G72</f>
        <v/>
      </c>
      <c r="H882" s="1762" t="str">
        <f>'Part VII-Pro Forma'!H72</f>
        <v/>
      </c>
      <c r="I882" s="1762" t="str">
        <f>'Part VII-Pro Forma'!I72</f>
        <v/>
      </c>
      <c r="J882" s="1762" t="str">
        <f>'Part VII-Pro Forma'!J72</f>
        <v/>
      </c>
      <c r="K882" s="1762" t="str">
        <f>'Part VII-Pro Forma'!K72</f>
        <v/>
      </c>
      <c r="N882" s="1614"/>
      <c r="O882" s="1614"/>
    </row>
    <row r="883" spans="1:15" ht="13.35" customHeight="1">
      <c r="A883" s="838" t="s">
        <v>2328</v>
      </c>
      <c r="B883" s="1762" t="str">
        <f>'Part VII-Pro Forma'!B73</f>
        <v/>
      </c>
      <c r="C883" s="1762" t="str">
        <f>'Part VII-Pro Forma'!C73</f>
        <v/>
      </c>
      <c r="D883" s="1762" t="str">
        <f>'Part VII-Pro Forma'!D73</f>
        <v/>
      </c>
      <c r="E883" s="1762" t="str">
        <f>'Part VII-Pro Forma'!E73</f>
        <v/>
      </c>
      <c r="F883" s="1762" t="str">
        <f>'Part VII-Pro Forma'!F73</f>
        <v/>
      </c>
      <c r="G883" s="1762" t="str">
        <f>'Part VII-Pro Forma'!G73</f>
        <v/>
      </c>
      <c r="H883" s="1762" t="str">
        <f>'Part VII-Pro Forma'!H73</f>
        <v/>
      </c>
      <c r="I883" s="1762" t="str">
        <f>'Part VII-Pro Forma'!I73</f>
        <v/>
      </c>
      <c r="J883" s="1762" t="str">
        <f>'Part VII-Pro Forma'!J73</f>
        <v/>
      </c>
      <c r="K883" s="1762" t="str">
        <f>'Part VII-Pro Forma'!K73</f>
        <v/>
      </c>
      <c r="N883" s="1614"/>
      <c r="O883" s="1614"/>
    </row>
    <row r="884" spans="1:15" ht="13.35" customHeight="1">
      <c r="A884" s="838" t="s">
        <v>724</v>
      </c>
      <c r="B884" s="1762" t="str">
        <f>'Part VII-Pro Forma'!B74</f>
        <v/>
      </c>
      <c r="C884" s="1762" t="str">
        <f>'Part VII-Pro Forma'!C74</f>
        <v/>
      </c>
      <c r="D884" s="1762" t="str">
        <f>'Part VII-Pro Forma'!D74</f>
        <v/>
      </c>
      <c r="E884" s="1762" t="str">
        <f>'Part VII-Pro Forma'!E74</f>
        <v/>
      </c>
      <c r="F884" s="1762" t="str">
        <f>'Part VII-Pro Forma'!F74</f>
        <v/>
      </c>
      <c r="G884" s="1762" t="str">
        <f>'Part VII-Pro Forma'!G74</f>
        <v/>
      </c>
      <c r="H884" s="1762" t="str">
        <f>'Part VII-Pro Forma'!H74</f>
        <v/>
      </c>
      <c r="I884" s="1762" t="str">
        <f>'Part VII-Pro Forma'!I74</f>
        <v/>
      </c>
      <c r="J884" s="1762" t="str">
        <f>'Part VII-Pro Forma'!J74</f>
        <v/>
      </c>
      <c r="K884" s="1762" t="str">
        <f>'Part VII-Pro Forma'!K74</f>
        <v/>
      </c>
      <c r="N884" s="1614"/>
      <c r="O884" s="1614"/>
    </row>
    <row r="885" spans="1:15" ht="13.35" customHeight="1">
      <c r="A885" s="838" t="s">
        <v>1145</v>
      </c>
      <c r="B885" s="1762" t="str">
        <f>'Part VII-Pro Forma'!B75</f>
        <v/>
      </c>
      <c r="C885" s="1762" t="str">
        <f>'Part VII-Pro Forma'!C75</f>
        <v/>
      </c>
      <c r="D885" s="1762" t="str">
        <f>'Part VII-Pro Forma'!D75</f>
        <v/>
      </c>
      <c r="E885" s="1762" t="str">
        <f>'Part VII-Pro Forma'!E75</f>
        <v/>
      </c>
      <c r="F885" s="1762" t="str">
        <f>'Part VII-Pro Forma'!F75</f>
        <v/>
      </c>
      <c r="G885" s="1762" t="str">
        <f>'Part VII-Pro Forma'!G75</f>
        <v/>
      </c>
      <c r="H885" s="1762" t="str">
        <f>'Part VII-Pro Forma'!H75</f>
        <v/>
      </c>
      <c r="I885" s="1762" t="str">
        <f>'Part VII-Pro Forma'!I75</f>
        <v/>
      </c>
      <c r="J885" s="1762" t="str">
        <f>'Part VII-Pro Forma'!J75</f>
        <v/>
      </c>
      <c r="K885" s="1762" t="str">
        <f>'Part VII-Pro Forma'!K75</f>
        <v/>
      </c>
      <c r="N885" s="1614"/>
      <c r="O885" s="1614"/>
    </row>
    <row r="886" spans="1:15" ht="4.3499999999999996" customHeight="1">
      <c r="B886" s="1762"/>
      <c r="C886" s="1762"/>
      <c r="D886" s="1762"/>
      <c r="E886" s="1762"/>
      <c r="F886" s="1762"/>
      <c r="G886" s="1762"/>
      <c r="H886" s="1762"/>
      <c r="I886" s="1762"/>
      <c r="J886" s="1762"/>
      <c r="K886" s="1762"/>
    </row>
    <row r="887" spans="1:15" ht="14.45" customHeight="1">
      <c r="A887" s="838" t="s">
        <v>2199</v>
      </c>
      <c r="B887" s="1762">
        <f>K855+1</f>
        <v>21</v>
      </c>
      <c r="C887" s="1762">
        <f t="shared" ref="C887:K887" si="389">B887+1</f>
        <v>22</v>
      </c>
      <c r="D887" s="1762">
        <f t="shared" si="389"/>
        <v>23</v>
      </c>
      <c r="E887" s="1762">
        <f t="shared" si="389"/>
        <v>24</v>
      </c>
      <c r="F887" s="1762">
        <f t="shared" si="389"/>
        <v>25</v>
      </c>
      <c r="G887" s="1762">
        <f t="shared" si="389"/>
        <v>26</v>
      </c>
      <c r="H887" s="1762">
        <f t="shared" si="389"/>
        <v>27</v>
      </c>
      <c r="I887" s="1762">
        <f t="shared" si="389"/>
        <v>28</v>
      </c>
      <c r="J887" s="1762">
        <f t="shared" si="389"/>
        <v>29</v>
      </c>
      <c r="K887" s="1762">
        <f t="shared" si="389"/>
        <v>30</v>
      </c>
      <c r="N887" s="1596" t="s">
        <v>2331</v>
      </c>
      <c r="O887" s="1596"/>
    </row>
    <row r="888" spans="1:15" ht="13.35" customHeight="1">
      <c r="A888" s="838" t="s">
        <v>2133</v>
      </c>
      <c r="B888" s="1762">
        <f>'Part VII-Pro Forma'!B78</f>
        <v>0</v>
      </c>
      <c r="C888" s="1762">
        <f>'Part VII-Pro Forma'!C78</f>
        <v>0</v>
      </c>
      <c r="D888" s="1762">
        <f>'Part VII-Pro Forma'!D78</f>
        <v>0</v>
      </c>
      <c r="E888" s="1762">
        <f>'Part VII-Pro Forma'!E78</f>
        <v>0</v>
      </c>
      <c r="F888" s="1762">
        <f>'Part VII-Pro Forma'!F78</f>
        <v>0</v>
      </c>
      <c r="G888" s="1762">
        <f>'Part VII-Pro Forma'!G78</f>
        <v>0</v>
      </c>
      <c r="H888" s="1762">
        <f>'Part VII-Pro Forma'!H78</f>
        <v>0</v>
      </c>
      <c r="I888" s="1762">
        <f>'Part VII-Pro Forma'!I78</f>
        <v>0</v>
      </c>
      <c r="J888" s="1762">
        <f>'Part VII-Pro Forma'!J78</f>
        <v>0</v>
      </c>
      <c r="K888" s="1762">
        <f>'Part VII-Pro Forma'!K78</f>
        <v>0</v>
      </c>
      <c r="N888" s="1614"/>
      <c r="O888" s="1614"/>
    </row>
    <row r="889" spans="1:15" ht="13.35" customHeight="1">
      <c r="A889" s="838" t="s">
        <v>940</v>
      </c>
      <c r="B889" s="1762">
        <f>'Part VII-Pro Forma'!B79</f>
        <v>0</v>
      </c>
      <c r="C889" s="1762">
        <f>'Part VII-Pro Forma'!C79</f>
        <v>0</v>
      </c>
      <c r="D889" s="1762">
        <f>'Part VII-Pro Forma'!D79</f>
        <v>0</v>
      </c>
      <c r="E889" s="1762">
        <f>'Part VII-Pro Forma'!E79</f>
        <v>0</v>
      </c>
      <c r="F889" s="1762">
        <f>'Part VII-Pro Forma'!F79</f>
        <v>0</v>
      </c>
      <c r="G889" s="1762">
        <f>'Part VII-Pro Forma'!G79</f>
        <v>0</v>
      </c>
      <c r="H889" s="1762">
        <f>'Part VII-Pro Forma'!H79</f>
        <v>0</v>
      </c>
      <c r="I889" s="1762">
        <f>'Part VII-Pro Forma'!I79</f>
        <v>0</v>
      </c>
      <c r="J889" s="1762">
        <f>'Part VII-Pro Forma'!J79</f>
        <v>0</v>
      </c>
      <c r="K889" s="1762">
        <f>'Part VII-Pro Forma'!K79</f>
        <v>0</v>
      </c>
      <c r="N889" s="1614"/>
      <c r="O889" s="1614"/>
    </row>
    <row r="890" spans="1:15" ht="13.35" customHeight="1">
      <c r="A890" s="838" t="s">
        <v>2134</v>
      </c>
      <c r="B890" s="1762">
        <f>'Part VII-Pro Forma'!B80</f>
        <v>0</v>
      </c>
      <c r="C890" s="1762">
        <f>'Part VII-Pro Forma'!C80</f>
        <v>0</v>
      </c>
      <c r="D890" s="1762">
        <f>'Part VII-Pro Forma'!D80</f>
        <v>0</v>
      </c>
      <c r="E890" s="1762">
        <f>'Part VII-Pro Forma'!E80</f>
        <v>0</v>
      </c>
      <c r="F890" s="1762">
        <f>'Part VII-Pro Forma'!F80</f>
        <v>0</v>
      </c>
      <c r="G890" s="1762">
        <f>'Part VII-Pro Forma'!G80</f>
        <v>0</v>
      </c>
      <c r="H890" s="1762">
        <f>'Part VII-Pro Forma'!H80</f>
        <v>0</v>
      </c>
      <c r="I890" s="1762">
        <f>'Part VII-Pro Forma'!I80</f>
        <v>0</v>
      </c>
      <c r="J890" s="1762">
        <f>'Part VII-Pro Forma'!J80</f>
        <v>0</v>
      </c>
      <c r="K890" s="1762">
        <f>'Part VII-Pro Forma'!K80</f>
        <v>0</v>
      </c>
      <c r="N890" s="1614"/>
      <c r="O890" s="1614"/>
    </row>
    <row r="891" spans="1:15" ht="13.35" customHeight="1">
      <c r="A891" s="838" t="s">
        <v>47</v>
      </c>
      <c r="B891" s="1762">
        <f>'Part VII-Pro Forma'!B81</f>
        <v>0</v>
      </c>
      <c r="C891" s="1762">
        <f>'Part VII-Pro Forma'!C81</f>
        <v>0</v>
      </c>
      <c r="D891" s="1762">
        <f>'Part VII-Pro Forma'!D81</f>
        <v>0</v>
      </c>
      <c r="E891" s="1762">
        <f>'Part VII-Pro Forma'!E81</f>
        <v>0</v>
      </c>
      <c r="F891" s="1762">
        <f>'Part VII-Pro Forma'!F81</f>
        <v>0</v>
      </c>
      <c r="G891" s="1762">
        <f>'Part VII-Pro Forma'!G81</f>
        <v>0</v>
      </c>
      <c r="H891" s="1762">
        <f>'Part VII-Pro Forma'!H81</f>
        <v>0</v>
      </c>
      <c r="I891" s="1762">
        <f>'Part VII-Pro Forma'!I81</f>
        <v>0</v>
      </c>
      <c r="J891" s="1762">
        <f>'Part VII-Pro Forma'!J81</f>
        <v>0</v>
      </c>
      <c r="K891" s="1762">
        <f>'Part VII-Pro Forma'!K81</f>
        <v>0</v>
      </c>
      <c r="N891" s="1614"/>
      <c r="O891" s="1614"/>
    </row>
    <row r="892" spans="1:15" ht="13.35" customHeight="1">
      <c r="A892" s="838" t="s">
        <v>48</v>
      </c>
      <c r="B892" s="1762">
        <f>'Part VII-Pro Forma'!B82</f>
        <v>0</v>
      </c>
      <c r="C892" s="1762">
        <f>'Part VII-Pro Forma'!C82</f>
        <v>0</v>
      </c>
      <c r="D892" s="1762">
        <f>'Part VII-Pro Forma'!D82</f>
        <v>0</v>
      </c>
      <c r="E892" s="1762">
        <f>'Part VII-Pro Forma'!E82</f>
        <v>0</v>
      </c>
      <c r="F892" s="1762">
        <f>'Part VII-Pro Forma'!F82</f>
        <v>0</v>
      </c>
      <c r="G892" s="1762">
        <f>'Part VII-Pro Forma'!G82</f>
        <v>0</v>
      </c>
      <c r="H892" s="1762">
        <f>'Part VII-Pro Forma'!H82</f>
        <v>0</v>
      </c>
      <c r="I892" s="1762">
        <f>'Part VII-Pro Forma'!I82</f>
        <v>0</v>
      </c>
      <c r="J892" s="1762">
        <f>'Part VII-Pro Forma'!J82</f>
        <v>0</v>
      </c>
      <c r="K892" s="1762">
        <f>'Part VII-Pro Forma'!K82</f>
        <v>0</v>
      </c>
      <c r="N892" s="1614"/>
      <c r="O892" s="1614"/>
    </row>
    <row r="893" spans="1:15" ht="13.35" customHeight="1">
      <c r="A893" s="838" t="s">
        <v>3423</v>
      </c>
      <c r="B893" s="1762">
        <f>SUM(B888:B892)</f>
        <v>0</v>
      </c>
      <c r="C893" s="1762">
        <f t="shared" ref="C893:K893" si="390">SUM(C888:C892)</f>
        <v>0</v>
      </c>
      <c r="D893" s="1762">
        <f t="shared" si="390"/>
        <v>0</v>
      </c>
      <c r="E893" s="1762">
        <f t="shared" si="390"/>
        <v>0</v>
      </c>
      <c r="F893" s="1762">
        <f t="shared" si="390"/>
        <v>0</v>
      </c>
      <c r="G893" s="1762">
        <f t="shared" si="390"/>
        <v>0</v>
      </c>
      <c r="H893" s="1762">
        <f t="shared" si="390"/>
        <v>0</v>
      </c>
      <c r="I893" s="1762">
        <f t="shared" si="390"/>
        <v>0</v>
      </c>
      <c r="J893" s="1762">
        <f t="shared" si="390"/>
        <v>0</v>
      </c>
      <c r="K893" s="1762">
        <f t="shared" si="390"/>
        <v>0</v>
      </c>
      <c r="N893" s="1614"/>
      <c r="O893" s="1614"/>
    </row>
    <row r="894" spans="1:15" ht="13.35" customHeight="1">
      <c r="A894" s="838" t="s">
        <v>571</v>
      </c>
      <c r="B894" s="1762">
        <f>'Part VII-Pro Forma'!B84</f>
        <v>0</v>
      </c>
      <c r="C894" s="1762">
        <f>'Part VII-Pro Forma'!C84</f>
        <v>0</v>
      </c>
      <c r="D894" s="1762">
        <f>'Part VII-Pro Forma'!D84</f>
        <v>0</v>
      </c>
      <c r="E894" s="1762">
        <f>'Part VII-Pro Forma'!E84</f>
        <v>0</v>
      </c>
      <c r="F894" s="1762">
        <f>'Part VII-Pro Forma'!F84</f>
        <v>0</v>
      </c>
      <c r="G894" s="1762">
        <f>'Part VII-Pro Forma'!G84</f>
        <v>0</v>
      </c>
      <c r="H894" s="1762">
        <f>'Part VII-Pro Forma'!H84</f>
        <v>0</v>
      </c>
      <c r="I894" s="1762">
        <f>'Part VII-Pro Forma'!I84</f>
        <v>0</v>
      </c>
      <c r="J894" s="1762">
        <f>'Part VII-Pro Forma'!J84</f>
        <v>0</v>
      </c>
      <c r="K894" s="1762">
        <f>'Part VII-Pro Forma'!K84</f>
        <v>0</v>
      </c>
      <c r="N894" s="1614"/>
      <c r="O894" s="1614"/>
    </row>
    <row r="895" spans="1:15" ht="13.35" customHeight="1">
      <c r="A895" s="838" t="s">
        <v>1035</v>
      </c>
      <c r="B895" s="1762" t="str">
        <f>'Part VII-Pro Forma'!B85</f>
        <v>Choose mgt fee</v>
      </c>
      <c r="C895" s="1762" t="str">
        <f>'Part VII-Pro Forma'!C85</f>
        <v>Choose mgt fee</v>
      </c>
      <c r="D895" s="1762" t="str">
        <f>'Part VII-Pro Forma'!D85</f>
        <v>Choose mgt fee</v>
      </c>
      <c r="E895" s="1762" t="str">
        <f>'Part VII-Pro Forma'!E85</f>
        <v>Choose mgt fee</v>
      </c>
      <c r="F895" s="1762" t="str">
        <f>'Part VII-Pro Forma'!F85</f>
        <v>Choose mgt fee</v>
      </c>
      <c r="G895" s="1762" t="str">
        <f>'Part VII-Pro Forma'!G85</f>
        <v>Choose mgt fee</v>
      </c>
      <c r="H895" s="1762" t="str">
        <f>'Part VII-Pro Forma'!H85</f>
        <v>Choose mgt fee</v>
      </c>
      <c r="I895" s="1762" t="str">
        <f>'Part VII-Pro Forma'!I85</f>
        <v>Choose mgt fee</v>
      </c>
      <c r="J895" s="1762" t="str">
        <f>'Part VII-Pro Forma'!J85</f>
        <v>Choose mgt fee</v>
      </c>
      <c r="K895" s="1762" t="str">
        <f>'Part VII-Pro Forma'!K85</f>
        <v>Choose mgt fee</v>
      </c>
      <c r="N895" s="1614"/>
      <c r="O895" s="1614"/>
    </row>
    <row r="896" spans="1:15" ht="13.35" customHeight="1">
      <c r="A896" s="838" t="s">
        <v>1110</v>
      </c>
      <c r="B896" s="1762">
        <f>'Part VII-Pro Forma'!B86</f>
        <v>0</v>
      </c>
      <c r="C896" s="1762">
        <f>'Part VII-Pro Forma'!C86</f>
        <v>0</v>
      </c>
      <c r="D896" s="1762">
        <f>'Part VII-Pro Forma'!D86</f>
        <v>0</v>
      </c>
      <c r="E896" s="1762">
        <f>'Part VII-Pro Forma'!E86</f>
        <v>0</v>
      </c>
      <c r="F896" s="1762">
        <f>'Part VII-Pro Forma'!F86</f>
        <v>0</v>
      </c>
      <c r="G896" s="1762">
        <f>'Part VII-Pro Forma'!G86</f>
        <v>0</v>
      </c>
      <c r="H896" s="1762">
        <f>'Part VII-Pro Forma'!H86</f>
        <v>0</v>
      </c>
      <c r="I896" s="1762">
        <f>'Part VII-Pro Forma'!I86</f>
        <v>0</v>
      </c>
      <c r="J896" s="1762">
        <f>'Part VII-Pro Forma'!J86</f>
        <v>0</v>
      </c>
      <c r="K896" s="1762">
        <f>'Part VII-Pro Forma'!K86</f>
        <v>0</v>
      </c>
      <c r="N896" s="1614"/>
      <c r="O896" s="1614"/>
    </row>
    <row r="897" spans="1:19" ht="13.35" customHeight="1">
      <c r="A897" s="838" t="s">
        <v>3424</v>
      </c>
      <c r="B897" s="1762">
        <f>'Part VII-Pro Forma'!B87</f>
        <v>0</v>
      </c>
      <c r="C897" s="1762">
        <f>'Part VII-Pro Forma'!C87</f>
        <v>0</v>
      </c>
      <c r="D897" s="1762">
        <f>'Part VII-Pro Forma'!D87</f>
        <v>0</v>
      </c>
      <c r="E897" s="1762">
        <f>'Part VII-Pro Forma'!E87</f>
        <v>0</v>
      </c>
      <c r="F897" s="1762">
        <f>'Part VII-Pro Forma'!F87</f>
        <v>0</v>
      </c>
      <c r="G897" s="1762">
        <f>'Part VII-Pro Forma'!G87</f>
        <v>0</v>
      </c>
      <c r="H897" s="1762">
        <f>'Part VII-Pro Forma'!H87</f>
        <v>0</v>
      </c>
      <c r="I897" s="1762">
        <f>'Part VII-Pro Forma'!I87</f>
        <v>0</v>
      </c>
      <c r="J897" s="1762">
        <f>'Part VII-Pro Forma'!J87</f>
        <v>0</v>
      </c>
      <c r="K897" s="1762">
        <f>'Part VII-Pro Forma'!K87</f>
        <v>0</v>
      </c>
      <c r="N897" s="1614"/>
      <c r="O897" s="1614"/>
      <c r="Q897" s="1764"/>
      <c r="R897" s="1765"/>
      <c r="S897" s="1765"/>
    </row>
    <row r="898" spans="1:19" ht="13.35" customHeight="1">
      <c r="A898" s="838" t="s">
        <v>1111</v>
      </c>
      <c r="B898" s="1762">
        <f>SUM(B893:B897)</f>
        <v>0</v>
      </c>
      <c r="C898" s="1762">
        <f t="shared" ref="C898:J898" si="391">SUM(C893:C897)</f>
        <v>0</v>
      </c>
      <c r="D898" s="1762">
        <f t="shared" si="391"/>
        <v>0</v>
      </c>
      <c r="E898" s="1762">
        <f t="shared" si="391"/>
        <v>0</v>
      </c>
      <c r="F898" s="1762">
        <f t="shared" si="391"/>
        <v>0</v>
      </c>
      <c r="G898" s="1762">
        <f t="shared" si="391"/>
        <v>0</v>
      </c>
      <c r="H898" s="1762">
        <f t="shared" si="391"/>
        <v>0</v>
      </c>
      <c r="I898" s="1762">
        <f t="shared" si="391"/>
        <v>0</v>
      </c>
      <c r="J898" s="1762">
        <f t="shared" si="391"/>
        <v>0</v>
      </c>
      <c r="K898" s="1762">
        <f>SUM(K893:K897)</f>
        <v>0</v>
      </c>
      <c r="N898" s="1614"/>
      <c r="O898" s="1614"/>
    </row>
    <row r="899" spans="1:19" ht="13.35" customHeight="1">
      <c r="A899" s="838" t="str">
        <f>$A867</f>
        <v>Mortgage A</v>
      </c>
      <c r="B899" s="1762">
        <f>'Part VII-Pro Forma'!B89</f>
        <v>0</v>
      </c>
      <c r="C899" s="1762">
        <f>'Part VII-Pro Forma'!C89</f>
        <v>0</v>
      </c>
      <c r="D899" s="1762">
        <f>'Part VII-Pro Forma'!D89</f>
        <v>0</v>
      </c>
      <c r="E899" s="1762">
        <f>'Part VII-Pro Forma'!E89</f>
        <v>0</v>
      </c>
      <c r="F899" s="1762">
        <f>'Part VII-Pro Forma'!F89</f>
        <v>0</v>
      </c>
      <c r="G899" s="1762">
        <f>'Part VII-Pro Forma'!G89</f>
        <v>0</v>
      </c>
      <c r="H899" s="1762">
        <f>'Part VII-Pro Forma'!H89</f>
        <v>0</v>
      </c>
      <c r="I899" s="1762">
        <f>'Part VII-Pro Forma'!I89</f>
        <v>0</v>
      </c>
      <c r="J899" s="1762">
        <f>'Part VII-Pro Forma'!J89</f>
        <v>0</v>
      </c>
      <c r="K899" s="1762">
        <f>'Part VII-Pro Forma'!K89</f>
        <v>0</v>
      </c>
      <c r="N899" s="1614"/>
      <c r="O899" s="1614"/>
    </row>
    <row r="900" spans="1:19" ht="13.35" customHeight="1">
      <c r="A900" s="838" t="str">
        <f>$A868</f>
        <v>Mortgage B</v>
      </c>
      <c r="B900" s="1762">
        <f>'Part VII-Pro Forma'!B90</f>
        <v>0</v>
      </c>
      <c r="C900" s="1762">
        <f>'Part VII-Pro Forma'!C90</f>
        <v>0</v>
      </c>
      <c r="D900" s="1762">
        <f>'Part VII-Pro Forma'!D90</f>
        <v>0</v>
      </c>
      <c r="E900" s="1762">
        <f>'Part VII-Pro Forma'!E90</f>
        <v>0</v>
      </c>
      <c r="F900" s="1762">
        <f>'Part VII-Pro Forma'!F90</f>
        <v>0</v>
      </c>
      <c r="G900" s="1762">
        <f>'Part VII-Pro Forma'!G90</f>
        <v>0</v>
      </c>
      <c r="H900" s="1762">
        <f>'Part VII-Pro Forma'!H90</f>
        <v>0</v>
      </c>
      <c r="I900" s="1762">
        <f>'Part VII-Pro Forma'!I90</f>
        <v>0</v>
      </c>
      <c r="J900" s="1762">
        <f>'Part VII-Pro Forma'!J90</f>
        <v>0</v>
      </c>
      <c r="K900" s="1762">
        <f>'Part VII-Pro Forma'!K90</f>
        <v>0</v>
      </c>
      <c r="N900" s="1614"/>
      <c r="O900" s="1614"/>
    </row>
    <row r="901" spans="1:19" ht="13.35" customHeight="1">
      <c r="A901" s="838" t="str">
        <f>$A869</f>
        <v>Mortgage C</v>
      </c>
      <c r="B901" s="1762">
        <f>'Part VII-Pro Forma'!B91</f>
        <v>0</v>
      </c>
      <c r="C901" s="1762">
        <f>'Part VII-Pro Forma'!C91</f>
        <v>0</v>
      </c>
      <c r="D901" s="1762">
        <f>'Part VII-Pro Forma'!D91</f>
        <v>0</v>
      </c>
      <c r="E901" s="1762">
        <f>'Part VII-Pro Forma'!E91</f>
        <v>0</v>
      </c>
      <c r="F901" s="1762">
        <f>'Part VII-Pro Forma'!F91</f>
        <v>0</v>
      </c>
      <c r="G901" s="1762">
        <f>'Part VII-Pro Forma'!G91</f>
        <v>0</v>
      </c>
      <c r="H901" s="1762">
        <f>'Part VII-Pro Forma'!H91</f>
        <v>0</v>
      </c>
      <c r="I901" s="1762">
        <f>'Part VII-Pro Forma'!I91</f>
        <v>0</v>
      </c>
      <c r="J901" s="1762">
        <f>'Part VII-Pro Forma'!J91</f>
        <v>0</v>
      </c>
      <c r="K901" s="1762">
        <f>'Part VII-Pro Forma'!K91</f>
        <v>0</v>
      </c>
      <c r="N901" s="1614"/>
      <c r="O901" s="1614"/>
    </row>
    <row r="902" spans="1:19" ht="13.35" customHeight="1">
      <c r="A902" s="838" t="str">
        <f>$A870</f>
        <v>D/S Other Source,not DDF</v>
      </c>
      <c r="B902" s="1762">
        <f>'Part VII-Pro Forma'!B92</f>
        <v>0</v>
      </c>
      <c r="C902" s="1762">
        <f>'Part VII-Pro Forma'!C92</f>
        <v>0</v>
      </c>
      <c r="D902" s="1762">
        <f>'Part VII-Pro Forma'!D92</f>
        <v>0</v>
      </c>
      <c r="E902" s="1762">
        <f>'Part VII-Pro Forma'!E92</f>
        <v>0</v>
      </c>
      <c r="F902" s="1762">
        <f>'Part VII-Pro Forma'!F92</f>
        <v>0</v>
      </c>
      <c r="G902" s="1762">
        <f>'Part VII-Pro Forma'!G92</f>
        <v>0</v>
      </c>
      <c r="H902" s="1762">
        <f>'Part VII-Pro Forma'!H92</f>
        <v>0</v>
      </c>
      <c r="I902" s="1762">
        <f>'Part VII-Pro Forma'!I92</f>
        <v>0</v>
      </c>
      <c r="J902" s="1762">
        <f>'Part VII-Pro Forma'!J92</f>
        <v>0</v>
      </c>
      <c r="K902" s="1762">
        <f>'Part VII-Pro Forma'!K92</f>
        <v>0</v>
      </c>
      <c r="N902" s="1614"/>
      <c r="O902" s="1614"/>
    </row>
    <row r="903" spans="1:19" ht="13.35" customHeight="1">
      <c r="A903" s="838" t="s">
        <v>706</v>
      </c>
      <c r="B903" s="1762">
        <f>'Part VII-Pro Forma'!B93</f>
        <v>0</v>
      </c>
      <c r="C903" s="1762">
        <f>'Part VII-Pro Forma'!C93</f>
        <v>0</v>
      </c>
      <c r="D903" s="1762">
        <f>'Part VII-Pro Forma'!D93</f>
        <v>0</v>
      </c>
      <c r="E903" s="1762">
        <f>'Part VII-Pro Forma'!E93</f>
        <v>0</v>
      </c>
      <c r="F903" s="1762">
        <f>'Part VII-Pro Forma'!F93</f>
        <v>0</v>
      </c>
      <c r="G903" s="1762">
        <f>'Part VII-Pro Forma'!G93</f>
        <v>0</v>
      </c>
      <c r="H903" s="1762">
        <f>'Part VII-Pro Forma'!H93</f>
        <v>0</v>
      </c>
      <c r="I903" s="1762">
        <f>'Part VII-Pro Forma'!I93</f>
        <v>0</v>
      </c>
      <c r="J903" s="1762">
        <f>'Part VII-Pro Forma'!J93</f>
        <v>0</v>
      </c>
      <c r="K903" s="1762">
        <f>'Part VII-Pro Forma'!K93</f>
        <v>0</v>
      </c>
      <c r="N903" s="1614"/>
      <c r="O903" s="1614"/>
    </row>
    <row r="904" spans="1:19" ht="13.35" customHeight="1">
      <c r="A904" s="838" t="s">
        <v>1079</v>
      </c>
      <c r="B904" s="1762">
        <f>'Part VII-Pro Forma'!B94</f>
        <v>0</v>
      </c>
      <c r="C904" s="1762">
        <f>'Part VII-Pro Forma'!C94</f>
        <v>0</v>
      </c>
      <c r="D904" s="1762">
        <f>'Part VII-Pro Forma'!D94</f>
        <v>0</v>
      </c>
      <c r="E904" s="1762">
        <f>'Part VII-Pro Forma'!E94</f>
        <v>0</v>
      </c>
      <c r="F904" s="1762">
        <f>'Part VII-Pro Forma'!F94</f>
        <v>0</v>
      </c>
      <c r="G904" s="1762">
        <f>'Part VII-Pro Forma'!G94</f>
        <v>0</v>
      </c>
      <c r="H904" s="1762">
        <f>'Part VII-Pro Forma'!H94</f>
        <v>0</v>
      </c>
      <c r="I904" s="1762">
        <f>'Part VII-Pro Forma'!I94</f>
        <v>0</v>
      </c>
      <c r="J904" s="1762">
        <f>'Part VII-Pro Forma'!J94</f>
        <v>0</v>
      </c>
      <c r="K904" s="1762">
        <f>'Part VII-Pro Forma'!K94</f>
        <v>0</v>
      </c>
      <c r="N904" s="1614"/>
      <c r="O904" s="1614"/>
    </row>
    <row r="905" spans="1:19" ht="13.35" customHeight="1">
      <c r="A905" s="838" t="s">
        <v>1080</v>
      </c>
      <c r="B905" s="1762">
        <f>'Part VII-Pro Forma'!B95</f>
        <v>0</v>
      </c>
      <c r="C905" s="1762">
        <f>'Part VII-Pro Forma'!C95</f>
        <v>0</v>
      </c>
      <c r="D905" s="1762">
        <f>'Part VII-Pro Forma'!D95</f>
        <v>0</v>
      </c>
      <c r="E905" s="1762">
        <f>'Part VII-Pro Forma'!E95</f>
        <v>0</v>
      </c>
      <c r="F905" s="1762">
        <f>'Part VII-Pro Forma'!F95</f>
        <v>0</v>
      </c>
      <c r="G905" s="1762">
        <f>'Part VII-Pro Forma'!G95</f>
        <v>0</v>
      </c>
      <c r="H905" s="1762">
        <f>'Part VII-Pro Forma'!H95</f>
        <v>0</v>
      </c>
      <c r="I905" s="1762">
        <f>'Part VII-Pro Forma'!I95</f>
        <v>0</v>
      </c>
      <c r="J905" s="1762">
        <f>'Part VII-Pro Forma'!J95</f>
        <v>0</v>
      </c>
      <c r="K905" s="1762">
        <f>'Part VII-Pro Forma'!K95</f>
        <v>0</v>
      </c>
      <c r="N905" s="1614"/>
      <c r="O905" s="1614"/>
    </row>
    <row r="906" spans="1:19" ht="13.35" customHeight="1">
      <c r="A906" s="838" t="str">
        <f>$A875</f>
        <v>DCR Mortgage A</v>
      </c>
      <c r="B906" s="1766">
        <f t="shared" ref="B906:K906" si="392">SUM(B898:B905)</f>
        <v>0</v>
      </c>
      <c r="C906" s="1766">
        <f t="shared" si="392"/>
        <v>0</v>
      </c>
      <c r="D906" s="1766">
        <f t="shared" si="392"/>
        <v>0</v>
      </c>
      <c r="E906" s="1766">
        <f t="shared" si="392"/>
        <v>0</v>
      </c>
      <c r="F906" s="1766">
        <f t="shared" si="392"/>
        <v>0</v>
      </c>
      <c r="G906" s="1766">
        <f t="shared" si="392"/>
        <v>0</v>
      </c>
      <c r="H906" s="1766">
        <f t="shared" si="392"/>
        <v>0</v>
      </c>
      <c r="I906" s="1766">
        <f t="shared" si="392"/>
        <v>0</v>
      </c>
      <c r="J906" s="1766">
        <f t="shared" si="392"/>
        <v>0</v>
      </c>
      <c r="K906" s="1766">
        <f t="shared" si="392"/>
        <v>0</v>
      </c>
      <c r="N906" s="1614"/>
      <c r="O906" s="1614"/>
    </row>
    <row r="907" spans="1:19" ht="13.35" customHeight="1">
      <c r="A907" s="838" t="str">
        <f>$A876</f>
        <v>DCR Mortgage B</v>
      </c>
      <c r="B907" s="1766" t="str">
        <f t="shared" ref="B907:K907" si="393">IF(B899=0,"",-B898/B899)</f>
        <v/>
      </c>
      <c r="C907" s="1766" t="str">
        <f t="shared" si="393"/>
        <v/>
      </c>
      <c r="D907" s="1766" t="str">
        <f t="shared" si="393"/>
        <v/>
      </c>
      <c r="E907" s="1766" t="str">
        <f t="shared" si="393"/>
        <v/>
      </c>
      <c r="F907" s="1766" t="str">
        <f t="shared" si="393"/>
        <v/>
      </c>
      <c r="G907" s="1766" t="str">
        <f t="shared" si="393"/>
        <v/>
      </c>
      <c r="H907" s="1766" t="str">
        <f t="shared" si="393"/>
        <v/>
      </c>
      <c r="I907" s="1766" t="str">
        <f t="shared" si="393"/>
        <v/>
      </c>
      <c r="J907" s="1766" t="str">
        <f t="shared" si="393"/>
        <v/>
      </c>
      <c r="K907" s="1766" t="str">
        <f t="shared" si="393"/>
        <v/>
      </c>
      <c r="N907" s="1614"/>
      <c r="O907" s="1614"/>
    </row>
    <row r="908" spans="1:19" ht="13.35" customHeight="1">
      <c r="A908" s="838" t="str">
        <f>$A877</f>
        <v>DCR Mortgage C</v>
      </c>
      <c r="B908" s="1766" t="str">
        <f t="shared" ref="B908:K908" si="394">IF(B900=0,"",-(B898+B899)/B900)</f>
        <v/>
      </c>
      <c r="C908" s="1766" t="str">
        <f t="shared" si="394"/>
        <v/>
      </c>
      <c r="D908" s="1766" t="str">
        <f t="shared" si="394"/>
        <v/>
      </c>
      <c r="E908" s="1766" t="str">
        <f t="shared" si="394"/>
        <v/>
      </c>
      <c r="F908" s="1766" t="str">
        <f t="shared" si="394"/>
        <v/>
      </c>
      <c r="G908" s="1766" t="str">
        <f t="shared" si="394"/>
        <v/>
      </c>
      <c r="H908" s="1766" t="str">
        <f t="shared" si="394"/>
        <v/>
      </c>
      <c r="I908" s="1766" t="str">
        <f t="shared" si="394"/>
        <v/>
      </c>
      <c r="J908" s="1766" t="str">
        <f t="shared" si="394"/>
        <v/>
      </c>
      <c r="K908" s="1766" t="str">
        <f t="shared" si="394"/>
        <v/>
      </c>
      <c r="N908" s="1614"/>
      <c r="O908" s="1614"/>
    </row>
    <row r="909" spans="1:19" ht="13.35" customHeight="1">
      <c r="A909" s="838" t="str">
        <f>$A878</f>
        <v>DCR Other Source</v>
      </c>
      <c r="B909" s="1766" t="str">
        <f t="shared" ref="B909:K909" si="395">IF(B901=0,"",-(B898+B899+B900)/B901)</f>
        <v/>
      </c>
      <c r="C909" s="1766" t="str">
        <f t="shared" si="395"/>
        <v/>
      </c>
      <c r="D909" s="1766" t="str">
        <f t="shared" si="395"/>
        <v/>
      </c>
      <c r="E909" s="1766" t="str">
        <f t="shared" si="395"/>
        <v/>
      </c>
      <c r="F909" s="1766" t="str">
        <f t="shared" si="395"/>
        <v/>
      </c>
      <c r="G909" s="1766" t="str">
        <f t="shared" si="395"/>
        <v/>
      </c>
      <c r="H909" s="1766" t="str">
        <f t="shared" si="395"/>
        <v/>
      </c>
      <c r="I909" s="1766" t="str">
        <f t="shared" si="395"/>
        <v/>
      </c>
      <c r="J909" s="1766" t="str">
        <f t="shared" si="395"/>
        <v/>
      </c>
      <c r="K909" s="1766" t="str">
        <f t="shared" si="395"/>
        <v/>
      </c>
      <c r="N909" s="1614"/>
      <c r="O909" s="1614"/>
    </row>
    <row r="910" spans="1:19" ht="13.35" customHeight="1">
      <c r="A910" s="838" t="s">
        <v>3426</v>
      </c>
      <c r="B910" s="1766" t="str">
        <f t="shared" ref="B910:K910" si="396">IF(B902=0,"",-(B898+B899+B900+B901)/B902)</f>
        <v/>
      </c>
      <c r="C910" s="1766" t="str">
        <f t="shared" si="396"/>
        <v/>
      </c>
      <c r="D910" s="1766" t="str">
        <f t="shared" si="396"/>
        <v/>
      </c>
      <c r="E910" s="1766" t="str">
        <f t="shared" si="396"/>
        <v/>
      </c>
      <c r="F910" s="1766" t="str">
        <f t="shared" si="396"/>
        <v/>
      </c>
      <c r="G910" s="1766" t="str">
        <f t="shared" si="396"/>
        <v/>
      </c>
      <c r="H910" s="1766" t="str">
        <f t="shared" si="396"/>
        <v/>
      </c>
      <c r="I910" s="1766" t="str">
        <f t="shared" si="396"/>
        <v/>
      </c>
      <c r="J910" s="1766" t="str">
        <f t="shared" si="396"/>
        <v/>
      </c>
      <c r="K910" s="1766" t="str">
        <f t="shared" si="396"/>
        <v/>
      </c>
      <c r="N910" s="1614"/>
      <c r="O910" s="1614"/>
    </row>
    <row r="911" spans="1:19" ht="13.35" customHeight="1">
      <c r="A911" s="838" t="s">
        <v>713</v>
      </c>
      <c r="B911" s="1767" t="str">
        <f t="shared" ref="B911:K911" si="397">IF(AND(B899=0,B900=0,B901=0,B902=0),"",-B898/(B899+B900+B901+B902))</f>
        <v/>
      </c>
      <c r="C911" s="1767" t="str">
        <f t="shared" si="397"/>
        <v/>
      </c>
      <c r="D911" s="1767" t="str">
        <f t="shared" si="397"/>
        <v/>
      </c>
      <c r="E911" s="1767" t="str">
        <f t="shared" si="397"/>
        <v/>
      </c>
      <c r="F911" s="1767" t="str">
        <f t="shared" si="397"/>
        <v/>
      </c>
      <c r="G911" s="1767" t="str">
        <f t="shared" si="397"/>
        <v/>
      </c>
      <c r="H911" s="1767" t="str">
        <f t="shared" si="397"/>
        <v/>
      </c>
      <c r="I911" s="1767" t="str">
        <f t="shared" si="397"/>
        <v/>
      </c>
      <c r="J911" s="1767" t="str">
        <f t="shared" si="397"/>
        <v/>
      </c>
      <c r="K911" s="1767" t="str">
        <f t="shared" si="397"/>
        <v/>
      </c>
      <c r="N911" s="1614"/>
      <c r="O911" s="1614"/>
    </row>
    <row r="912" spans="1:19" ht="13.35" customHeight="1">
      <c r="A912" s="838" t="s">
        <v>2326</v>
      </c>
      <c r="B912" s="1762" t="str">
        <f t="shared" ref="B912:K912" si="398">IF(OR(B895="Choose mgt fee",B895="Choose One!"),"",(B888+B889+B890+B891+B892) / -(B894+B895+B896))</f>
        <v/>
      </c>
      <c r="C912" s="1762" t="str">
        <f t="shared" si="398"/>
        <v/>
      </c>
      <c r="D912" s="1762" t="str">
        <f t="shared" si="398"/>
        <v/>
      </c>
      <c r="E912" s="1762" t="str">
        <f t="shared" si="398"/>
        <v/>
      </c>
      <c r="F912" s="1762" t="str">
        <f t="shared" si="398"/>
        <v/>
      </c>
      <c r="G912" s="1762" t="str">
        <f t="shared" si="398"/>
        <v/>
      </c>
      <c r="H912" s="1762" t="str">
        <f t="shared" si="398"/>
        <v/>
      </c>
      <c r="I912" s="1762" t="str">
        <f t="shared" si="398"/>
        <v/>
      </c>
      <c r="J912" s="1762" t="str">
        <f t="shared" si="398"/>
        <v/>
      </c>
      <c r="K912" s="1762" t="str">
        <f t="shared" si="398"/>
        <v/>
      </c>
      <c r="N912" s="1614"/>
      <c r="O912" s="1614"/>
    </row>
    <row r="913" spans="1:19" ht="13.35" customHeight="1">
      <c r="A913" s="838" t="s">
        <v>2327</v>
      </c>
      <c r="B913" s="1762" t="str">
        <f>'Part VII-Pro Forma'!B103</f>
        <v/>
      </c>
      <c r="C913" s="1762" t="str">
        <f>'Part VII-Pro Forma'!C103</f>
        <v/>
      </c>
      <c r="D913" s="1762" t="str">
        <f>'Part VII-Pro Forma'!D103</f>
        <v/>
      </c>
      <c r="E913" s="1762" t="str">
        <f>'Part VII-Pro Forma'!E103</f>
        <v/>
      </c>
      <c r="F913" s="1762" t="str">
        <f>'Part VII-Pro Forma'!F103</f>
        <v/>
      </c>
      <c r="G913" s="1762" t="str">
        <f>'Part VII-Pro Forma'!G103</f>
        <v/>
      </c>
      <c r="H913" s="1762" t="str">
        <f>'Part VII-Pro Forma'!H103</f>
        <v/>
      </c>
      <c r="I913" s="1762" t="str">
        <f>'Part VII-Pro Forma'!I103</f>
        <v/>
      </c>
      <c r="J913" s="1762" t="str">
        <f>'Part VII-Pro Forma'!J103</f>
        <v/>
      </c>
      <c r="K913" s="1762" t="str">
        <f>'Part VII-Pro Forma'!K103</f>
        <v/>
      </c>
      <c r="N913" s="1614"/>
      <c r="O913" s="1614"/>
    </row>
    <row r="914" spans="1:19" ht="13.35" customHeight="1">
      <c r="A914" s="838" t="s">
        <v>2328</v>
      </c>
      <c r="B914" s="1762" t="str">
        <f>'Part VII-Pro Forma'!B104</f>
        <v/>
      </c>
      <c r="C914" s="1762" t="str">
        <f>'Part VII-Pro Forma'!C104</f>
        <v/>
      </c>
      <c r="D914" s="1762" t="str">
        <f>'Part VII-Pro Forma'!D104</f>
        <v/>
      </c>
      <c r="E914" s="1762" t="str">
        <f>'Part VII-Pro Forma'!E104</f>
        <v/>
      </c>
      <c r="F914" s="1762" t="str">
        <f>'Part VII-Pro Forma'!F104</f>
        <v/>
      </c>
      <c r="G914" s="1762" t="str">
        <f>'Part VII-Pro Forma'!G104</f>
        <v/>
      </c>
      <c r="H914" s="1762" t="str">
        <f>'Part VII-Pro Forma'!H104</f>
        <v/>
      </c>
      <c r="I914" s="1762" t="str">
        <f>'Part VII-Pro Forma'!I104</f>
        <v/>
      </c>
      <c r="J914" s="1762" t="str">
        <f>'Part VII-Pro Forma'!J104</f>
        <v/>
      </c>
      <c r="K914" s="1762" t="str">
        <f>'Part VII-Pro Forma'!K104</f>
        <v/>
      </c>
      <c r="N914" s="1614"/>
      <c r="O914" s="1614"/>
    </row>
    <row r="915" spans="1:19" ht="13.35" customHeight="1">
      <c r="A915" s="838" t="s">
        <v>724</v>
      </c>
      <c r="B915" s="1762" t="str">
        <f>'Part VII-Pro Forma'!B105</f>
        <v/>
      </c>
      <c r="C915" s="1762" t="str">
        <f>'Part VII-Pro Forma'!C105</f>
        <v/>
      </c>
      <c r="D915" s="1762" t="str">
        <f>'Part VII-Pro Forma'!D105</f>
        <v/>
      </c>
      <c r="E915" s="1762" t="str">
        <f>'Part VII-Pro Forma'!E105</f>
        <v/>
      </c>
      <c r="F915" s="1762" t="str">
        <f>'Part VII-Pro Forma'!F105</f>
        <v/>
      </c>
      <c r="G915" s="1762" t="str">
        <f>'Part VII-Pro Forma'!G105</f>
        <v/>
      </c>
      <c r="H915" s="1762" t="str">
        <f>'Part VII-Pro Forma'!H105</f>
        <v/>
      </c>
      <c r="I915" s="1762" t="str">
        <f>'Part VII-Pro Forma'!I105</f>
        <v/>
      </c>
      <c r="J915" s="1762" t="str">
        <f>'Part VII-Pro Forma'!J105</f>
        <v/>
      </c>
      <c r="K915" s="1762" t="str">
        <f>'Part VII-Pro Forma'!K105</f>
        <v/>
      </c>
      <c r="N915" s="1614"/>
      <c r="O915" s="1614"/>
    </row>
    <row r="916" spans="1:19" ht="4.3499999999999996" customHeight="1">
      <c r="B916" s="1762">
        <f>'Part VII-Pro Forma'!B106</f>
        <v>0</v>
      </c>
      <c r="C916" s="1762">
        <f>'Part VII-Pro Forma'!C106</f>
        <v>0</v>
      </c>
      <c r="D916" s="1762">
        <f>'Part VII-Pro Forma'!D106</f>
        <v>0</v>
      </c>
      <c r="E916" s="1762">
        <f>'Part VII-Pro Forma'!E106</f>
        <v>0</v>
      </c>
      <c r="F916" s="1762">
        <f>'Part VII-Pro Forma'!F106</f>
        <v>0</v>
      </c>
      <c r="G916" s="1762">
        <f>'Part VII-Pro Forma'!G106</f>
        <v>0</v>
      </c>
      <c r="H916" s="1762">
        <f>'Part VII-Pro Forma'!H106</f>
        <v>0</v>
      </c>
      <c r="I916" s="1762">
        <f>'Part VII-Pro Forma'!I106</f>
        <v>0</v>
      </c>
      <c r="J916" s="1762">
        <f>'Part VII-Pro Forma'!J106</f>
        <v>0</v>
      </c>
      <c r="K916" s="1762">
        <f>'Part VII-Pro Forma'!K106</f>
        <v>0</v>
      </c>
    </row>
    <row r="917" spans="1:19" ht="14.45" customHeight="1">
      <c r="A917" s="838" t="s">
        <v>2199</v>
      </c>
      <c r="B917" s="1762">
        <f>'Part VII-Pro Forma'!B107</f>
        <v>31</v>
      </c>
      <c r="C917" s="1762">
        <f>'Part VII-Pro Forma'!C107</f>
        <v>32</v>
      </c>
      <c r="D917" s="1762">
        <f>'Part VII-Pro Forma'!D107</f>
        <v>33</v>
      </c>
      <c r="E917" s="1762">
        <f>'Part VII-Pro Forma'!E107</f>
        <v>34</v>
      </c>
      <c r="F917" s="1762">
        <f>'Part VII-Pro Forma'!F107</f>
        <v>35</v>
      </c>
      <c r="G917" s="1762">
        <f>'Part VII-Pro Forma'!G107</f>
        <v>0</v>
      </c>
      <c r="H917" s="1762">
        <f>'Part VII-Pro Forma'!H107</f>
        <v>0</v>
      </c>
      <c r="I917" s="1762">
        <f>'Part VII-Pro Forma'!I107</f>
        <v>0</v>
      </c>
      <c r="J917" s="1762">
        <f>'Part VII-Pro Forma'!J107</f>
        <v>0</v>
      </c>
      <c r="K917" s="1762">
        <f>'Part VII-Pro Forma'!K107</f>
        <v>0</v>
      </c>
      <c r="N917" s="1596" t="s">
        <v>3213</v>
      </c>
      <c r="O917" s="1596"/>
    </row>
    <row r="918" spans="1:19" ht="13.35" customHeight="1">
      <c r="A918" s="838" t="s">
        <v>2133</v>
      </c>
      <c r="B918" s="1762">
        <f>'Part VII-Pro Forma'!B108</f>
        <v>0</v>
      </c>
      <c r="C918" s="1762">
        <f>'Part VII-Pro Forma'!C108</f>
        <v>0</v>
      </c>
      <c r="D918" s="1762">
        <f>'Part VII-Pro Forma'!D108</f>
        <v>0</v>
      </c>
      <c r="E918" s="1762">
        <f>'Part VII-Pro Forma'!E108</f>
        <v>0</v>
      </c>
      <c r="F918" s="1762">
        <f>'Part VII-Pro Forma'!F108</f>
        <v>0</v>
      </c>
      <c r="G918" s="1762"/>
      <c r="H918" s="1762"/>
      <c r="I918" s="1762"/>
      <c r="J918" s="1762"/>
      <c r="K918" s="1762"/>
      <c r="N918" s="1614"/>
      <c r="O918" s="1614"/>
    </row>
    <row r="919" spans="1:19" ht="13.35" customHeight="1">
      <c r="A919" s="838" t="s">
        <v>940</v>
      </c>
      <c r="B919" s="1762">
        <f>'Part VII-Pro Forma'!B109</f>
        <v>0</v>
      </c>
      <c r="C919" s="1762">
        <f>'Part VII-Pro Forma'!C109</f>
        <v>0</v>
      </c>
      <c r="D919" s="1762">
        <f>'Part VII-Pro Forma'!D109</f>
        <v>0</v>
      </c>
      <c r="E919" s="1762">
        <f>'Part VII-Pro Forma'!E109</f>
        <v>0</v>
      </c>
      <c r="F919" s="1762">
        <f>'Part VII-Pro Forma'!F109</f>
        <v>0</v>
      </c>
      <c r="G919" s="1762"/>
      <c r="H919" s="1762"/>
      <c r="I919" s="1762"/>
      <c r="J919" s="1762"/>
      <c r="K919" s="1762"/>
      <c r="N919" s="1614"/>
      <c r="O919" s="1614"/>
    </row>
    <row r="920" spans="1:19" ht="13.35" customHeight="1">
      <c r="A920" s="838" t="s">
        <v>2134</v>
      </c>
      <c r="B920" s="1762">
        <f>'Part VII-Pro Forma'!B110</f>
        <v>0</v>
      </c>
      <c r="C920" s="1762">
        <f>'Part VII-Pro Forma'!C110</f>
        <v>0</v>
      </c>
      <c r="D920" s="1762">
        <f>'Part VII-Pro Forma'!D110</f>
        <v>0</v>
      </c>
      <c r="E920" s="1762">
        <f>'Part VII-Pro Forma'!E110</f>
        <v>0</v>
      </c>
      <c r="F920" s="1762">
        <f>'Part VII-Pro Forma'!F110</f>
        <v>0</v>
      </c>
      <c r="G920" s="1762"/>
      <c r="H920" s="1762"/>
      <c r="I920" s="1762"/>
      <c r="J920" s="1762"/>
      <c r="K920" s="1762"/>
      <c r="N920" s="1614"/>
      <c r="O920" s="1614"/>
    </row>
    <row r="921" spans="1:19" ht="13.35" customHeight="1">
      <c r="A921" s="838" t="s">
        <v>47</v>
      </c>
      <c r="B921" s="1762">
        <f>'Part VII-Pro Forma'!B111</f>
        <v>0</v>
      </c>
      <c r="C921" s="1762">
        <f>'Part VII-Pro Forma'!C111</f>
        <v>0</v>
      </c>
      <c r="D921" s="1762">
        <f>'Part VII-Pro Forma'!D111</f>
        <v>0</v>
      </c>
      <c r="E921" s="1762">
        <f>'Part VII-Pro Forma'!E111</f>
        <v>0</v>
      </c>
      <c r="F921" s="1762">
        <f>'Part VII-Pro Forma'!F111</f>
        <v>0</v>
      </c>
      <c r="G921" s="1762"/>
      <c r="H921" s="1762"/>
      <c r="I921" s="1762"/>
      <c r="J921" s="1762"/>
      <c r="K921" s="1762"/>
      <c r="N921" s="1614"/>
      <c r="O921" s="1614"/>
    </row>
    <row r="922" spans="1:19" ht="13.35" customHeight="1">
      <c r="A922" s="838" t="s">
        <v>48</v>
      </c>
      <c r="B922" s="1762">
        <f>'Part VII-Pro Forma'!B112</f>
        <v>0</v>
      </c>
      <c r="C922" s="1762">
        <f>'Part VII-Pro Forma'!C112</f>
        <v>0</v>
      </c>
      <c r="D922" s="1762">
        <f>'Part VII-Pro Forma'!D112</f>
        <v>0</v>
      </c>
      <c r="E922" s="1762">
        <f>'Part VII-Pro Forma'!E112</f>
        <v>0</v>
      </c>
      <c r="F922" s="1762">
        <f>'Part VII-Pro Forma'!F112</f>
        <v>0</v>
      </c>
      <c r="G922" s="1762"/>
      <c r="H922" s="1762"/>
      <c r="I922" s="1762"/>
      <c r="J922" s="1762"/>
      <c r="K922" s="1762"/>
      <c r="N922" s="1614"/>
      <c r="O922" s="1614"/>
    </row>
    <row r="923" spans="1:19" ht="13.35" customHeight="1">
      <c r="A923" s="838" t="s">
        <v>3423</v>
      </c>
      <c r="B923" s="1762">
        <f>SUM(B918:B922)</f>
        <v>0</v>
      </c>
      <c r="C923" s="1762">
        <f t="shared" ref="C923:F923" si="399">SUM(C918:C922)</f>
        <v>0</v>
      </c>
      <c r="D923" s="1762">
        <f t="shared" si="399"/>
        <v>0</v>
      </c>
      <c r="E923" s="1762">
        <f t="shared" si="399"/>
        <v>0</v>
      </c>
      <c r="F923" s="1762">
        <f t="shared" si="399"/>
        <v>0</v>
      </c>
      <c r="G923" s="1762"/>
      <c r="H923" s="1762"/>
      <c r="I923" s="1762"/>
      <c r="J923" s="1762"/>
      <c r="K923" s="1762"/>
      <c r="N923" s="1614"/>
      <c r="O923" s="1614"/>
    </row>
    <row r="924" spans="1:19" ht="13.35" customHeight="1">
      <c r="A924" s="838" t="s">
        <v>571</v>
      </c>
      <c r="B924" s="1762">
        <f>'Part VII-Pro Forma'!B114</f>
        <v>0</v>
      </c>
      <c r="C924" s="1762">
        <f>'Part VII-Pro Forma'!C114</f>
        <v>0</v>
      </c>
      <c r="D924" s="1762">
        <f>'Part VII-Pro Forma'!D114</f>
        <v>0</v>
      </c>
      <c r="E924" s="1762">
        <f>'Part VII-Pro Forma'!E114</f>
        <v>0</v>
      </c>
      <c r="F924" s="1762">
        <f>'Part VII-Pro Forma'!F114</f>
        <v>0</v>
      </c>
      <c r="G924" s="1762"/>
      <c r="H924" s="1762"/>
      <c r="I924" s="1762"/>
      <c r="J924" s="1762"/>
      <c r="K924" s="1762"/>
      <c r="N924" s="1614"/>
      <c r="O924" s="1614"/>
    </row>
    <row r="925" spans="1:19" ht="13.35" customHeight="1">
      <c r="A925" s="838" t="s">
        <v>1035</v>
      </c>
      <c r="B925" s="1762" t="str">
        <f>'Part VII-Pro Forma'!B115</f>
        <v>Choose mgt fee</v>
      </c>
      <c r="C925" s="1762" t="str">
        <f>'Part VII-Pro Forma'!C115</f>
        <v>Choose mgt fee</v>
      </c>
      <c r="D925" s="1762" t="str">
        <f>'Part VII-Pro Forma'!D115</f>
        <v>Choose mgt fee</v>
      </c>
      <c r="E925" s="1762" t="str">
        <f>'Part VII-Pro Forma'!E115</f>
        <v>Choose mgt fee</v>
      </c>
      <c r="F925" s="1762" t="str">
        <f>'Part VII-Pro Forma'!F115</f>
        <v>Choose mgt fee</v>
      </c>
      <c r="G925" s="1762"/>
      <c r="H925" s="1762"/>
      <c r="I925" s="1762"/>
      <c r="J925" s="1762"/>
      <c r="K925" s="1762"/>
      <c r="N925" s="1614"/>
      <c r="O925" s="1614"/>
    </row>
    <row r="926" spans="1:19" ht="13.35" customHeight="1">
      <c r="A926" s="838" t="s">
        <v>1110</v>
      </c>
      <c r="B926" s="1762">
        <f>'Part VII-Pro Forma'!B116</f>
        <v>0</v>
      </c>
      <c r="C926" s="1762">
        <f>'Part VII-Pro Forma'!C116</f>
        <v>0</v>
      </c>
      <c r="D926" s="1762">
        <f>'Part VII-Pro Forma'!D116</f>
        <v>0</v>
      </c>
      <c r="E926" s="1762">
        <f>'Part VII-Pro Forma'!E116</f>
        <v>0</v>
      </c>
      <c r="F926" s="1762">
        <f>'Part VII-Pro Forma'!F116</f>
        <v>0</v>
      </c>
      <c r="G926" s="1762"/>
      <c r="H926" s="1762"/>
      <c r="I926" s="1762"/>
      <c r="J926" s="1762"/>
      <c r="K926" s="1762"/>
      <c r="N926" s="1614"/>
      <c r="O926" s="1614"/>
    </row>
    <row r="927" spans="1:19" ht="13.35" customHeight="1">
      <c r="A927" s="838" t="s">
        <v>3424</v>
      </c>
      <c r="B927" s="1762">
        <f>'Part VII-Pro Forma'!B117</f>
        <v>0</v>
      </c>
      <c r="C927" s="1762">
        <f>'Part VII-Pro Forma'!C117</f>
        <v>0</v>
      </c>
      <c r="D927" s="1762">
        <f>'Part VII-Pro Forma'!D117</f>
        <v>0</v>
      </c>
      <c r="E927" s="1762">
        <f>'Part VII-Pro Forma'!E117</f>
        <v>0</v>
      </c>
      <c r="F927" s="1762">
        <f>'Part VII-Pro Forma'!F117</f>
        <v>0</v>
      </c>
      <c r="G927" s="1762"/>
      <c r="H927" s="1762"/>
      <c r="I927" s="1762"/>
      <c r="J927" s="1762"/>
      <c r="K927" s="1762"/>
      <c r="N927" s="1614"/>
      <c r="O927" s="1614"/>
      <c r="Q927" s="1764"/>
      <c r="R927" s="1765"/>
      <c r="S927" s="1765"/>
    </row>
    <row r="928" spans="1:19" ht="13.35" customHeight="1">
      <c r="A928" s="838" t="s">
        <v>1111</v>
      </c>
      <c r="B928" s="1762">
        <f>SUM(B923:B927)</f>
        <v>0</v>
      </c>
      <c r="C928" s="1762">
        <f t="shared" ref="C928:F928" si="400">SUM(C923:C927)</f>
        <v>0</v>
      </c>
      <c r="D928" s="1762">
        <f t="shared" si="400"/>
        <v>0</v>
      </c>
      <c r="E928" s="1762">
        <f t="shared" si="400"/>
        <v>0</v>
      </c>
      <c r="F928" s="1762">
        <f t="shared" si="400"/>
        <v>0</v>
      </c>
      <c r="G928" s="1762"/>
      <c r="H928" s="1762"/>
      <c r="I928" s="1762"/>
      <c r="J928" s="1762"/>
      <c r="K928" s="1762"/>
      <c r="N928" s="1614"/>
      <c r="O928" s="1614"/>
    </row>
    <row r="929" spans="1:15" ht="13.35" customHeight="1">
      <c r="A929" s="838" t="str">
        <f>$A899</f>
        <v>Mortgage A</v>
      </c>
      <c r="B929" s="1762">
        <f>'Part VII-Pro Forma'!B119</f>
        <v>0</v>
      </c>
      <c r="C929" s="1762">
        <f>'Part VII-Pro Forma'!C119</f>
        <v>0</v>
      </c>
      <c r="D929" s="1762">
        <f>'Part VII-Pro Forma'!D119</f>
        <v>0</v>
      </c>
      <c r="E929" s="1762">
        <f>'Part VII-Pro Forma'!E119</f>
        <v>0</v>
      </c>
      <c r="F929" s="1762">
        <f>'Part VII-Pro Forma'!F119</f>
        <v>0</v>
      </c>
      <c r="G929" s="1762"/>
      <c r="H929" s="1762"/>
      <c r="I929" s="1762"/>
      <c r="J929" s="1762"/>
      <c r="K929" s="1762"/>
      <c r="N929" s="1614"/>
      <c r="O929" s="1614"/>
    </row>
    <row r="930" spans="1:15" ht="13.35" customHeight="1">
      <c r="A930" s="838" t="str">
        <f>$A900</f>
        <v>Mortgage B</v>
      </c>
      <c r="B930" s="1762">
        <f>'Part VII-Pro Forma'!B120</f>
        <v>0</v>
      </c>
      <c r="C930" s="1762">
        <f>'Part VII-Pro Forma'!C120</f>
        <v>0</v>
      </c>
      <c r="D930" s="1762">
        <f>'Part VII-Pro Forma'!D120</f>
        <v>0</v>
      </c>
      <c r="E930" s="1762">
        <f>'Part VII-Pro Forma'!E120</f>
        <v>0</v>
      </c>
      <c r="F930" s="1762">
        <f>'Part VII-Pro Forma'!F120</f>
        <v>0</v>
      </c>
      <c r="G930" s="1762"/>
      <c r="H930" s="1762"/>
      <c r="I930" s="1762"/>
      <c r="J930" s="1762"/>
      <c r="K930" s="1762"/>
      <c r="N930" s="1614"/>
      <c r="O930" s="1614"/>
    </row>
    <row r="931" spans="1:15" ht="13.35" customHeight="1">
      <c r="A931" s="838" t="str">
        <f>$A901</f>
        <v>Mortgage C</v>
      </c>
      <c r="B931" s="1762">
        <f>'Part VII-Pro Forma'!B121</f>
        <v>0</v>
      </c>
      <c r="C931" s="1762">
        <f>'Part VII-Pro Forma'!C121</f>
        <v>0</v>
      </c>
      <c r="D931" s="1762">
        <f>'Part VII-Pro Forma'!D121</f>
        <v>0</v>
      </c>
      <c r="E931" s="1762">
        <f>'Part VII-Pro Forma'!E121</f>
        <v>0</v>
      </c>
      <c r="F931" s="1762">
        <f>'Part VII-Pro Forma'!F121</f>
        <v>0</v>
      </c>
      <c r="G931" s="1762"/>
      <c r="H931" s="1762"/>
      <c r="I931" s="1762"/>
      <c r="J931" s="1762"/>
      <c r="K931" s="1762"/>
      <c r="N931" s="1614"/>
      <c r="O931" s="1614"/>
    </row>
    <row r="932" spans="1:15" ht="13.35" customHeight="1">
      <c r="A932" s="838" t="str">
        <f>$A902</f>
        <v>D/S Other Source,not DDF</v>
      </c>
      <c r="B932" s="1762">
        <f>'Part VII-Pro Forma'!B122</f>
        <v>0</v>
      </c>
      <c r="C932" s="1762">
        <f>'Part VII-Pro Forma'!C122</f>
        <v>0</v>
      </c>
      <c r="D932" s="1762">
        <f>'Part VII-Pro Forma'!D122</f>
        <v>0</v>
      </c>
      <c r="E932" s="1762">
        <f>'Part VII-Pro Forma'!E122</f>
        <v>0</v>
      </c>
      <c r="F932" s="1762">
        <f>'Part VII-Pro Forma'!F122</f>
        <v>0</v>
      </c>
      <c r="G932" s="1762"/>
      <c r="H932" s="1762"/>
      <c r="I932" s="1762"/>
      <c r="J932" s="1762"/>
      <c r="K932" s="1762"/>
      <c r="N932" s="1614"/>
      <c r="O932" s="1614"/>
    </row>
    <row r="933" spans="1:15" ht="13.35" customHeight="1">
      <c r="A933" s="838" t="s">
        <v>706</v>
      </c>
      <c r="B933" s="1762">
        <f>'Part VII-Pro Forma'!B123</f>
        <v>0</v>
      </c>
      <c r="C933" s="1762">
        <f>'Part VII-Pro Forma'!C123</f>
        <v>0</v>
      </c>
      <c r="D933" s="1762">
        <f>'Part VII-Pro Forma'!D123</f>
        <v>0</v>
      </c>
      <c r="E933" s="1762">
        <f>'Part VII-Pro Forma'!E123</f>
        <v>0</v>
      </c>
      <c r="F933" s="1762">
        <f>'Part VII-Pro Forma'!F123</f>
        <v>0</v>
      </c>
      <c r="G933" s="1762"/>
      <c r="H933" s="1762"/>
      <c r="I933" s="1762"/>
      <c r="J933" s="1762"/>
      <c r="K933" s="1762"/>
      <c r="N933" s="1614"/>
      <c r="O933" s="1614"/>
    </row>
    <row r="934" spans="1:15" ht="13.35" customHeight="1">
      <c r="A934" s="838" t="s">
        <v>1079</v>
      </c>
      <c r="B934" s="1762">
        <f>'Part VII-Pro Forma'!B124</f>
        <v>0</v>
      </c>
      <c r="C934" s="1762">
        <f>'Part VII-Pro Forma'!C124</f>
        <v>0</v>
      </c>
      <c r="D934" s="1762">
        <f>'Part VII-Pro Forma'!D124</f>
        <v>0</v>
      </c>
      <c r="E934" s="1762">
        <f>'Part VII-Pro Forma'!E124</f>
        <v>0</v>
      </c>
      <c r="F934" s="1762">
        <f>'Part VII-Pro Forma'!F124</f>
        <v>0</v>
      </c>
      <c r="G934" s="1762"/>
      <c r="H934" s="1762"/>
      <c r="I934" s="1762"/>
      <c r="J934" s="1762"/>
      <c r="K934" s="1762"/>
      <c r="N934" s="1614"/>
      <c r="O934" s="1614"/>
    </row>
    <row r="935" spans="1:15" ht="13.35" customHeight="1">
      <c r="A935" s="838" t="s">
        <v>1080</v>
      </c>
      <c r="B935" s="1762">
        <f>'Part VII-Pro Forma'!B125</f>
        <v>0</v>
      </c>
      <c r="C935" s="1762">
        <f>'Part VII-Pro Forma'!C125</f>
        <v>0</v>
      </c>
      <c r="D935" s="1762">
        <f>'Part VII-Pro Forma'!D125</f>
        <v>0</v>
      </c>
      <c r="E935" s="1762">
        <f>'Part VII-Pro Forma'!E125</f>
        <v>0</v>
      </c>
      <c r="F935" s="1762">
        <f>'Part VII-Pro Forma'!F125</f>
        <v>0</v>
      </c>
      <c r="G935" s="1762"/>
      <c r="H935" s="1762"/>
      <c r="I935" s="1762"/>
      <c r="J935" s="1762"/>
      <c r="K935" s="1762"/>
      <c r="N935" s="1614"/>
      <c r="O935" s="1614"/>
    </row>
    <row r="936" spans="1:15" ht="13.35" customHeight="1">
      <c r="A936" s="838" t="str">
        <f>$A906</f>
        <v>DCR Mortgage A</v>
      </c>
      <c r="B936" s="1766">
        <f t="shared" ref="B936:F936" si="401">SUM(B928:B935)</f>
        <v>0</v>
      </c>
      <c r="C936" s="1766">
        <f t="shared" si="401"/>
        <v>0</v>
      </c>
      <c r="D936" s="1766">
        <f t="shared" si="401"/>
        <v>0</v>
      </c>
      <c r="E936" s="1766">
        <f t="shared" si="401"/>
        <v>0</v>
      </c>
      <c r="F936" s="1766">
        <f t="shared" si="401"/>
        <v>0</v>
      </c>
      <c r="G936" s="1762"/>
      <c r="H936" s="1762"/>
      <c r="I936" s="1762"/>
      <c r="J936" s="1762"/>
      <c r="K936" s="1762"/>
      <c r="N936" s="1614"/>
      <c r="O936" s="1614"/>
    </row>
    <row r="937" spans="1:15" ht="13.35" customHeight="1">
      <c r="A937" s="838" t="str">
        <f>$A907</f>
        <v>DCR Mortgage B</v>
      </c>
      <c r="B937" s="1766" t="str">
        <f t="shared" ref="B937:F937" si="402">IF(B929=0,"",-B928/B929)</f>
        <v/>
      </c>
      <c r="C937" s="1766" t="str">
        <f t="shared" si="402"/>
        <v/>
      </c>
      <c r="D937" s="1766" t="str">
        <f t="shared" si="402"/>
        <v/>
      </c>
      <c r="E937" s="1766" t="str">
        <f t="shared" si="402"/>
        <v/>
      </c>
      <c r="F937" s="1766" t="str">
        <f t="shared" si="402"/>
        <v/>
      </c>
      <c r="G937" s="1762"/>
      <c r="H937" s="1762"/>
      <c r="I937" s="1762"/>
      <c r="J937" s="1762"/>
      <c r="K937" s="1762"/>
      <c r="N937" s="1614"/>
      <c r="O937" s="1614"/>
    </row>
    <row r="938" spans="1:15" ht="13.35" customHeight="1">
      <c r="A938" s="838" t="str">
        <f>$A908</f>
        <v>DCR Mortgage C</v>
      </c>
      <c r="B938" s="1766" t="str">
        <f t="shared" ref="B938:F938" si="403">IF(B930=0,"",-(B928+B929)/B930)</f>
        <v/>
      </c>
      <c r="C938" s="1766" t="str">
        <f t="shared" si="403"/>
        <v/>
      </c>
      <c r="D938" s="1766" t="str">
        <f t="shared" si="403"/>
        <v/>
      </c>
      <c r="E938" s="1766" t="str">
        <f t="shared" si="403"/>
        <v/>
      </c>
      <c r="F938" s="1766" t="str">
        <f t="shared" si="403"/>
        <v/>
      </c>
      <c r="G938" s="1762"/>
      <c r="H938" s="1762"/>
      <c r="I938" s="1762"/>
      <c r="J938" s="1762"/>
      <c r="K938" s="1762"/>
      <c r="N938" s="1614"/>
      <c r="O938" s="1614"/>
    </row>
    <row r="939" spans="1:15" ht="13.35" customHeight="1">
      <c r="A939" s="838" t="str">
        <f>$A909</f>
        <v>DCR Other Source</v>
      </c>
      <c r="B939" s="1766" t="str">
        <f t="shared" ref="B939:F939" si="404">IF(B931=0,"",-(B928+B929+B930)/B931)</f>
        <v/>
      </c>
      <c r="C939" s="1766" t="str">
        <f t="shared" si="404"/>
        <v/>
      </c>
      <c r="D939" s="1766" t="str">
        <f t="shared" si="404"/>
        <v/>
      </c>
      <c r="E939" s="1766" t="str">
        <f t="shared" si="404"/>
        <v/>
      </c>
      <c r="F939" s="1766" t="str">
        <f t="shared" si="404"/>
        <v/>
      </c>
      <c r="G939" s="1762"/>
      <c r="H939" s="1762"/>
      <c r="I939" s="1762"/>
      <c r="J939" s="1762"/>
      <c r="K939" s="1762"/>
      <c r="N939" s="1614"/>
      <c r="O939" s="1614"/>
    </row>
    <row r="940" spans="1:15" ht="13.35" customHeight="1">
      <c r="A940" s="838" t="s">
        <v>3426</v>
      </c>
      <c r="B940" s="1766" t="str">
        <f t="shared" ref="B940:F940" si="405">IF(B932=0,"",-(B928+B929+B930+B931)/B932)</f>
        <v/>
      </c>
      <c r="C940" s="1766" t="str">
        <f t="shared" si="405"/>
        <v/>
      </c>
      <c r="D940" s="1766" t="str">
        <f t="shared" si="405"/>
        <v/>
      </c>
      <c r="E940" s="1766" t="str">
        <f t="shared" si="405"/>
        <v/>
      </c>
      <c r="F940" s="1766" t="str">
        <f t="shared" si="405"/>
        <v/>
      </c>
      <c r="G940" s="1762"/>
      <c r="H940" s="1762"/>
      <c r="I940" s="1762"/>
      <c r="J940" s="1762"/>
      <c r="K940" s="1762"/>
      <c r="N940" s="1614"/>
      <c r="O940" s="1614"/>
    </row>
    <row r="941" spans="1:15" ht="13.35" customHeight="1">
      <c r="A941" s="838" t="s">
        <v>713</v>
      </c>
      <c r="B941" s="1767" t="str">
        <f t="shared" ref="B941:F941" si="406">IF(AND(B929=0,B930=0,B931=0,B932=0),"",-B928/(B929+B930+B931+B932))</f>
        <v/>
      </c>
      <c r="C941" s="1767" t="str">
        <f t="shared" si="406"/>
        <v/>
      </c>
      <c r="D941" s="1767" t="str">
        <f t="shared" si="406"/>
        <v/>
      </c>
      <c r="E941" s="1767" t="str">
        <f t="shared" si="406"/>
        <v/>
      </c>
      <c r="F941" s="1767" t="str">
        <f t="shared" si="406"/>
        <v/>
      </c>
      <c r="G941" s="1762"/>
      <c r="H941" s="1762"/>
      <c r="I941" s="1762"/>
      <c r="J941" s="1762"/>
      <c r="K941" s="1762"/>
      <c r="N941" s="1614"/>
      <c r="O941" s="1614"/>
    </row>
    <row r="942" spans="1:15" ht="13.35" customHeight="1">
      <c r="A942" s="838" t="s">
        <v>2326</v>
      </c>
      <c r="B942" s="1762" t="str">
        <f t="shared" ref="B942:F942" si="407">IF(OR(B925="Choose mgt fee",B925="Choose One!"),"",(B918+B919+B920+B921+B922) / -(B924+B925+B926))</f>
        <v/>
      </c>
      <c r="C942" s="1762" t="str">
        <f t="shared" si="407"/>
        <v/>
      </c>
      <c r="D942" s="1762" t="str">
        <f t="shared" si="407"/>
        <v/>
      </c>
      <c r="E942" s="1762" t="str">
        <f t="shared" si="407"/>
        <v/>
      </c>
      <c r="F942" s="1762" t="str">
        <f t="shared" si="407"/>
        <v/>
      </c>
      <c r="G942" s="1762"/>
      <c r="H942" s="1762"/>
      <c r="I942" s="1762"/>
      <c r="J942" s="1762"/>
      <c r="K942" s="1762"/>
      <c r="N942" s="1614"/>
      <c r="O942" s="1614"/>
    </row>
    <row r="943" spans="1:15" ht="13.35" customHeight="1">
      <c r="A943" s="838" t="s">
        <v>2327</v>
      </c>
      <c r="B943" s="1762" t="str">
        <f>'Part VII-Pro Forma'!B133</f>
        <v/>
      </c>
      <c r="C943" s="1762" t="str">
        <f>'Part VII-Pro Forma'!C133</f>
        <v/>
      </c>
      <c r="D943" s="1762" t="str">
        <f>'Part VII-Pro Forma'!D133</f>
        <v/>
      </c>
      <c r="E943" s="1762" t="str">
        <f>'Part VII-Pro Forma'!E133</f>
        <v/>
      </c>
      <c r="F943" s="1762" t="str">
        <f>'Part VII-Pro Forma'!F133</f>
        <v/>
      </c>
      <c r="G943" s="1762"/>
      <c r="H943" s="1762"/>
      <c r="I943" s="1762"/>
      <c r="J943" s="1762"/>
      <c r="K943" s="1762"/>
      <c r="N943" s="1614"/>
      <c r="O943" s="1614"/>
    </row>
    <row r="944" spans="1:15" ht="13.35" customHeight="1">
      <c r="A944" s="838" t="s">
        <v>2328</v>
      </c>
      <c r="B944" s="1762" t="str">
        <f>'Part VII-Pro Forma'!B134</f>
        <v/>
      </c>
      <c r="C944" s="1762" t="str">
        <f>'Part VII-Pro Forma'!C134</f>
        <v/>
      </c>
      <c r="D944" s="1762" t="str">
        <f>'Part VII-Pro Forma'!D134</f>
        <v/>
      </c>
      <c r="E944" s="1762" t="str">
        <f>'Part VII-Pro Forma'!E134</f>
        <v/>
      </c>
      <c r="F944" s="1762" t="str">
        <f>'Part VII-Pro Forma'!F134</f>
        <v/>
      </c>
      <c r="G944" s="1762"/>
      <c r="H944" s="1762"/>
      <c r="I944" s="1762"/>
      <c r="J944" s="1762"/>
      <c r="K944" s="1762"/>
      <c r="N944" s="1614"/>
      <c r="O944" s="1614"/>
    </row>
    <row r="945" spans="1:18" ht="13.35" customHeight="1">
      <c r="A945" s="838" t="s">
        <v>724</v>
      </c>
      <c r="B945" s="1762" t="str">
        <f>'Part VII-Pro Forma'!B135</f>
        <v/>
      </c>
      <c r="C945" s="1762" t="str">
        <f>'Part VII-Pro Forma'!C135</f>
        <v/>
      </c>
      <c r="D945" s="1762" t="str">
        <f>'Part VII-Pro Forma'!D135</f>
        <v/>
      </c>
      <c r="E945" s="1762" t="str">
        <f>'Part VII-Pro Forma'!E135</f>
        <v/>
      </c>
      <c r="F945" s="1762" t="str">
        <f>'Part VII-Pro Forma'!F135</f>
        <v/>
      </c>
      <c r="G945" s="1762"/>
      <c r="H945" s="1762"/>
      <c r="I945" s="1762"/>
      <c r="J945" s="1762"/>
      <c r="K945" s="1762"/>
      <c r="N945" s="1614"/>
      <c r="O945" s="1614"/>
    </row>
    <row r="946" spans="1:18" ht="4.3499999999999996" customHeight="1"/>
    <row r="947" spans="1:18" ht="12" customHeight="1">
      <c r="A947" s="838" t="s">
        <v>530</v>
      </c>
      <c r="G947" s="838" t="s">
        <v>955</v>
      </c>
    </row>
    <row r="948" spans="1:18" ht="12" customHeight="1">
      <c r="B948" s="1596"/>
    </row>
    <row r="949" spans="1:18" ht="409.5" customHeight="1">
      <c r="A949" s="1580" t="str">
        <f>'Part VII-Pro Forma'!A139</f>
        <v>APPLICANTS: Explain any any debt service payment amounts that deviate from the amount shown in Permanent Sources (Part III)</v>
      </c>
      <c r="B949" s="1580"/>
      <c r="C949" s="1580"/>
      <c r="D949" s="1580"/>
      <c r="E949" s="1580"/>
      <c r="F949" s="1580"/>
      <c r="G949" s="1580">
        <f>'Part VII-Pro Forma'!G139</f>
        <v>0</v>
      </c>
      <c r="H949" s="1580"/>
      <c r="I949" s="1580"/>
      <c r="J949" s="1580"/>
      <c r="K949" s="1580"/>
      <c r="N949" s="1768" t="s">
        <v>2342</v>
      </c>
      <c r="O949" s="1768"/>
    </row>
    <row r="951" spans="1:18">
      <c r="A951" s="1167" t="str">
        <f>CONCATENATE("PART EIGHT - BUILDING BY BUILDING CREDIT ALLOCATION - ",$C$4,"  -  ",'Part I-Project Information'!$D$4," - ",'Part I-Project Information'!$O$4)</f>
        <v>PART EIGHT - BUILDING BY BUILDING CREDIT ALLOCATION -   -   - 20##-###</v>
      </c>
      <c r="B951" s="1167"/>
      <c r="C951" s="1167"/>
      <c r="D951" s="1167"/>
      <c r="E951" s="1167"/>
      <c r="F951" s="1167"/>
      <c r="G951" s="1167"/>
      <c r="H951" s="1167"/>
      <c r="I951" s="1167"/>
      <c r="J951" s="1167"/>
      <c r="K951" s="1167"/>
      <c r="L951" s="1167"/>
      <c r="M951" s="1167"/>
      <c r="N951" s="1167"/>
      <c r="O951" s="1167"/>
      <c r="P951" s="1167"/>
      <c r="Q951" s="1167"/>
      <c r="R951" s="1167"/>
    </row>
    <row r="952" spans="1:18">
      <c r="A952" s="1524"/>
      <c r="B952" s="1524"/>
      <c r="C952" s="1524"/>
      <c r="D952" s="1524"/>
      <c r="E952" s="1524"/>
      <c r="F952" s="1524"/>
      <c r="G952" s="1524"/>
      <c r="H952" s="1524"/>
      <c r="I952" s="1524"/>
      <c r="J952" s="1524"/>
      <c r="K952" s="1524"/>
      <c r="L952" s="1524"/>
      <c r="M952" s="1657"/>
      <c r="N952" s="1657"/>
      <c r="O952" s="1656"/>
      <c r="P952" s="1656"/>
      <c r="Q952" s="1656"/>
      <c r="R952" s="1656"/>
    </row>
    <row r="953" spans="1:18">
      <c r="A953" s="1715" t="s">
        <v>3125</v>
      </c>
      <c r="B953" s="1167"/>
      <c r="C953" s="1769">
        <f>'Part VIII-Bldg Credit Alloc NC'!C3</f>
        <v>0</v>
      </c>
      <c r="D953" s="1769"/>
      <c r="E953" s="1656"/>
      <c r="F953" s="1715" t="s">
        <v>3126</v>
      </c>
      <c r="G953" s="1656"/>
      <c r="H953" s="1656"/>
      <c r="I953" s="1769">
        <f>'Part VIII-Bldg Credit Alloc NC'!I3</f>
        <v>0</v>
      </c>
      <c r="J953" s="1769"/>
      <c r="K953" s="1656"/>
      <c r="L953" s="1770" t="s">
        <v>3127</v>
      </c>
      <c r="M953" s="1168" t="str">
        <f>'Part VIII-Bldg Credit Alloc NC'!M3</f>
        <v>Peachtree Corners, GA, Gwinnett County</v>
      </c>
      <c r="N953" s="1168"/>
      <c r="O953" s="1168"/>
      <c r="P953" s="1168"/>
      <c r="Q953" s="1168"/>
      <c r="R953" s="1168"/>
    </row>
    <row r="954" spans="1:18">
      <c r="A954" s="1715" t="s">
        <v>3128</v>
      </c>
      <c r="B954" s="1154"/>
      <c r="C954" s="1771" t="str">
        <f>'Part VIII-Bldg Credit Alloc NC'!C4</f>
        <v>New Construction</v>
      </c>
      <c r="D954" s="1771"/>
      <c r="E954" s="1771"/>
      <c r="F954" s="1713" t="str">
        <f>IF(NOT(OR(C954="New Construction",C954="Rehabilitation",C954="Acquisition")),"   &lt;-- PLEASE SELECT TYPE OF ACTIVITY FOR THIS PAGE BEFORE PROCEEDING!","")</f>
        <v/>
      </c>
      <c r="G954" s="1656"/>
      <c r="H954" s="1656"/>
      <c r="I954" s="1656"/>
      <c r="J954" s="1656"/>
      <c r="K954" s="1656"/>
      <c r="L954" s="1657"/>
      <c r="M954" s="1657"/>
      <c r="N954" s="1657"/>
      <c r="O954" s="1656"/>
      <c r="P954" s="1656"/>
      <c r="Q954" s="1656"/>
      <c r="R954" s="1656"/>
    </row>
    <row r="955" spans="1:18">
      <c r="A955" s="1712" t="s">
        <v>3129</v>
      </c>
      <c r="B955" s="1712"/>
      <c r="C955" s="1712"/>
      <c r="D955" s="1712"/>
      <c r="E955" s="1712"/>
      <c r="F955" s="1712"/>
      <c r="G955" s="1712"/>
      <c r="H955" s="1712"/>
      <c r="I955" s="1712"/>
      <c r="J955" s="1712"/>
      <c r="K955" s="1712"/>
      <c r="L955" s="1712"/>
      <c r="M955" s="1712"/>
      <c r="N955" s="1712"/>
      <c r="O955" s="1712"/>
      <c r="P955" s="1712"/>
      <c r="Q955" s="1712"/>
      <c r="R955" s="1712"/>
    </row>
    <row r="956" spans="1:18" ht="13.5" customHeight="1">
      <c r="A956" s="1772"/>
      <c r="B956" s="1658"/>
      <c r="C956" s="1658"/>
      <c r="D956" s="1773"/>
      <c r="E956" s="1773" t="s">
        <v>503</v>
      </c>
      <c r="F956" s="1773" t="s">
        <v>503</v>
      </c>
      <c r="G956" s="1773" t="s">
        <v>477</v>
      </c>
      <c r="H956" s="1773" t="s">
        <v>3130</v>
      </c>
      <c r="I956" s="1718"/>
      <c r="J956" s="1773"/>
      <c r="K956" s="1718"/>
      <c r="L956" s="1718"/>
      <c r="M956" s="1746"/>
      <c r="N956" s="1773" t="s">
        <v>861</v>
      </c>
      <c r="O956" s="1746"/>
      <c r="P956" s="1746"/>
      <c r="Q956" s="1774" t="s">
        <v>3719</v>
      </c>
      <c r="R956" s="1774"/>
    </row>
    <row r="957" spans="1:18" ht="13.5">
      <c r="A957" s="1772"/>
      <c r="B957" s="1658"/>
      <c r="C957" s="1658"/>
      <c r="D957" s="1773" t="s">
        <v>496</v>
      </c>
      <c r="E957" s="1775" t="s">
        <v>152</v>
      </c>
      <c r="F957" s="1773" t="s">
        <v>3132</v>
      </c>
      <c r="G957" s="1773" t="s">
        <v>3133</v>
      </c>
      <c r="H957" s="1773" t="s">
        <v>3134</v>
      </c>
      <c r="I957" s="1773" t="s">
        <v>3135</v>
      </c>
      <c r="J957" s="1692" t="s">
        <v>3136</v>
      </c>
      <c r="K957" s="1773" t="s">
        <v>3135</v>
      </c>
      <c r="L957" s="1773" t="s">
        <v>3135</v>
      </c>
      <c r="M957" s="1773" t="s">
        <v>3135</v>
      </c>
      <c r="N957" s="1773" t="s">
        <v>3137</v>
      </c>
      <c r="O957" s="1773" t="s">
        <v>3138</v>
      </c>
      <c r="P957" s="1773" t="s">
        <v>3139</v>
      </c>
      <c r="Q957" s="1774"/>
      <c r="R957" s="1774"/>
    </row>
    <row r="958" spans="1:18" ht="13.5">
      <c r="A958" s="1772"/>
      <c r="B958" s="1658"/>
      <c r="C958" s="1658"/>
      <c r="D958" s="1773" t="s">
        <v>3140</v>
      </c>
      <c r="E958" s="1773" t="s">
        <v>3141</v>
      </c>
      <c r="F958" s="1773" t="s">
        <v>3110</v>
      </c>
      <c r="G958" s="1773" t="s">
        <v>3134</v>
      </c>
      <c r="H958" s="1773" t="s">
        <v>3110</v>
      </c>
      <c r="I958" s="1773" t="s">
        <v>3142</v>
      </c>
      <c r="J958" s="1692"/>
      <c r="K958" s="1773" t="s">
        <v>3143</v>
      </c>
      <c r="L958" s="1773" t="s">
        <v>3144</v>
      </c>
      <c r="M958" s="1773" t="s">
        <v>3145</v>
      </c>
      <c r="N958" s="1773" t="s">
        <v>3146</v>
      </c>
      <c r="O958" s="1773" t="s">
        <v>3147</v>
      </c>
      <c r="P958" s="1773" t="s">
        <v>3147</v>
      </c>
      <c r="Q958" s="1773" t="s">
        <v>3135</v>
      </c>
      <c r="R958" s="1773" t="s">
        <v>3148</v>
      </c>
    </row>
    <row r="959" spans="1:18" ht="13.5">
      <c r="A959" s="1772" t="s">
        <v>3149</v>
      </c>
      <c r="B959" s="1658"/>
      <c r="C959" s="1658"/>
      <c r="D959" s="1773" t="s">
        <v>3150</v>
      </c>
      <c r="E959" s="1773" t="s">
        <v>3151</v>
      </c>
      <c r="F959" s="1773" t="s">
        <v>3152</v>
      </c>
      <c r="G959" s="1773" t="s">
        <v>3151</v>
      </c>
      <c r="H959" s="1773" t="s">
        <v>3152</v>
      </c>
      <c r="I959" s="1773" t="s">
        <v>3153</v>
      </c>
      <c r="J959" s="1776" t="s">
        <v>3154</v>
      </c>
      <c r="K959" s="1773" t="s">
        <v>3153</v>
      </c>
      <c r="L959" s="1773" t="s">
        <v>3155</v>
      </c>
      <c r="M959" s="1773" t="s">
        <v>3153</v>
      </c>
      <c r="N959" s="1773" t="s">
        <v>3156</v>
      </c>
      <c r="O959" s="1773" t="s">
        <v>3157</v>
      </c>
      <c r="P959" s="1773" t="s">
        <v>1793</v>
      </c>
      <c r="Q959" s="1773" t="s">
        <v>1830</v>
      </c>
      <c r="R959" s="1773" t="s">
        <v>1793</v>
      </c>
    </row>
    <row r="960" spans="1:18">
      <c r="A960" s="1658">
        <f>'Part VIII-Bldg Credit Alloc NC'!A10</f>
        <v>0</v>
      </c>
      <c r="B960" s="1658"/>
      <c r="C960" s="1658"/>
      <c r="D960" s="1777">
        <f>'Part VIII-Bldg Credit Alloc NC'!D10</f>
        <v>0</v>
      </c>
      <c r="E960" s="1778">
        <f>'Part VIII-Bldg Credit Alloc NC'!E10</f>
        <v>0</v>
      </c>
      <c r="F960" s="1778">
        <f>'Part VIII-Bldg Credit Alloc NC'!F10</f>
        <v>0</v>
      </c>
      <c r="G960" s="1778">
        <f>'Part VIII-Bldg Credit Alloc NC'!G10</f>
        <v>0</v>
      </c>
      <c r="H960" s="1778">
        <f>'Part VIII-Bldg Credit Alloc NC'!H10</f>
        <v>0</v>
      </c>
      <c r="I960" s="1778">
        <f>'Part VIII-Bldg Credit Alloc NC'!I10</f>
        <v>0</v>
      </c>
      <c r="J960" s="1776">
        <f>'Part VIII-Bldg Credit Alloc NC'!J10</f>
        <v>0</v>
      </c>
      <c r="K960" s="1778">
        <f>'Part VIII-Bldg Credit Alloc NC'!K10</f>
        <v>0</v>
      </c>
      <c r="L960" s="1779" t="e">
        <f>IF(OR(E960="",F960=""),"",MIN(G960/E960,H960/F960))</f>
        <v>#DIV/0!</v>
      </c>
      <c r="M960" s="1778" t="e">
        <f>IF(OR(E960="",F960=""),"",K960*L960)</f>
        <v>#DIV/0!</v>
      </c>
      <c r="N960" s="1777">
        <f>'Part VIII-Bldg Credit Alloc NC'!N10</f>
        <v>0</v>
      </c>
      <c r="O960" s="1779">
        <f>'Part VIII-Bldg Credit Alloc NC'!O10</f>
        <v>0</v>
      </c>
      <c r="P960" s="1778" t="e">
        <f>IF(OR(M960="",O960=""),"",M960*O960)</f>
        <v>#DIV/0!</v>
      </c>
      <c r="Q960" s="1778" t="e">
        <f>IF(M960="","",ROUND(M960,0))</f>
        <v>#DIV/0!</v>
      </c>
      <c r="R960" s="1778" t="e">
        <f>IF(P960="","",ROUND(P960,0))</f>
        <v>#DIV/0!</v>
      </c>
    </row>
    <row r="961" spans="1:18">
      <c r="A961" s="1658">
        <f>'Part VIII-Bldg Credit Alloc NC'!A11</f>
        <v>0</v>
      </c>
      <c r="B961" s="1658"/>
      <c r="C961" s="1658"/>
      <c r="D961" s="1777">
        <f>'Part VIII-Bldg Credit Alloc NC'!D11</f>
        <v>0</v>
      </c>
      <c r="E961" s="1778">
        <f>'Part VIII-Bldg Credit Alloc NC'!E11</f>
        <v>0</v>
      </c>
      <c r="F961" s="1778">
        <f>'Part VIII-Bldg Credit Alloc NC'!F11</f>
        <v>0</v>
      </c>
      <c r="G961" s="1778">
        <f>'Part VIII-Bldg Credit Alloc NC'!G11</f>
        <v>0</v>
      </c>
      <c r="H961" s="1778">
        <f>'Part VIII-Bldg Credit Alloc NC'!H11</f>
        <v>0</v>
      </c>
      <c r="I961" s="1778">
        <f>'Part VIII-Bldg Credit Alloc NC'!I11</f>
        <v>0</v>
      </c>
      <c r="J961" s="1776">
        <f>'Part VIII-Bldg Credit Alloc NC'!J11</f>
        <v>0</v>
      </c>
      <c r="K961" s="1778">
        <f>'Part VIII-Bldg Credit Alloc NC'!K11</f>
        <v>0</v>
      </c>
      <c r="L961" s="1779" t="e">
        <f t="shared" ref="L961:L994" si="408">IF(OR(E961="",F961=""),"",MIN(G961/E961,H961/F961))</f>
        <v>#DIV/0!</v>
      </c>
      <c r="M961" s="1778" t="e">
        <f t="shared" ref="M961:M994" si="409">IF(OR(E961="",F961=""),"",K961*L961)</f>
        <v>#DIV/0!</v>
      </c>
      <c r="N961" s="1777">
        <f>'Part VIII-Bldg Credit Alloc NC'!N11</f>
        <v>0</v>
      </c>
      <c r="O961" s="1779">
        <f>'Part VIII-Bldg Credit Alloc NC'!O11</f>
        <v>0</v>
      </c>
      <c r="P961" s="1778" t="e">
        <f t="shared" ref="P961:P994" si="410">IF(OR(M961="",O961=""),"",M961*O961)</f>
        <v>#DIV/0!</v>
      </c>
      <c r="Q961" s="1778" t="e">
        <f t="shared" ref="Q961:Q994" si="411">IF(M961="","",ROUND(M961,0))</f>
        <v>#DIV/0!</v>
      </c>
      <c r="R961" s="1778" t="e">
        <f t="shared" ref="R961:R994" si="412">IF(P961="","",ROUND(P961,0))</f>
        <v>#DIV/0!</v>
      </c>
    </row>
    <row r="962" spans="1:18">
      <c r="A962" s="1658">
        <f>'Part VIII-Bldg Credit Alloc NC'!A12</f>
        <v>0</v>
      </c>
      <c r="B962" s="1658"/>
      <c r="C962" s="1658"/>
      <c r="D962" s="1777">
        <f>'Part VIII-Bldg Credit Alloc NC'!D12</f>
        <v>0</v>
      </c>
      <c r="E962" s="1778">
        <f>'Part VIII-Bldg Credit Alloc NC'!E12</f>
        <v>0</v>
      </c>
      <c r="F962" s="1778">
        <f>'Part VIII-Bldg Credit Alloc NC'!F12</f>
        <v>0</v>
      </c>
      <c r="G962" s="1778">
        <f>'Part VIII-Bldg Credit Alloc NC'!G12</f>
        <v>0</v>
      </c>
      <c r="H962" s="1778">
        <f>'Part VIII-Bldg Credit Alloc NC'!H12</f>
        <v>0</v>
      </c>
      <c r="I962" s="1778">
        <f>'Part VIII-Bldg Credit Alloc NC'!I12</f>
        <v>0</v>
      </c>
      <c r="J962" s="1776">
        <f>'Part VIII-Bldg Credit Alloc NC'!J12</f>
        <v>0</v>
      </c>
      <c r="K962" s="1778">
        <f>'Part VIII-Bldg Credit Alloc NC'!K12</f>
        <v>0</v>
      </c>
      <c r="L962" s="1779" t="e">
        <f t="shared" si="408"/>
        <v>#DIV/0!</v>
      </c>
      <c r="M962" s="1778" t="e">
        <f t="shared" si="409"/>
        <v>#DIV/0!</v>
      </c>
      <c r="N962" s="1777">
        <f>'Part VIII-Bldg Credit Alloc NC'!N12</f>
        <v>0</v>
      </c>
      <c r="O962" s="1779">
        <f>'Part VIII-Bldg Credit Alloc NC'!O12</f>
        <v>0</v>
      </c>
      <c r="P962" s="1778" t="e">
        <f t="shared" si="410"/>
        <v>#DIV/0!</v>
      </c>
      <c r="Q962" s="1778" t="e">
        <f t="shared" si="411"/>
        <v>#DIV/0!</v>
      </c>
      <c r="R962" s="1778" t="e">
        <f t="shared" si="412"/>
        <v>#DIV/0!</v>
      </c>
    </row>
    <row r="963" spans="1:18">
      <c r="A963" s="1658">
        <f>'Part VIII-Bldg Credit Alloc NC'!A13</f>
        <v>0</v>
      </c>
      <c r="B963" s="1658"/>
      <c r="C963" s="1658"/>
      <c r="D963" s="1777">
        <f>'Part VIII-Bldg Credit Alloc NC'!D13</f>
        <v>0</v>
      </c>
      <c r="E963" s="1778">
        <f>'Part VIII-Bldg Credit Alloc NC'!E13</f>
        <v>0</v>
      </c>
      <c r="F963" s="1778">
        <f>'Part VIII-Bldg Credit Alloc NC'!F13</f>
        <v>0</v>
      </c>
      <c r="G963" s="1778">
        <f>'Part VIII-Bldg Credit Alloc NC'!G13</f>
        <v>0</v>
      </c>
      <c r="H963" s="1778">
        <f>'Part VIII-Bldg Credit Alloc NC'!H13</f>
        <v>0</v>
      </c>
      <c r="I963" s="1778">
        <f>'Part VIII-Bldg Credit Alloc NC'!I13</f>
        <v>0</v>
      </c>
      <c r="J963" s="1776">
        <f>'Part VIII-Bldg Credit Alloc NC'!J13</f>
        <v>0</v>
      </c>
      <c r="K963" s="1778">
        <f>'Part VIII-Bldg Credit Alloc NC'!K13</f>
        <v>0</v>
      </c>
      <c r="L963" s="1779" t="e">
        <f t="shared" si="408"/>
        <v>#DIV/0!</v>
      </c>
      <c r="M963" s="1778" t="e">
        <f t="shared" si="409"/>
        <v>#DIV/0!</v>
      </c>
      <c r="N963" s="1777">
        <f>'Part VIII-Bldg Credit Alloc NC'!N13</f>
        <v>0</v>
      </c>
      <c r="O963" s="1779">
        <f>'Part VIII-Bldg Credit Alloc NC'!O13</f>
        <v>0</v>
      </c>
      <c r="P963" s="1778" t="e">
        <f t="shared" si="410"/>
        <v>#DIV/0!</v>
      </c>
      <c r="Q963" s="1778" t="e">
        <f t="shared" si="411"/>
        <v>#DIV/0!</v>
      </c>
      <c r="R963" s="1778" t="e">
        <f t="shared" si="412"/>
        <v>#DIV/0!</v>
      </c>
    </row>
    <row r="964" spans="1:18">
      <c r="A964" s="1658">
        <f>'Part VIII-Bldg Credit Alloc NC'!A14</f>
        <v>0</v>
      </c>
      <c r="B964" s="1658"/>
      <c r="C964" s="1658"/>
      <c r="D964" s="1777">
        <f>'Part VIII-Bldg Credit Alloc NC'!D14</f>
        <v>0</v>
      </c>
      <c r="E964" s="1778">
        <f>'Part VIII-Bldg Credit Alloc NC'!E14</f>
        <v>0</v>
      </c>
      <c r="F964" s="1778">
        <f>'Part VIII-Bldg Credit Alloc NC'!F14</f>
        <v>0</v>
      </c>
      <c r="G964" s="1778">
        <f>'Part VIII-Bldg Credit Alloc NC'!G14</f>
        <v>0</v>
      </c>
      <c r="H964" s="1778">
        <f>'Part VIII-Bldg Credit Alloc NC'!H14</f>
        <v>0</v>
      </c>
      <c r="I964" s="1778">
        <f>'Part VIII-Bldg Credit Alloc NC'!I14</f>
        <v>0</v>
      </c>
      <c r="J964" s="1776">
        <f>'Part VIII-Bldg Credit Alloc NC'!J14</f>
        <v>0</v>
      </c>
      <c r="K964" s="1778">
        <f>'Part VIII-Bldg Credit Alloc NC'!K14</f>
        <v>0</v>
      </c>
      <c r="L964" s="1779" t="e">
        <f t="shared" si="408"/>
        <v>#DIV/0!</v>
      </c>
      <c r="M964" s="1778" t="e">
        <f t="shared" si="409"/>
        <v>#DIV/0!</v>
      </c>
      <c r="N964" s="1777">
        <f>'Part VIII-Bldg Credit Alloc NC'!N14</f>
        <v>0</v>
      </c>
      <c r="O964" s="1779">
        <f>'Part VIII-Bldg Credit Alloc NC'!O14</f>
        <v>0</v>
      </c>
      <c r="P964" s="1778" t="e">
        <f t="shared" si="410"/>
        <v>#DIV/0!</v>
      </c>
      <c r="Q964" s="1778" t="e">
        <f t="shared" si="411"/>
        <v>#DIV/0!</v>
      </c>
      <c r="R964" s="1778" t="e">
        <f t="shared" si="412"/>
        <v>#DIV/0!</v>
      </c>
    </row>
    <row r="965" spans="1:18">
      <c r="A965" s="1658">
        <f>'Part VIII-Bldg Credit Alloc NC'!A15</f>
        <v>0</v>
      </c>
      <c r="B965" s="1658"/>
      <c r="C965" s="1658"/>
      <c r="D965" s="1777">
        <f>'Part VIII-Bldg Credit Alloc NC'!D15</f>
        <v>0</v>
      </c>
      <c r="E965" s="1778">
        <f>'Part VIII-Bldg Credit Alloc NC'!E15</f>
        <v>0</v>
      </c>
      <c r="F965" s="1778">
        <f>'Part VIII-Bldg Credit Alloc NC'!F15</f>
        <v>0</v>
      </c>
      <c r="G965" s="1778">
        <f>'Part VIII-Bldg Credit Alloc NC'!G15</f>
        <v>0</v>
      </c>
      <c r="H965" s="1778">
        <f>'Part VIII-Bldg Credit Alloc NC'!H15</f>
        <v>0</v>
      </c>
      <c r="I965" s="1778">
        <f>'Part VIII-Bldg Credit Alloc NC'!I15</f>
        <v>0</v>
      </c>
      <c r="J965" s="1776">
        <f>'Part VIII-Bldg Credit Alloc NC'!J15</f>
        <v>0</v>
      </c>
      <c r="K965" s="1778">
        <f>'Part VIII-Bldg Credit Alloc NC'!K15</f>
        <v>0</v>
      </c>
      <c r="L965" s="1779" t="e">
        <f t="shared" si="408"/>
        <v>#DIV/0!</v>
      </c>
      <c r="M965" s="1778" t="e">
        <f t="shared" si="409"/>
        <v>#DIV/0!</v>
      </c>
      <c r="N965" s="1777">
        <f>'Part VIII-Bldg Credit Alloc NC'!N15</f>
        <v>0</v>
      </c>
      <c r="O965" s="1779">
        <f>'Part VIII-Bldg Credit Alloc NC'!O15</f>
        <v>0</v>
      </c>
      <c r="P965" s="1778" t="e">
        <f t="shared" si="410"/>
        <v>#DIV/0!</v>
      </c>
      <c r="Q965" s="1778" t="e">
        <f t="shared" si="411"/>
        <v>#DIV/0!</v>
      </c>
      <c r="R965" s="1778" t="e">
        <f t="shared" si="412"/>
        <v>#DIV/0!</v>
      </c>
    </row>
    <row r="966" spans="1:18">
      <c r="A966" s="1658">
        <f>'Part VIII-Bldg Credit Alloc NC'!A16</f>
        <v>0</v>
      </c>
      <c r="B966" s="1658"/>
      <c r="C966" s="1658"/>
      <c r="D966" s="1777">
        <f>'Part VIII-Bldg Credit Alloc NC'!D16</f>
        <v>0</v>
      </c>
      <c r="E966" s="1778">
        <f>'Part VIII-Bldg Credit Alloc NC'!E16</f>
        <v>0</v>
      </c>
      <c r="F966" s="1778">
        <f>'Part VIII-Bldg Credit Alloc NC'!F16</f>
        <v>0</v>
      </c>
      <c r="G966" s="1778">
        <f>'Part VIII-Bldg Credit Alloc NC'!G16</f>
        <v>0</v>
      </c>
      <c r="H966" s="1778">
        <f>'Part VIII-Bldg Credit Alloc NC'!H16</f>
        <v>0</v>
      </c>
      <c r="I966" s="1778">
        <f>'Part VIII-Bldg Credit Alloc NC'!I16</f>
        <v>0</v>
      </c>
      <c r="J966" s="1776">
        <f>'Part VIII-Bldg Credit Alloc NC'!J16</f>
        <v>0</v>
      </c>
      <c r="K966" s="1778">
        <f>'Part VIII-Bldg Credit Alloc NC'!K16</f>
        <v>0</v>
      </c>
      <c r="L966" s="1779" t="e">
        <f t="shared" si="408"/>
        <v>#DIV/0!</v>
      </c>
      <c r="M966" s="1778" t="e">
        <f t="shared" si="409"/>
        <v>#DIV/0!</v>
      </c>
      <c r="N966" s="1777">
        <f>'Part VIII-Bldg Credit Alloc NC'!N16</f>
        <v>0</v>
      </c>
      <c r="O966" s="1779">
        <f>'Part VIII-Bldg Credit Alloc NC'!O16</f>
        <v>0</v>
      </c>
      <c r="P966" s="1778" t="e">
        <f t="shared" si="410"/>
        <v>#DIV/0!</v>
      </c>
      <c r="Q966" s="1778" t="e">
        <f t="shared" si="411"/>
        <v>#DIV/0!</v>
      </c>
      <c r="R966" s="1778" t="e">
        <f t="shared" si="412"/>
        <v>#DIV/0!</v>
      </c>
    </row>
    <row r="967" spans="1:18">
      <c r="A967" s="1658">
        <f>'Part VIII-Bldg Credit Alloc NC'!A17</f>
        <v>0</v>
      </c>
      <c r="B967" s="1658"/>
      <c r="C967" s="1658"/>
      <c r="D967" s="1777">
        <f>'Part VIII-Bldg Credit Alloc NC'!D17</f>
        <v>0</v>
      </c>
      <c r="E967" s="1778">
        <f>'Part VIII-Bldg Credit Alloc NC'!E17</f>
        <v>0</v>
      </c>
      <c r="F967" s="1778">
        <f>'Part VIII-Bldg Credit Alloc NC'!F17</f>
        <v>0</v>
      </c>
      <c r="G967" s="1778">
        <f>'Part VIII-Bldg Credit Alloc NC'!G17</f>
        <v>0</v>
      </c>
      <c r="H967" s="1778">
        <f>'Part VIII-Bldg Credit Alloc NC'!H17</f>
        <v>0</v>
      </c>
      <c r="I967" s="1778">
        <f>'Part VIII-Bldg Credit Alloc NC'!I17</f>
        <v>0</v>
      </c>
      <c r="J967" s="1776">
        <f>'Part VIII-Bldg Credit Alloc NC'!J17</f>
        <v>0</v>
      </c>
      <c r="K967" s="1778">
        <f>'Part VIII-Bldg Credit Alloc NC'!K17</f>
        <v>0</v>
      </c>
      <c r="L967" s="1779" t="e">
        <f t="shared" si="408"/>
        <v>#DIV/0!</v>
      </c>
      <c r="M967" s="1778" t="e">
        <f t="shared" si="409"/>
        <v>#DIV/0!</v>
      </c>
      <c r="N967" s="1777">
        <f>'Part VIII-Bldg Credit Alloc NC'!N17</f>
        <v>0</v>
      </c>
      <c r="O967" s="1779">
        <f>'Part VIII-Bldg Credit Alloc NC'!O17</f>
        <v>0</v>
      </c>
      <c r="P967" s="1778" t="e">
        <f t="shared" si="410"/>
        <v>#DIV/0!</v>
      </c>
      <c r="Q967" s="1778" t="e">
        <f t="shared" si="411"/>
        <v>#DIV/0!</v>
      </c>
      <c r="R967" s="1778" t="e">
        <f t="shared" si="412"/>
        <v>#DIV/0!</v>
      </c>
    </row>
    <row r="968" spans="1:18">
      <c r="A968" s="1658">
        <f>'Part VIII-Bldg Credit Alloc NC'!A18</f>
        <v>0</v>
      </c>
      <c r="B968" s="1658"/>
      <c r="C968" s="1658"/>
      <c r="D968" s="1777">
        <f>'Part VIII-Bldg Credit Alloc NC'!D18</f>
        <v>0</v>
      </c>
      <c r="E968" s="1778">
        <f>'Part VIII-Bldg Credit Alloc NC'!E18</f>
        <v>0</v>
      </c>
      <c r="F968" s="1778">
        <f>'Part VIII-Bldg Credit Alloc NC'!F18</f>
        <v>0</v>
      </c>
      <c r="G968" s="1778">
        <f>'Part VIII-Bldg Credit Alloc NC'!G18</f>
        <v>0</v>
      </c>
      <c r="H968" s="1778">
        <f>'Part VIII-Bldg Credit Alloc NC'!H18</f>
        <v>0</v>
      </c>
      <c r="I968" s="1778">
        <f>'Part VIII-Bldg Credit Alloc NC'!I18</f>
        <v>0</v>
      </c>
      <c r="J968" s="1776">
        <f>'Part VIII-Bldg Credit Alloc NC'!J18</f>
        <v>0</v>
      </c>
      <c r="K968" s="1778">
        <f>'Part VIII-Bldg Credit Alloc NC'!K18</f>
        <v>0</v>
      </c>
      <c r="L968" s="1779" t="e">
        <f t="shared" si="408"/>
        <v>#DIV/0!</v>
      </c>
      <c r="M968" s="1778" t="e">
        <f t="shared" si="409"/>
        <v>#DIV/0!</v>
      </c>
      <c r="N968" s="1777">
        <f>'Part VIII-Bldg Credit Alloc NC'!N18</f>
        <v>0</v>
      </c>
      <c r="O968" s="1779">
        <f>'Part VIII-Bldg Credit Alloc NC'!O18</f>
        <v>0</v>
      </c>
      <c r="P968" s="1778" t="e">
        <f t="shared" si="410"/>
        <v>#DIV/0!</v>
      </c>
      <c r="Q968" s="1778" t="e">
        <f t="shared" si="411"/>
        <v>#DIV/0!</v>
      </c>
      <c r="R968" s="1778" t="e">
        <f t="shared" si="412"/>
        <v>#DIV/0!</v>
      </c>
    </row>
    <row r="969" spans="1:18">
      <c r="A969" s="1658">
        <f>'Part VIII-Bldg Credit Alloc NC'!A19</f>
        <v>0</v>
      </c>
      <c r="B969" s="1658"/>
      <c r="C969" s="1658"/>
      <c r="D969" s="1777">
        <f>'Part VIII-Bldg Credit Alloc NC'!D19</f>
        <v>0</v>
      </c>
      <c r="E969" s="1778">
        <f>'Part VIII-Bldg Credit Alloc NC'!E19</f>
        <v>0</v>
      </c>
      <c r="F969" s="1778">
        <f>'Part VIII-Bldg Credit Alloc NC'!F19</f>
        <v>0</v>
      </c>
      <c r="G969" s="1778">
        <f>'Part VIII-Bldg Credit Alloc NC'!G19</f>
        <v>0</v>
      </c>
      <c r="H969" s="1778">
        <f>'Part VIII-Bldg Credit Alloc NC'!H19</f>
        <v>0</v>
      </c>
      <c r="I969" s="1778">
        <f>'Part VIII-Bldg Credit Alloc NC'!I19</f>
        <v>0</v>
      </c>
      <c r="J969" s="1776">
        <f>'Part VIII-Bldg Credit Alloc NC'!J19</f>
        <v>0</v>
      </c>
      <c r="K969" s="1778">
        <f>'Part VIII-Bldg Credit Alloc NC'!K19</f>
        <v>0</v>
      </c>
      <c r="L969" s="1779" t="e">
        <f t="shared" si="408"/>
        <v>#DIV/0!</v>
      </c>
      <c r="M969" s="1778" t="e">
        <f t="shared" si="409"/>
        <v>#DIV/0!</v>
      </c>
      <c r="N969" s="1777">
        <f>'Part VIII-Bldg Credit Alloc NC'!N19</f>
        <v>0</v>
      </c>
      <c r="O969" s="1779">
        <f>'Part VIII-Bldg Credit Alloc NC'!O19</f>
        <v>0</v>
      </c>
      <c r="P969" s="1778" t="e">
        <f t="shared" si="410"/>
        <v>#DIV/0!</v>
      </c>
      <c r="Q969" s="1778" t="e">
        <f t="shared" si="411"/>
        <v>#DIV/0!</v>
      </c>
      <c r="R969" s="1778" t="e">
        <f t="shared" si="412"/>
        <v>#DIV/0!</v>
      </c>
    </row>
    <row r="970" spans="1:18">
      <c r="A970" s="1658">
        <f>'Part VIII-Bldg Credit Alloc NC'!A20</f>
        <v>0</v>
      </c>
      <c r="B970" s="1658"/>
      <c r="C970" s="1658"/>
      <c r="D970" s="1777">
        <f>'Part VIII-Bldg Credit Alloc NC'!D20</f>
        <v>0</v>
      </c>
      <c r="E970" s="1778">
        <f>'Part VIII-Bldg Credit Alloc NC'!E20</f>
        <v>0</v>
      </c>
      <c r="F970" s="1778">
        <f>'Part VIII-Bldg Credit Alloc NC'!F20</f>
        <v>0</v>
      </c>
      <c r="G970" s="1778">
        <f>'Part VIII-Bldg Credit Alloc NC'!G20</f>
        <v>0</v>
      </c>
      <c r="H970" s="1778">
        <f>'Part VIII-Bldg Credit Alloc NC'!H20</f>
        <v>0</v>
      </c>
      <c r="I970" s="1778">
        <f>'Part VIII-Bldg Credit Alloc NC'!I20</f>
        <v>0</v>
      </c>
      <c r="J970" s="1776">
        <f>'Part VIII-Bldg Credit Alloc NC'!J20</f>
        <v>0</v>
      </c>
      <c r="K970" s="1778">
        <f>'Part VIII-Bldg Credit Alloc NC'!K20</f>
        <v>0</v>
      </c>
      <c r="L970" s="1779" t="e">
        <f t="shared" si="408"/>
        <v>#DIV/0!</v>
      </c>
      <c r="M970" s="1778" t="e">
        <f t="shared" si="409"/>
        <v>#DIV/0!</v>
      </c>
      <c r="N970" s="1777">
        <f>'Part VIII-Bldg Credit Alloc NC'!N20</f>
        <v>0</v>
      </c>
      <c r="O970" s="1779">
        <f>'Part VIII-Bldg Credit Alloc NC'!O20</f>
        <v>0</v>
      </c>
      <c r="P970" s="1778" t="e">
        <f t="shared" si="410"/>
        <v>#DIV/0!</v>
      </c>
      <c r="Q970" s="1778" t="e">
        <f t="shared" si="411"/>
        <v>#DIV/0!</v>
      </c>
      <c r="R970" s="1778" t="e">
        <f t="shared" si="412"/>
        <v>#DIV/0!</v>
      </c>
    </row>
    <row r="971" spans="1:18">
      <c r="A971" s="1658">
        <f>'Part VIII-Bldg Credit Alloc NC'!A21</f>
        <v>0</v>
      </c>
      <c r="B971" s="1658"/>
      <c r="C971" s="1658"/>
      <c r="D971" s="1777">
        <f>'Part VIII-Bldg Credit Alloc NC'!D21</f>
        <v>0</v>
      </c>
      <c r="E971" s="1778">
        <f>'Part VIII-Bldg Credit Alloc NC'!E21</f>
        <v>0</v>
      </c>
      <c r="F971" s="1778">
        <f>'Part VIII-Bldg Credit Alloc NC'!F21</f>
        <v>0</v>
      </c>
      <c r="G971" s="1778">
        <f>'Part VIII-Bldg Credit Alloc NC'!G21</f>
        <v>0</v>
      </c>
      <c r="H971" s="1778">
        <f>'Part VIII-Bldg Credit Alloc NC'!H21</f>
        <v>0</v>
      </c>
      <c r="I971" s="1778">
        <f>'Part VIII-Bldg Credit Alloc NC'!I21</f>
        <v>0</v>
      </c>
      <c r="J971" s="1776">
        <f>'Part VIII-Bldg Credit Alloc NC'!J21</f>
        <v>0</v>
      </c>
      <c r="K971" s="1778">
        <f>'Part VIII-Bldg Credit Alloc NC'!K21</f>
        <v>0</v>
      </c>
      <c r="L971" s="1779" t="e">
        <f t="shared" si="408"/>
        <v>#DIV/0!</v>
      </c>
      <c r="M971" s="1778" t="e">
        <f t="shared" si="409"/>
        <v>#DIV/0!</v>
      </c>
      <c r="N971" s="1777">
        <f>'Part VIII-Bldg Credit Alloc NC'!N21</f>
        <v>0</v>
      </c>
      <c r="O971" s="1779">
        <f>'Part VIII-Bldg Credit Alloc NC'!O21</f>
        <v>0</v>
      </c>
      <c r="P971" s="1778" t="e">
        <f t="shared" si="410"/>
        <v>#DIV/0!</v>
      </c>
      <c r="Q971" s="1778" t="e">
        <f t="shared" si="411"/>
        <v>#DIV/0!</v>
      </c>
      <c r="R971" s="1778" t="e">
        <f t="shared" si="412"/>
        <v>#DIV/0!</v>
      </c>
    </row>
    <row r="972" spans="1:18">
      <c r="A972" s="1658">
        <f>'Part VIII-Bldg Credit Alloc NC'!A22</f>
        <v>0</v>
      </c>
      <c r="B972" s="1658"/>
      <c r="C972" s="1658"/>
      <c r="D972" s="1777">
        <f>'Part VIII-Bldg Credit Alloc NC'!D22</f>
        <v>0</v>
      </c>
      <c r="E972" s="1778">
        <f>'Part VIII-Bldg Credit Alloc NC'!E22</f>
        <v>0</v>
      </c>
      <c r="F972" s="1778">
        <f>'Part VIII-Bldg Credit Alloc NC'!F22</f>
        <v>0</v>
      </c>
      <c r="G972" s="1778">
        <f>'Part VIII-Bldg Credit Alloc NC'!G22</f>
        <v>0</v>
      </c>
      <c r="H972" s="1778">
        <f>'Part VIII-Bldg Credit Alloc NC'!H22</f>
        <v>0</v>
      </c>
      <c r="I972" s="1778">
        <f>'Part VIII-Bldg Credit Alloc NC'!I22</f>
        <v>0</v>
      </c>
      <c r="J972" s="1776">
        <f>'Part VIII-Bldg Credit Alloc NC'!J22</f>
        <v>0</v>
      </c>
      <c r="K972" s="1778">
        <f>'Part VIII-Bldg Credit Alloc NC'!K22</f>
        <v>0</v>
      </c>
      <c r="L972" s="1779" t="e">
        <f t="shared" si="408"/>
        <v>#DIV/0!</v>
      </c>
      <c r="M972" s="1778" t="e">
        <f t="shared" si="409"/>
        <v>#DIV/0!</v>
      </c>
      <c r="N972" s="1777">
        <f>'Part VIII-Bldg Credit Alloc NC'!N22</f>
        <v>0</v>
      </c>
      <c r="O972" s="1779">
        <f>'Part VIII-Bldg Credit Alloc NC'!O22</f>
        <v>0</v>
      </c>
      <c r="P972" s="1778" t="e">
        <f t="shared" si="410"/>
        <v>#DIV/0!</v>
      </c>
      <c r="Q972" s="1778" t="e">
        <f t="shared" si="411"/>
        <v>#DIV/0!</v>
      </c>
      <c r="R972" s="1778" t="e">
        <f t="shared" si="412"/>
        <v>#DIV/0!</v>
      </c>
    </row>
    <row r="973" spans="1:18">
      <c r="A973" s="1658">
        <f>'Part VIII-Bldg Credit Alloc NC'!A23</f>
        <v>0</v>
      </c>
      <c r="B973" s="1658"/>
      <c r="C973" s="1658"/>
      <c r="D973" s="1777">
        <f>'Part VIII-Bldg Credit Alloc NC'!D23</f>
        <v>0</v>
      </c>
      <c r="E973" s="1778">
        <f>'Part VIII-Bldg Credit Alloc NC'!E23</f>
        <v>0</v>
      </c>
      <c r="F973" s="1778">
        <f>'Part VIII-Bldg Credit Alloc NC'!F23</f>
        <v>0</v>
      </c>
      <c r="G973" s="1778">
        <f>'Part VIII-Bldg Credit Alloc NC'!G23</f>
        <v>0</v>
      </c>
      <c r="H973" s="1778">
        <f>'Part VIII-Bldg Credit Alloc NC'!H23</f>
        <v>0</v>
      </c>
      <c r="I973" s="1778">
        <f>'Part VIII-Bldg Credit Alloc NC'!I23</f>
        <v>0</v>
      </c>
      <c r="J973" s="1776">
        <f>'Part VIII-Bldg Credit Alloc NC'!J23</f>
        <v>0</v>
      </c>
      <c r="K973" s="1778">
        <f>'Part VIII-Bldg Credit Alloc NC'!K23</f>
        <v>0</v>
      </c>
      <c r="L973" s="1779" t="e">
        <f t="shared" si="408"/>
        <v>#DIV/0!</v>
      </c>
      <c r="M973" s="1778" t="e">
        <f t="shared" si="409"/>
        <v>#DIV/0!</v>
      </c>
      <c r="N973" s="1777">
        <f>'Part VIII-Bldg Credit Alloc NC'!N23</f>
        <v>0</v>
      </c>
      <c r="O973" s="1779">
        <f>'Part VIII-Bldg Credit Alloc NC'!O23</f>
        <v>0</v>
      </c>
      <c r="P973" s="1778" t="e">
        <f t="shared" si="410"/>
        <v>#DIV/0!</v>
      </c>
      <c r="Q973" s="1778" t="e">
        <f t="shared" si="411"/>
        <v>#DIV/0!</v>
      </c>
      <c r="R973" s="1778" t="e">
        <f t="shared" si="412"/>
        <v>#DIV/0!</v>
      </c>
    </row>
    <row r="974" spans="1:18">
      <c r="A974" s="1658">
        <f>'Part VIII-Bldg Credit Alloc NC'!A24</f>
        <v>0</v>
      </c>
      <c r="B974" s="1658"/>
      <c r="C974" s="1658"/>
      <c r="D974" s="1777">
        <f>'Part VIII-Bldg Credit Alloc NC'!D24</f>
        <v>0</v>
      </c>
      <c r="E974" s="1778">
        <f>'Part VIII-Bldg Credit Alloc NC'!E24</f>
        <v>0</v>
      </c>
      <c r="F974" s="1778">
        <f>'Part VIII-Bldg Credit Alloc NC'!F24</f>
        <v>0</v>
      </c>
      <c r="G974" s="1778">
        <f>'Part VIII-Bldg Credit Alloc NC'!G24</f>
        <v>0</v>
      </c>
      <c r="H974" s="1778">
        <f>'Part VIII-Bldg Credit Alloc NC'!H24</f>
        <v>0</v>
      </c>
      <c r="I974" s="1778">
        <f>'Part VIII-Bldg Credit Alloc NC'!I24</f>
        <v>0</v>
      </c>
      <c r="J974" s="1776">
        <f>'Part VIII-Bldg Credit Alloc NC'!J24</f>
        <v>0</v>
      </c>
      <c r="K974" s="1778">
        <f>'Part VIII-Bldg Credit Alloc NC'!K24</f>
        <v>0</v>
      </c>
      <c r="L974" s="1779" t="e">
        <f t="shared" si="408"/>
        <v>#DIV/0!</v>
      </c>
      <c r="M974" s="1778" t="e">
        <f t="shared" si="409"/>
        <v>#DIV/0!</v>
      </c>
      <c r="N974" s="1777">
        <f>'Part VIII-Bldg Credit Alloc NC'!N24</f>
        <v>0</v>
      </c>
      <c r="O974" s="1779">
        <f>'Part VIII-Bldg Credit Alloc NC'!O24</f>
        <v>0</v>
      </c>
      <c r="P974" s="1778" t="e">
        <f t="shared" si="410"/>
        <v>#DIV/0!</v>
      </c>
      <c r="Q974" s="1778" t="e">
        <f t="shared" si="411"/>
        <v>#DIV/0!</v>
      </c>
      <c r="R974" s="1778" t="e">
        <f t="shared" si="412"/>
        <v>#DIV/0!</v>
      </c>
    </row>
    <row r="975" spans="1:18">
      <c r="A975" s="1658">
        <f>'Part VIII-Bldg Credit Alloc NC'!A25</f>
        <v>0</v>
      </c>
      <c r="B975" s="1658"/>
      <c r="C975" s="1658"/>
      <c r="D975" s="1777">
        <f>'Part VIII-Bldg Credit Alloc NC'!D25</f>
        <v>0</v>
      </c>
      <c r="E975" s="1778">
        <f>'Part VIII-Bldg Credit Alloc NC'!E25</f>
        <v>0</v>
      </c>
      <c r="F975" s="1778">
        <f>'Part VIII-Bldg Credit Alloc NC'!F25</f>
        <v>0</v>
      </c>
      <c r="G975" s="1778">
        <f>'Part VIII-Bldg Credit Alloc NC'!G25</f>
        <v>0</v>
      </c>
      <c r="H975" s="1778">
        <f>'Part VIII-Bldg Credit Alloc NC'!H25</f>
        <v>0</v>
      </c>
      <c r="I975" s="1778">
        <f>'Part VIII-Bldg Credit Alloc NC'!I25</f>
        <v>0</v>
      </c>
      <c r="J975" s="1776">
        <f>'Part VIII-Bldg Credit Alloc NC'!J25</f>
        <v>0</v>
      </c>
      <c r="K975" s="1778">
        <f>'Part VIII-Bldg Credit Alloc NC'!K25</f>
        <v>0</v>
      </c>
      <c r="L975" s="1779" t="e">
        <f t="shared" si="408"/>
        <v>#DIV/0!</v>
      </c>
      <c r="M975" s="1778" t="e">
        <f t="shared" si="409"/>
        <v>#DIV/0!</v>
      </c>
      <c r="N975" s="1777">
        <f>'Part VIII-Bldg Credit Alloc NC'!N25</f>
        <v>0</v>
      </c>
      <c r="O975" s="1779">
        <f>'Part VIII-Bldg Credit Alloc NC'!O25</f>
        <v>0</v>
      </c>
      <c r="P975" s="1778" t="e">
        <f t="shared" si="410"/>
        <v>#DIV/0!</v>
      </c>
      <c r="Q975" s="1778" t="e">
        <f t="shared" si="411"/>
        <v>#DIV/0!</v>
      </c>
      <c r="R975" s="1778" t="e">
        <f t="shared" si="412"/>
        <v>#DIV/0!</v>
      </c>
    </row>
    <row r="976" spans="1:18">
      <c r="A976" s="1658">
        <f>'Part VIII-Bldg Credit Alloc NC'!A26</f>
        <v>0</v>
      </c>
      <c r="B976" s="1658"/>
      <c r="C976" s="1658"/>
      <c r="D976" s="1777">
        <f>'Part VIII-Bldg Credit Alloc NC'!D26</f>
        <v>0</v>
      </c>
      <c r="E976" s="1778">
        <f>'Part VIII-Bldg Credit Alloc NC'!E26</f>
        <v>0</v>
      </c>
      <c r="F976" s="1778">
        <f>'Part VIII-Bldg Credit Alloc NC'!F26</f>
        <v>0</v>
      </c>
      <c r="G976" s="1778">
        <f>'Part VIII-Bldg Credit Alloc NC'!G26</f>
        <v>0</v>
      </c>
      <c r="H976" s="1778">
        <f>'Part VIII-Bldg Credit Alloc NC'!H26</f>
        <v>0</v>
      </c>
      <c r="I976" s="1778">
        <f>'Part VIII-Bldg Credit Alloc NC'!I26</f>
        <v>0</v>
      </c>
      <c r="J976" s="1776">
        <f>'Part VIII-Bldg Credit Alloc NC'!J26</f>
        <v>0</v>
      </c>
      <c r="K976" s="1778">
        <f>'Part VIII-Bldg Credit Alloc NC'!K26</f>
        <v>0</v>
      </c>
      <c r="L976" s="1779" t="e">
        <f t="shared" si="408"/>
        <v>#DIV/0!</v>
      </c>
      <c r="M976" s="1778" t="e">
        <f t="shared" si="409"/>
        <v>#DIV/0!</v>
      </c>
      <c r="N976" s="1777">
        <f>'Part VIII-Bldg Credit Alloc NC'!N26</f>
        <v>0</v>
      </c>
      <c r="O976" s="1779">
        <f>'Part VIII-Bldg Credit Alloc NC'!O26</f>
        <v>0</v>
      </c>
      <c r="P976" s="1778" t="e">
        <f t="shared" si="410"/>
        <v>#DIV/0!</v>
      </c>
      <c r="Q976" s="1778" t="e">
        <f t="shared" si="411"/>
        <v>#DIV/0!</v>
      </c>
      <c r="R976" s="1778" t="e">
        <f t="shared" si="412"/>
        <v>#DIV/0!</v>
      </c>
    </row>
    <row r="977" spans="1:18">
      <c r="A977" s="1658">
        <f>'Part VIII-Bldg Credit Alloc NC'!A27</f>
        <v>0</v>
      </c>
      <c r="B977" s="1658"/>
      <c r="C977" s="1658"/>
      <c r="D977" s="1777">
        <f>'Part VIII-Bldg Credit Alloc NC'!D27</f>
        <v>0</v>
      </c>
      <c r="E977" s="1778">
        <f>'Part VIII-Bldg Credit Alloc NC'!E27</f>
        <v>0</v>
      </c>
      <c r="F977" s="1778">
        <f>'Part VIII-Bldg Credit Alloc NC'!F27</f>
        <v>0</v>
      </c>
      <c r="G977" s="1778">
        <f>'Part VIII-Bldg Credit Alloc NC'!G27</f>
        <v>0</v>
      </c>
      <c r="H977" s="1778">
        <f>'Part VIII-Bldg Credit Alloc NC'!H27</f>
        <v>0</v>
      </c>
      <c r="I977" s="1778">
        <f>'Part VIII-Bldg Credit Alloc NC'!I27</f>
        <v>0</v>
      </c>
      <c r="J977" s="1776">
        <f>'Part VIII-Bldg Credit Alloc NC'!J27</f>
        <v>0</v>
      </c>
      <c r="K977" s="1778">
        <f>'Part VIII-Bldg Credit Alloc NC'!K27</f>
        <v>0</v>
      </c>
      <c r="L977" s="1779" t="e">
        <f t="shared" si="408"/>
        <v>#DIV/0!</v>
      </c>
      <c r="M977" s="1778" t="e">
        <f t="shared" si="409"/>
        <v>#DIV/0!</v>
      </c>
      <c r="N977" s="1777">
        <f>'Part VIII-Bldg Credit Alloc NC'!N27</f>
        <v>0</v>
      </c>
      <c r="O977" s="1779">
        <f>'Part VIII-Bldg Credit Alloc NC'!O27</f>
        <v>0</v>
      </c>
      <c r="P977" s="1778" t="e">
        <f t="shared" si="410"/>
        <v>#DIV/0!</v>
      </c>
      <c r="Q977" s="1778" t="e">
        <f t="shared" si="411"/>
        <v>#DIV/0!</v>
      </c>
      <c r="R977" s="1778" t="e">
        <f t="shared" si="412"/>
        <v>#DIV/0!</v>
      </c>
    </row>
    <row r="978" spans="1:18">
      <c r="A978" s="1658">
        <f>'Part VIII-Bldg Credit Alloc NC'!A28</f>
        <v>0</v>
      </c>
      <c r="B978" s="1658"/>
      <c r="C978" s="1658"/>
      <c r="D978" s="1777">
        <f>'Part VIII-Bldg Credit Alloc NC'!D28</f>
        <v>0</v>
      </c>
      <c r="E978" s="1778">
        <f>'Part VIII-Bldg Credit Alloc NC'!E28</f>
        <v>0</v>
      </c>
      <c r="F978" s="1778">
        <f>'Part VIII-Bldg Credit Alloc NC'!F28</f>
        <v>0</v>
      </c>
      <c r="G978" s="1778">
        <f>'Part VIII-Bldg Credit Alloc NC'!G28</f>
        <v>0</v>
      </c>
      <c r="H978" s="1778">
        <f>'Part VIII-Bldg Credit Alloc NC'!H28</f>
        <v>0</v>
      </c>
      <c r="I978" s="1778">
        <f>'Part VIII-Bldg Credit Alloc NC'!I28</f>
        <v>0</v>
      </c>
      <c r="J978" s="1776">
        <f>'Part VIII-Bldg Credit Alloc NC'!J28</f>
        <v>0</v>
      </c>
      <c r="K978" s="1778">
        <f>'Part VIII-Bldg Credit Alloc NC'!K28</f>
        <v>0</v>
      </c>
      <c r="L978" s="1779" t="e">
        <f t="shared" si="408"/>
        <v>#DIV/0!</v>
      </c>
      <c r="M978" s="1778" t="e">
        <f t="shared" si="409"/>
        <v>#DIV/0!</v>
      </c>
      <c r="N978" s="1777">
        <f>'Part VIII-Bldg Credit Alloc NC'!N28</f>
        <v>0</v>
      </c>
      <c r="O978" s="1779">
        <f>'Part VIII-Bldg Credit Alloc NC'!O28</f>
        <v>0</v>
      </c>
      <c r="P978" s="1778" t="e">
        <f t="shared" si="410"/>
        <v>#DIV/0!</v>
      </c>
      <c r="Q978" s="1778" t="e">
        <f t="shared" si="411"/>
        <v>#DIV/0!</v>
      </c>
      <c r="R978" s="1778" t="e">
        <f t="shared" si="412"/>
        <v>#DIV/0!</v>
      </c>
    </row>
    <row r="979" spans="1:18">
      <c r="A979" s="1658">
        <f>'Part VIII-Bldg Credit Alloc NC'!A29</f>
        <v>0</v>
      </c>
      <c r="B979" s="1658"/>
      <c r="C979" s="1658"/>
      <c r="D979" s="1777">
        <f>'Part VIII-Bldg Credit Alloc NC'!D29</f>
        <v>0</v>
      </c>
      <c r="E979" s="1778">
        <f>'Part VIII-Bldg Credit Alloc NC'!E29</f>
        <v>0</v>
      </c>
      <c r="F979" s="1778">
        <f>'Part VIII-Bldg Credit Alloc NC'!F29</f>
        <v>0</v>
      </c>
      <c r="G979" s="1778">
        <f>'Part VIII-Bldg Credit Alloc NC'!G29</f>
        <v>0</v>
      </c>
      <c r="H979" s="1778">
        <f>'Part VIII-Bldg Credit Alloc NC'!H29</f>
        <v>0</v>
      </c>
      <c r="I979" s="1778">
        <f>'Part VIII-Bldg Credit Alloc NC'!I29</f>
        <v>0</v>
      </c>
      <c r="J979" s="1776">
        <f>'Part VIII-Bldg Credit Alloc NC'!J29</f>
        <v>0</v>
      </c>
      <c r="K979" s="1778">
        <f>'Part VIII-Bldg Credit Alloc NC'!K29</f>
        <v>0</v>
      </c>
      <c r="L979" s="1779" t="e">
        <f t="shared" si="408"/>
        <v>#DIV/0!</v>
      </c>
      <c r="M979" s="1778" t="e">
        <f t="shared" si="409"/>
        <v>#DIV/0!</v>
      </c>
      <c r="N979" s="1777">
        <f>'Part VIII-Bldg Credit Alloc NC'!N29</f>
        <v>0</v>
      </c>
      <c r="O979" s="1779">
        <f>'Part VIII-Bldg Credit Alloc NC'!O29</f>
        <v>0</v>
      </c>
      <c r="P979" s="1778" t="e">
        <f t="shared" si="410"/>
        <v>#DIV/0!</v>
      </c>
      <c r="Q979" s="1778" t="e">
        <f t="shared" si="411"/>
        <v>#DIV/0!</v>
      </c>
      <c r="R979" s="1778" t="e">
        <f t="shared" si="412"/>
        <v>#DIV/0!</v>
      </c>
    </row>
    <row r="980" spans="1:18">
      <c r="A980" s="1658">
        <f>'Part VIII-Bldg Credit Alloc NC'!A30</f>
        <v>0</v>
      </c>
      <c r="B980" s="1658"/>
      <c r="C980" s="1658"/>
      <c r="D980" s="1777">
        <f>'Part VIII-Bldg Credit Alloc NC'!D30</f>
        <v>0</v>
      </c>
      <c r="E980" s="1778">
        <f>'Part VIII-Bldg Credit Alloc NC'!E30</f>
        <v>0</v>
      </c>
      <c r="F980" s="1778">
        <f>'Part VIII-Bldg Credit Alloc NC'!F30</f>
        <v>0</v>
      </c>
      <c r="G980" s="1778">
        <f>'Part VIII-Bldg Credit Alloc NC'!G30</f>
        <v>0</v>
      </c>
      <c r="H980" s="1778">
        <f>'Part VIII-Bldg Credit Alloc NC'!H30</f>
        <v>0</v>
      </c>
      <c r="I980" s="1778">
        <f>'Part VIII-Bldg Credit Alloc NC'!I30</f>
        <v>0</v>
      </c>
      <c r="J980" s="1776">
        <f>'Part VIII-Bldg Credit Alloc NC'!J30</f>
        <v>0</v>
      </c>
      <c r="K980" s="1778">
        <f>'Part VIII-Bldg Credit Alloc NC'!K30</f>
        <v>0</v>
      </c>
      <c r="L980" s="1779" t="e">
        <f t="shared" si="408"/>
        <v>#DIV/0!</v>
      </c>
      <c r="M980" s="1778" t="e">
        <f t="shared" si="409"/>
        <v>#DIV/0!</v>
      </c>
      <c r="N980" s="1777">
        <f>'Part VIII-Bldg Credit Alloc NC'!N30</f>
        <v>0</v>
      </c>
      <c r="O980" s="1779">
        <f>'Part VIII-Bldg Credit Alloc NC'!O30</f>
        <v>0</v>
      </c>
      <c r="P980" s="1778" t="e">
        <f t="shared" si="410"/>
        <v>#DIV/0!</v>
      </c>
      <c r="Q980" s="1778" t="e">
        <f t="shared" si="411"/>
        <v>#DIV/0!</v>
      </c>
      <c r="R980" s="1778" t="e">
        <f t="shared" si="412"/>
        <v>#DIV/0!</v>
      </c>
    </row>
    <row r="981" spans="1:18">
      <c r="A981" s="1658">
        <f>'Part VIII-Bldg Credit Alloc NC'!A31</f>
        <v>0</v>
      </c>
      <c r="B981" s="1658"/>
      <c r="C981" s="1658"/>
      <c r="D981" s="1777">
        <f>'Part VIII-Bldg Credit Alloc NC'!D31</f>
        <v>0</v>
      </c>
      <c r="E981" s="1778">
        <f>'Part VIII-Bldg Credit Alloc NC'!E31</f>
        <v>0</v>
      </c>
      <c r="F981" s="1778">
        <f>'Part VIII-Bldg Credit Alloc NC'!F31</f>
        <v>0</v>
      </c>
      <c r="G981" s="1778">
        <f>'Part VIII-Bldg Credit Alloc NC'!G31</f>
        <v>0</v>
      </c>
      <c r="H981" s="1778">
        <f>'Part VIII-Bldg Credit Alloc NC'!H31</f>
        <v>0</v>
      </c>
      <c r="I981" s="1778">
        <f>'Part VIII-Bldg Credit Alloc NC'!I31</f>
        <v>0</v>
      </c>
      <c r="J981" s="1776">
        <f>'Part VIII-Bldg Credit Alloc NC'!J31</f>
        <v>0</v>
      </c>
      <c r="K981" s="1778">
        <f>'Part VIII-Bldg Credit Alloc NC'!K31</f>
        <v>0</v>
      </c>
      <c r="L981" s="1779" t="e">
        <f t="shared" si="408"/>
        <v>#DIV/0!</v>
      </c>
      <c r="M981" s="1778" t="e">
        <f t="shared" si="409"/>
        <v>#DIV/0!</v>
      </c>
      <c r="N981" s="1777">
        <f>'Part VIII-Bldg Credit Alloc NC'!N31</f>
        <v>0</v>
      </c>
      <c r="O981" s="1779">
        <f>'Part VIII-Bldg Credit Alloc NC'!O31</f>
        <v>0</v>
      </c>
      <c r="P981" s="1778" t="e">
        <f t="shared" si="410"/>
        <v>#DIV/0!</v>
      </c>
      <c r="Q981" s="1778" t="e">
        <f t="shared" si="411"/>
        <v>#DIV/0!</v>
      </c>
      <c r="R981" s="1778" t="e">
        <f t="shared" si="412"/>
        <v>#DIV/0!</v>
      </c>
    </row>
    <row r="982" spans="1:18">
      <c r="A982" s="1658">
        <f>'Part VIII-Bldg Credit Alloc NC'!A32</f>
        <v>0</v>
      </c>
      <c r="B982" s="1658"/>
      <c r="C982" s="1658"/>
      <c r="D982" s="1777">
        <f>'Part VIII-Bldg Credit Alloc NC'!D32</f>
        <v>0</v>
      </c>
      <c r="E982" s="1778">
        <f>'Part VIII-Bldg Credit Alloc NC'!E32</f>
        <v>0</v>
      </c>
      <c r="F982" s="1778">
        <f>'Part VIII-Bldg Credit Alloc NC'!F32</f>
        <v>0</v>
      </c>
      <c r="G982" s="1778">
        <f>'Part VIII-Bldg Credit Alloc NC'!G32</f>
        <v>0</v>
      </c>
      <c r="H982" s="1778">
        <f>'Part VIII-Bldg Credit Alloc NC'!H32</f>
        <v>0</v>
      </c>
      <c r="I982" s="1778">
        <f>'Part VIII-Bldg Credit Alloc NC'!I32</f>
        <v>0</v>
      </c>
      <c r="J982" s="1776">
        <f>'Part VIII-Bldg Credit Alloc NC'!J32</f>
        <v>0</v>
      </c>
      <c r="K982" s="1778">
        <f>'Part VIII-Bldg Credit Alloc NC'!K32</f>
        <v>0</v>
      </c>
      <c r="L982" s="1779" t="e">
        <f t="shared" si="408"/>
        <v>#DIV/0!</v>
      </c>
      <c r="M982" s="1778" t="e">
        <f t="shared" si="409"/>
        <v>#DIV/0!</v>
      </c>
      <c r="N982" s="1777">
        <f>'Part VIII-Bldg Credit Alloc NC'!N32</f>
        <v>0</v>
      </c>
      <c r="O982" s="1779">
        <f>'Part VIII-Bldg Credit Alloc NC'!O32</f>
        <v>0</v>
      </c>
      <c r="P982" s="1778" t="e">
        <f t="shared" si="410"/>
        <v>#DIV/0!</v>
      </c>
      <c r="Q982" s="1778" t="e">
        <f t="shared" si="411"/>
        <v>#DIV/0!</v>
      </c>
      <c r="R982" s="1778" t="e">
        <f t="shared" si="412"/>
        <v>#DIV/0!</v>
      </c>
    </row>
    <row r="983" spans="1:18">
      <c r="A983" s="1658">
        <f>'Part VIII-Bldg Credit Alloc NC'!A33</f>
        <v>0</v>
      </c>
      <c r="B983" s="1658"/>
      <c r="C983" s="1658"/>
      <c r="D983" s="1777">
        <f>'Part VIII-Bldg Credit Alloc NC'!D33</f>
        <v>0</v>
      </c>
      <c r="E983" s="1778">
        <f>'Part VIII-Bldg Credit Alloc NC'!E33</f>
        <v>0</v>
      </c>
      <c r="F983" s="1778">
        <f>'Part VIII-Bldg Credit Alloc NC'!F33</f>
        <v>0</v>
      </c>
      <c r="G983" s="1778">
        <f>'Part VIII-Bldg Credit Alloc NC'!G33</f>
        <v>0</v>
      </c>
      <c r="H983" s="1778">
        <f>'Part VIII-Bldg Credit Alloc NC'!H33</f>
        <v>0</v>
      </c>
      <c r="I983" s="1778">
        <f>'Part VIII-Bldg Credit Alloc NC'!I33</f>
        <v>0</v>
      </c>
      <c r="J983" s="1776">
        <f>'Part VIII-Bldg Credit Alloc NC'!J33</f>
        <v>0</v>
      </c>
      <c r="K983" s="1778">
        <f>'Part VIII-Bldg Credit Alloc NC'!K33</f>
        <v>0</v>
      </c>
      <c r="L983" s="1779" t="e">
        <f t="shared" si="408"/>
        <v>#DIV/0!</v>
      </c>
      <c r="M983" s="1778" t="e">
        <f t="shared" si="409"/>
        <v>#DIV/0!</v>
      </c>
      <c r="N983" s="1777">
        <f>'Part VIII-Bldg Credit Alloc NC'!N33</f>
        <v>0</v>
      </c>
      <c r="O983" s="1779">
        <f>'Part VIII-Bldg Credit Alloc NC'!O33</f>
        <v>0</v>
      </c>
      <c r="P983" s="1778" t="e">
        <f t="shared" si="410"/>
        <v>#DIV/0!</v>
      </c>
      <c r="Q983" s="1778" t="e">
        <f t="shared" si="411"/>
        <v>#DIV/0!</v>
      </c>
      <c r="R983" s="1778" t="e">
        <f t="shared" si="412"/>
        <v>#DIV/0!</v>
      </c>
    </row>
    <row r="984" spans="1:18">
      <c r="A984" s="1658">
        <f>'Part VIII-Bldg Credit Alloc NC'!A34</f>
        <v>0</v>
      </c>
      <c r="B984" s="1658"/>
      <c r="C984" s="1658"/>
      <c r="D984" s="1777">
        <f>'Part VIII-Bldg Credit Alloc NC'!D34</f>
        <v>0</v>
      </c>
      <c r="E984" s="1778">
        <f>'Part VIII-Bldg Credit Alloc NC'!E34</f>
        <v>0</v>
      </c>
      <c r="F984" s="1778">
        <f>'Part VIII-Bldg Credit Alloc NC'!F34</f>
        <v>0</v>
      </c>
      <c r="G984" s="1778">
        <f>'Part VIII-Bldg Credit Alloc NC'!G34</f>
        <v>0</v>
      </c>
      <c r="H984" s="1778">
        <f>'Part VIII-Bldg Credit Alloc NC'!H34</f>
        <v>0</v>
      </c>
      <c r="I984" s="1778">
        <f>'Part VIII-Bldg Credit Alloc NC'!I34</f>
        <v>0</v>
      </c>
      <c r="J984" s="1776">
        <f>'Part VIII-Bldg Credit Alloc NC'!J34</f>
        <v>0</v>
      </c>
      <c r="K984" s="1778">
        <f>'Part VIII-Bldg Credit Alloc NC'!K34</f>
        <v>0</v>
      </c>
      <c r="L984" s="1779" t="e">
        <f t="shared" si="408"/>
        <v>#DIV/0!</v>
      </c>
      <c r="M984" s="1778" t="e">
        <f t="shared" si="409"/>
        <v>#DIV/0!</v>
      </c>
      <c r="N984" s="1777">
        <f>'Part VIII-Bldg Credit Alloc NC'!N34</f>
        <v>0</v>
      </c>
      <c r="O984" s="1779">
        <f>'Part VIII-Bldg Credit Alloc NC'!O34</f>
        <v>0</v>
      </c>
      <c r="P984" s="1778" t="e">
        <f t="shared" si="410"/>
        <v>#DIV/0!</v>
      </c>
      <c r="Q984" s="1778" t="e">
        <f t="shared" si="411"/>
        <v>#DIV/0!</v>
      </c>
      <c r="R984" s="1778" t="e">
        <f t="shared" si="412"/>
        <v>#DIV/0!</v>
      </c>
    </row>
    <row r="985" spans="1:18">
      <c r="A985" s="1658">
        <f>'Part VIII-Bldg Credit Alloc NC'!A35</f>
        <v>0</v>
      </c>
      <c r="B985" s="1658"/>
      <c r="C985" s="1658"/>
      <c r="D985" s="1777">
        <f>'Part VIII-Bldg Credit Alloc NC'!D35</f>
        <v>0</v>
      </c>
      <c r="E985" s="1778">
        <f>'Part VIII-Bldg Credit Alloc NC'!E35</f>
        <v>0</v>
      </c>
      <c r="F985" s="1778">
        <f>'Part VIII-Bldg Credit Alloc NC'!F35</f>
        <v>0</v>
      </c>
      <c r="G985" s="1778">
        <f>'Part VIII-Bldg Credit Alloc NC'!G35</f>
        <v>0</v>
      </c>
      <c r="H985" s="1778">
        <f>'Part VIII-Bldg Credit Alloc NC'!H35</f>
        <v>0</v>
      </c>
      <c r="I985" s="1778">
        <f>'Part VIII-Bldg Credit Alloc NC'!I35</f>
        <v>0</v>
      </c>
      <c r="J985" s="1776">
        <f>'Part VIII-Bldg Credit Alloc NC'!J35</f>
        <v>0</v>
      </c>
      <c r="K985" s="1778">
        <f>'Part VIII-Bldg Credit Alloc NC'!K35</f>
        <v>0</v>
      </c>
      <c r="L985" s="1779" t="e">
        <f t="shared" si="408"/>
        <v>#DIV/0!</v>
      </c>
      <c r="M985" s="1778" t="e">
        <f t="shared" si="409"/>
        <v>#DIV/0!</v>
      </c>
      <c r="N985" s="1777">
        <f>'Part VIII-Bldg Credit Alloc NC'!N35</f>
        <v>0</v>
      </c>
      <c r="O985" s="1779">
        <f>'Part VIII-Bldg Credit Alloc NC'!O35</f>
        <v>0</v>
      </c>
      <c r="P985" s="1778" t="e">
        <f t="shared" si="410"/>
        <v>#DIV/0!</v>
      </c>
      <c r="Q985" s="1778" t="e">
        <f t="shared" si="411"/>
        <v>#DIV/0!</v>
      </c>
      <c r="R985" s="1778" t="e">
        <f t="shared" si="412"/>
        <v>#DIV/0!</v>
      </c>
    </row>
    <row r="986" spans="1:18">
      <c r="A986" s="1658">
        <f>'Part VIII-Bldg Credit Alloc NC'!A36</f>
        <v>0</v>
      </c>
      <c r="B986" s="1658"/>
      <c r="C986" s="1658"/>
      <c r="D986" s="1777">
        <f>'Part VIII-Bldg Credit Alloc NC'!D36</f>
        <v>0</v>
      </c>
      <c r="E986" s="1778">
        <f>'Part VIII-Bldg Credit Alloc NC'!E36</f>
        <v>0</v>
      </c>
      <c r="F986" s="1778">
        <f>'Part VIII-Bldg Credit Alloc NC'!F36</f>
        <v>0</v>
      </c>
      <c r="G986" s="1778">
        <f>'Part VIII-Bldg Credit Alloc NC'!G36</f>
        <v>0</v>
      </c>
      <c r="H986" s="1778">
        <f>'Part VIII-Bldg Credit Alloc NC'!H36</f>
        <v>0</v>
      </c>
      <c r="I986" s="1778">
        <f>'Part VIII-Bldg Credit Alloc NC'!I36</f>
        <v>0</v>
      </c>
      <c r="J986" s="1776">
        <f>'Part VIII-Bldg Credit Alloc NC'!J36</f>
        <v>0</v>
      </c>
      <c r="K986" s="1778">
        <f>'Part VIII-Bldg Credit Alloc NC'!K36</f>
        <v>0</v>
      </c>
      <c r="L986" s="1779" t="e">
        <f t="shared" si="408"/>
        <v>#DIV/0!</v>
      </c>
      <c r="M986" s="1778" t="e">
        <f t="shared" si="409"/>
        <v>#DIV/0!</v>
      </c>
      <c r="N986" s="1777">
        <f>'Part VIII-Bldg Credit Alloc NC'!N36</f>
        <v>0</v>
      </c>
      <c r="O986" s="1779">
        <f>'Part VIII-Bldg Credit Alloc NC'!O36</f>
        <v>0</v>
      </c>
      <c r="P986" s="1778" t="e">
        <f t="shared" si="410"/>
        <v>#DIV/0!</v>
      </c>
      <c r="Q986" s="1778" t="e">
        <f t="shared" si="411"/>
        <v>#DIV/0!</v>
      </c>
      <c r="R986" s="1778" t="e">
        <f t="shared" si="412"/>
        <v>#DIV/0!</v>
      </c>
    </row>
    <row r="987" spans="1:18">
      <c r="A987" s="1658">
        <f>'Part VIII-Bldg Credit Alloc NC'!A37</f>
        <v>0</v>
      </c>
      <c r="B987" s="1658"/>
      <c r="C987" s="1658"/>
      <c r="D987" s="1777">
        <f>'Part VIII-Bldg Credit Alloc NC'!D37</f>
        <v>0</v>
      </c>
      <c r="E987" s="1778">
        <f>'Part VIII-Bldg Credit Alloc NC'!E37</f>
        <v>0</v>
      </c>
      <c r="F987" s="1778">
        <f>'Part VIII-Bldg Credit Alloc NC'!F37</f>
        <v>0</v>
      </c>
      <c r="G987" s="1778">
        <f>'Part VIII-Bldg Credit Alloc NC'!G37</f>
        <v>0</v>
      </c>
      <c r="H987" s="1778">
        <f>'Part VIII-Bldg Credit Alloc NC'!H37</f>
        <v>0</v>
      </c>
      <c r="I987" s="1778">
        <f>'Part VIII-Bldg Credit Alloc NC'!I37</f>
        <v>0</v>
      </c>
      <c r="J987" s="1776">
        <f>'Part VIII-Bldg Credit Alloc NC'!J37</f>
        <v>0</v>
      </c>
      <c r="K987" s="1778">
        <f>'Part VIII-Bldg Credit Alloc NC'!K37</f>
        <v>0</v>
      </c>
      <c r="L987" s="1779" t="e">
        <f t="shared" si="408"/>
        <v>#DIV/0!</v>
      </c>
      <c r="M987" s="1778" t="e">
        <f t="shared" si="409"/>
        <v>#DIV/0!</v>
      </c>
      <c r="N987" s="1777">
        <f>'Part VIII-Bldg Credit Alloc NC'!N37</f>
        <v>0</v>
      </c>
      <c r="O987" s="1779">
        <f>'Part VIII-Bldg Credit Alloc NC'!O37</f>
        <v>0</v>
      </c>
      <c r="P987" s="1778" t="e">
        <f t="shared" si="410"/>
        <v>#DIV/0!</v>
      </c>
      <c r="Q987" s="1778" t="e">
        <f t="shared" si="411"/>
        <v>#DIV/0!</v>
      </c>
      <c r="R987" s="1778" t="e">
        <f t="shared" si="412"/>
        <v>#DIV/0!</v>
      </c>
    </row>
    <row r="988" spans="1:18">
      <c r="A988" s="1658">
        <f>'Part VIII-Bldg Credit Alloc NC'!A38</f>
        <v>0</v>
      </c>
      <c r="B988" s="1658"/>
      <c r="C988" s="1658"/>
      <c r="D988" s="1777">
        <f>'Part VIII-Bldg Credit Alloc NC'!D38</f>
        <v>0</v>
      </c>
      <c r="E988" s="1778">
        <f>'Part VIII-Bldg Credit Alloc NC'!E38</f>
        <v>0</v>
      </c>
      <c r="F988" s="1778">
        <f>'Part VIII-Bldg Credit Alloc NC'!F38</f>
        <v>0</v>
      </c>
      <c r="G988" s="1778">
        <f>'Part VIII-Bldg Credit Alloc NC'!G38</f>
        <v>0</v>
      </c>
      <c r="H988" s="1778">
        <f>'Part VIII-Bldg Credit Alloc NC'!H38</f>
        <v>0</v>
      </c>
      <c r="I988" s="1778">
        <f>'Part VIII-Bldg Credit Alloc NC'!I38</f>
        <v>0</v>
      </c>
      <c r="J988" s="1776">
        <f>'Part VIII-Bldg Credit Alloc NC'!J38</f>
        <v>0</v>
      </c>
      <c r="K988" s="1778">
        <f>'Part VIII-Bldg Credit Alloc NC'!K38</f>
        <v>0</v>
      </c>
      <c r="L988" s="1779" t="e">
        <f t="shared" si="408"/>
        <v>#DIV/0!</v>
      </c>
      <c r="M988" s="1778" t="e">
        <f t="shared" si="409"/>
        <v>#DIV/0!</v>
      </c>
      <c r="N988" s="1777">
        <f>'Part VIII-Bldg Credit Alloc NC'!N38</f>
        <v>0</v>
      </c>
      <c r="O988" s="1779">
        <f>'Part VIII-Bldg Credit Alloc NC'!O38</f>
        <v>0</v>
      </c>
      <c r="P988" s="1778" t="e">
        <f t="shared" si="410"/>
        <v>#DIV/0!</v>
      </c>
      <c r="Q988" s="1778" t="e">
        <f t="shared" si="411"/>
        <v>#DIV/0!</v>
      </c>
      <c r="R988" s="1778" t="e">
        <f t="shared" si="412"/>
        <v>#DIV/0!</v>
      </c>
    </row>
    <row r="989" spans="1:18">
      <c r="A989" s="1658">
        <f>'Part VIII-Bldg Credit Alloc NC'!A39</f>
        <v>0</v>
      </c>
      <c r="B989" s="1658"/>
      <c r="C989" s="1658"/>
      <c r="D989" s="1777">
        <f>'Part VIII-Bldg Credit Alloc NC'!D39</f>
        <v>0</v>
      </c>
      <c r="E989" s="1778">
        <f>'Part VIII-Bldg Credit Alloc NC'!E39</f>
        <v>0</v>
      </c>
      <c r="F989" s="1778">
        <f>'Part VIII-Bldg Credit Alloc NC'!F39</f>
        <v>0</v>
      </c>
      <c r="G989" s="1778">
        <f>'Part VIII-Bldg Credit Alloc NC'!G39</f>
        <v>0</v>
      </c>
      <c r="H989" s="1778">
        <f>'Part VIII-Bldg Credit Alloc NC'!H39</f>
        <v>0</v>
      </c>
      <c r="I989" s="1778">
        <f>'Part VIII-Bldg Credit Alloc NC'!I39</f>
        <v>0</v>
      </c>
      <c r="J989" s="1776">
        <f>'Part VIII-Bldg Credit Alloc NC'!J39</f>
        <v>0</v>
      </c>
      <c r="K989" s="1778">
        <f>'Part VIII-Bldg Credit Alloc NC'!K39</f>
        <v>0</v>
      </c>
      <c r="L989" s="1779" t="e">
        <f t="shared" si="408"/>
        <v>#DIV/0!</v>
      </c>
      <c r="M989" s="1778" t="e">
        <f t="shared" si="409"/>
        <v>#DIV/0!</v>
      </c>
      <c r="N989" s="1777">
        <f>'Part VIII-Bldg Credit Alloc NC'!N39</f>
        <v>0</v>
      </c>
      <c r="O989" s="1779">
        <f>'Part VIII-Bldg Credit Alloc NC'!O39</f>
        <v>0</v>
      </c>
      <c r="P989" s="1778" t="e">
        <f t="shared" si="410"/>
        <v>#DIV/0!</v>
      </c>
      <c r="Q989" s="1778" t="e">
        <f t="shared" si="411"/>
        <v>#DIV/0!</v>
      </c>
      <c r="R989" s="1778" t="e">
        <f t="shared" si="412"/>
        <v>#DIV/0!</v>
      </c>
    </row>
    <row r="990" spans="1:18">
      <c r="A990" s="1658">
        <f>'Part VIII-Bldg Credit Alloc NC'!A40</f>
        <v>0</v>
      </c>
      <c r="B990" s="1658"/>
      <c r="C990" s="1658"/>
      <c r="D990" s="1777">
        <f>'Part VIII-Bldg Credit Alloc NC'!D40</f>
        <v>0</v>
      </c>
      <c r="E990" s="1778">
        <f>'Part VIII-Bldg Credit Alloc NC'!E40</f>
        <v>0</v>
      </c>
      <c r="F990" s="1778">
        <f>'Part VIII-Bldg Credit Alloc NC'!F40</f>
        <v>0</v>
      </c>
      <c r="G990" s="1778">
        <f>'Part VIII-Bldg Credit Alloc NC'!G40</f>
        <v>0</v>
      </c>
      <c r="H990" s="1778">
        <f>'Part VIII-Bldg Credit Alloc NC'!H40</f>
        <v>0</v>
      </c>
      <c r="I990" s="1778">
        <f>'Part VIII-Bldg Credit Alloc NC'!I40</f>
        <v>0</v>
      </c>
      <c r="J990" s="1776">
        <f>'Part VIII-Bldg Credit Alloc NC'!J40</f>
        <v>0</v>
      </c>
      <c r="K990" s="1778">
        <f>'Part VIII-Bldg Credit Alloc NC'!K40</f>
        <v>0</v>
      </c>
      <c r="L990" s="1779" t="e">
        <f t="shared" si="408"/>
        <v>#DIV/0!</v>
      </c>
      <c r="M990" s="1778" t="e">
        <f t="shared" si="409"/>
        <v>#DIV/0!</v>
      </c>
      <c r="N990" s="1777">
        <f>'Part VIII-Bldg Credit Alloc NC'!N40</f>
        <v>0</v>
      </c>
      <c r="O990" s="1779">
        <f>'Part VIII-Bldg Credit Alloc NC'!O40</f>
        <v>0</v>
      </c>
      <c r="P990" s="1778" t="e">
        <f t="shared" si="410"/>
        <v>#DIV/0!</v>
      </c>
      <c r="Q990" s="1778" t="e">
        <f t="shared" si="411"/>
        <v>#DIV/0!</v>
      </c>
      <c r="R990" s="1778" t="e">
        <f>IF(P990="","",ROUND(P990,0))</f>
        <v>#DIV/0!</v>
      </c>
    </row>
    <row r="991" spans="1:18">
      <c r="A991" s="1658">
        <f>'Part VIII-Bldg Credit Alloc NC'!A41</f>
        <v>0</v>
      </c>
      <c r="B991" s="1658"/>
      <c r="C991" s="1658"/>
      <c r="D991" s="1777">
        <f>'Part VIII-Bldg Credit Alloc NC'!D41</f>
        <v>0</v>
      </c>
      <c r="E991" s="1778">
        <f>'Part VIII-Bldg Credit Alloc NC'!E41</f>
        <v>0</v>
      </c>
      <c r="F991" s="1778">
        <f>'Part VIII-Bldg Credit Alloc NC'!F41</f>
        <v>0</v>
      </c>
      <c r="G991" s="1778">
        <f>'Part VIII-Bldg Credit Alloc NC'!G41</f>
        <v>0</v>
      </c>
      <c r="H991" s="1778">
        <f>'Part VIII-Bldg Credit Alloc NC'!H41</f>
        <v>0</v>
      </c>
      <c r="I991" s="1778">
        <f>'Part VIII-Bldg Credit Alloc NC'!I41</f>
        <v>0</v>
      </c>
      <c r="J991" s="1776">
        <f>'Part VIII-Bldg Credit Alloc NC'!J41</f>
        <v>0</v>
      </c>
      <c r="K991" s="1778">
        <f>'Part VIII-Bldg Credit Alloc NC'!K41</f>
        <v>0</v>
      </c>
      <c r="L991" s="1779" t="e">
        <f t="shared" si="408"/>
        <v>#DIV/0!</v>
      </c>
      <c r="M991" s="1778" t="e">
        <f t="shared" si="409"/>
        <v>#DIV/0!</v>
      </c>
      <c r="N991" s="1777">
        <f>'Part VIII-Bldg Credit Alloc NC'!N41</f>
        <v>0</v>
      </c>
      <c r="O991" s="1779">
        <f>'Part VIII-Bldg Credit Alloc NC'!O41</f>
        <v>0</v>
      </c>
      <c r="P991" s="1778" t="e">
        <f t="shared" si="410"/>
        <v>#DIV/0!</v>
      </c>
      <c r="Q991" s="1778" t="e">
        <f t="shared" si="411"/>
        <v>#DIV/0!</v>
      </c>
      <c r="R991" s="1778" t="e">
        <f t="shared" si="412"/>
        <v>#DIV/0!</v>
      </c>
    </row>
    <row r="992" spans="1:18">
      <c r="A992" s="1658">
        <f>'Part VIII-Bldg Credit Alloc NC'!A42</f>
        <v>0</v>
      </c>
      <c r="B992" s="1658"/>
      <c r="C992" s="1658"/>
      <c r="D992" s="1777">
        <f>'Part VIII-Bldg Credit Alloc NC'!D42</f>
        <v>0</v>
      </c>
      <c r="E992" s="1778">
        <f>'Part VIII-Bldg Credit Alloc NC'!E42</f>
        <v>0</v>
      </c>
      <c r="F992" s="1778">
        <f>'Part VIII-Bldg Credit Alloc NC'!F42</f>
        <v>0</v>
      </c>
      <c r="G992" s="1778">
        <f>'Part VIII-Bldg Credit Alloc NC'!G42</f>
        <v>0</v>
      </c>
      <c r="H992" s="1778">
        <f>'Part VIII-Bldg Credit Alloc NC'!H42</f>
        <v>0</v>
      </c>
      <c r="I992" s="1778">
        <f>'Part VIII-Bldg Credit Alloc NC'!I42</f>
        <v>0</v>
      </c>
      <c r="J992" s="1776">
        <f>'Part VIII-Bldg Credit Alloc NC'!J42</f>
        <v>0</v>
      </c>
      <c r="K992" s="1778">
        <f>'Part VIII-Bldg Credit Alloc NC'!K42</f>
        <v>0</v>
      </c>
      <c r="L992" s="1779" t="e">
        <f t="shared" si="408"/>
        <v>#DIV/0!</v>
      </c>
      <c r="M992" s="1778" t="e">
        <f t="shared" si="409"/>
        <v>#DIV/0!</v>
      </c>
      <c r="N992" s="1777">
        <f>'Part VIII-Bldg Credit Alloc NC'!N42</f>
        <v>0</v>
      </c>
      <c r="O992" s="1779">
        <f>'Part VIII-Bldg Credit Alloc NC'!O42</f>
        <v>0</v>
      </c>
      <c r="P992" s="1778" t="e">
        <f t="shared" si="410"/>
        <v>#DIV/0!</v>
      </c>
      <c r="Q992" s="1778" t="e">
        <f t="shared" si="411"/>
        <v>#DIV/0!</v>
      </c>
      <c r="R992" s="1778" t="e">
        <f t="shared" si="412"/>
        <v>#DIV/0!</v>
      </c>
    </row>
    <row r="993" spans="1:18">
      <c r="A993" s="1658">
        <f>'Part VIII-Bldg Credit Alloc NC'!A43</f>
        <v>0</v>
      </c>
      <c r="B993" s="1658"/>
      <c r="C993" s="1658"/>
      <c r="D993" s="1777">
        <f>'Part VIII-Bldg Credit Alloc NC'!D43</f>
        <v>0</v>
      </c>
      <c r="E993" s="1778">
        <f>'Part VIII-Bldg Credit Alloc NC'!E43</f>
        <v>0</v>
      </c>
      <c r="F993" s="1778">
        <f>'Part VIII-Bldg Credit Alloc NC'!F43</f>
        <v>0</v>
      </c>
      <c r="G993" s="1778">
        <f>'Part VIII-Bldg Credit Alloc NC'!G43</f>
        <v>0</v>
      </c>
      <c r="H993" s="1778">
        <f>'Part VIII-Bldg Credit Alloc NC'!H43</f>
        <v>0</v>
      </c>
      <c r="I993" s="1778">
        <f>'Part VIII-Bldg Credit Alloc NC'!I43</f>
        <v>0</v>
      </c>
      <c r="J993" s="1776">
        <f>'Part VIII-Bldg Credit Alloc NC'!J43</f>
        <v>0</v>
      </c>
      <c r="K993" s="1778">
        <f>'Part VIII-Bldg Credit Alloc NC'!K43</f>
        <v>0</v>
      </c>
      <c r="L993" s="1779" t="e">
        <f t="shared" si="408"/>
        <v>#DIV/0!</v>
      </c>
      <c r="M993" s="1778" t="e">
        <f t="shared" si="409"/>
        <v>#DIV/0!</v>
      </c>
      <c r="N993" s="1777">
        <f>'Part VIII-Bldg Credit Alloc NC'!N43</f>
        <v>0</v>
      </c>
      <c r="O993" s="1779">
        <f>'Part VIII-Bldg Credit Alloc NC'!O43</f>
        <v>0</v>
      </c>
      <c r="P993" s="1778" t="e">
        <f t="shared" si="410"/>
        <v>#DIV/0!</v>
      </c>
      <c r="Q993" s="1778" t="e">
        <f t="shared" si="411"/>
        <v>#DIV/0!</v>
      </c>
      <c r="R993" s="1778" t="e">
        <f t="shared" si="412"/>
        <v>#DIV/0!</v>
      </c>
    </row>
    <row r="994" spans="1:18">
      <c r="A994" s="1658">
        <f>'Part VIII-Bldg Credit Alloc NC'!A44</f>
        <v>0</v>
      </c>
      <c r="B994" s="1658"/>
      <c r="C994" s="1658"/>
      <c r="D994" s="1777">
        <f>'Part VIII-Bldg Credit Alloc NC'!D44</f>
        <v>0</v>
      </c>
      <c r="E994" s="1778">
        <f>'Part VIII-Bldg Credit Alloc NC'!E44</f>
        <v>0</v>
      </c>
      <c r="F994" s="1778">
        <f>'Part VIII-Bldg Credit Alloc NC'!F44</f>
        <v>0</v>
      </c>
      <c r="G994" s="1778">
        <f>'Part VIII-Bldg Credit Alloc NC'!G44</f>
        <v>0</v>
      </c>
      <c r="H994" s="1778">
        <f>'Part VIII-Bldg Credit Alloc NC'!H44</f>
        <v>0</v>
      </c>
      <c r="I994" s="1778">
        <f>'Part VIII-Bldg Credit Alloc NC'!I44</f>
        <v>0</v>
      </c>
      <c r="J994" s="1776">
        <f>'Part VIII-Bldg Credit Alloc NC'!J44</f>
        <v>0</v>
      </c>
      <c r="K994" s="1778">
        <f>'Part VIII-Bldg Credit Alloc NC'!K44</f>
        <v>0</v>
      </c>
      <c r="L994" s="1779" t="e">
        <f t="shared" si="408"/>
        <v>#DIV/0!</v>
      </c>
      <c r="M994" s="1778" t="e">
        <f t="shared" si="409"/>
        <v>#DIV/0!</v>
      </c>
      <c r="N994" s="1777">
        <f>'Part VIII-Bldg Credit Alloc NC'!N44</f>
        <v>0</v>
      </c>
      <c r="O994" s="1779">
        <f>'Part VIII-Bldg Credit Alloc NC'!O44</f>
        <v>0</v>
      </c>
      <c r="P994" s="1778" t="e">
        <f t="shared" si="410"/>
        <v>#DIV/0!</v>
      </c>
      <c r="Q994" s="1778" t="e">
        <f t="shared" si="411"/>
        <v>#DIV/0!</v>
      </c>
      <c r="R994" s="1778" t="e">
        <f t="shared" si="412"/>
        <v>#DIV/0!</v>
      </c>
    </row>
    <row r="995" spans="1:18">
      <c r="A995" s="1715" t="s">
        <v>3690</v>
      </c>
      <c r="B995" s="1780"/>
      <c r="C995" s="1780"/>
      <c r="D995" s="1777"/>
      <c r="E995" s="1778">
        <f>SUM(E960:E994)</f>
        <v>0</v>
      </c>
      <c r="F995" s="1778">
        <f>SUM(F960:F994)</f>
        <v>0</v>
      </c>
      <c r="G995" s="1778">
        <f>SUM(G960:G994)</f>
        <v>0</v>
      </c>
      <c r="H995" s="1778">
        <f>SUM(H960:H994)</f>
        <v>0</v>
      </c>
      <c r="I995" s="1778">
        <f>SUM(I960:I994)</f>
        <v>0</v>
      </c>
      <c r="J995" s="1658"/>
      <c r="K995" s="1778">
        <f>SUM(K960:K994)</f>
        <v>0</v>
      </c>
      <c r="L995" s="1779"/>
      <c r="M995" s="1778" t="e">
        <f>SUM(M960:M994)</f>
        <v>#DIV/0!</v>
      </c>
      <c r="N995" s="1777"/>
      <c r="O995" s="1779"/>
      <c r="P995" s="1778" t="e">
        <f>SUM(P960:P994)</f>
        <v>#DIV/0!</v>
      </c>
      <c r="Q995" s="1778" t="e">
        <f>SUM(Q960:Q994)</f>
        <v>#DIV/0!</v>
      </c>
      <c r="R995" s="1778" t="e">
        <f>SUM(R960:R994)</f>
        <v>#DIV/0!</v>
      </c>
    </row>
    <row r="996" spans="1:18">
      <c r="A996" s="1780"/>
      <c r="B996" s="1780"/>
      <c r="C996" s="1780"/>
      <c r="D996" s="1777"/>
      <c r="E996" s="1778"/>
      <c r="F996" s="1778"/>
      <c r="G996" s="1778"/>
      <c r="H996" s="1778"/>
      <c r="I996" s="1778"/>
      <c r="J996" s="1658"/>
      <c r="K996" s="1778"/>
      <c r="L996" s="1779"/>
      <c r="M996" s="1778"/>
      <c r="N996" s="1779"/>
      <c r="O996" s="1777"/>
      <c r="P996" s="1778"/>
      <c r="Q996" s="1778"/>
      <c r="R996" s="1778"/>
    </row>
    <row r="997" spans="1:18">
      <c r="A997" s="1186"/>
      <c r="B997" s="1186"/>
      <c r="C997" s="1186"/>
      <c r="D997" s="1186"/>
      <c r="E997" s="1186"/>
      <c r="F997" s="1186"/>
      <c r="G997" s="1186"/>
      <c r="H997" s="1186"/>
      <c r="I997" s="1186"/>
      <c r="J997" s="1186"/>
      <c r="K997" s="1186"/>
      <c r="L997" s="1186"/>
      <c r="M997" s="1186"/>
      <c r="N997" s="1186"/>
      <c r="O997" s="1186"/>
      <c r="P997" s="1186"/>
      <c r="Q997" s="1186"/>
      <c r="R997" s="1186"/>
    </row>
    <row r="998" spans="1:18">
      <c r="A998" s="1715" t="s">
        <v>3128</v>
      </c>
      <c r="B998" s="1656"/>
      <c r="C998" s="1771" t="str">
        <f>C954</f>
        <v>New Construction</v>
      </c>
      <c r="D998" s="1781"/>
      <c r="E998" s="1781"/>
      <c r="F998" s="1713"/>
      <c r="G998" s="1656"/>
      <c r="H998" s="1656"/>
      <c r="I998" s="1656"/>
      <c r="J998" s="1656"/>
      <c r="K998" s="1656"/>
      <c r="L998" s="1657"/>
      <c r="M998" s="1657"/>
      <c r="N998" s="1657"/>
      <c r="O998" s="1656"/>
      <c r="P998" s="1656"/>
      <c r="Q998" s="1656"/>
      <c r="R998" s="1656"/>
    </row>
    <row r="999" spans="1:18">
      <c r="A999" s="1712" t="s">
        <v>3129</v>
      </c>
      <c r="B999" s="1712"/>
      <c r="C999" s="1712"/>
      <c r="D999" s="1712"/>
      <c r="E999" s="1712"/>
      <c r="F999" s="1712"/>
      <c r="G999" s="1712"/>
      <c r="H999" s="1712"/>
      <c r="I999" s="1712"/>
      <c r="J999" s="1712"/>
      <c r="K999" s="1712"/>
      <c r="L999" s="1712"/>
      <c r="M999" s="1712"/>
      <c r="N999" s="1712"/>
      <c r="O999" s="1712"/>
      <c r="P999" s="1712"/>
      <c r="Q999" s="1712"/>
      <c r="R999" s="1712"/>
    </row>
    <row r="1000" spans="1:18" ht="13.5" customHeight="1">
      <c r="A1000" s="1772"/>
      <c r="B1000" s="1658"/>
      <c r="C1000" s="1658"/>
      <c r="D1000" s="1773"/>
      <c r="E1000" s="1773" t="s">
        <v>503</v>
      </c>
      <c r="F1000" s="1773" t="s">
        <v>503</v>
      </c>
      <c r="G1000" s="1773" t="s">
        <v>477</v>
      </c>
      <c r="H1000" s="1773" t="s">
        <v>3130</v>
      </c>
      <c r="I1000" s="1718"/>
      <c r="J1000" s="1773"/>
      <c r="K1000" s="1718"/>
      <c r="L1000" s="1718"/>
      <c r="M1000" s="1746"/>
      <c r="N1000" s="1773" t="s">
        <v>861</v>
      </c>
      <c r="O1000" s="1746"/>
      <c r="P1000" s="1746"/>
      <c r="Q1000" s="1774" t="s">
        <v>3719</v>
      </c>
      <c r="R1000" s="1774"/>
    </row>
    <row r="1001" spans="1:18" ht="13.5">
      <c r="A1001" s="1772"/>
      <c r="B1001" s="1658"/>
      <c r="C1001" s="1658"/>
      <c r="D1001" s="1773" t="s">
        <v>496</v>
      </c>
      <c r="E1001" s="1775" t="s">
        <v>152</v>
      </c>
      <c r="F1001" s="1773" t="s">
        <v>3132</v>
      </c>
      <c r="G1001" s="1773" t="s">
        <v>3133</v>
      </c>
      <c r="H1001" s="1773" t="s">
        <v>3134</v>
      </c>
      <c r="I1001" s="1773" t="s">
        <v>3135</v>
      </c>
      <c r="J1001" s="1692" t="s">
        <v>3136</v>
      </c>
      <c r="K1001" s="1773" t="s">
        <v>3135</v>
      </c>
      <c r="L1001" s="1773" t="s">
        <v>3135</v>
      </c>
      <c r="M1001" s="1773" t="s">
        <v>3135</v>
      </c>
      <c r="N1001" s="1773" t="s">
        <v>3137</v>
      </c>
      <c r="O1001" s="1773" t="s">
        <v>3138</v>
      </c>
      <c r="P1001" s="1773" t="s">
        <v>3139</v>
      </c>
      <c r="Q1001" s="1774"/>
      <c r="R1001" s="1774"/>
    </row>
    <row r="1002" spans="1:18" ht="13.5">
      <c r="A1002" s="1772"/>
      <c r="B1002" s="1658"/>
      <c r="C1002" s="1658"/>
      <c r="D1002" s="1773" t="s">
        <v>3140</v>
      </c>
      <c r="E1002" s="1773" t="s">
        <v>3141</v>
      </c>
      <c r="F1002" s="1773" t="s">
        <v>3110</v>
      </c>
      <c r="G1002" s="1773" t="s">
        <v>3134</v>
      </c>
      <c r="H1002" s="1773" t="s">
        <v>3110</v>
      </c>
      <c r="I1002" s="1773" t="s">
        <v>3142</v>
      </c>
      <c r="J1002" s="1692"/>
      <c r="K1002" s="1773" t="s">
        <v>3143</v>
      </c>
      <c r="L1002" s="1773" t="s">
        <v>3144</v>
      </c>
      <c r="M1002" s="1773" t="s">
        <v>3145</v>
      </c>
      <c r="N1002" s="1773" t="s">
        <v>3146</v>
      </c>
      <c r="O1002" s="1773" t="s">
        <v>3147</v>
      </c>
      <c r="P1002" s="1773" t="s">
        <v>3147</v>
      </c>
      <c r="Q1002" s="1773" t="s">
        <v>3135</v>
      </c>
      <c r="R1002" s="1773" t="s">
        <v>3148</v>
      </c>
    </row>
    <row r="1003" spans="1:18" ht="13.5">
      <c r="A1003" s="1772" t="s">
        <v>3149</v>
      </c>
      <c r="B1003" s="1658"/>
      <c r="C1003" s="1658"/>
      <c r="D1003" s="1773" t="s">
        <v>3150</v>
      </c>
      <c r="E1003" s="1773" t="s">
        <v>3151</v>
      </c>
      <c r="F1003" s="1773" t="s">
        <v>3152</v>
      </c>
      <c r="G1003" s="1773" t="s">
        <v>3151</v>
      </c>
      <c r="H1003" s="1773" t="s">
        <v>3152</v>
      </c>
      <c r="I1003" s="1773" t="s">
        <v>3153</v>
      </c>
      <c r="J1003" s="1776" t="s">
        <v>3154</v>
      </c>
      <c r="K1003" s="1773" t="s">
        <v>3153</v>
      </c>
      <c r="L1003" s="1773" t="s">
        <v>3155</v>
      </c>
      <c r="M1003" s="1773" t="s">
        <v>3153</v>
      </c>
      <c r="N1003" s="1773" t="s">
        <v>3156</v>
      </c>
      <c r="O1003" s="1773" t="s">
        <v>3157</v>
      </c>
      <c r="P1003" s="1773" t="s">
        <v>1793</v>
      </c>
      <c r="Q1003" s="1773" t="s">
        <v>1830</v>
      </c>
      <c r="R1003" s="1773" t="s">
        <v>1793</v>
      </c>
    </row>
    <row r="1004" spans="1:18">
      <c r="A1004" s="1658">
        <f>'Part VIII-Bldg Credit Alloc NC'!A54</f>
        <v>0</v>
      </c>
      <c r="B1004" s="1658"/>
      <c r="C1004" s="1658"/>
      <c r="D1004" s="1777">
        <f>'Part VIII-Bldg Credit Alloc NC'!D54</f>
        <v>0</v>
      </c>
      <c r="E1004" s="1778">
        <f>'Part VIII-Bldg Credit Alloc NC'!E54</f>
        <v>0</v>
      </c>
      <c r="F1004" s="1778">
        <f>'Part VIII-Bldg Credit Alloc NC'!F54</f>
        <v>0</v>
      </c>
      <c r="G1004" s="1778">
        <f>'Part VIII-Bldg Credit Alloc NC'!G54</f>
        <v>0</v>
      </c>
      <c r="H1004" s="1778">
        <f>'Part VIII-Bldg Credit Alloc NC'!H54</f>
        <v>0</v>
      </c>
      <c r="I1004" s="1778">
        <f>'Part VIII-Bldg Credit Alloc NC'!I54</f>
        <v>0</v>
      </c>
      <c r="J1004" s="1776">
        <f>'Part VIII-Bldg Credit Alloc NC'!J54</f>
        <v>0</v>
      </c>
      <c r="K1004" s="1778">
        <f>'Part VIII-Bldg Credit Alloc NC'!K54</f>
        <v>0</v>
      </c>
      <c r="L1004" s="1779" t="e">
        <f>IF(OR(E1004="",F1004=""),"",MIN(G1004/E1004,H1004/F1004))</f>
        <v>#DIV/0!</v>
      </c>
      <c r="M1004" s="1778" t="e">
        <f>IF(OR(E1004="",F1004=""),"",K1004*L1004)</f>
        <v>#DIV/0!</v>
      </c>
      <c r="N1004" s="1777">
        <f>'Part VIII-Bldg Credit Alloc NC'!N54</f>
        <v>0</v>
      </c>
      <c r="O1004" s="1779">
        <f>'Part VIII-Bldg Credit Alloc NC'!O54</f>
        <v>0</v>
      </c>
      <c r="P1004" s="1778" t="e">
        <f>IF(OR(M1004="",O1004=""),"",M1004*O1004)</f>
        <v>#DIV/0!</v>
      </c>
      <c r="Q1004" s="1778" t="e">
        <f>IF(M1004="","",ROUND(M1004,0))</f>
        <v>#DIV/0!</v>
      </c>
      <c r="R1004" s="1778" t="e">
        <f>IF(P1004="","",ROUND(P1004,0))</f>
        <v>#DIV/0!</v>
      </c>
    </row>
    <row r="1005" spans="1:18">
      <c r="A1005" s="1658">
        <f>'Part VIII-Bldg Credit Alloc NC'!A55</f>
        <v>0</v>
      </c>
      <c r="B1005" s="1658"/>
      <c r="C1005" s="1658"/>
      <c r="D1005" s="1777">
        <f>'Part VIII-Bldg Credit Alloc NC'!D55</f>
        <v>0</v>
      </c>
      <c r="E1005" s="1778">
        <f>'Part VIII-Bldg Credit Alloc NC'!E55</f>
        <v>0</v>
      </c>
      <c r="F1005" s="1778">
        <f>'Part VIII-Bldg Credit Alloc NC'!F55</f>
        <v>0</v>
      </c>
      <c r="G1005" s="1778">
        <f>'Part VIII-Bldg Credit Alloc NC'!G55</f>
        <v>0</v>
      </c>
      <c r="H1005" s="1778">
        <f>'Part VIII-Bldg Credit Alloc NC'!H55</f>
        <v>0</v>
      </c>
      <c r="I1005" s="1778">
        <f>'Part VIII-Bldg Credit Alloc NC'!I55</f>
        <v>0</v>
      </c>
      <c r="J1005" s="1776">
        <f>'Part VIII-Bldg Credit Alloc NC'!J55</f>
        <v>0</v>
      </c>
      <c r="K1005" s="1778">
        <f>'Part VIII-Bldg Credit Alloc NC'!K55</f>
        <v>0</v>
      </c>
      <c r="L1005" s="1779" t="e">
        <f t="shared" ref="L1005:L1038" si="413">IF(OR(E1005="",F1005=""),"",MIN(G1005/E1005,H1005/F1005))</f>
        <v>#DIV/0!</v>
      </c>
      <c r="M1005" s="1778" t="e">
        <f t="shared" ref="M1005:M1038" si="414">IF(OR(E1005="",F1005=""),"",K1005*L1005)</f>
        <v>#DIV/0!</v>
      </c>
      <c r="N1005" s="1777">
        <f>'Part VIII-Bldg Credit Alloc NC'!N55</f>
        <v>0</v>
      </c>
      <c r="O1005" s="1779">
        <f>'Part VIII-Bldg Credit Alloc NC'!O55</f>
        <v>0</v>
      </c>
      <c r="P1005" s="1778" t="e">
        <f t="shared" ref="P1005:P1038" si="415">IF(OR(M1005="",O1005=""),"",M1005*O1005)</f>
        <v>#DIV/0!</v>
      </c>
      <c r="Q1005" s="1778" t="e">
        <f t="shared" ref="Q1005:Q1038" si="416">IF(M1005="","",ROUND(M1005,0))</f>
        <v>#DIV/0!</v>
      </c>
      <c r="R1005" s="1778" t="e">
        <f t="shared" ref="R1005:R1038" si="417">IF(P1005="","",ROUND(P1005,0))</f>
        <v>#DIV/0!</v>
      </c>
    </row>
    <row r="1006" spans="1:18">
      <c r="A1006" s="1658">
        <f>'Part VIII-Bldg Credit Alloc NC'!A56</f>
        <v>0</v>
      </c>
      <c r="B1006" s="1658"/>
      <c r="C1006" s="1658"/>
      <c r="D1006" s="1777">
        <f>'Part VIII-Bldg Credit Alloc NC'!D56</f>
        <v>0</v>
      </c>
      <c r="E1006" s="1778">
        <f>'Part VIII-Bldg Credit Alloc NC'!E56</f>
        <v>0</v>
      </c>
      <c r="F1006" s="1778">
        <f>'Part VIII-Bldg Credit Alloc NC'!F56</f>
        <v>0</v>
      </c>
      <c r="G1006" s="1778">
        <f>'Part VIII-Bldg Credit Alloc NC'!G56</f>
        <v>0</v>
      </c>
      <c r="H1006" s="1778">
        <f>'Part VIII-Bldg Credit Alloc NC'!H56</f>
        <v>0</v>
      </c>
      <c r="I1006" s="1778">
        <f>'Part VIII-Bldg Credit Alloc NC'!I56</f>
        <v>0</v>
      </c>
      <c r="J1006" s="1776">
        <f>'Part VIII-Bldg Credit Alloc NC'!J56</f>
        <v>0</v>
      </c>
      <c r="K1006" s="1778">
        <f>'Part VIII-Bldg Credit Alloc NC'!K56</f>
        <v>0</v>
      </c>
      <c r="L1006" s="1779" t="e">
        <f t="shared" si="413"/>
        <v>#DIV/0!</v>
      </c>
      <c r="M1006" s="1778" t="e">
        <f t="shared" si="414"/>
        <v>#DIV/0!</v>
      </c>
      <c r="N1006" s="1777">
        <f>'Part VIII-Bldg Credit Alloc NC'!N56</f>
        <v>0</v>
      </c>
      <c r="O1006" s="1779">
        <f>'Part VIII-Bldg Credit Alloc NC'!O56</f>
        <v>0</v>
      </c>
      <c r="P1006" s="1778" t="e">
        <f t="shared" si="415"/>
        <v>#DIV/0!</v>
      </c>
      <c r="Q1006" s="1778" t="e">
        <f t="shared" si="416"/>
        <v>#DIV/0!</v>
      </c>
      <c r="R1006" s="1778" t="e">
        <f t="shared" si="417"/>
        <v>#DIV/0!</v>
      </c>
    </row>
    <row r="1007" spans="1:18">
      <c r="A1007" s="1658">
        <f>'Part VIII-Bldg Credit Alloc NC'!A57</f>
        <v>0</v>
      </c>
      <c r="B1007" s="1658"/>
      <c r="C1007" s="1658"/>
      <c r="D1007" s="1777">
        <f>'Part VIII-Bldg Credit Alloc NC'!D57</f>
        <v>0</v>
      </c>
      <c r="E1007" s="1778">
        <f>'Part VIII-Bldg Credit Alloc NC'!E57</f>
        <v>0</v>
      </c>
      <c r="F1007" s="1778">
        <f>'Part VIII-Bldg Credit Alloc NC'!F57</f>
        <v>0</v>
      </c>
      <c r="G1007" s="1778">
        <f>'Part VIII-Bldg Credit Alloc NC'!G57</f>
        <v>0</v>
      </c>
      <c r="H1007" s="1778">
        <f>'Part VIII-Bldg Credit Alloc NC'!H57</f>
        <v>0</v>
      </c>
      <c r="I1007" s="1778">
        <f>'Part VIII-Bldg Credit Alloc NC'!I57</f>
        <v>0</v>
      </c>
      <c r="J1007" s="1776">
        <f>'Part VIII-Bldg Credit Alloc NC'!J57</f>
        <v>0</v>
      </c>
      <c r="K1007" s="1778">
        <f>'Part VIII-Bldg Credit Alloc NC'!K57</f>
        <v>0</v>
      </c>
      <c r="L1007" s="1779" t="e">
        <f t="shared" si="413"/>
        <v>#DIV/0!</v>
      </c>
      <c r="M1007" s="1778" t="e">
        <f t="shared" si="414"/>
        <v>#DIV/0!</v>
      </c>
      <c r="N1007" s="1777">
        <f>'Part VIII-Bldg Credit Alloc NC'!N57</f>
        <v>0</v>
      </c>
      <c r="O1007" s="1779">
        <f>'Part VIII-Bldg Credit Alloc NC'!O57</f>
        <v>0</v>
      </c>
      <c r="P1007" s="1778" t="e">
        <f t="shared" si="415"/>
        <v>#DIV/0!</v>
      </c>
      <c r="Q1007" s="1778" t="e">
        <f t="shared" si="416"/>
        <v>#DIV/0!</v>
      </c>
      <c r="R1007" s="1778" t="e">
        <f t="shared" si="417"/>
        <v>#DIV/0!</v>
      </c>
    </row>
    <row r="1008" spans="1:18">
      <c r="A1008" s="1658">
        <f>'Part VIII-Bldg Credit Alloc NC'!A58</f>
        <v>0</v>
      </c>
      <c r="B1008" s="1658"/>
      <c r="C1008" s="1658"/>
      <c r="D1008" s="1777">
        <f>'Part VIII-Bldg Credit Alloc NC'!D58</f>
        <v>0</v>
      </c>
      <c r="E1008" s="1778">
        <f>'Part VIII-Bldg Credit Alloc NC'!E58</f>
        <v>0</v>
      </c>
      <c r="F1008" s="1778">
        <f>'Part VIII-Bldg Credit Alloc NC'!F58</f>
        <v>0</v>
      </c>
      <c r="G1008" s="1778">
        <f>'Part VIII-Bldg Credit Alloc NC'!G58</f>
        <v>0</v>
      </c>
      <c r="H1008" s="1778">
        <f>'Part VIII-Bldg Credit Alloc NC'!H58</f>
        <v>0</v>
      </c>
      <c r="I1008" s="1778">
        <f>'Part VIII-Bldg Credit Alloc NC'!I58</f>
        <v>0</v>
      </c>
      <c r="J1008" s="1776">
        <f>'Part VIII-Bldg Credit Alloc NC'!J58</f>
        <v>0</v>
      </c>
      <c r="K1008" s="1778">
        <f>'Part VIII-Bldg Credit Alloc NC'!K58</f>
        <v>0</v>
      </c>
      <c r="L1008" s="1779" t="e">
        <f t="shared" si="413"/>
        <v>#DIV/0!</v>
      </c>
      <c r="M1008" s="1778" t="e">
        <f t="shared" si="414"/>
        <v>#DIV/0!</v>
      </c>
      <c r="N1008" s="1777">
        <f>'Part VIII-Bldg Credit Alloc NC'!N58</f>
        <v>0</v>
      </c>
      <c r="O1008" s="1779">
        <f>'Part VIII-Bldg Credit Alloc NC'!O58</f>
        <v>0</v>
      </c>
      <c r="P1008" s="1778" t="e">
        <f t="shared" si="415"/>
        <v>#DIV/0!</v>
      </c>
      <c r="Q1008" s="1778" t="e">
        <f t="shared" si="416"/>
        <v>#DIV/0!</v>
      </c>
      <c r="R1008" s="1778" t="e">
        <f t="shared" si="417"/>
        <v>#DIV/0!</v>
      </c>
    </row>
    <row r="1009" spans="1:18">
      <c r="A1009" s="1658">
        <f>'Part VIII-Bldg Credit Alloc NC'!A59</f>
        <v>0</v>
      </c>
      <c r="B1009" s="1658"/>
      <c r="C1009" s="1658"/>
      <c r="D1009" s="1777">
        <f>'Part VIII-Bldg Credit Alloc NC'!D59</f>
        <v>0</v>
      </c>
      <c r="E1009" s="1778">
        <f>'Part VIII-Bldg Credit Alloc NC'!E59</f>
        <v>0</v>
      </c>
      <c r="F1009" s="1778">
        <f>'Part VIII-Bldg Credit Alloc NC'!F59</f>
        <v>0</v>
      </c>
      <c r="G1009" s="1778">
        <f>'Part VIII-Bldg Credit Alloc NC'!G59</f>
        <v>0</v>
      </c>
      <c r="H1009" s="1778">
        <f>'Part VIII-Bldg Credit Alloc NC'!H59</f>
        <v>0</v>
      </c>
      <c r="I1009" s="1778">
        <f>'Part VIII-Bldg Credit Alloc NC'!I59</f>
        <v>0</v>
      </c>
      <c r="J1009" s="1776">
        <f>'Part VIII-Bldg Credit Alloc NC'!J59</f>
        <v>0</v>
      </c>
      <c r="K1009" s="1778">
        <f>'Part VIII-Bldg Credit Alloc NC'!K59</f>
        <v>0</v>
      </c>
      <c r="L1009" s="1779" t="e">
        <f t="shared" si="413"/>
        <v>#DIV/0!</v>
      </c>
      <c r="M1009" s="1778" t="e">
        <f t="shared" si="414"/>
        <v>#DIV/0!</v>
      </c>
      <c r="N1009" s="1777">
        <f>'Part VIII-Bldg Credit Alloc NC'!N59</f>
        <v>0</v>
      </c>
      <c r="O1009" s="1779">
        <f>'Part VIII-Bldg Credit Alloc NC'!O59</f>
        <v>0</v>
      </c>
      <c r="P1009" s="1778" t="e">
        <f t="shared" si="415"/>
        <v>#DIV/0!</v>
      </c>
      <c r="Q1009" s="1778" t="e">
        <f t="shared" si="416"/>
        <v>#DIV/0!</v>
      </c>
      <c r="R1009" s="1778" t="e">
        <f t="shared" si="417"/>
        <v>#DIV/0!</v>
      </c>
    </row>
    <row r="1010" spans="1:18">
      <c r="A1010" s="1658">
        <f>'Part VIII-Bldg Credit Alloc NC'!A60</f>
        <v>0</v>
      </c>
      <c r="B1010" s="1658"/>
      <c r="C1010" s="1658"/>
      <c r="D1010" s="1777">
        <f>'Part VIII-Bldg Credit Alloc NC'!D60</f>
        <v>0</v>
      </c>
      <c r="E1010" s="1778">
        <f>'Part VIII-Bldg Credit Alloc NC'!E60</f>
        <v>0</v>
      </c>
      <c r="F1010" s="1778">
        <f>'Part VIII-Bldg Credit Alloc NC'!F60</f>
        <v>0</v>
      </c>
      <c r="G1010" s="1778">
        <f>'Part VIII-Bldg Credit Alloc NC'!G60</f>
        <v>0</v>
      </c>
      <c r="H1010" s="1778">
        <f>'Part VIII-Bldg Credit Alloc NC'!H60</f>
        <v>0</v>
      </c>
      <c r="I1010" s="1778">
        <f>'Part VIII-Bldg Credit Alloc NC'!I60</f>
        <v>0</v>
      </c>
      <c r="J1010" s="1776">
        <f>'Part VIII-Bldg Credit Alloc NC'!J60</f>
        <v>0</v>
      </c>
      <c r="K1010" s="1778">
        <f>'Part VIII-Bldg Credit Alloc NC'!K60</f>
        <v>0</v>
      </c>
      <c r="L1010" s="1779" t="e">
        <f t="shared" si="413"/>
        <v>#DIV/0!</v>
      </c>
      <c r="M1010" s="1778" t="e">
        <f t="shared" si="414"/>
        <v>#DIV/0!</v>
      </c>
      <c r="N1010" s="1777">
        <f>'Part VIII-Bldg Credit Alloc NC'!N60</f>
        <v>0</v>
      </c>
      <c r="O1010" s="1779">
        <f>'Part VIII-Bldg Credit Alloc NC'!O60</f>
        <v>0</v>
      </c>
      <c r="P1010" s="1778" t="e">
        <f t="shared" si="415"/>
        <v>#DIV/0!</v>
      </c>
      <c r="Q1010" s="1778" t="e">
        <f t="shared" si="416"/>
        <v>#DIV/0!</v>
      </c>
      <c r="R1010" s="1778" t="e">
        <f t="shared" si="417"/>
        <v>#DIV/0!</v>
      </c>
    </row>
    <row r="1011" spans="1:18">
      <c r="A1011" s="1658">
        <f>'Part VIII-Bldg Credit Alloc NC'!A61</f>
        <v>0</v>
      </c>
      <c r="B1011" s="1658"/>
      <c r="C1011" s="1658"/>
      <c r="D1011" s="1777">
        <f>'Part VIII-Bldg Credit Alloc NC'!D61</f>
        <v>0</v>
      </c>
      <c r="E1011" s="1778">
        <f>'Part VIII-Bldg Credit Alloc NC'!E61</f>
        <v>0</v>
      </c>
      <c r="F1011" s="1778">
        <f>'Part VIII-Bldg Credit Alloc NC'!F61</f>
        <v>0</v>
      </c>
      <c r="G1011" s="1778">
        <f>'Part VIII-Bldg Credit Alloc NC'!G61</f>
        <v>0</v>
      </c>
      <c r="H1011" s="1778">
        <f>'Part VIII-Bldg Credit Alloc NC'!H61</f>
        <v>0</v>
      </c>
      <c r="I1011" s="1778">
        <f>'Part VIII-Bldg Credit Alloc NC'!I61</f>
        <v>0</v>
      </c>
      <c r="J1011" s="1776">
        <f>'Part VIII-Bldg Credit Alloc NC'!J61</f>
        <v>0</v>
      </c>
      <c r="K1011" s="1778">
        <f>'Part VIII-Bldg Credit Alloc NC'!K61</f>
        <v>0</v>
      </c>
      <c r="L1011" s="1779" t="e">
        <f t="shared" si="413"/>
        <v>#DIV/0!</v>
      </c>
      <c r="M1011" s="1778" t="e">
        <f t="shared" si="414"/>
        <v>#DIV/0!</v>
      </c>
      <c r="N1011" s="1777">
        <f>'Part VIII-Bldg Credit Alloc NC'!N61</f>
        <v>0</v>
      </c>
      <c r="O1011" s="1779">
        <f>'Part VIII-Bldg Credit Alloc NC'!O61</f>
        <v>0</v>
      </c>
      <c r="P1011" s="1778" t="e">
        <f t="shared" si="415"/>
        <v>#DIV/0!</v>
      </c>
      <c r="Q1011" s="1778" t="e">
        <f t="shared" si="416"/>
        <v>#DIV/0!</v>
      </c>
      <c r="R1011" s="1778" t="e">
        <f t="shared" si="417"/>
        <v>#DIV/0!</v>
      </c>
    </row>
    <row r="1012" spans="1:18">
      <c r="A1012" s="1658">
        <f>'Part VIII-Bldg Credit Alloc NC'!A62</f>
        <v>0</v>
      </c>
      <c r="B1012" s="1658"/>
      <c r="C1012" s="1658"/>
      <c r="D1012" s="1777">
        <f>'Part VIII-Bldg Credit Alloc NC'!D62</f>
        <v>0</v>
      </c>
      <c r="E1012" s="1778">
        <f>'Part VIII-Bldg Credit Alloc NC'!E62</f>
        <v>0</v>
      </c>
      <c r="F1012" s="1778">
        <f>'Part VIII-Bldg Credit Alloc NC'!F62</f>
        <v>0</v>
      </c>
      <c r="G1012" s="1778">
        <f>'Part VIII-Bldg Credit Alloc NC'!G62</f>
        <v>0</v>
      </c>
      <c r="H1012" s="1778">
        <f>'Part VIII-Bldg Credit Alloc NC'!H62</f>
        <v>0</v>
      </c>
      <c r="I1012" s="1778">
        <f>'Part VIII-Bldg Credit Alloc NC'!I62</f>
        <v>0</v>
      </c>
      <c r="J1012" s="1776">
        <f>'Part VIII-Bldg Credit Alloc NC'!J62</f>
        <v>0</v>
      </c>
      <c r="K1012" s="1778">
        <f>'Part VIII-Bldg Credit Alloc NC'!K62</f>
        <v>0</v>
      </c>
      <c r="L1012" s="1779" t="e">
        <f t="shared" si="413"/>
        <v>#DIV/0!</v>
      </c>
      <c r="M1012" s="1778" t="e">
        <f t="shared" si="414"/>
        <v>#DIV/0!</v>
      </c>
      <c r="N1012" s="1777">
        <f>'Part VIII-Bldg Credit Alloc NC'!N62</f>
        <v>0</v>
      </c>
      <c r="O1012" s="1779">
        <f>'Part VIII-Bldg Credit Alloc NC'!O62</f>
        <v>0</v>
      </c>
      <c r="P1012" s="1778" t="e">
        <f t="shared" si="415"/>
        <v>#DIV/0!</v>
      </c>
      <c r="Q1012" s="1778" t="e">
        <f t="shared" si="416"/>
        <v>#DIV/0!</v>
      </c>
      <c r="R1012" s="1778" t="e">
        <f t="shared" si="417"/>
        <v>#DIV/0!</v>
      </c>
    </row>
    <row r="1013" spans="1:18">
      <c r="A1013" s="1658">
        <f>'Part VIII-Bldg Credit Alloc NC'!A63</f>
        <v>0</v>
      </c>
      <c r="B1013" s="1658"/>
      <c r="C1013" s="1658"/>
      <c r="D1013" s="1777">
        <f>'Part VIII-Bldg Credit Alloc NC'!D63</f>
        <v>0</v>
      </c>
      <c r="E1013" s="1778">
        <f>'Part VIII-Bldg Credit Alloc NC'!E63</f>
        <v>0</v>
      </c>
      <c r="F1013" s="1778">
        <f>'Part VIII-Bldg Credit Alloc NC'!F63</f>
        <v>0</v>
      </c>
      <c r="G1013" s="1778">
        <f>'Part VIII-Bldg Credit Alloc NC'!G63</f>
        <v>0</v>
      </c>
      <c r="H1013" s="1778">
        <f>'Part VIII-Bldg Credit Alloc NC'!H63</f>
        <v>0</v>
      </c>
      <c r="I1013" s="1778">
        <f>'Part VIII-Bldg Credit Alloc NC'!I63</f>
        <v>0</v>
      </c>
      <c r="J1013" s="1776">
        <f>'Part VIII-Bldg Credit Alloc NC'!J63</f>
        <v>0</v>
      </c>
      <c r="K1013" s="1778">
        <f>'Part VIII-Bldg Credit Alloc NC'!K63</f>
        <v>0</v>
      </c>
      <c r="L1013" s="1779" t="e">
        <f t="shared" si="413"/>
        <v>#DIV/0!</v>
      </c>
      <c r="M1013" s="1778" t="e">
        <f t="shared" si="414"/>
        <v>#DIV/0!</v>
      </c>
      <c r="N1013" s="1777">
        <f>'Part VIII-Bldg Credit Alloc NC'!N63</f>
        <v>0</v>
      </c>
      <c r="O1013" s="1779">
        <f>'Part VIII-Bldg Credit Alloc NC'!O63</f>
        <v>0</v>
      </c>
      <c r="P1013" s="1778" t="e">
        <f t="shared" si="415"/>
        <v>#DIV/0!</v>
      </c>
      <c r="Q1013" s="1778" t="e">
        <f t="shared" si="416"/>
        <v>#DIV/0!</v>
      </c>
      <c r="R1013" s="1778" t="e">
        <f t="shared" si="417"/>
        <v>#DIV/0!</v>
      </c>
    </row>
    <row r="1014" spans="1:18">
      <c r="A1014" s="1658">
        <f>'Part VIII-Bldg Credit Alloc NC'!A64</f>
        <v>0</v>
      </c>
      <c r="B1014" s="1658"/>
      <c r="C1014" s="1658"/>
      <c r="D1014" s="1777">
        <f>'Part VIII-Bldg Credit Alloc NC'!D64</f>
        <v>0</v>
      </c>
      <c r="E1014" s="1778">
        <f>'Part VIII-Bldg Credit Alloc NC'!E64</f>
        <v>0</v>
      </c>
      <c r="F1014" s="1778">
        <f>'Part VIII-Bldg Credit Alloc NC'!F64</f>
        <v>0</v>
      </c>
      <c r="G1014" s="1778">
        <f>'Part VIII-Bldg Credit Alloc NC'!G64</f>
        <v>0</v>
      </c>
      <c r="H1014" s="1778">
        <f>'Part VIII-Bldg Credit Alloc NC'!H64</f>
        <v>0</v>
      </c>
      <c r="I1014" s="1778">
        <f>'Part VIII-Bldg Credit Alloc NC'!I64</f>
        <v>0</v>
      </c>
      <c r="J1014" s="1776">
        <f>'Part VIII-Bldg Credit Alloc NC'!J64</f>
        <v>0</v>
      </c>
      <c r="K1014" s="1778">
        <f>'Part VIII-Bldg Credit Alloc NC'!K64</f>
        <v>0</v>
      </c>
      <c r="L1014" s="1779" t="e">
        <f t="shared" si="413"/>
        <v>#DIV/0!</v>
      </c>
      <c r="M1014" s="1778" t="e">
        <f t="shared" si="414"/>
        <v>#DIV/0!</v>
      </c>
      <c r="N1014" s="1777">
        <f>'Part VIII-Bldg Credit Alloc NC'!N64</f>
        <v>0</v>
      </c>
      <c r="O1014" s="1779">
        <f>'Part VIII-Bldg Credit Alloc NC'!O64</f>
        <v>0</v>
      </c>
      <c r="P1014" s="1778" t="e">
        <f t="shared" si="415"/>
        <v>#DIV/0!</v>
      </c>
      <c r="Q1014" s="1778" t="e">
        <f t="shared" si="416"/>
        <v>#DIV/0!</v>
      </c>
      <c r="R1014" s="1778" t="e">
        <f t="shared" si="417"/>
        <v>#DIV/0!</v>
      </c>
    </row>
    <row r="1015" spans="1:18">
      <c r="A1015" s="1658">
        <f>'Part VIII-Bldg Credit Alloc NC'!A65</f>
        <v>0</v>
      </c>
      <c r="B1015" s="1658"/>
      <c r="C1015" s="1658"/>
      <c r="D1015" s="1777">
        <f>'Part VIII-Bldg Credit Alloc NC'!D65</f>
        <v>0</v>
      </c>
      <c r="E1015" s="1778">
        <f>'Part VIII-Bldg Credit Alloc NC'!E65</f>
        <v>0</v>
      </c>
      <c r="F1015" s="1778">
        <f>'Part VIII-Bldg Credit Alloc NC'!F65</f>
        <v>0</v>
      </c>
      <c r="G1015" s="1778">
        <f>'Part VIII-Bldg Credit Alloc NC'!G65</f>
        <v>0</v>
      </c>
      <c r="H1015" s="1778">
        <f>'Part VIII-Bldg Credit Alloc NC'!H65</f>
        <v>0</v>
      </c>
      <c r="I1015" s="1778">
        <f>'Part VIII-Bldg Credit Alloc NC'!I65</f>
        <v>0</v>
      </c>
      <c r="J1015" s="1776">
        <f>'Part VIII-Bldg Credit Alloc NC'!J65</f>
        <v>0</v>
      </c>
      <c r="K1015" s="1778">
        <f>'Part VIII-Bldg Credit Alloc NC'!K65</f>
        <v>0</v>
      </c>
      <c r="L1015" s="1779" t="e">
        <f t="shared" si="413"/>
        <v>#DIV/0!</v>
      </c>
      <c r="M1015" s="1778" t="e">
        <f t="shared" si="414"/>
        <v>#DIV/0!</v>
      </c>
      <c r="N1015" s="1777">
        <f>'Part VIII-Bldg Credit Alloc NC'!N65</f>
        <v>0</v>
      </c>
      <c r="O1015" s="1779">
        <f>'Part VIII-Bldg Credit Alloc NC'!O65</f>
        <v>0</v>
      </c>
      <c r="P1015" s="1778" t="e">
        <f t="shared" si="415"/>
        <v>#DIV/0!</v>
      </c>
      <c r="Q1015" s="1778" t="e">
        <f t="shared" si="416"/>
        <v>#DIV/0!</v>
      </c>
      <c r="R1015" s="1778" t="e">
        <f t="shared" si="417"/>
        <v>#DIV/0!</v>
      </c>
    </row>
    <row r="1016" spans="1:18">
      <c r="A1016" s="1658">
        <f>'Part VIII-Bldg Credit Alloc NC'!A66</f>
        <v>0</v>
      </c>
      <c r="B1016" s="1658"/>
      <c r="C1016" s="1658"/>
      <c r="D1016" s="1777">
        <f>'Part VIII-Bldg Credit Alloc NC'!D66</f>
        <v>0</v>
      </c>
      <c r="E1016" s="1778">
        <f>'Part VIII-Bldg Credit Alloc NC'!E66</f>
        <v>0</v>
      </c>
      <c r="F1016" s="1778">
        <f>'Part VIII-Bldg Credit Alloc NC'!F66</f>
        <v>0</v>
      </c>
      <c r="G1016" s="1778">
        <f>'Part VIII-Bldg Credit Alloc NC'!G66</f>
        <v>0</v>
      </c>
      <c r="H1016" s="1778">
        <f>'Part VIII-Bldg Credit Alloc NC'!H66</f>
        <v>0</v>
      </c>
      <c r="I1016" s="1778">
        <f>'Part VIII-Bldg Credit Alloc NC'!I66</f>
        <v>0</v>
      </c>
      <c r="J1016" s="1776">
        <f>'Part VIII-Bldg Credit Alloc NC'!J66</f>
        <v>0</v>
      </c>
      <c r="K1016" s="1778">
        <f>'Part VIII-Bldg Credit Alloc NC'!K66</f>
        <v>0</v>
      </c>
      <c r="L1016" s="1779" t="e">
        <f t="shared" si="413"/>
        <v>#DIV/0!</v>
      </c>
      <c r="M1016" s="1778" t="e">
        <f t="shared" si="414"/>
        <v>#DIV/0!</v>
      </c>
      <c r="N1016" s="1777">
        <f>'Part VIII-Bldg Credit Alloc NC'!N66</f>
        <v>0</v>
      </c>
      <c r="O1016" s="1779">
        <f>'Part VIII-Bldg Credit Alloc NC'!O66</f>
        <v>0</v>
      </c>
      <c r="P1016" s="1778" t="e">
        <f t="shared" si="415"/>
        <v>#DIV/0!</v>
      </c>
      <c r="Q1016" s="1778" t="e">
        <f t="shared" si="416"/>
        <v>#DIV/0!</v>
      </c>
      <c r="R1016" s="1778" t="e">
        <f t="shared" si="417"/>
        <v>#DIV/0!</v>
      </c>
    </row>
    <row r="1017" spans="1:18">
      <c r="A1017" s="1658">
        <f>'Part VIII-Bldg Credit Alloc NC'!A67</f>
        <v>0</v>
      </c>
      <c r="B1017" s="1658"/>
      <c r="C1017" s="1658"/>
      <c r="D1017" s="1777">
        <f>'Part VIII-Bldg Credit Alloc NC'!D67</f>
        <v>0</v>
      </c>
      <c r="E1017" s="1778">
        <f>'Part VIII-Bldg Credit Alloc NC'!E67</f>
        <v>0</v>
      </c>
      <c r="F1017" s="1778">
        <f>'Part VIII-Bldg Credit Alloc NC'!F67</f>
        <v>0</v>
      </c>
      <c r="G1017" s="1778">
        <f>'Part VIII-Bldg Credit Alloc NC'!G67</f>
        <v>0</v>
      </c>
      <c r="H1017" s="1778">
        <f>'Part VIII-Bldg Credit Alloc NC'!H67</f>
        <v>0</v>
      </c>
      <c r="I1017" s="1778">
        <f>'Part VIII-Bldg Credit Alloc NC'!I67</f>
        <v>0</v>
      </c>
      <c r="J1017" s="1776">
        <f>'Part VIII-Bldg Credit Alloc NC'!J67</f>
        <v>0</v>
      </c>
      <c r="K1017" s="1778">
        <f>'Part VIII-Bldg Credit Alloc NC'!K67</f>
        <v>0</v>
      </c>
      <c r="L1017" s="1779" t="e">
        <f t="shared" si="413"/>
        <v>#DIV/0!</v>
      </c>
      <c r="M1017" s="1778" t="e">
        <f t="shared" si="414"/>
        <v>#DIV/0!</v>
      </c>
      <c r="N1017" s="1777">
        <f>'Part VIII-Bldg Credit Alloc NC'!N67</f>
        <v>0</v>
      </c>
      <c r="O1017" s="1779">
        <f>'Part VIII-Bldg Credit Alloc NC'!O67</f>
        <v>0</v>
      </c>
      <c r="P1017" s="1778" t="e">
        <f t="shared" si="415"/>
        <v>#DIV/0!</v>
      </c>
      <c r="Q1017" s="1778" t="e">
        <f t="shared" si="416"/>
        <v>#DIV/0!</v>
      </c>
      <c r="R1017" s="1778" t="e">
        <f t="shared" si="417"/>
        <v>#DIV/0!</v>
      </c>
    </row>
    <row r="1018" spans="1:18">
      <c r="A1018" s="1658">
        <f>'Part VIII-Bldg Credit Alloc NC'!A68</f>
        <v>0</v>
      </c>
      <c r="B1018" s="1658"/>
      <c r="C1018" s="1658"/>
      <c r="D1018" s="1777">
        <f>'Part VIII-Bldg Credit Alloc NC'!D68</f>
        <v>0</v>
      </c>
      <c r="E1018" s="1778">
        <f>'Part VIII-Bldg Credit Alloc NC'!E68</f>
        <v>0</v>
      </c>
      <c r="F1018" s="1778">
        <f>'Part VIII-Bldg Credit Alloc NC'!F68</f>
        <v>0</v>
      </c>
      <c r="G1018" s="1778">
        <f>'Part VIII-Bldg Credit Alloc NC'!G68</f>
        <v>0</v>
      </c>
      <c r="H1018" s="1778">
        <f>'Part VIII-Bldg Credit Alloc NC'!H68</f>
        <v>0</v>
      </c>
      <c r="I1018" s="1778">
        <f>'Part VIII-Bldg Credit Alloc NC'!I68</f>
        <v>0</v>
      </c>
      <c r="J1018" s="1776">
        <f>'Part VIII-Bldg Credit Alloc NC'!J68</f>
        <v>0</v>
      </c>
      <c r="K1018" s="1778">
        <f>'Part VIII-Bldg Credit Alloc NC'!K68</f>
        <v>0</v>
      </c>
      <c r="L1018" s="1779" t="e">
        <f t="shared" si="413"/>
        <v>#DIV/0!</v>
      </c>
      <c r="M1018" s="1778" t="e">
        <f t="shared" si="414"/>
        <v>#DIV/0!</v>
      </c>
      <c r="N1018" s="1777">
        <f>'Part VIII-Bldg Credit Alloc NC'!N68</f>
        <v>0</v>
      </c>
      <c r="O1018" s="1779">
        <f>'Part VIII-Bldg Credit Alloc NC'!O68</f>
        <v>0</v>
      </c>
      <c r="P1018" s="1778" t="e">
        <f t="shared" si="415"/>
        <v>#DIV/0!</v>
      </c>
      <c r="Q1018" s="1778" t="e">
        <f t="shared" si="416"/>
        <v>#DIV/0!</v>
      </c>
      <c r="R1018" s="1778" t="e">
        <f t="shared" si="417"/>
        <v>#DIV/0!</v>
      </c>
    </row>
    <row r="1019" spans="1:18">
      <c r="A1019" s="1658">
        <f>'Part VIII-Bldg Credit Alloc NC'!A69</f>
        <v>0</v>
      </c>
      <c r="B1019" s="1658"/>
      <c r="C1019" s="1658"/>
      <c r="D1019" s="1777">
        <f>'Part VIII-Bldg Credit Alloc NC'!D69</f>
        <v>0</v>
      </c>
      <c r="E1019" s="1778">
        <f>'Part VIII-Bldg Credit Alloc NC'!E69</f>
        <v>0</v>
      </c>
      <c r="F1019" s="1778">
        <f>'Part VIII-Bldg Credit Alloc NC'!F69</f>
        <v>0</v>
      </c>
      <c r="G1019" s="1778">
        <f>'Part VIII-Bldg Credit Alloc NC'!G69</f>
        <v>0</v>
      </c>
      <c r="H1019" s="1778">
        <f>'Part VIII-Bldg Credit Alloc NC'!H69</f>
        <v>0</v>
      </c>
      <c r="I1019" s="1778">
        <f>'Part VIII-Bldg Credit Alloc NC'!I69</f>
        <v>0</v>
      </c>
      <c r="J1019" s="1776">
        <f>'Part VIII-Bldg Credit Alloc NC'!J69</f>
        <v>0</v>
      </c>
      <c r="K1019" s="1778">
        <f>'Part VIII-Bldg Credit Alloc NC'!K69</f>
        <v>0</v>
      </c>
      <c r="L1019" s="1779" t="e">
        <f t="shared" si="413"/>
        <v>#DIV/0!</v>
      </c>
      <c r="M1019" s="1778" t="e">
        <f t="shared" si="414"/>
        <v>#DIV/0!</v>
      </c>
      <c r="N1019" s="1777">
        <f>'Part VIII-Bldg Credit Alloc NC'!N69</f>
        <v>0</v>
      </c>
      <c r="O1019" s="1779">
        <f>'Part VIII-Bldg Credit Alloc NC'!O69</f>
        <v>0</v>
      </c>
      <c r="P1019" s="1778" t="e">
        <f t="shared" si="415"/>
        <v>#DIV/0!</v>
      </c>
      <c r="Q1019" s="1778" t="e">
        <f t="shared" si="416"/>
        <v>#DIV/0!</v>
      </c>
      <c r="R1019" s="1778" t="e">
        <f t="shared" si="417"/>
        <v>#DIV/0!</v>
      </c>
    </row>
    <row r="1020" spans="1:18">
      <c r="A1020" s="1658">
        <f>'Part VIII-Bldg Credit Alloc NC'!A70</f>
        <v>0</v>
      </c>
      <c r="B1020" s="1658"/>
      <c r="C1020" s="1658"/>
      <c r="D1020" s="1777">
        <f>'Part VIII-Bldg Credit Alloc NC'!D70</f>
        <v>0</v>
      </c>
      <c r="E1020" s="1778">
        <f>'Part VIII-Bldg Credit Alloc NC'!E70</f>
        <v>0</v>
      </c>
      <c r="F1020" s="1778">
        <f>'Part VIII-Bldg Credit Alloc NC'!F70</f>
        <v>0</v>
      </c>
      <c r="G1020" s="1778">
        <f>'Part VIII-Bldg Credit Alloc NC'!G70</f>
        <v>0</v>
      </c>
      <c r="H1020" s="1778">
        <f>'Part VIII-Bldg Credit Alloc NC'!H70</f>
        <v>0</v>
      </c>
      <c r="I1020" s="1778">
        <f>'Part VIII-Bldg Credit Alloc NC'!I70</f>
        <v>0</v>
      </c>
      <c r="J1020" s="1776">
        <f>'Part VIII-Bldg Credit Alloc NC'!J70</f>
        <v>0</v>
      </c>
      <c r="K1020" s="1778">
        <f>'Part VIII-Bldg Credit Alloc NC'!K70</f>
        <v>0</v>
      </c>
      <c r="L1020" s="1779" t="e">
        <f t="shared" si="413"/>
        <v>#DIV/0!</v>
      </c>
      <c r="M1020" s="1778" t="e">
        <f t="shared" si="414"/>
        <v>#DIV/0!</v>
      </c>
      <c r="N1020" s="1777">
        <f>'Part VIII-Bldg Credit Alloc NC'!N70</f>
        <v>0</v>
      </c>
      <c r="O1020" s="1779">
        <f>'Part VIII-Bldg Credit Alloc NC'!O70</f>
        <v>0</v>
      </c>
      <c r="P1020" s="1778" t="e">
        <f t="shared" si="415"/>
        <v>#DIV/0!</v>
      </c>
      <c r="Q1020" s="1778" t="e">
        <f t="shared" si="416"/>
        <v>#DIV/0!</v>
      </c>
      <c r="R1020" s="1778" t="e">
        <f t="shared" si="417"/>
        <v>#DIV/0!</v>
      </c>
    </row>
    <row r="1021" spans="1:18">
      <c r="A1021" s="1658">
        <f>'Part VIII-Bldg Credit Alloc NC'!A71</f>
        <v>0</v>
      </c>
      <c r="B1021" s="1658"/>
      <c r="C1021" s="1658"/>
      <c r="D1021" s="1777">
        <f>'Part VIII-Bldg Credit Alloc NC'!D71</f>
        <v>0</v>
      </c>
      <c r="E1021" s="1778">
        <f>'Part VIII-Bldg Credit Alloc NC'!E71</f>
        <v>0</v>
      </c>
      <c r="F1021" s="1778">
        <f>'Part VIII-Bldg Credit Alloc NC'!F71</f>
        <v>0</v>
      </c>
      <c r="G1021" s="1778">
        <f>'Part VIII-Bldg Credit Alloc NC'!G71</f>
        <v>0</v>
      </c>
      <c r="H1021" s="1778">
        <f>'Part VIII-Bldg Credit Alloc NC'!H71</f>
        <v>0</v>
      </c>
      <c r="I1021" s="1778">
        <f>'Part VIII-Bldg Credit Alloc NC'!I71</f>
        <v>0</v>
      </c>
      <c r="J1021" s="1776">
        <f>'Part VIII-Bldg Credit Alloc NC'!J71</f>
        <v>0</v>
      </c>
      <c r="K1021" s="1778">
        <f>'Part VIII-Bldg Credit Alloc NC'!K71</f>
        <v>0</v>
      </c>
      <c r="L1021" s="1779" t="e">
        <f t="shared" si="413"/>
        <v>#DIV/0!</v>
      </c>
      <c r="M1021" s="1778" t="e">
        <f t="shared" si="414"/>
        <v>#DIV/0!</v>
      </c>
      <c r="N1021" s="1777">
        <f>'Part VIII-Bldg Credit Alloc NC'!N71</f>
        <v>0</v>
      </c>
      <c r="O1021" s="1779">
        <f>'Part VIII-Bldg Credit Alloc NC'!O71</f>
        <v>0</v>
      </c>
      <c r="P1021" s="1778" t="e">
        <f t="shared" si="415"/>
        <v>#DIV/0!</v>
      </c>
      <c r="Q1021" s="1778" t="e">
        <f t="shared" si="416"/>
        <v>#DIV/0!</v>
      </c>
      <c r="R1021" s="1778" t="e">
        <f t="shared" si="417"/>
        <v>#DIV/0!</v>
      </c>
    </row>
    <row r="1022" spans="1:18">
      <c r="A1022" s="1658">
        <f>'Part VIII-Bldg Credit Alloc NC'!A72</f>
        <v>0</v>
      </c>
      <c r="B1022" s="1658"/>
      <c r="C1022" s="1658"/>
      <c r="D1022" s="1777">
        <f>'Part VIII-Bldg Credit Alloc NC'!D72</f>
        <v>0</v>
      </c>
      <c r="E1022" s="1778">
        <f>'Part VIII-Bldg Credit Alloc NC'!E72</f>
        <v>0</v>
      </c>
      <c r="F1022" s="1778">
        <f>'Part VIII-Bldg Credit Alloc NC'!F72</f>
        <v>0</v>
      </c>
      <c r="G1022" s="1778">
        <f>'Part VIII-Bldg Credit Alloc NC'!G72</f>
        <v>0</v>
      </c>
      <c r="H1022" s="1778">
        <f>'Part VIII-Bldg Credit Alloc NC'!H72</f>
        <v>0</v>
      </c>
      <c r="I1022" s="1778">
        <f>'Part VIII-Bldg Credit Alloc NC'!I72</f>
        <v>0</v>
      </c>
      <c r="J1022" s="1776">
        <f>'Part VIII-Bldg Credit Alloc NC'!J72</f>
        <v>0</v>
      </c>
      <c r="K1022" s="1778">
        <f>'Part VIII-Bldg Credit Alloc NC'!K72</f>
        <v>0</v>
      </c>
      <c r="L1022" s="1779" t="e">
        <f t="shared" si="413"/>
        <v>#DIV/0!</v>
      </c>
      <c r="M1022" s="1778" t="e">
        <f t="shared" si="414"/>
        <v>#DIV/0!</v>
      </c>
      <c r="N1022" s="1777">
        <f>'Part VIII-Bldg Credit Alloc NC'!N72</f>
        <v>0</v>
      </c>
      <c r="O1022" s="1779">
        <f>'Part VIII-Bldg Credit Alloc NC'!O72</f>
        <v>0</v>
      </c>
      <c r="P1022" s="1778" t="e">
        <f t="shared" si="415"/>
        <v>#DIV/0!</v>
      </c>
      <c r="Q1022" s="1778" t="e">
        <f t="shared" si="416"/>
        <v>#DIV/0!</v>
      </c>
      <c r="R1022" s="1778" t="e">
        <f t="shared" si="417"/>
        <v>#DIV/0!</v>
      </c>
    </row>
    <row r="1023" spans="1:18">
      <c r="A1023" s="1658">
        <f>'Part VIII-Bldg Credit Alloc NC'!A73</f>
        <v>0</v>
      </c>
      <c r="B1023" s="1658"/>
      <c r="C1023" s="1658"/>
      <c r="D1023" s="1777">
        <f>'Part VIII-Bldg Credit Alloc NC'!D73</f>
        <v>0</v>
      </c>
      <c r="E1023" s="1778">
        <f>'Part VIII-Bldg Credit Alloc NC'!E73</f>
        <v>0</v>
      </c>
      <c r="F1023" s="1778">
        <f>'Part VIII-Bldg Credit Alloc NC'!F73</f>
        <v>0</v>
      </c>
      <c r="G1023" s="1778">
        <f>'Part VIII-Bldg Credit Alloc NC'!G73</f>
        <v>0</v>
      </c>
      <c r="H1023" s="1778">
        <f>'Part VIII-Bldg Credit Alloc NC'!H73</f>
        <v>0</v>
      </c>
      <c r="I1023" s="1778">
        <f>'Part VIII-Bldg Credit Alloc NC'!I73</f>
        <v>0</v>
      </c>
      <c r="J1023" s="1776">
        <f>'Part VIII-Bldg Credit Alloc NC'!J73</f>
        <v>0</v>
      </c>
      <c r="K1023" s="1778">
        <f>'Part VIII-Bldg Credit Alloc NC'!K73</f>
        <v>0</v>
      </c>
      <c r="L1023" s="1779" t="e">
        <f t="shared" si="413"/>
        <v>#DIV/0!</v>
      </c>
      <c r="M1023" s="1778" t="e">
        <f t="shared" si="414"/>
        <v>#DIV/0!</v>
      </c>
      <c r="N1023" s="1777">
        <f>'Part VIII-Bldg Credit Alloc NC'!N73</f>
        <v>0</v>
      </c>
      <c r="O1023" s="1779">
        <f>'Part VIII-Bldg Credit Alloc NC'!O73</f>
        <v>0</v>
      </c>
      <c r="P1023" s="1778" t="e">
        <f t="shared" si="415"/>
        <v>#DIV/0!</v>
      </c>
      <c r="Q1023" s="1778" t="e">
        <f t="shared" si="416"/>
        <v>#DIV/0!</v>
      </c>
      <c r="R1023" s="1778" t="e">
        <f t="shared" si="417"/>
        <v>#DIV/0!</v>
      </c>
    </row>
    <row r="1024" spans="1:18">
      <c r="A1024" s="1658">
        <f>'Part VIII-Bldg Credit Alloc NC'!A74</f>
        <v>0</v>
      </c>
      <c r="B1024" s="1658"/>
      <c r="C1024" s="1658"/>
      <c r="D1024" s="1777">
        <f>'Part VIII-Bldg Credit Alloc NC'!D74</f>
        <v>0</v>
      </c>
      <c r="E1024" s="1778">
        <f>'Part VIII-Bldg Credit Alloc NC'!E74</f>
        <v>0</v>
      </c>
      <c r="F1024" s="1778">
        <f>'Part VIII-Bldg Credit Alloc NC'!F74</f>
        <v>0</v>
      </c>
      <c r="G1024" s="1778">
        <f>'Part VIII-Bldg Credit Alloc NC'!G74</f>
        <v>0</v>
      </c>
      <c r="H1024" s="1778">
        <f>'Part VIII-Bldg Credit Alloc NC'!H74</f>
        <v>0</v>
      </c>
      <c r="I1024" s="1778">
        <f>'Part VIII-Bldg Credit Alloc NC'!I74</f>
        <v>0</v>
      </c>
      <c r="J1024" s="1776">
        <f>'Part VIII-Bldg Credit Alloc NC'!J74</f>
        <v>0</v>
      </c>
      <c r="K1024" s="1778">
        <f>'Part VIII-Bldg Credit Alloc NC'!K74</f>
        <v>0</v>
      </c>
      <c r="L1024" s="1779" t="e">
        <f t="shared" si="413"/>
        <v>#DIV/0!</v>
      </c>
      <c r="M1024" s="1778" t="e">
        <f t="shared" si="414"/>
        <v>#DIV/0!</v>
      </c>
      <c r="N1024" s="1777">
        <f>'Part VIII-Bldg Credit Alloc NC'!N74</f>
        <v>0</v>
      </c>
      <c r="O1024" s="1779">
        <f>'Part VIII-Bldg Credit Alloc NC'!O74</f>
        <v>0</v>
      </c>
      <c r="P1024" s="1778" t="e">
        <f t="shared" si="415"/>
        <v>#DIV/0!</v>
      </c>
      <c r="Q1024" s="1778" t="e">
        <f t="shared" si="416"/>
        <v>#DIV/0!</v>
      </c>
      <c r="R1024" s="1778" t="e">
        <f t="shared" si="417"/>
        <v>#DIV/0!</v>
      </c>
    </row>
    <row r="1025" spans="1:18">
      <c r="A1025" s="1658">
        <f>'Part VIII-Bldg Credit Alloc NC'!A75</f>
        <v>0</v>
      </c>
      <c r="B1025" s="1658"/>
      <c r="C1025" s="1658"/>
      <c r="D1025" s="1777">
        <f>'Part VIII-Bldg Credit Alloc NC'!D75</f>
        <v>0</v>
      </c>
      <c r="E1025" s="1778">
        <f>'Part VIII-Bldg Credit Alloc NC'!E75</f>
        <v>0</v>
      </c>
      <c r="F1025" s="1778">
        <f>'Part VIII-Bldg Credit Alloc NC'!F75</f>
        <v>0</v>
      </c>
      <c r="G1025" s="1778">
        <f>'Part VIII-Bldg Credit Alloc NC'!G75</f>
        <v>0</v>
      </c>
      <c r="H1025" s="1778">
        <f>'Part VIII-Bldg Credit Alloc NC'!H75</f>
        <v>0</v>
      </c>
      <c r="I1025" s="1778">
        <f>'Part VIII-Bldg Credit Alloc NC'!I75</f>
        <v>0</v>
      </c>
      <c r="J1025" s="1776">
        <f>'Part VIII-Bldg Credit Alloc NC'!J75</f>
        <v>0</v>
      </c>
      <c r="K1025" s="1778">
        <f>'Part VIII-Bldg Credit Alloc NC'!K75</f>
        <v>0</v>
      </c>
      <c r="L1025" s="1779" t="e">
        <f t="shared" si="413"/>
        <v>#DIV/0!</v>
      </c>
      <c r="M1025" s="1778" t="e">
        <f t="shared" si="414"/>
        <v>#DIV/0!</v>
      </c>
      <c r="N1025" s="1777">
        <f>'Part VIII-Bldg Credit Alloc NC'!N75</f>
        <v>0</v>
      </c>
      <c r="O1025" s="1779">
        <f>'Part VIII-Bldg Credit Alloc NC'!O75</f>
        <v>0</v>
      </c>
      <c r="P1025" s="1778" t="e">
        <f t="shared" si="415"/>
        <v>#DIV/0!</v>
      </c>
      <c r="Q1025" s="1778" t="e">
        <f t="shared" si="416"/>
        <v>#DIV/0!</v>
      </c>
      <c r="R1025" s="1778" t="e">
        <f t="shared" si="417"/>
        <v>#DIV/0!</v>
      </c>
    </row>
    <row r="1026" spans="1:18">
      <c r="A1026" s="1658">
        <f>'Part VIII-Bldg Credit Alloc NC'!A76</f>
        <v>0</v>
      </c>
      <c r="B1026" s="1658"/>
      <c r="C1026" s="1658"/>
      <c r="D1026" s="1777">
        <f>'Part VIII-Bldg Credit Alloc NC'!D76</f>
        <v>0</v>
      </c>
      <c r="E1026" s="1778">
        <f>'Part VIII-Bldg Credit Alloc NC'!E76</f>
        <v>0</v>
      </c>
      <c r="F1026" s="1778">
        <f>'Part VIII-Bldg Credit Alloc NC'!F76</f>
        <v>0</v>
      </c>
      <c r="G1026" s="1778">
        <f>'Part VIII-Bldg Credit Alloc NC'!G76</f>
        <v>0</v>
      </c>
      <c r="H1026" s="1778">
        <f>'Part VIII-Bldg Credit Alloc NC'!H76</f>
        <v>0</v>
      </c>
      <c r="I1026" s="1778">
        <f>'Part VIII-Bldg Credit Alloc NC'!I76</f>
        <v>0</v>
      </c>
      <c r="J1026" s="1776">
        <f>'Part VIII-Bldg Credit Alloc NC'!J76</f>
        <v>0</v>
      </c>
      <c r="K1026" s="1778">
        <f>'Part VIII-Bldg Credit Alloc NC'!K76</f>
        <v>0</v>
      </c>
      <c r="L1026" s="1779" t="e">
        <f t="shared" si="413"/>
        <v>#DIV/0!</v>
      </c>
      <c r="M1026" s="1778" t="e">
        <f t="shared" si="414"/>
        <v>#DIV/0!</v>
      </c>
      <c r="N1026" s="1777">
        <f>'Part VIII-Bldg Credit Alloc NC'!N76</f>
        <v>0</v>
      </c>
      <c r="O1026" s="1779">
        <f>'Part VIII-Bldg Credit Alloc NC'!O76</f>
        <v>0</v>
      </c>
      <c r="P1026" s="1778" t="e">
        <f t="shared" si="415"/>
        <v>#DIV/0!</v>
      </c>
      <c r="Q1026" s="1778" t="e">
        <f t="shared" si="416"/>
        <v>#DIV/0!</v>
      </c>
      <c r="R1026" s="1778" t="e">
        <f t="shared" si="417"/>
        <v>#DIV/0!</v>
      </c>
    </row>
    <row r="1027" spans="1:18">
      <c r="A1027" s="1658">
        <f>'Part VIII-Bldg Credit Alloc NC'!A77</f>
        <v>0</v>
      </c>
      <c r="B1027" s="1658"/>
      <c r="C1027" s="1658"/>
      <c r="D1027" s="1777">
        <f>'Part VIII-Bldg Credit Alloc NC'!D77</f>
        <v>0</v>
      </c>
      <c r="E1027" s="1778">
        <f>'Part VIII-Bldg Credit Alloc NC'!E77</f>
        <v>0</v>
      </c>
      <c r="F1027" s="1778">
        <f>'Part VIII-Bldg Credit Alloc NC'!F77</f>
        <v>0</v>
      </c>
      <c r="G1027" s="1778">
        <f>'Part VIII-Bldg Credit Alloc NC'!G77</f>
        <v>0</v>
      </c>
      <c r="H1027" s="1778">
        <f>'Part VIII-Bldg Credit Alloc NC'!H77</f>
        <v>0</v>
      </c>
      <c r="I1027" s="1778">
        <f>'Part VIII-Bldg Credit Alloc NC'!I77</f>
        <v>0</v>
      </c>
      <c r="J1027" s="1776">
        <f>'Part VIII-Bldg Credit Alloc NC'!J77</f>
        <v>0</v>
      </c>
      <c r="K1027" s="1778">
        <f>'Part VIII-Bldg Credit Alloc NC'!K77</f>
        <v>0</v>
      </c>
      <c r="L1027" s="1779" t="e">
        <f t="shared" si="413"/>
        <v>#DIV/0!</v>
      </c>
      <c r="M1027" s="1778" t="e">
        <f t="shared" si="414"/>
        <v>#DIV/0!</v>
      </c>
      <c r="N1027" s="1777">
        <f>'Part VIII-Bldg Credit Alloc NC'!N77</f>
        <v>0</v>
      </c>
      <c r="O1027" s="1779">
        <f>'Part VIII-Bldg Credit Alloc NC'!O77</f>
        <v>0</v>
      </c>
      <c r="P1027" s="1778" t="e">
        <f t="shared" si="415"/>
        <v>#DIV/0!</v>
      </c>
      <c r="Q1027" s="1778" t="e">
        <f t="shared" si="416"/>
        <v>#DIV/0!</v>
      </c>
      <c r="R1027" s="1778" t="e">
        <f t="shared" si="417"/>
        <v>#DIV/0!</v>
      </c>
    </row>
    <row r="1028" spans="1:18">
      <c r="A1028" s="1658">
        <f>'Part VIII-Bldg Credit Alloc NC'!A78</f>
        <v>0</v>
      </c>
      <c r="B1028" s="1658"/>
      <c r="C1028" s="1658"/>
      <c r="D1028" s="1777">
        <f>'Part VIII-Bldg Credit Alloc NC'!D78</f>
        <v>0</v>
      </c>
      <c r="E1028" s="1778">
        <f>'Part VIII-Bldg Credit Alloc NC'!E78</f>
        <v>0</v>
      </c>
      <c r="F1028" s="1778">
        <f>'Part VIII-Bldg Credit Alloc NC'!F78</f>
        <v>0</v>
      </c>
      <c r="G1028" s="1778">
        <f>'Part VIII-Bldg Credit Alloc NC'!G78</f>
        <v>0</v>
      </c>
      <c r="H1028" s="1778">
        <f>'Part VIII-Bldg Credit Alloc NC'!H78</f>
        <v>0</v>
      </c>
      <c r="I1028" s="1778">
        <f>'Part VIII-Bldg Credit Alloc NC'!I78</f>
        <v>0</v>
      </c>
      <c r="J1028" s="1776">
        <f>'Part VIII-Bldg Credit Alloc NC'!J78</f>
        <v>0</v>
      </c>
      <c r="K1028" s="1778">
        <f>'Part VIII-Bldg Credit Alloc NC'!K78</f>
        <v>0</v>
      </c>
      <c r="L1028" s="1779" t="e">
        <f t="shared" si="413"/>
        <v>#DIV/0!</v>
      </c>
      <c r="M1028" s="1778" t="e">
        <f t="shared" si="414"/>
        <v>#DIV/0!</v>
      </c>
      <c r="N1028" s="1777">
        <f>'Part VIII-Bldg Credit Alloc NC'!N78</f>
        <v>0</v>
      </c>
      <c r="O1028" s="1779">
        <f>'Part VIII-Bldg Credit Alloc NC'!O78</f>
        <v>0</v>
      </c>
      <c r="P1028" s="1778" t="e">
        <f t="shared" si="415"/>
        <v>#DIV/0!</v>
      </c>
      <c r="Q1028" s="1778" t="e">
        <f t="shared" si="416"/>
        <v>#DIV/0!</v>
      </c>
      <c r="R1028" s="1778" t="e">
        <f t="shared" si="417"/>
        <v>#DIV/0!</v>
      </c>
    </row>
    <row r="1029" spans="1:18">
      <c r="A1029" s="1658">
        <f>'Part VIII-Bldg Credit Alloc NC'!A79</f>
        <v>0</v>
      </c>
      <c r="B1029" s="1658"/>
      <c r="C1029" s="1658"/>
      <c r="D1029" s="1777">
        <f>'Part VIII-Bldg Credit Alloc NC'!D79</f>
        <v>0</v>
      </c>
      <c r="E1029" s="1778">
        <f>'Part VIII-Bldg Credit Alloc NC'!E79</f>
        <v>0</v>
      </c>
      <c r="F1029" s="1778">
        <f>'Part VIII-Bldg Credit Alloc NC'!F79</f>
        <v>0</v>
      </c>
      <c r="G1029" s="1778">
        <f>'Part VIII-Bldg Credit Alloc NC'!G79</f>
        <v>0</v>
      </c>
      <c r="H1029" s="1778">
        <f>'Part VIII-Bldg Credit Alloc NC'!H79</f>
        <v>0</v>
      </c>
      <c r="I1029" s="1778">
        <f>'Part VIII-Bldg Credit Alloc NC'!I79</f>
        <v>0</v>
      </c>
      <c r="J1029" s="1776">
        <f>'Part VIII-Bldg Credit Alloc NC'!J79</f>
        <v>0</v>
      </c>
      <c r="K1029" s="1778">
        <f>'Part VIII-Bldg Credit Alloc NC'!K79</f>
        <v>0</v>
      </c>
      <c r="L1029" s="1779" t="e">
        <f t="shared" si="413"/>
        <v>#DIV/0!</v>
      </c>
      <c r="M1029" s="1778" t="e">
        <f t="shared" si="414"/>
        <v>#DIV/0!</v>
      </c>
      <c r="N1029" s="1777">
        <f>'Part VIII-Bldg Credit Alloc NC'!N79</f>
        <v>0</v>
      </c>
      <c r="O1029" s="1779">
        <f>'Part VIII-Bldg Credit Alloc NC'!O79</f>
        <v>0</v>
      </c>
      <c r="P1029" s="1778" t="e">
        <f t="shared" si="415"/>
        <v>#DIV/0!</v>
      </c>
      <c r="Q1029" s="1778" t="e">
        <f t="shared" si="416"/>
        <v>#DIV/0!</v>
      </c>
      <c r="R1029" s="1778" t="e">
        <f t="shared" si="417"/>
        <v>#DIV/0!</v>
      </c>
    </row>
    <row r="1030" spans="1:18">
      <c r="A1030" s="1658">
        <f>'Part VIII-Bldg Credit Alloc NC'!A80</f>
        <v>0</v>
      </c>
      <c r="B1030" s="1658"/>
      <c r="C1030" s="1658"/>
      <c r="D1030" s="1777">
        <f>'Part VIII-Bldg Credit Alloc NC'!D80</f>
        <v>0</v>
      </c>
      <c r="E1030" s="1778">
        <f>'Part VIII-Bldg Credit Alloc NC'!E80</f>
        <v>0</v>
      </c>
      <c r="F1030" s="1778">
        <f>'Part VIII-Bldg Credit Alloc NC'!F80</f>
        <v>0</v>
      </c>
      <c r="G1030" s="1778">
        <f>'Part VIII-Bldg Credit Alloc NC'!G80</f>
        <v>0</v>
      </c>
      <c r="H1030" s="1778">
        <f>'Part VIII-Bldg Credit Alloc NC'!H80</f>
        <v>0</v>
      </c>
      <c r="I1030" s="1778">
        <f>'Part VIII-Bldg Credit Alloc NC'!I80</f>
        <v>0</v>
      </c>
      <c r="J1030" s="1776">
        <f>'Part VIII-Bldg Credit Alloc NC'!J80</f>
        <v>0</v>
      </c>
      <c r="K1030" s="1778">
        <f>'Part VIII-Bldg Credit Alloc NC'!K80</f>
        <v>0</v>
      </c>
      <c r="L1030" s="1779" t="e">
        <f t="shared" si="413"/>
        <v>#DIV/0!</v>
      </c>
      <c r="M1030" s="1778" t="e">
        <f t="shared" si="414"/>
        <v>#DIV/0!</v>
      </c>
      <c r="N1030" s="1777">
        <f>'Part VIII-Bldg Credit Alloc NC'!N80</f>
        <v>0</v>
      </c>
      <c r="O1030" s="1779">
        <f>'Part VIII-Bldg Credit Alloc NC'!O80</f>
        <v>0</v>
      </c>
      <c r="P1030" s="1778" t="e">
        <f t="shared" si="415"/>
        <v>#DIV/0!</v>
      </c>
      <c r="Q1030" s="1778" t="e">
        <f t="shared" si="416"/>
        <v>#DIV/0!</v>
      </c>
      <c r="R1030" s="1778" t="e">
        <f t="shared" si="417"/>
        <v>#DIV/0!</v>
      </c>
    </row>
    <row r="1031" spans="1:18">
      <c r="A1031" s="1658">
        <f>'Part VIII-Bldg Credit Alloc NC'!A81</f>
        <v>0</v>
      </c>
      <c r="B1031" s="1658"/>
      <c r="C1031" s="1658"/>
      <c r="D1031" s="1777">
        <f>'Part VIII-Bldg Credit Alloc NC'!D81</f>
        <v>0</v>
      </c>
      <c r="E1031" s="1778">
        <f>'Part VIII-Bldg Credit Alloc NC'!E81</f>
        <v>0</v>
      </c>
      <c r="F1031" s="1778">
        <f>'Part VIII-Bldg Credit Alloc NC'!F81</f>
        <v>0</v>
      </c>
      <c r="G1031" s="1778">
        <f>'Part VIII-Bldg Credit Alloc NC'!G81</f>
        <v>0</v>
      </c>
      <c r="H1031" s="1778">
        <f>'Part VIII-Bldg Credit Alloc NC'!H81</f>
        <v>0</v>
      </c>
      <c r="I1031" s="1778">
        <f>'Part VIII-Bldg Credit Alloc NC'!I81</f>
        <v>0</v>
      </c>
      <c r="J1031" s="1776">
        <f>'Part VIII-Bldg Credit Alloc NC'!J81</f>
        <v>0</v>
      </c>
      <c r="K1031" s="1778">
        <f>'Part VIII-Bldg Credit Alloc NC'!K81</f>
        <v>0</v>
      </c>
      <c r="L1031" s="1779" t="e">
        <f t="shared" si="413"/>
        <v>#DIV/0!</v>
      </c>
      <c r="M1031" s="1778" t="e">
        <f t="shared" si="414"/>
        <v>#DIV/0!</v>
      </c>
      <c r="N1031" s="1777">
        <f>'Part VIII-Bldg Credit Alloc NC'!N81</f>
        <v>0</v>
      </c>
      <c r="O1031" s="1779">
        <f>'Part VIII-Bldg Credit Alloc NC'!O81</f>
        <v>0</v>
      </c>
      <c r="P1031" s="1778" t="e">
        <f t="shared" si="415"/>
        <v>#DIV/0!</v>
      </c>
      <c r="Q1031" s="1778" t="e">
        <f t="shared" si="416"/>
        <v>#DIV/0!</v>
      </c>
      <c r="R1031" s="1778" t="e">
        <f t="shared" si="417"/>
        <v>#DIV/0!</v>
      </c>
    </row>
    <row r="1032" spans="1:18">
      <c r="A1032" s="1658">
        <f>'Part VIII-Bldg Credit Alloc NC'!A82</f>
        <v>0</v>
      </c>
      <c r="B1032" s="1658"/>
      <c r="C1032" s="1658"/>
      <c r="D1032" s="1777">
        <f>'Part VIII-Bldg Credit Alloc NC'!D82</f>
        <v>0</v>
      </c>
      <c r="E1032" s="1778">
        <f>'Part VIII-Bldg Credit Alloc NC'!E82</f>
        <v>0</v>
      </c>
      <c r="F1032" s="1778">
        <f>'Part VIII-Bldg Credit Alloc NC'!F82</f>
        <v>0</v>
      </c>
      <c r="G1032" s="1778">
        <f>'Part VIII-Bldg Credit Alloc NC'!G82</f>
        <v>0</v>
      </c>
      <c r="H1032" s="1778">
        <f>'Part VIII-Bldg Credit Alloc NC'!H82</f>
        <v>0</v>
      </c>
      <c r="I1032" s="1778">
        <f>'Part VIII-Bldg Credit Alloc NC'!I82</f>
        <v>0</v>
      </c>
      <c r="J1032" s="1776">
        <f>'Part VIII-Bldg Credit Alloc NC'!J82</f>
        <v>0</v>
      </c>
      <c r="K1032" s="1778">
        <f>'Part VIII-Bldg Credit Alloc NC'!K82</f>
        <v>0</v>
      </c>
      <c r="L1032" s="1779" t="e">
        <f t="shared" si="413"/>
        <v>#DIV/0!</v>
      </c>
      <c r="M1032" s="1778" t="e">
        <f t="shared" si="414"/>
        <v>#DIV/0!</v>
      </c>
      <c r="N1032" s="1777">
        <f>'Part VIII-Bldg Credit Alloc NC'!N82</f>
        <v>0</v>
      </c>
      <c r="O1032" s="1779">
        <f>'Part VIII-Bldg Credit Alloc NC'!O82</f>
        <v>0</v>
      </c>
      <c r="P1032" s="1778" t="e">
        <f t="shared" si="415"/>
        <v>#DIV/0!</v>
      </c>
      <c r="Q1032" s="1778" t="e">
        <f t="shared" si="416"/>
        <v>#DIV/0!</v>
      </c>
      <c r="R1032" s="1778" t="e">
        <f t="shared" si="417"/>
        <v>#DIV/0!</v>
      </c>
    </row>
    <row r="1033" spans="1:18">
      <c r="A1033" s="1658">
        <f>'Part VIII-Bldg Credit Alloc NC'!A83</f>
        <v>0</v>
      </c>
      <c r="B1033" s="1658"/>
      <c r="C1033" s="1658"/>
      <c r="D1033" s="1777">
        <f>'Part VIII-Bldg Credit Alloc NC'!D83</f>
        <v>0</v>
      </c>
      <c r="E1033" s="1778">
        <f>'Part VIII-Bldg Credit Alloc NC'!E83</f>
        <v>0</v>
      </c>
      <c r="F1033" s="1778">
        <f>'Part VIII-Bldg Credit Alloc NC'!F83</f>
        <v>0</v>
      </c>
      <c r="G1033" s="1778">
        <f>'Part VIII-Bldg Credit Alloc NC'!G83</f>
        <v>0</v>
      </c>
      <c r="H1033" s="1778">
        <f>'Part VIII-Bldg Credit Alloc NC'!H83</f>
        <v>0</v>
      </c>
      <c r="I1033" s="1778">
        <f>'Part VIII-Bldg Credit Alloc NC'!I83</f>
        <v>0</v>
      </c>
      <c r="J1033" s="1776">
        <f>'Part VIII-Bldg Credit Alloc NC'!J83</f>
        <v>0</v>
      </c>
      <c r="K1033" s="1778">
        <f>'Part VIII-Bldg Credit Alloc NC'!K83</f>
        <v>0</v>
      </c>
      <c r="L1033" s="1779" t="e">
        <f t="shared" si="413"/>
        <v>#DIV/0!</v>
      </c>
      <c r="M1033" s="1778" t="e">
        <f t="shared" si="414"/>
        <v>#DIV/0!</v>
      </c>
      <c r="N1033" s="1777">
        <f>'Part VIII-Bldg Credit Alloc NC'!N83</f>
        <v>0</v>
      </c>
      <c r="O1033" s="1779">
        <f>'Part VIII-Bldg Credit Alloc NC'!O83</f>
        <v>0</v>
      </c>
      <c r="P1033" s="1778" t="e">
        <f t="shared" si="415"/>
        <v>#DIV/0!</v>
      </c>
      <c r="Q1033" s="1778" t="e">
        <f t="shared" si="416"/>
        <v>#DIV/0!</v>
      </c>
      <c r="R1033" s="1778" t="e">
        <f t="shared" si="417"/>
        <v>#DIV/0!</v>
      </c>
    </row>
    <row r="1034" spans="1:18">
      <c r="A1034" s="1658">
        <f>'Part VIII-Bldg Credit Alloc NC'!A84</f>
        <v>0</v>
      </c>
      <c r="B1034" s="1658"/>
      <c r="C1034" s="1658"/>
      <c r="D1034" s="1777">
        <f>'Part VIII-Bldg Credit Alloc NC'!D84</f>
        <v>0</v>
      </c>
      <c r="E1034" s="1778">
        <f>'Part VIII-Bldg Credit Alloc NC'!E84</f>
        <v>0</v>
      </c>
      <c r="F1034" s="1778">
        <f>'Part VIII-Bldg Credit Alloc NC'!F84</f>
        <v>0</v>
      </c>
      <c r="G1034" s="1778">
        <f>'Part VIII-Bldg Credit Alloc NC'!G84</f>
        <v>0</v>
      </c>
      <c r="H1034" s="1778">
        <f>'Part VIII-Bldg Credit Alloc NC'!H84</f>
        <v>0</v>
      </c>
      <c r="I1034" s="1778">
        <f>'Part VIII-Bldg Credit Alloc NC'!I84</f>
        <v>0</v>
      </c>
      <c r="J1034" s="1776">
        <f>'Part VIII-Bldg Credit Alloc NC'!J84</f>
        <v>0</v>
      </c>
      <c r="K1034" s="1778">
        <f>'Part VIII-Bldg Credit Alloc NC'!K84</f>
        <v>0</v>
      </c>
      <c r="L1034" s="1779" t="e">
        <f t="shared" si="413"/>
        <v>#DIV/0!</v>
      </c>
      <c r="M1034" s="1778" t="e">
        <f t="shared" si="414"/>
        <v>#DIV/0!</v>
      </c>
      <c r="N1034" s="1777">
        <f>'Part VIII-Bldg Credit Alloc NC'!N84</f>
        <v>0</v>
      </c>
      <c r="O1034" s="1779">
        <f>'Part VIII-Bldg Credit Alloc NC'!O84</f>
        <v>0</v>
      </c>
      <c r="P1034" s="1778" t="e">
        <f t="shared" si="415"/>
        <v>#DIV/0!</v>
      </c>
      <c r="Q1034" s="1778" t="e">
        <f t="shared" si="416"/>
        <v>#DIV/0!</v>
      </c>
      <c r="R1034" s="1778" t="e">
        <f t="shared" si="417"/>
        <v>#DIV/0!</v>
      </c>
    </row>
    <row r="1035" spans="1:18">
      <c r="A1035" s="1658">
        <f>'Part VIII-Bldg Credit Alloc NC'!A85</f>
        <v>0</v>
      </c>
      <c r="B1035" s="1658"/>
      <c r="C1035" s="1658"/>
      <c r="D1035" s="1777">
        <f>'Part VIII-Bldg Credit Alloc NC'!D85</f>
        <v>0</v>
      </c>
      <c r="E1035" s="1778">
        <f>'Part VIII-Bldg Credit Alloc NC'!E85</f>
        <v>0</v>
      </c>
      <c r="F1035" s="1778">
        <f>'Part VIII-Bldg Credit Alloc NC'!F85</f>
        <v>0</v>
      </c>
      <c r="G1035" s="1778">
        <f>'Part VIII-Bldg Credit Alloc NC'!G85</f>
        <v>0</v>
      </c>
      <c r="H1035" s="1778">
        <f>'Part VIII-Bldg Credit Alloc NC'!H85</f>
        <v>0</v>
      </c>
      <c r="I1035" s="1778">
        <f>'Part VIII-Bldg Credit Alloc NC'!I85</f>
        <v>0</v>
      </c>
      <c r="J1035" s="1776">
        <f>'Part VIII-Bldg Credit Alloc NC'!J85</f>
        <v>0</v>
      </c>
      <c r="K1035" s="1778">
        <f>'Part VIII-Bldg Credit Alloc NC'!K85</f>
        <v>0</v>
      </c>
      <c r="L1035" s="1779" t="e">
        <f t="shared" si="413"/>
        <v>#DIV/0!</v>
      </c>
      <c r="M1035" s="1778" t="e">
        <f t="shared" si="414"/>
        <v>#DIV/0!</v>
      </c>
      <c r="N1035" s="1777">
        <f>'Part VIII-Bldg Credit Alloc NC'!N85</f>
        <v>0</v>
      </c>
      <c r="O1035" s="1779">
        <f>'Part VIII-Bldg Credit Alloc NC'!O85</f>
        <v>0</v>
      </c>
      <c r="P1035" s="1778" t="e">
        <f t="shared" si="415"/>
        <v>#DIV/0!</v>
      </c>
      <c r="Q1035" s="1778" t="e">
        <f t="shared" si="416"/>
        <v>#DIV/0!</v>
      </c>
      <c r="R1035" s="1778" t="e">
        <f t="shared" si="417"/>
        <v>#DIV/0!</v>
      </c>
    </row>
    <row r="1036" spans="1:18">
      <c r="A1036" s="1658">
        <f>'Part VIII-Bldg Credit Alloc NC'!A86</f>
        <v>0</v>
      </c>
      <c r="B1036" s="1658"/>
      <c r="C1036" s="1658"/>
      <c r="D1036" s="1777">
        <f>'Part VIII-Bldg Credit Alloc NC'!D86</f>
        <v>0</v>
      </c>
      <c r="E1036" s="1778">
        <f>'Part VIII-Bldg Credit Alloc NC'!E86</f>
        <v>0</v>
      </c>
      <c r="F1036" s="1778">
        <f>'Part VIII-Bldg Credit Alloc NC'!F86</f>
        <v>0</v>
      </c>
      <c r="G1036" s="1778">
        <f>'Part VIII-Bldg Credit Alloc NC'!G86</f>
        <v>0</v>
      </c>
      <c r="H1036" s="1778">
        <f>'Part VIII-Bldg Credit Alloc NC'!H86</f>
        <v>0</v>
      </c>
      <c r="I1036" s="1778">
        <f>'Part VIII-Bldg Credit Alloc NC'!I86</f>
        <v>0</v>
      </c>
      <c r="J1036" s="1776">
        <f>'Part VIII-Bldg Credit Alloc NC'!J86</f>
        <v>0</v>
      </c>
      <c r="K1036" s="1778">
        <f>'Part VIII-Bldg Credit Alloc NC'!K86</f>
        <v>0</v>
      </c>
      <c r="L1036" s="1779" t="e">
        <f t="shared" si="413"/>
        <v>#DIV/0!</v>
      </c>
      <c r="M1036" s="1778" t="e">
        <f t="shared" si="414"/>
        <v>#DIV/0!</v>
      </c>
      <c r="N1036" s="1777">
        <f>'Part VIII-Bldg Credit Alloc NC'!N86</f>
        <v>0</v>
      </c>
      <c r="O1036" s="1779">
        <f>'Part VIII-Bldg Credit Alloc NC'!O86</f>
        <v>0</v>
      </c>
      <c r="P1036" s="1778" t="e">
        <f t="shared" si="415"/>
        <v>#DIV/0!</v>
      </c>
      <c r="Q1036" s="1778" t="e">
        <f t="shared" si="416"/>
        <v>#DIV/0!</v>
      </c>
      <c r="R1036" s="1778" t="e">
        <f t="shared" si="417"/>
        <v>#DIV/0!</v>
      </c>
    </row>
    <row r="1037" spans="1:18">
      <c r="A1037" s="1658">
        <f>'Part VIII-Bldg Credit Alloc NC'!A87</f>
        <v>0</v>
      </c>
      <c r="B1037" s="1658"/>
      <c r="C1037" s="1658"/>
      <c r="D1037" s="1777">
        <f>'Part VIII-Bldg Credit Alloc NC'!D87</f>
        <v>0</v>
      </c>
      <c r="E1037" s="1778">
        <f>'Part VIII-Bldg Credit Alloc NC'!E87</f>
        <v>0</v>
      </c>
      <c r="F1037" s="1778">
        <f>'Part VIII-Bldg Credit Alloc NC'!F87</f>
        <v>0</v>
      </c>
      <c r="G1037" s="1778">
        <f>'Part VIII-Bldg Credit Alloc NC'!G87</f>
        <v>0</v>
      </c>
      <c r="H1037" s="1778">
        <f>'Part VIII-Bldg Credit Alloc NC'!H87</f>
        <v>0</v>
      </c>
      <c r="I1037" s="1778">
        <f>'Part VIII-Bldg Credit Alloc NC'!I87</f>
        <v>0</v>
      </c>
      <c r="J1037" s="1776">
        <f>'Part VIII-Bldg Credit Alloc NC'!J87</f>
        <v>0</v>
      </c>
      <c r="K1037" s="1778">
        <f>'Part VIII-Bldg Credit Alloc NC'!K87</f>
        <v>0</v>
      </c>
      <c r="L1037" s="1779" t="e">
        <f t="shared" si="413"/>
        <v>#DIV/0!</v>
      </c>
      <c r="M1037" s="1778" t="e">
        <f t="shared" si="414"/>
        <v>#DIV/0!</v>
      </c>
      <c r="N1037" s="1777">
        <f>'Part VIII-Bldg Credit Alloc NC'!N87</f>
        <v>0</v>
      </c>
      <c r="O1037" s="1779">
        <f>'Part VIII-Bldg Credit Alloc NC'!O87</f>
        <v>0</v>
      </c>
      <c r="P1037" s="1778" t="e">
        <f t="shared" si="415"/>
        <v>#DIV/0!</v>
      </c>
      <c r="Q1037" s="1778" t="e">
        <f t="shared" si="416"/>
        <v>#DIV/0!</v>
      </c>
      <c r="R1037" s="1778" t="e">
        <f t="shared" si="417"/>
        <v>#DIV/0!</v>
      </c>
    </row>
    <row r="1038" spans="1:18">
      <c r="A1038" s="1658">
        <f>'Part VIII-Bldg Credit Alloc NC'!A88</f>
        <v>0</v>
      </c>
      <c r="B1038" s="1658"/>
      <c r="C1038" s="1658"/>
      <c r="D1038" s="1777">
        <f>'Part VIII-Bldg Credit Alloc NC'!D88</f>
        <v>0</v>
      </c>
      <c r="E1038" s="1778">
        <f>'Part VIII-Bldg Credit Alloc NC'!E88</f>
        <v>0</v>
      </c>
      <c r="F1038" s="1778">
        <f>'Part VIII-Bldg Credit Alloc NC'!F88</f>
        <v>0</v>
      </c>
      <c r="G1038" s="1778">
        <f>'Part VIII-Bldg Credit Alloc NC'!G88</f>
        <v>0</v>
      </c>
      <c r="H1038" s="1778">
        <f>'Part VIII-Bldg Credit Alloc NC'!H88</f>
        <v>0</v>
      </c>
      <c r="I1038" s="1778">
        <f>'Part VIII-Bldg Credit Alloc NC'!I88</f>
        <v>0</v>
      </c>
      <c r="J1038" s="1776">
        <f>'Part VIII-Bldg Credit Alloc NC'!J88</f>
        <v>0</v>
      </c>
      <c r="K1038" s="1778">
        <f>'Part VIII-Bldg Credit Alloc NC'!K88</f>
        <v>0</v>
      </c>
      <c r="L1038" s="1779" t="e">
        <f t="shared" si="413"/>
        <v>#DIV/0!</v>
      </c>
      <c r="M1038" s="1778" t="e">
        <f t="shared" si="414"/>
        <v>#DIV/0!</v>
      </c>
      <c r="N1038" s="1777">
        <f>'Part VIII-Bldg Credit Alloc NC'!N88</f>
        <v>0</v>
      </c>
      <c r="O1038" s="1779">
        <f>'Part VIII-Bldg Credit Alloc NC'!O88</f>
        <v>0</v>
      </c>
      <c r="P1038" s="1778" t="e">
        <f t="shared" si="415"/>
        <v>#DIV/0!</v>
      </c>
      <c r="Q1038" s="1778" t="e">
        <f t="shared" si="416"/>
        <v>#DIV/0!</v>
      </c>
      <c r="R1038" s="1778" t="e">
        <f t="shared" si="417"/>
        <v>#DIV/0!</v>
      </c>
    </row>
    <row r="1039" spans="1:18">
      <c r="A1039" s="1715" t="s">
        <v>3691</v>
      </c>
      <c r="B1039" s="1780"/>
      <c r="C1039" s="1780"/>
      <c r="D1039" s="1777"/>
      <c r="E1039" s="1778">
        <f>SUM(E1004:E1038)</f>
        <v>0</v>
      </c>
      <c r="F1039" s="1778">
        <f>SUM(F1004:F1038)</f>
        <v>0</v>
      </c>
      <c r="G1039" s="1778">
        <f>SUM(G1004:G1038)</f>
        <v>0</v>
      </c>
      <c r="H1039" s="1778">
        <f>SUM(H1004:H1038)</f>
        <v>0</v>
      </c>
      <c r="I1039" s="1778">
        <f>SUM(I1004:I1038)</f>
        <v>0</v>
      </c>
      <c r="J1039" s="1658"/>
      <c r="K1039" s="1778">
        <f>SUM(K1004:K1038)</f>
        <v>0</v>
      </c>
      <c r="L1039" s="1779"/>
      <c r="M1039" s="1778" t="e">
        <f>SUM(M1004:M1038)</f>
        <v>#DIV/0!</v>
      </c>
      <c r="N1039" s="1777"/>
      <c r="O1039" s="1779"/>
      <c r="P1039" s="1778" t="e">
        <f>SUM(P1004:P1038)</f>
        <v>#DIV/0!</v>
      </c>
      <c r="Q1039" s="1778" t="e">
        <f>SUM(Q1004:Q1038)</f>
        <v>#DIV/0!</v>
      </c>
      <c r="R1039" s="1778" t="e">
        <f>SUM(R1004:R1038)</f>
        <v>#DIV/0!</v>
      </c>
    </row>
    <row r="1040" spans="1:18">
      <c r="A1040" s="1715" t="s">
        <v>3128</v>
      </c>
      <c r="B1040" s="1656"/>
      <c r="C1040" s="1771" t="str">
        <f>C954</f>
        <v>New Construction</v>
      </c>
      <c r="D1040" s="1781"/>
      <c r="E1040" s="1781"/>
      <c r="F1040" s="1713"/>
      <c r="G1040" s="1656"/>
      <c r="H1040" s="1656"/>
      <c r="I1040" s="1656"/>
      <c r="J1040" s="1656"/>
      <c r="K1040" s="1656"/>
      <c r="L1040" s="1657"/>
      <c r="M1040" s="1657"/>
      <c r="N1040" s="1657"/>
      <c r="O1040" s="1656"/>
      <c r="P1040" s="1656"/>
      <c r="Q1040" s="1656"/>
      <c r="R1040" s="1656"/>
    </row>
    <row r="1041" spans="1:18">
      <c r="A1041" s="1712" t="s">
        <v>3129</v>
      </c>
      <c r="B1041" s="1712"/>
      <c r="C1041" s="1712"/>
      <c r="D1041" s="1712"/>
      <c r="E1041" s="1712"/>
      <c r="F1041" s="1712"/>
      <c r="G1041" s="1712"/>
      <c r="H1041" s="1712"/>
      <c r="I1041" s="1712"/>
      <c r="J1041" s="1712"/>
      <c r="K1041" s="1712"/>
      <c r="L1041" s="1712"/>
      <c r="M1041" s="1712"/>
      <c r="N1041" s="1712"/>
      <c r="O1041" s="1712"/>
      <c r="P1041" s="1712"/>
      <c r="Q1041" s="1712"/>
      <c r="R1041" s="1712"/>
    </row>
    <row r="1042" spans="1:18" ht="13.5" customHeight="1">
      <c r="A1042" s="1772"/>
      <c r="B1042" s="1658"/>
      <c r="C1042" s="1658"/>
      <c r="D1042" s="1773"/>
      <c r="E1042" s="1773" t="s">
        <v>503</v>
      </c>
      <c r="F1042" s="1773" t="s">
        <v>503</v>
      </c>
      <c r="G1042" s="1773" t="s">
        <v>477</v>
      </c>
      <c r="H1042" s="1773" t="s">
        <v>3130</v>
      </c>
      <c r="I1042" s="1718"/>
      <c r="J1042" s="1773"/>
      <c r="K1042" s="1718"/>
      <c r="L1042" s="1718"/>
      <c r="M1042" s="1746"/>
      <c r="N1042" s="1773" t="s">
        <v>861</v>
      </c>
      <c r="O1042" s="1746"/>
      <c r="P1042" s="1746"/>
      <c r="Q1042" s="1774" t="s">
        <v>3719</v>
      </c>
      <c r="R1042" s="1774"/>
    </row>
    <row r="1043" spans="1:18" ht="13.5">
      <c r="A1043" s="1772"/>
      <c r="B1043" s="1658"/>
      <c r="C1043" s="1658"/>
      <c r="D1043" s="1773" t="s">
        <v>496</v>
      </c>
      <c r="E1043" s="1775" t="s">
        <v>152</v>
      </c>
      <c r="F1043" s="1773" t="s">
        <v>3132</v>
      </c>
      <c r="G1043" s="1773" t="s">
        <v>3133</v>
      </c>
      <c r="H1043" s="1773" t="s">
        <v>3134</v>
      </c>
      <c r="I1043" s="1773" t="s">
        <v>3135</v>
      </c>
      <c r="J1043" s="1692" t="s">
        <v>3136</v>
      </c>
      <c r="K1043" s="1773" t="s">
        <v>3135</v>
      </c>
      <c r="L1043" s="1773" t="s">
        <v>3135</v>
      </c>
      <c r="M1043" s="1773" t="s">
        <v>3135</v>
      </c>
      <c r="N1043" s="1773" t="s">
        <v>3137</v>
      </c>
      <c r="O1043" s="1773" t="s">
        <v>3138</v>
      </c>
      <c r="P1043" s="1773" t="s">
        <v>3139</v>
      </c>
      <c r="Q1043" s="1774"/>
      <c r="R1043" s="1774"/>
    </row>
    <row r="1044" spans="1:18" ht="13.5">
      <c r="A1044" s="1772"/>
      <c r="B1044" s="1658"/>
      <c r="C1044" s="1658"/>
      <c r="D1044" s="1773" t="s">
        <v>3140</v>
      </c>
      <c r="E1044" s="1773" t="s">
        <v>3141</v>
      </c>
      <c r="F1044" s="1773" t="s">
        <v>3110</v>
      </c>
      <c r="G1044" s="1773" t="s">
        <v>3134</v>
      </c>
      <c r="H1044" s="1773" t="s">
        <v>3110</v>
      </c>
      <c r="I1044" s="1773" t="s">
        <v>3142</v>
      </c>
      <c r="J1044" s="1692"/>
      <c r="K1044" s="1773" t="s">
        <v>3143</v>
      </c>
      <c r="L1044" s="1773" t="s">
        <v>3144</v>
      </c>
      <c r="M1044" s="1773" t="s">
        <v>3145</v>
      </c>
      <c r="N1044" s="1773" t="s">
        <v>3146</v>
      </c>
      <c r="O1044" s="1773" t="s">
        <v>3147</v>
      </c>
      <c r="P1044" s="1773" t="s">
        <v>3147</v>
      </c>
      <c r="Q1044" s="1773" t="s">
        <v>3135</v>
      </c>
      <c r="R1044" s="1773" t="s">
        <v>3148</v>
      </c>
    </row>
    <row r="1045" spans="1:18" ht="13.5">
      <c r="A1045" s="1772" t="s">
        <v>3149</v>
      </c>
      <c r="B1045" s="1658"/>
      <c r="C1045" s="1658"/>
      <c r="D1045" s="1773" t="s">
        <v>3150</v>
      </c>
      <c r="E1045" s="1773" t="s">
        <v>3151</v>
      </c>
      <c r="F1045" s="1773" t="s">
        <v>3152</v>
      </c>
      <c r="G1045" s="1773" t="s">
        <v>3151</v>
      </c>
      <c r="H1045" s="1773" t="s">
        <v>3152</v>
      </c>
      <c r="I1045" s="1773" t="s">
        <v>3153</v>
      </c>
      <c r="J1045" s="1776" t="s">
        <v>3154</v>
      </c>
      <c r="K1045" s="1773" t="s">
        <v>3153</v>
      </c>
      <c r="L1045" s="1773" t="s">
        <v>3155</v>
      </c>
      <c r="M1045" s="1773" t="s">
        <v>3153</v>
      </c>
      <c r="N1045" s="1773" t="s">
        <v>3156</v>
      </c>
      <c r="O1045" s="1773" t="s">
        <v>3157</v>
      </c>
      <c r="P1045" s="1773" t="s">
        <v>1793</v>
      </c>
      <c r="Q1045" s="1773" t="s">
        <v>1830</v>
      </c>
      <c r="R1045" s="1773" t="s">
        <v>1793</v>
      </c>
    </row>
    <row r="1046" spans="1:18">
      <c r="A1046" s="1658">
        <f>'Part VIII-Bldg Credit Alloc NC'!A96</f>
        <v>0</v>
      </c>
      <c r="B1046" s="1658"/>
      <c r="C1046" s="1658"/>
      <c r="D1046" s="1777">
        <f>'Part VIII-Bldg Credit Alloc NC'!D96</f>
        <v>0</v>
      </c>
      <c r="E1046" s="1778">
        <f>'Part VIII-Bldg Credit Alloc NC'!E96</f>
        <v>0</v>
      </c>
      <c r="F1046" s="1778">
        <f>'Part VIII-Bldg Credit Alloc NC'!F96</f>
        <v>0</v>
      </c>
      <c r="G1046" s="1778">
        <f>'Part VIII-Bldg Credit Alloc NC'!G96</f>
        <v>0</v>
      </c>
      <c r="H1046" s="1778">
        <f>'Part VIII-Bldg Credit Alloc NC'!H96</f>
        <v>0</v>
      </c>
      <c r="I1046" s="1778">
        <f>'Part VIII-Bldg Credit Alloc NC'!I96</f>
        <v>0</v>
      </c>
      <c r="J1046" s="1776">
        <f>'Part VIII-Bldg Credit Alloc NC'!J96</f>
        <v>0</v>
      </c>
      <c r="K1046" s="1778">
        <f>'Part VIII-Bldg Credit Alloc NC'!K96</f>
        <v>0</v>
      </c>
      <c r="L1046" s="1779" t="e">
        <f>IF(OR(E1046="",F1046=""),"",MIN(G1046/E1046,H1046/F1046))</f>
        <v>#DIV/0!</v>
      </c>
      <c r="M1046" s="1778" t="e">
        <f>IF(OR(E1046="",F1046=""),"",K1046*L1046)</f>
        <v>#DIV/0!</v>
      </c>
      <c r="N1046" s="1777">
        <f>'Part VIII-Bldg Credit Alloc NC'!N96</f>
        <v>0</v>
      </c>
      <c r="O1046" s="1779">
        <f>'Part VIII-Bldg Credit Alloc NC'!O96</f>
        <v>0</v>
      </c>
      <c r="P1046" s="1778" t="e">
        <f>IF(OR(M1046="",O1046=""),"",M1046*O1046)</f>
        <v>#DIV/0!</v>
      </c>
      <c r="Q1046" s="1778" t="e">
        <f>IF(M1046="","",ROUND(M1046,0))</f>
        <v>#DIV/0!</v>
      </c>
      <c r="R1046" s="1778" t="e">
        <f>IF(P1046="","",ROUND(P1046,0))</f>
        <v>#DIV/0!</v>
      </c>
    </row>
    <row r="1047" spans="1:18">
      <c r="A1047" s="1658">
        <f>'Part VIII-Bldg Credit Alloc NC'!A97</f>
        <v>0</v>
      </c>
      <c r="B1047" s="1658"/>
      <c r="C1047" s="1658"/>
      <c r="D1047" s="1777">
        <f>'Part VIII-Bldg Credit Alloc NC'!D97</f>
        <v>0</v>
      </c>
      <c r="E1047" s="1778">
        <f>'Part VIII-Bldg Credit Alloc NC'!E97</f>
        <v>0</v>
      </c>
      <c r="F1047" s="1778">
        <f>'Part VIII-Bldg Credit Alloc NC'!F97</f>
        <v>0</v>
      </c>
      <c r="G1047" s="1778">
        <f>'Part VIII-Bldg Credit Alloc NC'!G97</f>
        <v>0</v>
      </c>
      <c r="H1047" s="1778">
        <f>'Part VIII-Bldg Credit Alloc NC'!H97</f>
        <v>0</v>
      </c>
      <c r="I1047" s="1778">
        <f>'Part VIII-Bldg Credit Alloc NC'!I97</f>
        <v>0</v>
      </c>
      <c r="J1047" s="1776">
        <f>'Part VIII-Bldg Credit Alloc NC'!J97</f>
        <v>0</v>
      </c>
      <c r="K1047" s="1778">
        <f>'Part VIII-Bldg Credit Alloc NC'!K97</f>
        <v>0</v>
      </c>
      <c r="L1047" s="1779" t="e">
        <f t="shared" ref="L1047:L1080" si="418">IF(OR(E1047="",F1047=""),"",MIN(G1047/E1047,H1047/F1047))</f>
        <v>#DIV/0!</v>
      </c>
      <c r="M1047" s="1778" t="e">
        <f t="shared" ref="M1047:M1080" si="419">IF(OR(E1047="",F1047=""),"",K1047*L1047)</f>
        <v>#DIV/0!</v>
      </c>
      <c r="N1047" s="1777">
        <f>'Part VIII-Bldg Credit Alloc NC'!N97</f>
        <v>0</v>
      </c>
      <c r="O1047" s="1779">
        <f>'Part VIII-Bldg Credit Alloc NC'!O97</f>
        <v>0</v>
      </c>
      <c r="P1047" s="1778" t="e">
        <f t="shared" ref="P1047:P1080" si="420">IF(OR(M1047="",O1047=""),"",M1047*O1047)</f>
        <v>#DIV/0!</v>
      </c>
      <c r="Q1047" s="1778" t="e">
        <f t="shared" ref="Q1047:Q1080" si="421">IF(M1047="","",ROUND(M1047,0))</f>
        <v>#DIV/0!</v>
      </c>
      <c r="R1047" s="1778" t="e">
        <f t="shared" ref="R1047:R1080" si="422">IF(P1047="","",ROUND(P1047,0))</f>
        <v>#DIV/0!</v>
      </c>
    </row>
    <row r="1048" spans="1:18">
      <c r="A1048" s="1658">
        <f>'Part VIII-Bldg Credit Alloc NC'!A98</f>
        <v>0</v>
      </c>
      <c r="B1048" s="1658"/>
      <c r="C1048" s="1658"/>
      <c r="D1048" s="1777">
        <f>'Part VIII-Bldg Credit Alloc NC'!D98</f>
        <v>0</v>
      </c>
      <c r="E1048" s="1778">
        <f>'Part VIII-Bldg Credit Alloc NC'!E98</f>
        <v>0</v>
      </c>
      <c r="F1048" s="1778">
        <f>'Part VIII-Bldg Credit Alloc NC'!F98</f>
        <v>0</v>
      </c>
      <c r="G1048" s="1778">
        <f>'Part VIII-Bldg Credit Alloc NC'!G98</f>
        <v>0</v>
      </c>
      <c r="H1048" s="1778">
        <f>'Part VIII-Bldg Credit Alloc NC'!H98</f>
        <v>0</v>
      </c>
      <c r="I1048" s="1778">
        <f>'Part VIII-Bldg Credit Alloc NC'!I98</f>
        <v>0</v>
      </c>
      <c r="J1048" s="1776">
        <f>'Part VIII-Bldg Credit Alloc NC'!J98</f>
        <v>0</v>
      </c>
      <c r="K1048" s="1778">
        <f>'Part VIII-Bldg Credit Alloc NC'!K98</f>
        <v>0</v>
      </c>
      <c r="L1048" s="1779" t="e">
        <f t="shared" si="418"/>
        <v>#DIV/0!</v>
      </c>
      <c r="M1048" s="1778" t="e">
        <f t="shared" si="419"/>
        <v>#DIV/0!</v>
      </c>
      <c r="N1048" s="1777">
        <f>'Part VIII-Bldg Credit Alloc NC'!N98</f>
        <v>0</v>
      </c>
      <c r="O1048" s="1779">
        <f>'Part VIII-Bldg Credit Alloc NC'!O98</f>
        <v>0</v>
      </c>
      <c r="P1048" s="1778" t="e">
        <f t="shared" si="420"/>
        <v>#DIV/0!</v>
      </c>
      <c r="Q1048" s="1778" t="e">
        <f t="shared" si="421"/>
        <v>#DIV/0!</v>
      </c>
      <c r="R1048" s="1778" t="e">
        <f t="shared" si="422"/>
        <v>#DIV/0!</v>
      </c>
    </row>
    <row r="1049" spans="1:18">
      <c r="A1049" s="1658">
        <f>'Part VIII-Bldg Credit Alloc NC'!A99</f>
        <v>0</v>
      </c>
      <c r="B1049" s="1658"/>
      <c r="C1049" s="1658"/>
      <c r="D1049" s="1777">
        <f>'Part VIII-Bldg Credit Alloc NC'!D99</f>
        <v>0</v>
      </c>
      <c r="E1049" s="1778">
        <f>'Part VIII-Bldg Credit Alloc NC'!E99</f>
        <v>0</v>
      </c>
      <c r="F1049" s="1778">
        <f>'Part VIII-Bldg Credit Alloc NC'!F99</f>
        <v>0</v>
      </c>
      <c r="G1049" s="1778">
        <f>'Part VIII-Bldg Credit Alloc NC'!G99</f>
        <v>0</v>
      </c>
      <c r="H1049" s="1778">
        <f>'Part VIII-Bldg Credit Alloc NC'!H99</f>
        <v>0</v>
      </c>
      <c r="I1049" s="1778">
        <f>'Part VIII-Bldg Credit Alloc NC'!I99</f>
        <v>0</v>
      </c>
      <c r="J1049" s="1776">
        <f>'Part VIII-Bldg Credit Alloc NC'!J99</f>
        <v>0</v>
      </c>
      <c r="K1049" s="1778">
        <f>'Part VIII-Bldg Credit Alloc NC'!K99</f>
        <v>0</v>
      </c>
      <c r="L1049" s="1779" t="e">
        <f t="shared" si="418"/>
        <v>#DIV/0!</v>
      </c>
      <c r="M1049" s="1778" t="e">
        <f t="shared" si="419"/>
        <v>#DIV/0!</v>
      </c>
      <c r="N1049" s="1777">
        <f>'Part VIII-Bldg Credit Alloc NC'!N99</f>
        <v>0</v>
      </c>
      <c r="O1049" s="1779">
        <f>'Part VIII-Bldg Credit Alloc NC'!O99</f>
        <v>0</v>
      </c>
      <c r="P1049" s="1778" t="e">
        <f t="shared" si="420"/>
        <v>#DIV/0!</v>
      </c>
      <c r="Q1049" s="1778" t="e">
        <f t="shared" si="421"/>
        <v>#DIV/0!</v>
      </c>
      <c r="R1049" s="1778" t="e">
        <f t="shared" si="422"/>
        <v>#DIV/0!</v>
      </c>
    </row>
    <row r="1050" spans="1:18">
      <c r="A1050" s="1658">
        <f>'Part VIII-Bldg Credit Alloc NC'!A100</f>
        <v>0</v>
      </c>
      <c r="B1050" s="1658"/>
      <c r="C1050" s="1658"/>
      <c r="D1050" s="1777">
        <f>'Part VIII-Bldg Credit Alloc NC'!D100</f>
        <v>0</v>
      </c>
      <c r="E1050" s="1778">
        <f>'Part VIII-Bldg Credit Alloc NC'!E100</f>
        <v>0</v>
      </c>
      <c r="F1050" s="1778">
        <f>'Part VIII-Bldg Credit Alloc NC'!F100</f>
        <v>0</v>
      </c>
      <c r="G1050" s="1778">
        <f>'Part VIII-Bldg Credit Alloc NC'!G100</f>
        <v>0</v>
      </c>
      <c r="H1050" s="1778">
        <f>'Part VIII-Bldg Credit Alloc NC'!H100</f>
        <v>0</v>
      </c>
      <c r="I1050" s="1778">
        <f>'Part VIII-Bldg Credit Alloc NC'!I100</f>
        <v>0</v>
      </c>
      <c r="J1050" s="1776">
        <f>'Part VIII-Bldg Credit Alloc NC'!J100</f>
        <v>0</v>
      </c>
      <c r="K1050" s="1778">
        <f>'Part VIII-Bldg Credit Alloc NC'!K100</f>
        <v>0</v>
      </c>
      <c r="L1050" s="1779" t="e">
        <f t="shared" si="418"/>
        <v>#DIV/0!</v>
      </c>
      <c r="M1050" s="1778" t="e">
        <f t="shared" si="419"/>
        <v>#DIV/0!</v>
      </c>
      <c r="N1050" s="1777">
        <f>'Part VIII-Bldg Credit Alloc NC'!N100</f>
        <v>0</v>
      </c>
      <c r="O1050" s="1779">
        <f>'Part VIII-Bldg Credit Alloc NC'!O100</f>
        <v>0</v>
      </c>
      <c r="P1050" s="1778" t="e">
        <f t="shared" si="420"/>
        <v>#DIV/0!</v>
      </c>
      <c r="Q1050" s="1778" t="e">
        <f t="shared" si="421"/>
        <v>#DIV/0!</v>
      </c>
      <c r="R1050" s="1778" t="e">
        <f t="shared" si="422"/>
        <v>#DIV/0!</v>
      </c>
    </row>
    <row r="1051" spans="1:18">
      <c r="A1051" s="1658">
        <f>'Part VIII-Bldg Credit Alloc NC'!A101</f>
        <v>0</v>
      </c>
      <c r="B1051" s="1658"/>
      <c r="C1051" s="1658"/>
      <c r="D1051" s="1777">
        <f>'Part VIII-Bldg Credit Alloc NC'!D101</f>
        <v>0</v>
      </c>
      <c r="E1051" s="1778">
        <f>'Part VIII-Bldg Credit Alloc NC'!E101</f>
        <v>0</v>
      </c>
      <c r="F1051" s="1778">
        <f>'Part VIII-Bldg Credit Alloc NC'!F101</f>
        <v>0</v>
      </c>
      <c r="G1051" s="1778">
        <f>'Part VIII-Bldg Credit Alloc NC'!G101</f>
        <v>0</v>
      </c>
      <c r="H1051" s="1778">
        <f>'Part VIII-Bldg Credit Alloc NC'!H101</f>
        <v>0</v>
      </c>
      <c r="I1051" s="1778">
        <f>'Part VIII-Bldg Credit Alloc NC'!I101</f>
        <v>0</v>
      </c>
      <c r="J1051" s="1776">
        <f>'Part VIII-Bldg Credit Alloc NC'!J101</f>
        <v>0</v>
      </c>
      <c r="K1051" s="1778">
        <f>'Part VIII-Bldg Credit Alloc NC'!K101</f>
        <v>0</v>
      </c>
      <c r="L1051" s="1779" t="e">
        <f t="shared" si="418"/>
        <v>#DIV/0!</v>
      </c>
      <c r="M1051" s="1778" t="e">
        <f t="shared" si="419"/>
        <v>#DIV/0!</v>
      </c>
      <c r="N1051" s="1777">
        <f>'Part VIII-Bldg Credit Alloc NC'!N101</f>
        <v>0</v>
      </c>
      <c r="O1051" s="1779">
        <f>'Part VIII-Bldg Credit Alloc NC'!O101</f>
        <v>0</v>
      </c>
      <c r="P1051" s="1778" t="e">
        <f t="shared" si="420"/>
        <v>#DIV/0!</v>
      </c>
      <c r="Q1051" s="1778" t="e">
        <f t="shared" si="421"/>
        <v>#DIV/0!</v>
      </c>
      <c r="R1051" s="1778" t="e">
        <f t="shared" si="422"/>
        <v>#DIV/0!</v>
      </c>
    </row>
    <row r="1052" spans="1:18">
      <c r="A1052" s="1658">
        <f>'Part VIII-Bldg Credit Alloc NC'!A102</f>
        <v>0</v>
      </c>
      <c r="B1052" s="1658"/>
      <c r="C1052" s="1658"/>
      <c r="D1052" s="1777">
        <f>'Part VIII-Bldg Credit Alloc NC'!D102</f>
        <v>0</v>
      </c>
      <c r="E1052" s="1778">
        <f>'Part VIII-Bldg Credit Alloc NC'!E102</f>
        <v>0</v>
      </c>
      <c r="F1052" s="1778">
        <f>'Part VIII-Bldg Credit Alloc NC'!F102</f>
        <v>0</v>
      </c>
      <c r="G1052" s="1778">
        <f>'Part VIII-Bldg Credit Alloc NC'!G102</f>
        <v>0</v>
      </c>
      <c r="H1052" s="1778">
        <f>'Part VIII-Bldg Credit Alloc NC'!H102</f>
        <v>0</v>
      </c>
      <c r="I1052" s="1778">
        <f>'Part VIII-Bldg Credit Alloc NC'!I102</f>
        <v>0</v>
      </c>
      <c r="J1052" s="1776">
        <f>'Part VIII-Bldg Credit Alloc NC'!J102</f>
        <v>0</v>
      </c>
      <c r="K1052" s="1778">
        <f>'Part VIII-Bldg Credit Alloc NC'!K102</f>
        <v>0</v>
      </c>
      <c r="L1052" s="1779" t="e">
        <f t="shared" si="418"/>
        <v>#DIV/0!</v>
      </c>
      <c r="M1052" s="1778" t="e">
        <f t="shared" si="419"/>
        <v>#DIV/0!</v>
      </c>
      <c r="N1052" s="1777">
        <f>'Part VIII-Bldg Credit Alloc NC'!N102</f>
        <v>0</v>
      </c>
      <c r="O1052" s="1779">
        <f>'Part VIII-Bldg Credit Alloc NC'!O102</f>
        <v>0</v>
      </c>
      <c r="P1052" s="1778" t="e">
        <f t="shared" si="420"/>
        <v>#DIV/0!</v>
      </c>
      <c r="Q1052" s="1778" t="e">
        <f t="shared" si="421"/>
        <v>#DIV/0!</v>
      </c>
      <c r="R1052" s="1778" t="e">
        <f t="shared" si="422"/>
        <v>#DIV/0!</v>
      </c>
    </row>
    <row r="1053" spans="1:18">
      <c r="A1053" s="1658">
        <f>'Part VIII-Bldg Credit Alloc NC'!A103</f>
        <v>0</v>
      </c>
      <c r="B1053" s="1658"/>
      <c r="C1053" s="1658"/>
      <c r="D1053" s="1777">
        <f>'Part VIII-Bldg Credit Alloc NC'!D103</f>
        <v>0</v>
      </c>
      <c r="E1053" s="1778">
        <f>'Part VIII-Bldg Credit Alloc NC'!E103</f>
        <v>0</v>
      </c>
      <c r="F1053" s="1778">
        <f>'Part VIII-Bldg Credit Alloc NC'!F103</f>
        <v>0</v>
      </c>
      <c r="G1053" s="1778">
        <f>'Part VIII-Bldg Credit Alloc NC'!G103</f>
        <v>0</v>
      </c>
      <c r="H1053" s="1778">
        <f>'Part VIII-Bldg Credit Alloc NC'!H103</f>
        <v>0</v>
      </c>
      <c r="I1053" s="1778">
        <f>'Part VIII-Bldg Credit Alloc NC'!I103</f>
        <v>0</v>
      </c>
      <c r="J1053" s="1776">
        <f>'Part VIII-Bldg Credit Alloc NC'!J103</f>
        <v>0</v>
      </c>
      <c r="K1053" s="1778">
        <f>'Part VIII-Bldg Credit Alloc NC'!K103</f>
        <v>0</v>
      </c>
      <c r="L1053" s="1779" t="e">
        <f t="shared" si="418"/>
        <v>#DIV/0!</v>
      </c>
      <c r="M1053" s="1778" t="e">
        <f t="shared" si="419"/>
        <v>#DIV/0!</v>
      </c>
      <c r="N1053" s="1777">
        <f>'Part VIII-Bldg Credit Alloc NC'!N103</f>
        <v>0</v>
      </c>
      <c r="O1053" s="1779">
        <f>'Part VIII-Bldg Credit Alloc NC'!O103</f>
        <v>0</v>
      </c>
      <c r="P1053" s="1778" t="e">
        <f t="shared" si="420"/>
        <v>#DIV/0!</v>
      </c>
      <c r="Q1053" s="1778" t="e">
        <f t="shared" si="421"/>
        <v>#DIV/0!</v>
      </c>
      <c r="R1053" s="1778" t="e">
        <f t="shared" si="422"/>
        <v>#DIV/0!</v>
      </c>
    </row>
    <row r="1054" spans="1:18">
      <c r="A1054" s="1658">
        <f>'Part VIII-Bldg Credit Alloc NC'!A104</f>
        <v>0</v>
      </c>
      <c r="B1054" s="1658"/>
      <c r="C1054" s="1658"/>
      <c r="D1054" s="1777">
        <f>'Part VIII-Bldg Credit Alloc NC'!D104</f>
        <v>0</v>
      </c>
      <c r="E1054" s="1778">
        <f>'Part VIII-Bldg Credit Alloc NC'!E104</f>
        <v>0</v>
      </c>
      <c r="F1054" s="1778">
        <f>'Part VIII-Bldg Credit Alloc NC'!F104</f>
        <v>0</v>
      </c>
      <c r="G1054" s="1778">
        <f>'Part VIII-Bldg Credit Alloc NC'!G104</f>
        <v>0</v>
      </c>
      <c r="H1054" s="1778">
        <f>'Part VIII-Bldg Credit Alloc NC'!H104</f>
        <v>0</v>
      </c>
      <c r="I1054" s="1778">
        <f>'Part VIII-Bldg Credit Alloc NC'!I104</f>
        <v>0</v>
      </c>
      <c r="J1054" s="1776">
        <f>'Part VIII-Bldg Credit Alloc NC'!J104</f>
        <v>0</v>
      </c>
      <c r="K1054" s="1778">
        <f>'Part VIII-Bldg Credit Alloc NC'!K104</f>
        <v>0</v>
      </c>
      <c r="L1054" s="1779" t="e">
        <f t="shared" si="418"/>
        <v>#DIV/0!</v>
      </c>
      <c r="M1054" s="1778" t="e">
        <f t="shared" si="419"/>
        <v>#DIV/0!</v>
      </c>
      <c r="N1054" s="1777">
        <f>'Part VIII-Bldg Credit Alloc NC'!N104</f>
        <v>0</v>
      </c>
      <c r="O1054" s="1779">
        <f>'Part VIII-Bldg Credit Alloc NC'!O104</f>
        <v>0</v>
      </c>
      <c r="P1054" s="1778" t="e">
        <f t="shared" si="420"/>
        <v>#DIV/0!</v>
      </c>
      <c r="Q1054" s="1778" t="e">
        <f t="shared" si="421"/>
        <v>#DIV/0!</v>
      </c>
      <c r="R1054" s="1778" t="e">
        <f t="shared" si="422"/>
        <v>#DIV/0!</v>
      </c>
    </row>
    <row r="1055" spans="1:18">
      <c r="A1055" s="1658">
        <f>'Part VIII-Bldg Credit Alloc NC'!A105</f>
        <v>0</v>
      </c>
      <c r="B1055" s="1658"/>
      <c r="C1055" s="1658"/>
      <c r="D1055" s="1777">
        <f>'Part VIII-Bldg Credit Alloc NC'!D105</f>
        <v>0</v>
      </c>
      <c r="E1055" s="1778">
        <f>'Part VIII-Bldg Credit Alloc NC'!E105</f>
        <v>0</v>
      </c>
      <c r="F1055" s="1778">
        <f>'Part VIII-Bldg Credit Alloc NC'!F105</f>
        <v>0</v>
      </c>
      <c r="G1055" s="1778">
        <f>'Part VIII-Bldg Credit Alloc NC'!G105</f>
        <v>0</v>
      </c>
      <c r="H1055" s="1778">
        <f>'Part VIII-Bldg Credit Alloc NC'!H105</f>
        <v>0</v>
      </c>
      <c r="I1055" s="1778">
        <f>'Part VIII-Bldg Credit Alloc NC'!I105</f>
        <v>0</v>
      </c>
      <c r="J1055" s="1776">
        <f>'Part VIII-Bldg Credit Alloc NC'!J105</f>
        <v>0</v>
      </c>
      <c r="K1055" s="1778">
        <f>'Part VIII-Bldg Credit Alloc NC'!K105</f>
        <v>0</v>
      </c>
      <c r="L1055" s="1779" t="e">
        <f t="shared" si="418"/>
        <v>#DIV/0!</v>
      </c>
      <c r="M1055" s="1778" t="e">
        <f t="shared" si="419"/>
        <v>#DIV/0!</v>
      </c>
      <c r="N1055" s="1777">
        <f>'Part VIII-Bldg Credit Alloc NC'!N105</f>
        <v>0</v>
      </c>
      <c r="O1055" s="1779">
        <f>'Part VIII-Bldg Credit Alloc NC'!O105</f>
        <v>0</v>
      </c>
      <c r="P1055" s="1778" t="e">
        <f t="shared" si="420"/>
        <v>#DIV/0!</v>
      </c>
      <c r="Q1055" s="1778" t="e">
        <f t="shared" si="421"/>
        <v>#DIV/0!</v>
      </c>
      <c r="R1055" s="1778" t="e">
        <f t="shared" si="422"/>
        <v>#DIV/0!</v>
      </c>
    </row>
    <row r="1056" spans="1:18">
      <c r="A1056" s="1658">
        <f>'Part VIII-Bldg Credit Alloc NC'!A106</f>
        <v>0</v>
      </c>
      <c r="B1056" s="1658"/>
      <c r="C1056" s="1658"/>
      <c r="D1056" s="1777">
        <f>'Part VIII-Bldg Credit Alloc NC'!D106</f>
        <v>0</v>
      </c>
      <c r="E1056" s="1778">
        <f>'Part VIII-Bldg Credit Alloc NC'!E106</f>
        <v>0</v>
      </c>
      <c r="F1056" s="1778">
        <f>'Part VIII-Bldg Credit Alloc NC'!F106</f>
        <v>0</v>
      </c>
      <c r="G1056" s="1778">
        <f>'Part VIII-Bldg Credit Alloc NC'!G106</f>
        <v>0</v>
      </c>
      <c r="H1056" s="1778">
        <f>'Part VIII-Bldg Credit Alloc NC'!H106</f>
        <v>0</v>
      </c>
      <c r="I1056" s="1778">
        <f>'Part VIII-Bldg Credit Alloc NC'!I106</f>
        <v>0</v>
      </c>
      <c r="J1056" s="1776">
        <f>'Part VIII-Bldg Credit Alloc NC'!J106</f>
        <v>0</v>
      </c>
      <c r="K1056" s="1778">
        <f>'Part VIII-Bldg Credit Alloc NC'!K106</f>
        <v>0</v>
      </c>
      <c r="L1056" s="1779" t="e">
        <f t="shared" si="418"/>
        <v>#DIV/0!</v>
      </c>
      <c r="M1056" s="1778" t="e">
        <f t="shared" si="419"/>
        <v>#DIV/0!</v>
      </c>
      <c r="N1056" s="1777">
        <f>'Part VIII-Bldg Credit Alloc NC'!N106</f>
        <v>0</v>
      </c>
      <c r="O1056" s="1779">
        <f>'Part VIII-Bldg Credit Alloc NC'!O106</f>
        <v>0</v>
      </c>
      <c r="P1056" s="1778" t="e">
        <f t="shared" si="420"/>
        <v>#DIV/0!</v>
      </c>
      <c r="Q1056" s="1778" t="e">
        <f t="shared" si="421"/>
        <v>#DIV/0!</v>
      </c>
      <c r="R1056" s="1778" t="e">
        <f t="shared" si="422"/>
        <v>#DIV/0!</v>
      </c>
    </row>
    <row r="1057" spans="1:18">
      <c r="A1057" s="1658">
        <f>'Part VIII-Bldg Credit Alloc NC'!A107</f>
        <v>0</v>
      </c>
      <c r="B1057" s="1658"/>
      <c r="C1057" s="1658"/>
      <c r="D1057" s="1777">
        <f>'Part VIII-Bldg Credit Alloc NC'!D107</f>
        <v>0</v>
      </c>
      <c r="E1057" s="1778">
        <f>'Part VIII-Bldg Credit Alloc NC'!E107</f>
        <v>0</v>
      </c>
      <c r="F1057" s="1778">
        <f>'Part VIII-Bldg Credit Alloc NC'!F107</f>
        <v>0</v>
      </c>
      <c r="G1057" s="1778">
        <f>'Part VIII-Bldg Credit Alloc NC'!G107</f>
        <v>0</v>
      </c>
      <c r="H1057" s="1778">
        <f>'Part VIII-Bldg Credit Alloc NC'!H107</f>
        <v>0</v>
      </c>
      <c r="I1057" s="1778">
        <f>'Part VIII-Bldg Credit Alloc NC'!I107</f>
        <v>0</v>
      </c>
      <c r="J1057" s="1776">
        <f>'Part VIII-Bldg Credit Alloc NC'!J107</f>
        <v>0</v>
      </c>
      <c r="K1057" s="1778">
        <f>'Part VIII-Bldg Credit Alloc NC'!K107</f>
        <v>0</v>
      </c>
      <c r="L1057" s="1779" t="e">
        <f t="shared" si="418"/>
        <v>#DIV/0!</v>
      </c>
      <c r="M1057" s="1778" t="e">
        <f t="shared" si="419"/>
        <v>#DIV/0!</v>
      </c>
      <c r="N1057" s="1777">
        <f>'Part VIII-Bldg Credit Alloc NC'!N107</f>
        <v>0</v>
      </c>
      <c r="O1057" s="1779">
        <f>'Part VIII-Bldg Credit Alloc NC'!O107</f>
        <v>0</v>
      </c>
      <c r="P1057" s="1778" t="e">
        <f t="shared" si="420"/>
        <v>#DIV/0!</v>
      </c>
      <c r="Q1057" s="1778" t="e">
        <f t="shared" si="421"/>
        <v>#DIV/0!</v>
      </c>
      <c r="R1057" s="1778" t="e">
        <f t="shared" si="422"/>
        <v>#DIV/0!</v>
      </c>
    </row>
    <row r="1058" spans="1:18">
      <c r="A1058" s="1658">
        <f>'Part VIII-Bldg Credit Alloc NC'!A108</f>
        <v>0</v>
      </c>
      <c r="B1058" s="1658"/>
      <c r="C1058" s="1658"/>
      <c r="D1058" s="1777">
        <f>'Part VIII-Bldg Credit Alloc NC'!D108</f>
        <v>0</v>
      </c>
      <c r="E1058" s="1778">
        <f>'Part VIII-Bldg Credit Alloc NC'!E108</f>
        <v>0</v>
      </c>
      <c r="F1058" s="1778">
        <f>'Part VIII-Bldg Credit Alloc NC'!F108</f>
        <v>0</v>
      </c>
      <c r="G1058" s="1778">
        <f>'Part VIII-Bldg Credit Alloc NC'!G108</f>
        <v>0</v>
      </c>
      <c r="H1058" s="1778">
        <f>'Part VIII-Bldg Credit Alloc NC'!H108</f>
        <v>0</v>
      </c>
      <c r="I1058" s="1778">
        <f>'Part VIII-Bldg Credit Alloc NC'!I108</f>
        <v>0</v>
      </c>
      <c r="J1058" s="1776">
        <f>'Part VIII-Bldg Credit Alloc NC'!J108</f>
        <v>0</v>
      </c>
      <c r="K1058" s="1778">
        <f>'Part VIII-Bldg Credit Alloc NC'!K108</f>
        <v>0</v>
      </c>
      <c r="L1058" s="1779" t="e">
        <f t="shared" si="418"/>
        <v>#DIV/0!</v>
      </c>
      <c r="M1058" s="1778" t="e">
        <f t="shared" si="419"/>
        <v>#DIV/0!</v>
      </c>
      <c r="N1058" s="1777">
        <f>'Part VIII-Bldg Credit Alloc NC'!N108</f>
        <v>0</v>
      </c>
      <c r="O1058" s="1779">
        <f>'Part VIII-Bldg Credit Alloc NC'!O108</f>
        <v>0</v>
      </c>
      <c r="P1058" s="1778" t="e">
        <f t="shared" si="420"/>
        <v>#DIV/0!</v>
      </c>
      <c r="Q1058" s="1778" t="e">
        <f t="shared" si="421"/>
        <v>#DIV/0!</v>
      </c>
      <c r="R1058" s="1778" t="e">
        <f t="shared" si="422"/>
        <v>#DIV/0!</v>
      </c>
    </row>
    <row r="1059" spans="1:18">
      <c r="A1059" s="1658">
        <f>'Part VIII-Bldg Credit Alloc NC'!A109</f>
        <v>0</v>
      </c>
      <c r="B1059" s="1658"/>
      <c r="C1059" s="1658"/>
      <c r="D1059" s="1777">
        <f>'Part VIII-Bldg Credit Alloc NC'!D109</f>
        <v>0</v>
      </c>
      <c r="E1059" s="1778">
        <f>'Part VIII-Bldg Credit Alloc NC'!E109</f>
        <v>0</v>
      </c>
      <c r="F1059" s="1778">
        <f>'Part VIII-Bldg Credit Alloc NC'!F109</f>
        <v>0</v>
      </c>
      <c r="G1059" s="1778">
        <f>'Part VIII-Bldg Credit Alloc NC'!G109</f>
        <v>0</v>
      </c>
      <c r="H1059" s="1778">
        <f>'Part VIII-Bldg Credit Alloc NC'!H109</f>
        <v>0</v>
      </c>
      <c r="I1059" s="1778">
        <f>'Part VIII-Bldg Credit Alloc NC'!I109</f>
        <v>0</v>
      </c>
      <c r="J1059" s="1776">
        <f>'Part VIII-Bldg Credit Alloc NC'!J109</f>
        <v>0</v>
      </c>
      <c r="K1059" s="1778">
        <f>'Part VIII-Bldg Credit Alloc NC'!K109</f>
        <v>0</v>
      </c>
      <c r="L1059" s="1779" t="e">
        <f t="shared" si="418"/>
        <v>#DIV/0!</v>
      </c>
      <c r="M1059" s="1778" t="e">
        <f t="shared" si="419"/>
        <v>#DIV/0!</v>
      </c>
      <c r="N1059" s="1777">
        <f>'Part VIII-Bldg Credit Alloc NC'!N109</f>
        <v>0</v>
      </c>
      <c r="O1059" s="1779">
        <f>'Part VIII-Bldg Credit Alloc NC'!O109</f>
        <v>0</v>
      </c>
      <c r="P1059" s="1778" t="e">
        <f t="shared" si="420"/>
        <v>#DIV/0!</v>
      </c>
      <c r="Q1059" s="1778" t="e">
        <f t="shared" si="421"/>
        <v>#DIV/0!</v>
      </c>
      <c r="R1059" s="1778" t="e">
        <f t="shared" si="422"/>
        <v>#DIV/0!</v>
      </c>
    </row>
    <row r="1060" spans="1:18">
      <c r="A1060" s="1658">
        <f>'Part VIII-Bldg Credit Alloc NC'!A110</f>
        <v>0</v>
      </c>
      <c r="B1060" s="1658"/>
      <c r="C1060" s="1658"/>
      <c r="D1060" s="1777">
        <f>'Part VIII-Bldg Credit Alloc NC'!D110</f>
        <v>0</v>
      </c>
      <c r="E1060" s="1778">
        <f>'Part VIII-Bldg Credit Alloc NC'!E110</f>
        <v>0</v>
      </c>
      <c r="F1060" s="1778">
        <f>'Part VIII-Bldg Credit Alloc NC'!F110</f>
        <v>0</v>
      </c>
      <c r="G1060" s="1778">
        <f>'Part VIII-Bldg Credit Alloc NC'!G110</f>
        <v>0</v>
      </c>
      <c r="H1060" s="1778">
        <f>'Part VIII-Bldg Credit Alloc NC'!H110</f>
        <v>0</v>
      </c>
      <c r="I1060" s="1778">
        <f>'Part VIII-Bldg Credit Alloc NC'!I110</f>
        <v>0</v>
      </c>
      <c r="J1060" s="1776">
        <f>'Part VIII-Bldg Credit Alloc NC'!J110</f>
        <v>0</v>
      </c>
      <c r="K1060" s="1778">
        <f>'Part VIII-Bldg Credit Alloc NC'!K110</f>
        <v>0</v>
      </c>
      <c r="L1060" s="1779" t="e">
        <f t="shared" si="418"/>
        <v>#DIV/0!</v>
      </c>
      <c r="M1060" s="1778" t="e">
        <f t="shared" si="419"/>
        <v>#DIV/0!</v>
      </c>
      <c r="N1060" s="1777">
        <f>'Part VIII-Bldg Credit Alloc NC'!N110</f>
        <v>0</v>
      </c>
      <c r="O1060" s="1779">
        <f>'Part VIII-Bldg Credit Alloc NC'!O110</f>
        <v>0</v>
      </c>
      <c r="P1060" s="1778" t="e">
        <f t="shared" si="420"/>
        <v>#DIV/0!</v>
      </c>
      <c r="Q1060" s="1778" t="e">
        <f t="shared" si="421"/>
        <v>#DIV/0!</v>
      </c>
      <c r="R1060" s="1778" t="e">
        <f t="shared" si="422"/>
        <v>#DIV/0!</v>
      </c>
    </row>
    <row r="1061" spans="1:18">
      <c r="A1061" s="1658">
        <f>'Part VIII-Bldg Credit Alloc NC'!A111</f>
        <v>0</v>
      </c>
      <c r="B1061" s="1658"/>
      <c r="C1061" s="1658"/>
      <c r="D1061" s="1777">
        <f>'Part VIII-Bldg Credit Alloc NC'!D111</f>
        <v>0</v>
      </c>
      <c r="E1061" s="1778">
        <f>'Part VIII-Bldg Credit Alloc NC'!E111</f>
        <v>0</v>
      </c>
      <c r="F1061" s="1778">
        <f>'Part VIII-Bldg Credit Alloc NC'!F111</f>
        <v>0</v>
      </c>
      <c r="G1061" s="1778">
        <f>'Part VIII-Bldg Credit Alloc NC'!G111</f>
        <v>0</v>
      </c>
      <c r="H1061" s="1778">
        <f>'Part VIII-Bldg Credit Alloc NC'!H111</f>
        <v>0</v>
      </c>
      <c r="I1061" s="1778">
        <f>'Part VIII-Bldg Credit Alloc NC'!I111</f>
        <v>0</v>
      </c>
      <c r="J1061" s="1776">
        <f>'Part VIII-Bldg Credit Alloc NC'!J111</f>
        <v>0</v>
      </c>
      <c r="K1061" s="1778">
        <f>'Part VIII-Bldg Credit Alloc NC'!K111</f>
        <v>0</v>
      </c>
      <c r="L1061" s="1779" t="e">
        <f t="shared" si="418"/>
        <v>#DIV/0!</v>
      </c>
      <c r="M1061" s="1778" t="e">
        <f t="shared" si="419"/>
        <v>#DIV/0!</v>
      </c>
      <c r="N1061" s="1777">
        <f>'Part VIII-Bldg Credit Alloc NC'!N111</f>
        <v>0</v>
      </c>
      <c r="O1061" s="1779">
        <f>'Part VIII-Bldg Credit Alloc NC'!O111</f>
        <v>0</v>
      </c>
      <c r="P1061" s="1778" t="e">
        <f t="shared" si="420"/>
        <v>#DIV/0!</v>
      </c>
      <c r="Q1061" s="1778" t="e">
        <f t="shared" si="421"/>
        <v>#DIV/0!</v>
      </c>
      <c r="R1061" s="1778" t="e">
        <f t="shared" si="422"/>
        <v>#DIV/0!</v>
      </c>
    </row>
    <row r="1062" spans="1:18">
      <c r="A1062" s="1658">
        <f>'Part VIII-Bldg Credit Alloc NC'!A112</f>
        <v>0</v>
      </c>
      <c r="B1062" s="1658"/>
      <c r="C1062" s="1658"/>
      <c r="D1062" s="1777">
        <f>'Part VIII-Bldg Credit Alloc NC'!D112</f>
        <v>0</v>
      </c>
      <c r="E1062" s="1778">
        <f>'Part VIII-Bldg Credit Alloc NC'!E112</f>
        <v>0</v>
      </c>
      <c r="F1062" s="1778">
        <f>'Part VIII-Bldg Credit Alloc NC'!F112</f>
        <v>0</v>
      </c>
      <c r="G1062" s="1778">
        <f>'Part VIII-Bldg Credit Alloc NC'!G112</f>
        <v>0</v>
      </c>
      <c r="H1062" s="1778">
        <f>'Part VIII-Bldg Credit Alloc NC'!H112</f>
        <v>0</v>
      </c>
      <c r="I1062" s="1778">
        <f>'Part VIII-Bldg Credit Alloc NC'!I112</f>
        <v>0</v>
      </c>
      <c r="J1062" s="1776">
        <f>'Part VIII-Bldg Credit Alloc NC'!J112</f>
        <v>0</v>
      </c>
      <c r="K1062" s="1778">
        <f>'Part VIII-Bldg Credit Alloc NC'!K112</f>
        <v>0</v>
      </c>
      <c r="L1062" s="1779" t="e">
        <f t="shared" si="418"/>
        <v>#DIV/0!</v>
      </c>
      <c r="M1062" s="1778" t="e">
        <f t="shared" si="419"/>
        <v>#DIV/0!</v>
      </c>
      <c r="N1062" s="1777">
        <f>'Part VIII-Bldg Credit Alloc NC'!N112</f>
        <v>0</v>
      </c>
      <c r="O1062" s="1779">
        <f>'Part VIII-Bldg Credit Alloc NC'!O112</f>
        <v>0</v>
      </c>
      <c r="P1062" s="1778" t="e">
        <f t="shared" si="420"/>
        <v>#DIV/0!</v>
      </c>
      <c r="Q1062" s="1778" t="e">
        <f t="shared" si="421"/>
        <v>#DIV/0!</v>
      </c>
      <c r="R1062" s="1778" t="e">
        <f t="shared" si="422"/>
        <v>#DIV/0!</v>
      </c>
    </row>
    <row r="1063" spans="1:18">
      <c r="A1063" s="1658">
        <f>'Part VIII-Bldg Credit Alloc NC'!A113</f>
        <v>0</v>
      </c>
      <c r="B1063" s="1658"/>
      <c r="C1063" s="1658"/>
      <c r="D1063" s="1777">
        <f>'Part VIII-Bldg Credit Alloc NC'!D113</f>
        <v>0</v>
      </c>
      <c r="E1063" s="1778">
        <f>'Part VIII-Bldg Credit Alloc NC'!E113</f>
        <v>0</v>
      </c>
      <c r="F1063" s="1778">
        <f>'Part VIII-Bldg Credit Alloc NC'!F113</f>
        <v>0</v>
      </c>
      <c r="G1063" s="1778">
        <f>'Part VIII-Bldg Credit Alloc NC'!G113</f>
        <v>0</v>
      </c>
      <c r="H1063" s="1778">
        <f>'Part VIII-Bldg Credit Alloc NC'!H113</f>
        <v>0</v>
      </c>
      <c r="I1063" s="1778">
        <f>'Part VIII-Bldg Credit Alloc NC'!I113</f>
        <v>0</v>
      </c>
      <c r="J1063" s="1776">
        <f>'Part VIII-Bldg Credit Alloc NC'!J113</f>
        <v>0</v>
      </c>
      <c r="K1063" s="1778">
        <f>'Part VIII-Bldg Credit Alloc NC'!K113</f>
        <v>0</v>
      </c>
      <c r="L1063" s="1779" t="e">
        <f t="shared" si="418"/>
        <v>#DIV/0!</v>
      </c>
      <c r="M1063" s="1778" t="e">
        <f t="shared" si="419"/>
        <v>#DIV/0!</v>
      </c>
      <c r="N1063" s="1777">
        <f>'Part VIII-Bldg Credit Alloc NC'!N113</f>
        <v>0</v>
      </c>
      <c r="O1063" s="1779">
        <f>'Part VIII-Bldg Credit Alloc NC'!O113</f>
        <v>0</v>
      </c>
      <c r="P1063" s="1778" t="e">
        <f t="shared" si="420"/>
        <v>#DIV/0!</v>
      </c>
      <c r="Q1063" s="1778" t="e">
        <f t="shared" si="421"/>
        <v>#DIV/0!</v>
      </c>
      <c r="R1063" s="1778" t="e">
        <f t="shared" si="422"/>
        <v>#DIV/0!</v>
      </c>
    </row>
    <row r="1064" spans="1:18">
      <c r="A1064" s="1658">
        <f>'Part VIII-Bldg Credit Alloc NC'!A114</f>
        <v>0</v>
      </c>
      <c r="B1064" s="1658"/>
      <c r="C1064" s="1658"/>
      <c r="D1064" s="1777">
        <f>'Part VIII-Bldg Credit Alloc NC'!D114</f>
        <v>0</v>
      </c>
      <c r="E1064" s="1778">
        <f>'Part VIII-Bldg Credit Alloc NC'!E114</f>
        <v>0</v>
      </c>
      <c r="F1064" s="1778">
        <f>'Part VIII-Bldg Credit Alloc NC'!F114</f>
        <v>0</v>
      </c>
      <c r="G1064" s="1778">
        <f>'Part VIII-Bldg Credit Alloc NC'!G114</f>
        <v>0</v>
      </c>
      <c r="H1064" s="1778">
        <f>'Part VIII-Bldg Credit Alloc NC'!H114</f>
        <v>0</v>
      </c>
      <c r="I1064" s="1778">
        <f>'Part VIII-Bldg Credit Alloc NC'!I114</f>
        <v>0</v>
      </c>
      <c r="J1064" s="1776">
        <f>'Part VIII-Bldg Credit Alloc NC'!J114</f>
        <v>0</v>
      </c>
      <c r="K1064" s="1778">
        <f>'Part VIII-Bldg Credit Alloc NC'!K114</f>
        <v>0</v>
      </c>
      <c r="L1064" s="1779" t="e">
        <f t="shared" si="418"/>
        <v>#DIV/0!</v>
      </c>
      <c r="M1064" s="1778" t="e">
        <f t="shared" si="419"/>
        <v>#DIV/0!</v>
      </c>
      <c r="N1064" s="1777">
        <f>'Part VIII-Bldg Credit Alloc NC'!N114</f>
        <v>0</v>
      </c>
      <c r="O1064" s="1779">
        <f>'Part VIII-Bldg Credit Alloc NC'!O114</f>
        <v>0</v>
      </c>
      <c r="P1064" s="1778" t="e">
        <f t="shared" si="420"/>
        <v>#DIV/0!</v>
      </c>
      <c r="Q1064" s="1778" t="e">
        <f t="shared" si="421"/>
        <v>#DIV/0!</v>
      </c>
      <c r="R1064" s="1778" t="e">
        <f t="shared" si="422"/>
        <v>#DIV/0!</v>
      </c>
    </row>
    <row r="1065" spans="1:18">
      <c r="A1065" s="1658">
        <f>'Part VIII-Bldg Credit Alloc NC'!A115</f>
        <v>0</v>
      </c>
      <c r="B1065" s="1658"/>
      <c r="C1065" s="1658"/>
      <c r="D1065" s="1777">
        <f>'Part VIII-Bldg Credit Alloc NC'!D115</f>
        <v>0</v>
      </c>
      <c r="E1065" s="1778">
        <f>'Part VIII-Bldg Credit Alloc NC'!E115</f>
        <v>0</v>
      </c>
      <c r="F1065" s="1778">
        <f>'Part VIII-Bldg Credit Alloc NC'!F115</f>
        <v>0</v>
      </c>
      <c r="G1065" s="1778">
        <f>'Part VIII-Bldg Credit Alloc NC'!G115</f>
        <v>0</v>
      </c>
      <c r="H1065" s="1778">
        <f>'Part VIII-Bldg Credit Alloc NC'!H115</f>
        <v>0</v>
      </c>
      <c r="I1065" s="1778">
        <f>'Part VIII-Bldg Credit Alloc NC'!I115</f>
        <v>0</v>
      </c>
      <c r="J1065" s="1776">
        <f>'Part VIII-Bldg Credit Alloc NC'!J115</f>
        <v>0</v>
      </c>
      <c r="K1065" s="1778">
        <f>'Part VIII-Bldg Credit Alloc NC'!K115</f>
        <v>0</v>
      </c>
      <c r="L1065" s="1779" t="e">
        <f t="shared" si="418"/>
        <v>#DIV/0!</v>
      </c>
      <c r="M1065" s="1778" t="e">
        <f t="shared" si="419"/>
        <v>#DIV/0!</v>
      </c>
      <c r="N1065" s="1777">
        <f>'Part VIII-Bldg Credit Alloc NC'!N115</f>
        <v>0</v>
      </c>
      <c r="O1065" s="1779">
        <f>'Part VIII-Bldg Credit Alloc NC'!O115</f>
        <v>0</v>
      </c>
      <c r="P1065" s="1778" t="e">
        <f t="shared" si="420"/>
        <v>#DIV/0!</v>
      </c>
      <c r="Q1065" s="1778" t="e">
        <f t="shared" si="421"/>
        <v>#DIV/0!</v>
      </c>
      <c r="R1065" s="1778" t="e">
        <f t="shared" si="422"/>
        <v>#DIV/0!</v>
      </c>
    </row>
    <row r="1066" spans="1:18">
      <c r="A1066" s="1658">
        <f>'Part VIII-Bldg Credit Alloc NC'!A116</f>
        <v>0</v>
      </c>
      <c r="B1066" s="1658"/>
      <c r="C1066" s="1658"/>
      <c r="D1066" s="1777">
        <f>'Part VIII-Bldg Credit Alloc NC'!D116</f>
        <v>0</v>
      </c>
      <c r="E1066" s="1778">
        <f>'Part VIII-Bldg Credit Alloc NC'!E116</f>
        <v>0</v>
      </c>
      <c r="F1066" s="1778">
        <f>'Part VIII-Bldg Credit Alloc NC'!F116</f>
        <v>0</v>
      </c>
      <c r="G1066" s="1778">
        <f>'Part VIII-Bldg Credit Alloc NC'!G116</f>
        <v>0</v>
      </c>
      <c r="H1066" s="1778">
        <f>'Part VIII-Bldg Credit Alloc NC'!H116</f>
        <v>0</v>
      </c>
      <c r="I1066" s="1778">
        <f>'Part VIII-Bldg Credit Alloc NC'!I116</f>
        <v>0</v>
      </c>
      <c r="J1066" s="1776">
        <f>'Part VIII-Bldg Credit Alloc NC'!J116</f>
        <v>0</v>
      </c>
      <c r="K1066" s="1778">
        <f>'Part VIII-Bldg Credit Alloc NC'!K116</f>
        <v>0</v>
      </c>
      <c r="L1066" s="1779" t="e">
        <f t="shared" si="418"/>
        <v>#DIV/0!</v>
      </c>
      <c r="M1066" s="1778" t="e">
        <f t="shared" si="419"/>
        <v>#DIV/0!</v>
      </c>
      <c r="N1066" s="1777">
        <f>'Part VIII-Bldg Credit Alloc NC'!N116</f>
        <v>0</v>
      </c>
      <c r="O1066" s="1779">
        <f>'Part VIII-Bldg Credit Alloc NC'!O116</f>
        <v>0</v>
      </c>
      <c r="P1066" s="1778" t="e">
        <f t="shared" si="420"/>
        <v>#DIV/0!</v>
      </c>
      <c r="Q1066" s="1778" t="e">
        <f t="shared" si="421"/>
        <v>#DIV/0!</v>
      </c>
      <c r="R1066" s="1778" t="e">
        <f t="shared" si="422"/>
        <v>#DIV/0!</v>
      </c>
    </row>
    <row r="1067" spans="1:18">
      <c r="A1067" s="1658">
        <f>'Part VIII-Bldg Credit Alloc NC'!A117</f>
        <v>0</v>
      </c>
      <c r="B1067" s="1658"/>
      <c r="C1067" s="1658"/>
      <c r="D1067" s="1777">
        <f>'Part VIII-Bldg Credit Alloc NC'!D117</f>
        <v>0</v>
      </c>
      <c r="E1067" s="1778">
        <f>'Part VIII-Bldg Credit Alloc NC'!E117</f>
        <v>0</v>
      </c>
      <c r="F1067" s="1778">
        <f>'Part VIII-Bldg Credit Alloc NC'!F117</f>
        <v>0</v>
      </c>
      <c r="G1067" s="1778">
        <f>'Part VIII-Bldg Credit Alloc NC'!G117</f>
        <v>0</v>
      </c>
      <c r="H1067" s="1778">
        <f>'Part VIII-Bldg Credit Alloc NC'!H117</f>
        <v>0</v>
      </c>
      <c r="I1067" s="1778">
        <f>'Part VIII-Bldg Credit Alloc NC'!I117</f>
        <v>0</v>
      </c>
      <c r="J1067" s="1776">
        <f>'Part VIII-Bldg Credit Alloc NC'!J117</f>
        <v>0</v>
      </c>
      <c r="K1067" s="1778">
        <f>'Part VIII-Bldg Credit Alloc NC'!K117</f>
        <v>0</v>
      </c>
      <c r="L1067" s="1779" t="e">
        <f t="shared" si="418"/>
        <v>#DIV/0!</v>
      </c>
      <c r="M1067" s="1778" t="e">
        <f t="shared" si="419"/>
        <v>#DIV/0!</v>
      </c>
      <c r="N1067" s="1777">
        <f>'Part VIII-Bldg Credit Alloc NC'!N117</f>
        <v>0</v>
      </c>
      <c r="O1067" s="1779">
        <f>'Part VIII-Bldg Credit Alloc NC'!O117</f>
        <v>0</v>
      </c>
      <c r="P1067" s="1778" t="e">
        <f t="shared" si="420"/>
        <v>#DIV/0!</v>
      </c>
      <c r="Q1067" s="1778" t="e">
        <f t="shared" si="421"/>
        <v>#DIV/0!</v>
      </c>
      <c r="R1067" s="1778" t="e">
        <f t="shared" si="422"/>
        <v>#DIV/0!</v>
      </c>
    </row>
    <row r="1068" spans="1:18">
      <c r="A1068" s="1658">
        <f>'Part VIII-Bldg Credit Alloc NC'!A118</f>
        <v>0</v>
      </c>
      <c r="B1068" s="1658"/>
      <c r="C1068" s="1658"/>
      <c r="D1068" s="1777">
        <f>'Part VIII-Bldg Credit Alloc NC'!D118</f>
        <v>0</v>
      </c>
      <c r="E1068" s="1778">
        <f>'Part VIII-Bldg Credit Alloc NC'!E118</f>
        <v>0</v>
      </c>
      <c r="F1068" s="1778">
        <f>'Part VIII-Bldg Credit Alloc NC'!F118</f>
        <v>0</v>
      </c>
      <c r="G1068" s="1778">
        <f>'Part VIII-Bldg Credit Alloc NC'!G118</f>
        <v>0</v>
      </c>
      <c r="H1068" s="1778">
        <f>'Part VIII-Bldg Credit Alloc NC'!H118</f>
        <v>0</v>
      </c>
      <c r="I1068" s="1778">
        <f>'Part VIII-Bldg Credit Alloc NC'!I118</f>
        <v>0</v>
      </c>
      <c r="J1068" s="1776">
        <f>'Part VIII-Bldg Credit Alloc NC'!J118</f>
        <v>0</v>
      </c>
      <c r="K1068" s="1778">
        <f>'Part VIII-Bldg Credit Alloc NC'!K118</f>
        <v>0</v>
      </c>
      <c r="L1068" s="1779" t="e">
        <f t="shared" si="418"/>
        <v>#DIV/0!</v>
      </c>
      <c r="M1068" s="1778" t="e">
        <f t="shared" si="419"/>
        <v>#DIV/0!</v>
      </c>
      <c r="N1068" s="1777">
        <f>'Part VIII-Bldg Credit Alloc NC'!N118</f>
        <v>0</v>
      </c>
      <c r="O1068" s="1779">
        <f>'Part VIII-Bldg Credit Alloc NC'!O118</f>
        <v>0</v>
      </c>
      <c r="P1068" s="1778" t="e">
        <f t="shared" si="420"/>
        <v>#DIV/0!</v>
      </c>
      <c r="Q1068" s="1778" t="e">
        <f t="shared" si="421"/>
        <v>#DIV/0!</v>
      </c>
      <c r="R1068" s="1778" t="e">
        <f t="shared" si="422"/>
        <v>#DIV/0!</v>
      </c>
    </row>
    <row r="1069" spans="1:18">
      <c r="A1069" s="1658">
        <f>'Part VIII-Bldg Credit Alloc NC'!A119</f>
        <v>0</v>
      </c>
      <c r="B1069" s="1658"/>
      <c r="C1069" s="1658"/>
      <c r="D1069" s="1777">
        <f>'Part VIII-Bldg Credit Alloc NC'!D119</f>
        <v>0</v>
      </c>
      <c r="E1069" s="1778">
        <f>'Part VIII-Bldg Credit Alloc NC'!E119</f>
        <v>0</v>
      </c>
      <c r="F1069" s="1778">
        <f>'Part VIII-Bldg Credit Alloc NC'!F119</f>
        <v>0</v>
      </c>
      <c r="G1069" s="1778">
        <f>'Part VIII-Bldg Credit Alloc NC'!G119</f>
        <v>0</v>
      </c>
      <c r="H1069" s="1778">
        <f>'Part VIII-Bldg Credit Alloc NC'!H119</f>
        <v>0</v>
      </c>
      <c r="I1069" s="1778">
        <f>'Part VIII-Bldg Credit Alloc NC'!I119</f>
        <v>0</v>
      </c>
      <c r="J1069" s="1776">
        <f>'Part VIII-Bldg Credit Alloc NC'!J119</f>
        <v>0</v>
      </c>
      <c r="K1069" s="1778">
        <f>'Part VIII-Bldg Credit Alloc NC'!K119</f>
        <v>0</v>
      </c>
      <c r="L1069" s="1779" t="e">
        <f t="shared" si="418"/>
        <v>#DIV/0!</v>
      </c>
      <c r="M1069" s="1778" t="e">
        <f t="shared" si="419"/>
        <v>#DIV/0!</v>
      </c>
      <c r="N1069" s="1777">
        <f>'Part VIII-Bldg Credit Alloc NC'!N119</f>
        <v>0</v>
      </c>
      <c r="O1069" s="1779">
        <f>'Part VIII-Bldg Credit Alloc NC'!O119</f>
        <v>0</v>
      </c>
      <c r="P1069" s="1778" t="e">
        <f t="shared" si="420"/>
        <v>#DIV/0!</v>
      </c>
      <c r="Q1069" s="1778" t="e">
        <f t="shared" si="421"/>
        <v>#DIV/0!</v>
      </c>
      <c r="R1069" s="1778" t="e">
        <f t="shared" si="422"/>
        <v>#DIV/0!</v>
      </c>
    </row>
    <row r="1070" spans="1:18">
      <c r="A1070" s="1658">
        <f>'Part VIII-Bldg Credit Alloc NC'!A120</f>
        <v>0</v>
      </c>
      <c r="B1070" s="1658"/>
      <c r="C1070" s="1658"/>
      <c r="D1070" s="1777">
        <f>'Part VIII-Bldg Credit Alloc NC'!D120</f>
        <v>0</v>
      </c>
      <c r="E1070" s="1778">
        <f>'Part VIII-Bldg Credit Alloc NC'!E120</f>
        <v>0</v>
      </c>
      <c r="F1070" s="1778">
        <f>'Part VIII-Bldg Credit Alloc NC'!F120</f>
        <v>0</v>
      </c>
      <c r="G1070" s="1778">
        <f>'Part VIII-Bldg Credit Alloc NC'!G120</f>
        <v>0</v>
      </c>
      <c r="H1070" s="1778">
        <f>'Part VIII-Bldg Credit Alloc NC'!H120</f>
        <v>0</v>
      </c>
      <c r="I1070" s="1778">
        <f>'Part VIII-Bldg Credit Alloc NC'!I120</f>
        <v>0</v>
      </c>
      <c r="J1070" s="1776">
        <f>'Part VIII-Bldg Credit Alloc NC'!J120</f>
        <v>0</v>
      </c>
      <c r="K1070" s="1778">
        <f>'Part VIII-Bldg Credit Alloc NC'!K120</f>
        <v>0</v>
      </c>
      <c r="L1070" s="1779" t="e">
        <f t="shared" si="418"/>
        <v>#DIV/0!</v>
      </c>
      <c r="M1070" s="1778" t="e">
        <f t="shared" si="419"/>
        <v>#DIV/0!</v>
      </c>
      <c r="N1070" s="1777">
        <f>'Part VIII-Bldg Credit Alloc NC'!N120</f>
        <v>0</v>
      </c>
      <c r="O1070" s="1779">
        <f>'Part VIII-Bldg Credit Alloc NC'!O120</f>
        <v>0</v>
      </c>
      <c r="P1070" s="1778" t="e">
        <f t="shared" si="420"/>
        <v>#DIV/0!</v>
      </c>
      <c r="Q1070" s="1778" t="e">
        <f t="shared" si="421"/>
        <v>#DIV/0!</v>
      </c>
      <c r="R1070" s="1778" t="e">
        <f t="shared" si="422"/>
        <v>#DIV/0!</v>
      </c>
    </row>
    <row r="1071" spans="1:18">
      <c r="A1071" s="1658">
        <f>'Part VIII-Bldg Credit Alloc NC'!A121</f>
        <v>0</v>
      </c>
      <c r="B1071" s="1658"/>
      <c r="C1071" s="1658"/>
      <c r="D1071" s="1777">
        <f>'Part VIII-Bldg Credit Alloc NC'!D121</f>
        <v>0</v>
      </c>
      <c r="E1071" s="1778">
        <f>'Part VIII-Bldg Credit Alloc NC'!E121</f>
        <v>0</v>
      </c>
      <c r="F1071" s="1778">
        <f>'Part VIII-Bldg Credit Alloc NC'!F121</f>
        <v>0</v>
      </c>
      <c r="G1071" s="1778">
        <f>'Part VIII-Bldg Credit Alloc NC'!G121</f>
        <v>0</v>
      </c>
      <c r="H1071" s="1778">
        <f>'Part VIII-Bldg Credit Alloc NC'!H121</f>
        <v>0</v>
      </c>
      <c r="I1071" s="1778">
        <f>'Part VIII-Bldg Credit Alloc NC'!I121</f>
        <v>0</v>
      </c>
      <c r="J1071" s="1776">
        <f>'Part VIII-Bldg Credit Alloc NC'!J121</f>
        <v>0</v>
      </c>
      <c r="K1071" s="1778">
        <f>'Part VIII-Bldg Credit Alloc NC'!K121</f>
        <v>0</v>
      </c>
      <c r="L1071" s="1779" t="e">
        <f t="shared" si="418"/>
        <v>#DIV/0!</v>
      </c>
      <c r="M1071" s="1778" t="e">
        <f t="shared" si="419"/>
        <v>#DIV/0!</v>
      </c>
      <c r="N1071" s="1777">
        <f>'Part VIII-Bldg Credit Alloc NC'!N121</f>
        <v>0</v>
      </c>
      <c r="O1071" s="1779">
        <f>'Part VIII-Bldg Credit Alloc NC'!O121</f>
        <v>0</v>
      </c>
      <c r="P1071" s="1778" t="e">
        <f t="shared" si="420"/>
        <v>#DIV/0!</v>
      </c>
      <c r="Q1071" s="1778" t="e">
        <f t="shared" si="421"/>
        <v>#DIV/0!</v>
      </c>
      <c r="R1071" s="1778" t="e">
        <f t="shared" si="422"/>
        <v>#DIV/0!</v>
      </c>
    </row>
    <row r="1072" spans="1:18">
      <c r="A1072" s="1658">
        <f>'Part VIII-Bldg Credit Alloc NC'!A122</f>
        <v>0</v>
      </c>
      <c r="B1072" s="1658"/>
      <c r="C1072" s="1658"/>
      <c r="D1072" s="1777">
        <f>'Part VIII-Bldg Credit Alloc NC'!D122</f>
        <v>0</v>
      </c>
      <c r="E1072" s="1778">
        <f>'Part VIII-Bldg Credit Alloc NC'!E122</f>
        <v>0</v>
      </c>
      <c r="F1072" s="1778">
        <f>'Part VIII-Bldg Credit Alloc NC'!F122</f>
        <v>0</v>
      </c>
      <c r="G1072" s="1778">
        <f>'Part VIII-Bldg Credit Alloc NC'!G122</f>
        <v>0</v>
      </c>
      <c r="H1072" s="1778">
        <f>'Part VIII-Bldg Credit Alloc NC'!H122</f>
        <v>0</v>
      </c>
      <c r="I1072" s="1778">
        <f>'Part VIII-Bldg Credit Alloc NC'!I122</f>
        <v>0</v>
      </c>
      <c r="J1072" s="1776">
        <f>'Part VIII-Bldg Credit Alloc NC'!J122</f>
        <v>0</v>
      </c>
      <c r="K1072" s="1778">
        <f>'Part VIII-Bldg Credit Alloc NC'!K122</f>
        <v>0</v>
      </c>
      <c r="L1072" s="1779" t="e">
        <f t="shared" si="418"/>
        <v>#DIV/0!</v>
      </c>
      <c r="M1072" s="1778" t="e">
        <f t="shared" si="419"/>
        <v>#DIV/0!</v>
      </c>
      <c r="N1072" s="1777">
        <f>'Part VIII-Bldg Credit Alloc NC'!N122</f>
        <v>0</v>
      </c>
      <c r="O1072" s="1779">
        <f>'Part VIII-Bldg Credit Alloc NC'!O122</f>
        <v>0</v>
      </c>
      <c r="P1072" s="1778" t="e">
        <f t="shared" si="420"/>
        <v>#DIV/0!</v>
      </c>
      <c r="Q1072" s="1778" t="e">
        <f t="shared" si="421"/>
        <v>#DIV/0!</v>
      </c>
      <c r="R1072" s="1778" t="e">
        <f t="shared" si="422"/>
        <v>#DIV/0!</v>
      </c>
    </row>
    <row r="1073" spans="1:18">
      <c r="A1073" s="1658">
        <f>'Part VIII-Bldg Credit Alloc NC'!A123</f>
        <v>0</v>
      </c>
      <c r="B1073" s="1658"/>
      <c r="C1073" s="1658"/>
      <c r="D1073" s="1777">
        <f>'Part VIII-Bldg Credit Alloc NC'!D123</f>
        <v>0</v>
      </c>
      <c r="E1073" s="1778">
        <f>'Part VIII-Bldg Credit Alloc NC'!E123</f>
        <v>0</v>
      </c>
      <c r="F1073" s="1778">
        <f>'Part VIII-Bldg Credit Alloc NC'!F123</f>
        <v>0</v>
      </c>
      <c r="G1073" s="1778">
        <f>'Part VIII-Bldg Credit Alloc NC'!G123</f>
        <v>0</v>
      </c>
      <c r="H1073" s="1778">
        <f>'Part VIII-Bldg Credit Alloc NC'!H123</f>
        <v>0</v>
      </c>
      <c r="I1073" s="1778">
        <f>'Part VIII-Bldg Credit Alloc NC'!I123</f>
        <v>0</v>
      </c>
      <c r="J1073" s="1776">
        <f>'Part VIII-Bldg Credit Alloc NC'!J123</f>
        <v>0</v>
      </c>
      <c r="K1073" s="1778">
        <f>'Part VIII-Bldg Credit Alloc NC'!K123</f>
        <v>0</v>
      </c>
      <c r="L1073" s="1779" t="e">
        <f t="shared" si="418"/>
        <v>#DIV/0!</v>
      </c>
      <c r="M1073" s="1778" t="e">
        <f t="shared" si="419"/>
        <v>#DIV/0!</v>
      </c>
      <c r="N1073" s="1777">
        <f>'Part VIII-Bldg Credit Alloc NC'!N123</f>
        <v>0</v>
      </c>
      <c r="O1073" s="1779">
        <f>'Part VIII-Bldg Credit Alloc NC'!O123</f>
        <v>0</v>
      </c>
      <c r="P1073" s="1778" t="e">
        <f t="shared" si="420"/>
        <v>#DIV/0!</v>
      </c>
      <c r="Q1073" s="1778" t="e">
        <f t="shared" si="421"/>
        <v>#DIV/0!</v>
      </c>
      <c r="R1073" s="1778" t="e">
        <f t="shared" si="422"/>
        <v>#DIV/0!</v>
      </c>
    </row>
    <row r="1074" spans="1:18">
      <c r="A1074" s="1658">
        <f>'Part VIII-Bldg Credit Alloc NC'!A124</f>
        <v>0</v>
      </c>
      <c r="B1074" s="1658"/>
      <c r="C1074" s="1658"/>
      <c r="D1074" s="1777">
        <f>'Part VIII-Bldg Credit Alloc NC'!D124</f>
        <v>0</v>
      </c>
      <c r="E1074" s="1778">
        <f>'Part VIII-Bldg Credit Alloc NC'!E124</f>
        <v>0</v>
      </c>
      <c r="F1074" s="1778">
        <f>'Part VIII-Bldg Credit Alloc NC'!F124</f>
        <v>0</v>
      </c>
      <c r="G1074" s="1778">
        <f>'Part VIII-Bldg Credit Alloc NC'!G124</f>
        <v>0</v>
      </c>
      <c r="H1074" s="1778">
        <f>'Part VIII-Bldg Credit Alloc NC'!H124</f>
        <v>0</v>
      </c>
      <c r="I1074" s="1778">
        <f>'Part VIII-Bldg Credit Alloc NC'!I124</f>
        <v>0</v>
      </c>
      <c r="J1074" s="1776">
        <f>'Part VIII-Bldg Credit Alloc NC'!J124</f>
        <v>0</v>
      </c>
      <c r="K1074" s="1778">
        <f>'Part VIII-Bldg Credit Alloc NC'!K124</f>
        <v>0</v>
      </c>
      <c r="L1074" s="1779" t="e">
        <f t="shared" si="418"/>
        <v>#DIV/0!</v>
      </c>
      <c r="M1074" s="1778" t="e">
        <f t="shared" si="419"/>
        <v>#DIV/0!</v>
      </c>
      <c r="N1074" s="1777">
        <f>'Part VIII-Bldg Credit Alloc NC'!N124</f>
        <v>0</v>
      </c>
      <c r="O1074" s="1779">
        <f>'Part VIII-Bldg Credit Alloc NC'!O124</f>
        <v>0</v>
      </c>
      <c r="P1074" s="1778" t="e">
        <f t="shared" si="420"/>
        <v>#DIV/0!</v>
      </c>
      <c r="Q1074" s="1778" t="e">
        <f t="shared" si="421"/>
        <v>#DIV/0!</v>
      </c>
      <c r="R1074" s="1778" t="e">
        <f t="shared" si="422"/>
        <v>#DIV/0!</v>
      </c>
    </row>
    <row r="1075" spans="1:18">
      <c r="A1075" s="1658">
        <f>'Part VIII-Bldg Credit Alloc NC'!A125</f>
        <v>0</v>
      </c>
      <c r="B1075" s="1658"/>
      <c r="C1075" s="1658"/>
      <c r="D1075" s="1777">
        <f>'Part VIII-Bldg Credit Alloc NC'!D125</f>
        <v>0</v>
      </c>
      <c r="E1075" s="1778">
        <f>'Part VIII-Bldg Credit Alloc NC'!E125</f>
        <v>0</v>
      </c>
      <c r="F1075" s="1778">
        <f>'Part VIII-Bldg Credit Alloc NC'!F125</f>
        <v>0</v>
      </c>
      <c r="G1075" s="1778">
        <f>'Part VIII-Bldg Credit Alloc NC'!G125</f>
        <v>0</v>
      </c>
      <c r="H1075" s="1778">
        <f>'Part VIII-Bldg Credit Alloc NC'!H125</f>
        <v>0</v>
      </c>
      <c r="I1075" s="1778">
        <f>'Part VIII-Bldg Credit Alloc NC'!I125</f>
        <v>0</v>
      </c>
      <c r="J1075" s="1776">
        <f>'Part VIII-Bldg Credit Alloc NC'!J125</f>
        <v>0</v>
      </c>
      <c r="K1075" s="1778">
        <f>'Part VIII-Bldg Credit Alloc NC'!K125</f>
        <v>0</v>
      </c>
      <c r="L1075" s="1779" t="e">
        <f t="shared" si="418"/>
        <v>#DIV/0!</v>
      </c>
      <c r="M1075" s="1778" t="e">
        <f t="shared" si="419"/>
        <v>#DIV/0!</v>
      </c>
      <c r="N1075" s="1777">
        <f>'Part VIII-Bldg Credit Alloc NC'!N125</f>
        <v>0</v>
      </c>
      <c r="O1075" s="1779">
        <f>'Part VIII-Bldg Credit Alloc NC'!O125</f>
        <v>0</v>
      </c>
      <c r="P1075" s="1778" t="e">
        <f t="shared" si="420"/>
        <v>#DIV/0!</v>
      </c>
      <c r="Q1075" s="1778" t="e">
        <f t="shared" si="421"/>
        <v>#DIV/0!</v>
      </c>
      <c r="R1075" s="1778" t="e">
        <f t="shared" si="422"/>
        <v>#DIV/0!</v>
      </c>
    </row>
    <row r="1076" spans="1:18">
      <c r="A1076" s="1658">
        <f>'Part VIII-Bldg Credit Alloc NC'!A126</f>
        <v>0</v>
      </c>
      <c r="B1076" s="1658"/>
      <c r="C1076" s="1658"/>
      <c r="D1076" s="1777">
        <f>'Part VIII-Bldg Credit Alloc NC'!D126</f>
        <v>0</v>
      </c>
      <c r="E1076" s="1778">
        <f>'Part VIII-Bldg Credit Alloc NC'!E126</f>
        <v>0</v>
      </c>
      <c r="F1076" s="1778">
        <f>'Part VIII-Bldg Credit Alloc NC'!F126</f>
        <v>0</v>
      </c>
      <c r="G1076" s="1778">
        <f>'Part VIII-Bldg Credit Alloc NC'!G126</f>
        <v>0</v>
      </c>
      <c r="H1076" s="1778">
        <f>'Part VIII-Bldg Credit Alloc NC'!H126</f>
        <v>0</v>
      </c>
      <c r="I1076" s="1778">
        <f>'Part VIII-Bldg Credit Alloc NC'!I126</f>
        <v>0</v>
      </c>
      <c r="J1076" s="1776">
        <f>'Part VIII-Bldg Credit Alloc NC'!J126</f>
        <v>0</v>
      </c>
      <c r="K1076" s="1778">
        <f>'Part VIII-Bldg Credit Alloc NC'!K126</f>
        <v>0</v>
      </c>
      <c r="L1076" s="1779" t="e">
        <f t="shared" si="418"/>
        <v>#DIV/0!</v>
      </c>
      <c r="M1076" s="1778" t="e">
        <f t="shared" si="419"/>
        <v>#DIV/0!</v>
      </c>
      <c r="N1076" s="1777">
        <f>'Part VIII-Bldg Credit Alloc NC'!N126</f>
        <v>0</v>
      </c>
      <c r="O1076" s="1779">
        <f>'Part VIII-Bldg Credit Alloc NC'!O126</f>
        <v>0</v>
      </c>
      <c r="P1076" s="1778" t="e">
        <f t="shared" si="420"/>
        <v>#DIV/0!</v>
      </c>
      <c r="Q1076" s="1778" t="e">
        <f t="shared" si="421"/>
        <v>#DIV/0!</v>
      </c>
      <c r="R1076" s="1778" t="e">
        <f t="shared" si="422"/>
        <v>#DIV/0!</v>
      </c>
    </row>
    <row r="1077" spans="1:18">
      <c r="A1077" s="1658">
        <f>'Part VIII-Bldg Credit Alloc NC'!A127</f>
        <v>0</v>
      </c>
      <c r="B1077" s="1658"/>
      <c r="C1077" s="1658"/>
      <c r="D1077" s="1777">
        <f>'Part VIII-Bldg Credit Alloc NC'!D127</f>
        <v>0</v>
      </c>
      <c r="E1077" s="1778">
        <f>'Part VIII-Bldg Credit Alloc NC'!E127</f>
        <v>0</v>
      </c>
      <c r="F1077" s="1778">
        <f>'Part VIII-Bldg Credit Alloc NC'!F127</f>
        <v>0</v>
      </c>
      <c r="G1077" s="1778">
        <f>'Part VIII-Bldg Credit Alloc NC'!G127</f>
        <v>0</v>
      </c>
      <c r="H1077" s="1778">
        <f>'Part VIII-Bldg Credit Alloc NC'!H127</f>
        <v>0</v>
      </c>
      <c r="I1077" s="1778">
        <f>'Part VIII-Bldg Credit Alloc NC'!I127</f>
        <v>0</v>
      </c>
      <c r="J1077" s="1776">
        <f>'Part VIII-Bldg Credit Alloc NC'!J127</f>
        <v>0</v>
      </c>
      <c r="K1077" s="1778">
        <f>'Part VIII-Bldg Credit Alloc NC'!K127</f>
        <v>0</v>
      </c>
      <c r="L1077" s="1779" t="e">
        <f t="shared" si="418"/>
        <v>#DIV/0!</v>
      </c>
      <c r="M1077" s="1778" t="e">
        <f t="shared" si="419"/>
        <v>#DIV/0!</v>
      </c>
      <c r="N1077" s="1777">
        <f>'Part VIII-Bldg Credit Alloc NC'!N127</f>
        <v>0</v>
      </c>
      <c r="O1077" s="1779">
        <f>'Part VIII-Bldg Credit Alloc NC'!O127</f>
        <v>0</v>
      </c>
      <c r="P1077" s="1778" t="e">
        <f t="shared" si="420"/>
        <v>#DIV/0!</v>
      </c>
      <c r="Q1077" s="1778" t="e">
        <f t="shared" si="421"/>
        <v>#DIV/0!</v>
      </c>
      <c r="R1077" s="1778" t="e">
        <f t="shared" si="422"/>
        <v>#DIV/0!</v>
      </c>
    </row>
    <row r="1078" spans="1:18">
      <c r="A1078" s="1658">
        <f>'Part VIII-Bldg Credit Alloc NC'!A128</f>
        <v>0</v>
      </c>
      <c r="B1078" s="1658"/>
      <c r="C1078" s="1658"/>
      <c r="D1078" s="1777">
        <f>'Part VIII-Bldg Credit Alloc NC'!D128</f>
        <v>0</v>
      </c>
      <c r="E1078" s="1778">
        <f>'Part VIII-Bldg Credit Alloc NC'!E128</f>
        <v>0</v>
      </c>
      <c r="F1078" s="1778">
        <f>'Part VIII-Bldg Credit Alloc NC'!F128</f>
        <v>0</v>
      </c>
      <c r="G1078" s="1778">
        <f>'Part VIII-Bldg Credit Alloc NC'!G128</f>
        <v>0</v>
      </c>
      <c r="H1078" s="1778">
        <f>'Part VIII-Bldg Credit Alloc NC'!H128</f>
        <v>0</v>
      </c>
      <c r="I1078" s="1778">
        <f>'Part VIII-Bldg Credit Alloc NC'!I128</f>
        <v>0</v>
      </c>
      <c r="J1078" s="1776">
        <f>'Part VIII-Bldg Credit Alloc NC'!J128</f>
        <v>0</v>
      </c>
      <c r="K1078" s="1778">
        <f>'Part VIII-Bldg Credit Alloc NC'!K128</f>
        <v>0</v>
      </c>
      <c r="L1078" s="1779" t="e">
        <f t="shared" si="418"/>
        <v>#DIV/0!</v>
      </c>
      <c r="M1078" s="1778" t="e">
        <f t="shared" si="419"/>
        <v>#DIV/0!</v>
      </c>
      <c r="N1078" s="1777">
        <f>'Part VIII-Bldg Credit Alloc NC'!N128</f>
        <v>0</v>
      </c>
      <c r="O1078" s="1779">
        <f>'Part VIII-Bldg Credit Alloc NC'!O128</f>
        <v>0</v>
      </c>
      <c r="P1078" s="1778" t="e">
        <f t="shared" si="420"/>
        <v>#DIV/0!</v>
      </c>
      <c r="Q1078" s="1778" t="e">
        <f t="shared" si="421"/>
        <v>#DIV/0!</v>
      </c>
      <c r="R1078" s="1778" t="e">
        <f t="shared" si="422"/>
        <v>#DIV/0!</v>
      </c>
    </row>
    <row r="1079" spans="1:18">
      <c r="A1079" s="1658">
        <f>'Part VIII-Bldg Credit Alloc NC'!A129</f>
        <v>0</v>
      </c>
      <c r="B1079" s="1658"/>
      <c r="C1079" s="1658"/>
      <c r="D1079" s="1777">
        <f>'Part VIII-Bldg Credit Alloc NC'!D129</f>
        <v>0</v>
      </c>
      <c r="E1079" s="1778">
        <f>'Part VIII-Bldg Credit Alloc NC'!E129</f>
        <v>0</v>
      </c>
      <c r="F1079" s="1778">
        <f>'Part VIII-Bldg Credit Alloc NC'!F129</f>
        <v>0</v>
      </c>
      <c r="G1079" s="1778">
        <f>'Part VIII-Bldg Credit Alloc NC'!G129</f>
        <v>0</v>
      </c>
      <c r="H1079" s="1778">
        <f>'Part VIII-Bldg Credit Alloc NC'!H129</f>
        <v>0</v>
      </c>
      <c r="I1079" s="1778">
        <f>'Part VIII-Bldg Credit Alloc NC'!I129</f>
        <v>0</v>
      </c>
      <c r="J1079" s="1776">
        <f>'Part VIII-Bldg Credit Alloc NC'!J129</f>
        <v>0</v>
      </c>
      <c r="K1079" s="1778">
        <f>'Part VIII-Bldg Credit Alloc NC'!K129</f>
        <v>0</v>
      </c>
      <c r="L1079" s="1779" t="e">
        <f t="shared" si="418"/>
        <v>#DIV/0!</v>
      </c>
      <c r="M1079" s="1778" t="e">
        <f t="shared" si="419"/>
        <v>#DIV/0!</v>
      </c>
      <c r="N1079" s="1777">
        <f>'Part VIII-Bldg Credit Alloc NC'!N129</f>
        <v>0</v>
      </c>
      <c r="O1079" s="1779">
        <f>'Part VIII-Bldg Credit Alloc NC'!O129</f>
        <v>0</v>
      </c>
      <c r="P1079" s="1778" t="e">
        <f t="shared" si="420"/>
        <v>#DIV/0!</v>
      </c>
      <c r="Q1079" s="1778" t="e">
        <f t="shared" si="421"/>
        <v>#DIV/0!</v>
      </c>
      <c r="R1079" s="1778" t="e">
        <f t="shared" si="422"/>
        <v>#DIV/0!</v>
      </c>
    </row>
    <row r="1080" spans="1:18">
      <c r="A1080" s="1658">
        <f>'Part VIII-Bldg Credit Alloc NC'!A130</f>
        <v>0</v>
      </c>
      <c r="B1080" s="1658"/>
      <c r="C1080" s="1658"/>
      <c r="D1080" s="1777">
        <f>'Part VIII-Bldg Credit Alloc NC'!D130</f>
        <v>0</v>
      </c>
      <c r="E1080" s="1778">
        <f>'Part VIII-Bldg Credit Alloc NC'!E130</f>
        <v>0</v>
      </c>
      <c r="F1080" s="1778">
        <f>'Part VIII-Bldg Credit Alloc NC'!F130</f>
        <v>0</v>
      </c>
      <c r="G1080" s="1778">
        <f>'Part VIII-Bldg Credit Alloc NC'!G130</f>
        <v>0</v>
      </c>
      <c r="H1080" s="1778">
        <f>'Part VIII-Bldg Credit Alloc NC'!H130</f>
        <v>0</v>
      </c>
      <c r="I1080" s="1778">
        <f>'Part VIII-Bldg Credit Alloc NC'!I130</f>
        <v>0</v>
      </c>
      <c r="J1080" s="1776">
        <f>'Part VIII-Bldg Credit Alloc NC'!J130</f>
        <v>0</v>
      </c>
      <c r="K1080" s="1778">
        <f>'Part VIII-Bldg Credit Alloc NC'!K130</f>
        <v>0</v>
      </c>
      <c r="L1080" s="1779" t="e">
        <f t="shared" si="418"/>
        <v>#DIV/0!</v>
      </c>
      <c r="M1080" s="1778" t="e">
        <f t="shared" si="419"/>
        <v>#DIV/0!</v>
      </c>
      <c r="N1080" s="1777">
        <f>'Part VIII-Bldg Credit Alloc NC'!N130</f>
        <v>0</v>
      </c>
      <c r="O1080" s="1779">
        <f>'Part VIII-Bldg Credit Alloc NC'!O130</f>
        <v>0</v>
      </c>
      <c r="P1080" s="1778" t="e">
        <f t="shared" si="420"/>
        <v>#DIV/0!</v>
      </c>
      <c r="Q1080" s="1778" t="e">
        <f t="shared" si="421"/>
        <v>#DIV/0!</v>
      </c>
      <c r="R1080" s="1778" t="e">
        <f t="shared" si="422"/>
        <v>#DIV/0!</v>
      </c>
    </row>
    <row r="1081" spans="1:18">
      <c r="A1081" s="1715" t="s">
        <v>3692</v>
      </c>
      <c r="B1081" s="1780"/>
      <c r="C1081" s="1780"/>
      <c r="D1081" s="1777"/>
      <c r="E1081" s="1778">
        <f>SUM(E1046:E1080)</f>
        <v>0</v>
      </c>
      <c r="F1081" s="1778">
        <f>SUM(F1046:F1080)</f>
        <v>0</v>
      </c>
      <c r="G1081" s="1778">
        <f>SUM(G1046:G1080)</f>
        <v>0</v>
      </c>
      <c r="H1081" s="1778">
        <f>SUM(H1046:H1080)</f>
        <v>0</v>
      </c>
      <c r="I1081" s="1778">
        <f>SUM(I1046:I1080)</f>
        <v>0</v>
      </c>
      <c r="J1081" s="1658"/>
      <c r="K1081" s="1778">
        <f>SUM(K1046:K1080)</f>
        <v>0</v>
      </c>
      <c r="L1081" s="1779"/>
      <c r="M1081" s="1778" t="e">
        <f>SUM(M1046:M1080)</f>
        <v>#DIV/0!</v>
      </c>
      <c r="N1081" s="1777"/>
      <c r="O1081" s="1779"/>
      <c r="P1081" s="1778" t="e">
        <f>SUM(P1046:P1080)</f>
        <v>#DIV/0!</v>
      </c>
      <c r="Q1081" s="1778" t="e">
        <f>SUM(Q1046:Q1080)</f>
        <v>#DIV/0!</v>
      </c>
      <c r="R1081" s="1778" t="e">
        <f>SUM(R1046:R1080)</f>
        <v>#DIV/0!</v>
      </c>
    </row>
    <row r="1082" spans="1:18">
      <c r="A1082" s="1715" t="s">
        <v>3128</v>
      </c>
      <c r="B1082" s="1656"/>
      <c r="C1082" s="1771" t="str">
        <f>C954</f>
        <v>New Construction</v>
      </c>
      <c r="D1082" s="1781"/>
      <c r="E1082" s="1781"/>
      <c r="F1082" s="1713"/>
      <c r="G1082" s="1656"/>
      <c r="H1082" s="1656"/>
      <c r="I1082" s="1656"/>
      <c r="J1082" s="1656"/>
      <c r="K1082" s="1656"/>
      <c r="L1082" s="1657"/>
      <c r="M1082" s="1657"/>
      <c r="N1082" s="1657"/>
      <c r="O1082" s="1656"/>
      <c r="P1082" s="1656"/>
      <c r="Q1082" s="1656"/>
      <c r="R1082" s="1656"/>
    </row>
    <row r="1083" spans="1:18">
      <c r="A1083" s="1712" t="s">
        <v>3129</v>
      </c>
      <c r="B1083" s="1712"/>
      <c r="C1083" s="1712"/>
      <c r="D1083" s="1712"/>
      <c r="E1083" s="1712"/>
      <c r="F1083" s="1712"/>
      <c r="G1083" s="1712"/>
      <c r="H1083" s="1712"/>
      <c r="I1083" s="1712"/>
      <c r="J1083" s="1712"/>
      <c r="K1083" s="1712"/>
      <c r="L1083" s="1712"/>
      <c r="M1083" s="1712"/>
      <c r="N1083" s="1712"/>
      <c r="O1083" s="1712"/>
      <c r="P1083" s="1712"/>
      <c r="Q1083" s="1712"/>
      <c r="R1083" s="1712"/>
    </row>
    <row r="1084" spans="1:18" ht="13.5" customHeight="1">
      <c r="A1084" s="1772"/>
      <c r="B1084" s="1658"/>
      <c r="C1084" s="1658"/>
      <c r="D1084" s="1773"/>
      <c r="E1084" s="1773" t="s">
        <v>503</v>
      </c>
      <c r="F1084" s="1773" t="s">
        <v>503</v>
      </c>
      <c r="G1084" s="1773" t="s">
        <v>477</v>
      </c>
      <c r="H1084" s="1773" t="s">
        <v>3130</v>
      </c>
      <c r="I1084" s="1718"/>
      <c r="J1084" s="1773"/>
      <c r="K1084" s="1718"/>
      <c r="L1084" s="1718"/>
      <c r="M1084" s="1746"/>
      <c r="N1084" s="1773" t="s">
        <v>861</v>
      </c>
      <c r="O1084" s="1746"/>
      <c r="P1084" s="1746"/>
      <c r="Q1084" s="1774" t="s">
        <v>3719</v>
      </c>
      <c r="R1084" s="1774"/>
    </row>
    <row r="1085" spans="1:18" ht="13.5">
      <c r="A1085" s="1772"/>
      <c r="B1085" s="1658"/>
      <c r="C1085" s="1658"/>
      <c r="D1085" s="1773" t="s">
        <v>496</v>
      </c>
      <c r="E1085" s="1775" t="s">
        <v>152</v>
      </c>
      <c r="F1085" s="1773" t="s">
        <v>3132</v>
      </c>
      <c r="G1085" s="1773" t="s">
        <v>3133</v>
      </c>
      <c r="H1085" s="1773" t="s">
        <v>3134</v>
      </c>
      <c r="I1085" s="1773" t="s">
        <v>3135</v>
      </c>
      <c r="J1085" s="1692" t="s">
        <v>3136</v>
      </c>
      <c r="K1085" s="1773" t="s">
        <v>3135</v>
      </c>
      <c r="L1085" s="1773" t="s">
        <v>3135</v>
      </c>
      <c r="M1085" s="1773" t="s">
        <v>3135</v>
      </c>
      <c r="N1085" s="1773" t="s">
        <v>3137</v>
      </c>
      <c r="O1085" s="1773" t="s">
        <v>3138</v>
      </c>
      <c r="P1085" s="1773" t="s">
        <v>3139</v>
      </c>
      <c r="Q1085" s="1774"/>
      <c r="R1085" s="1774"/>
    </row>
    <row r="1086" spans="1:18" ht="13.5">
      <c r="A1086" s="1772"/>
      <c r="B1086" s="1658"/>
      <c r="C1086" s="1658"/>
      <c r="D1086" s="1773" t="s">
        <v>3140</v>
      </c>
      <c r="E1086" s="1773" t="s">
        <v>3141</v>
      </c>
      <c r="F1086" s="1773" t="s">
        <v>3110</v>
      </c>
      <c r="G1086" s="1773" t="s">
        <v>3134</v>
      </c>
      <c r="H1086" s="1773" t="s">
        <v>3110</v>
      </c>
      <c r="I1086" s="1773" t="s">
        <v>3142</v>
      </c>
      <c r="J1086" s="1692"/>
      <c r="K1086" s="1773" t="s">
        <v>3143</v>
      </c>
      <c r="L1086" s="1773" t="s">
        <v>3144</v>
      </c>
      <c r="M1086" s="1773" t="s">
        <v>3145</v>
      </c>
      <c r="N1086" s="1773" t="s">
        <v>3146</v>
      </c>
      <c r="O1086" s="1773" t="s">
        <v>3147</v>
      </c>
      <c r="P1086" s="1773" t="s">
        <v>3147</v>
      </c>
      <c r="Q1086" s="1773" t="s">
        <v>3135</v>
      </c>
      <c r="R1086" s="1773" t="s">
        <v>3148</v>
      </c>
    </row>
    <row r="1087" spans="1:18" ht="13.5">
      <c r="A1087" s="1772" t="s">
        <v>3149</v>
      </c>
      <c r="B1087" s="1658"/>
      <c r="C1087" s="1658"/>
      <c r="D1087" s="1773" t="s">
        <v>3150</v>
      </c>
      <c r="E1087" s="1773" t="s">
        <v>3151</v>
      </c>
      <c r="F1087" s="1773" t="s">
        <v>3152</v>
      </c>
      <c r="G1087" s="1773" t="s">
        <v>3151</v>
      </c>
      <c r="H1087" s="1773" t="s">
        <v>3152</v>
      </c>
      <c r="I1087" s="1773" t="s">
        <v>3153</v>
      </c>
      <c r="J1087" s="1776" t="s">
        <v>3154</v>
      </c>
      <c r="K1087" s="1773" t="s">
        <v>3153</v>
      </c>
      <c r="L1087" s="1773" t="s">
        <v>3155</v>
      </c>
      <c r="M1087" s="1773" t="s">
        <v>3153</v>
      </c>
      <c r="N1087" s="1773" t="s">
        <v>3156</v>
      </c>
      <c r="O1087" s="1773" t="s">
        <v>3157</v>
      </c>
      <c r="P1087" s="1773" t="s">
        <v>1793</v>
      </c>
      <c r="Q1087" s="1773" t="s">
        <v>1830</v>
      </c>
      <c r="R1087" s="1773" t="s">
        <v>1793</v>
      </c>
    </row>
    <row r="1088" spans="1:18">
      <c r="A1088" s="1658">
        <f>'Part VIII-Bldg Credit Alloc NC'!A138</f>
        <v>0</v>
      </c>
      <c r="B1088" s="1658"/>
      <c r="C1088" s="1658"/>
      <c r="D1088" s="1777">
        <f>'Part VIII-Bldg Credit Alloc NC'!D138</f>
        <v>0</v>
      </c>
      <c r="E1088" s="1778">
        <f>'Part VIII-Bldg Credit Alloc NC'!E138</f>
        <v>0</v>
      </c>
      <c r="F1088" s="1778">
        <f>'Part VIII-Bldg Credit Alloc NC'!F138</f>
        <v>0</v>
      </c>
      <c r="G1088" s="1778">
        <f>'Part VIII-Bldg Credit Alloc NC'!G138</f>
        <v>0</v>
      </c>
      <c r="H1088" s="1778">
        <f>'Part VIII-Bldg Credit Alloc NC'!H138</f>
        <v>0</v>
      </c>
      <c r="I1088" s="1778">
        <f>'Part VIII-Bldg Credit Alloc NC'!I138</f>
        <v>0</v>
      </c>
      <c r="J1088" s="1776">
        <f>'Part VIII-Bldg Credit Alloc NC'!J138</f>
        <v>0</v>
      </c>
      <c r="K1088" s="1778">
        <f>'Part VIII-Bldg Credit Alloc NC'!K138</f>
        <v>0</v>
      </c>
      <c r="L1088" s="1779" t="e">
        <f>IF(OR(E1088="",F1088=""),"",MIN(G1088/E1088,H1088/F1088))</f>
        <v>#DIV/0!</v>
      </c>
      <c r="M1088" s="1778" t="e">
        <f>IF(OR(E1088="",F1088=""),"",K1088*L1088)</f>
        <v>#DIV/0!</v>
      </c>
      <c r="N1088" s="1777">
        <f>'Part VIII-Bldg Credit Alloc NC'!N138</f>
        <v>0</v>
      </c>
      <c r="O1088" s="1779">
        <f>'Part VIII-Bldg Credit Alloc NC'!O138</f>
        <v>0</v>
      </c>
      <c r="P1088" s="1778" t="e">
        <f>IF(OR(M1088="",O1088=""),"",M1088*O1088)</f>
        <v>#DIV/0!</v>
      </c>
      <c r="Q1088" s="1778" t="e">
        <f>IF(M1088="","",ROUND(M1088,0))</f>
        <v>#DIV/0!</v>
      </c>
      <c r="R1088" s="1778" t="e">
        <f>IF(P1088="","",ROUND(P1088,0))</f>
        <v>#DIV/0!</v>
      </c>
    </row>
    <row r="1089" spans="1:18">
      <c r="A1089" s="1658">
        <f>'Part VIII-Bldg Credit Alloc NC'!A139</f>
        <v>0</v>
      </c>
      <c r="B1089" s="1658"/>
      <c r="C1089" s="1658"/>
      <c r="D1089" s="1777">
        <f>'Part VIII-Bldg Credit Alloc NC'!D139</f>
        <v>0</v>
      </c>
      <c r="E1089" s="1778">
        <f>'Part VIII-Bldg Credit Alloc NC'!E139</f>
        <v>0</v>
      </c>
      <c r="F1089" s="1778">
        <f>'Part VIII-Bldg Credit Alloc NC'!F139</f>
        <v>0</v>
      </c>
      <c r="G1089" s="1778">
        <f>'Part VIII-Bldg Credit Alloc NC'!G139</f>
        <v>0</v>
      </c>
      <c r="H1089" s="1778">
        <f>'Part VIII-Bldg Credit Alloc NC'!H139</f>
        <v>0</v>
      </c>
      <c r="I1089" s="1778">
        <f>'Part VIII-Bldg Credit Alloc NC'!I139</f>
        <v>0</v>
      </c>
      <c r="J1089" s="1776">
        <f>'Part VIII-Bldg Credit Alloc NC'!J139</f>
        <v>0</v>
      </c>
      <c r="K1089" s="1778">
        <f>'Part VIII-Bldg Credit Alloc NC'!K139</f>
        <v>0</v>
      </c>
      <c r="L1089" s="1779" t="e">
        <f t="shared" ref="L1089:L1120" si="423">IF(OR(E1089="",F1089=""),"",MIN(G1089/E1089,H1089/F1089))</f>
        <v>#DIV/0!</v>
      </c>
      <c r="M1089" s="1778" t="e">
        <f t="shared" ref="M1089:M1120" si="424">IF(OR(E1089="",F1089=""),"",K1089*L1089)</f>
        <v>#DIV/0!</v>
      </c>
      <c r="N1089" s="1777">
        <f>'Part VIII-Bldg Credit Alloc NC'!N139</f>
        <v>0</v>
      </c>
      <c r="O1089" s="1779">
        <f>'Part VIII-Bldg Credit Alloc NC'!O139</f>
        <v>0</v>
      </c>
      <c r="P1089" s="1778" t="e">
        <f t="shared" ref="P1089:P1120" si="425">IF(OR(M1089="",O1089=""),"",M1089*O1089)</f>
        <v>#DIV/0!</v>
      </c>
      <c r="Q1089" s="1778" t="e">
        <f t="shared" ref="Q1089:Q1120" si="426">IF(M1089="","",ROUND(M1089,0))</f>
        <v>#DIV/0!</v>
      </c>
      <c r="R1089" s="1778" t="e">
        <f t="shared" ref="R1089:R1120" si="427">IF(P1089="","",ROUND(P1089,0))</f>
        <v>#DIV/0!</v>
      </c>
    </row>
    <row r="1090" spans="1:18">
      <c r="A1090" s="1658">
        <f>'Part VIII-Bldg Credit Alloc NC'!A140</f>
        <v>0</v>
      </c>
      <c r="B1090" s="1658"/>
      <c r="C1090" s="1658"/>
      <c r="D1090" s="1777">
        <f>'Part VIII-Bldg Credit Alloc NC'!D140</f>
        <v>0</v>
      </c>
      <c r="E1090" s="1778">
        <f>'Part VIII-Bldg Credit Alloc NC'!E140</f>
        <v>0</v>
      </c>
      <c r="F1090" s="1778">
        <f>'Part VIII-Bldg Credit Alloc NC'!F140</f>
        <v>0</v>
      </c>
      <c r="G1090" s="1778">
        <f>'Part VIII-Bldg Credit Alloc NC'!G140</f>
        <v>0</v>
      </c>
      <c r="H1090" s="1778">
        <f>'Part VIII-Bldg Credit Alloc NC'!H140</f>
        <v>0</v>
      </c>
      <c r="I1090" s="1778">
        <f>'Part VIII-Bldg Credit Alloc NC'!I140</f>
        <v>0</v>
      </c>
      <c r="J1090" s="1776">
        <f>'Part VIII-Bldg Credit Alloc NC'!J140</f>
        <v>0</v>
      </c>
      <c r="K1090" s="1778">
        <f>'Part VIII-Bldg Credit Alloc NC'!K140</f>
        <v>0</v>
      </c>
      <c r="L1090" s="1779" t="e">
        <f t="shared" si="423"/>
        <v>#DIV/0!</v>
      </c>
      <c r="M1090" s="1778" t="e">
        <f t="shared" si="424"/>
        <v>#DIV/0!</v>
      </c>
      <c r="N1090" s="1777">
        <f>'Part VIII-Bldg Credit Alloc NC'!N140</f>
        <v>0</v>
      </c>
      <c r="O1090" s="1779">
        <f>'Part VIII-Bldg Credit Alloc NC'!O140</f>
        <v>0</v>
      </c>
      <c r="P1090" s="1778" t="e">
        <f t="shared" si="425"/>
        <v>#DIV/0!</v>
      </c>
      <c r="Q1090" s="1778" t="e">
        <f t="shared" si="426"/>
        <v>#DIV/0!</v>
      </c>
      <c r="R1090" s="1778" t="e">
        <f t="shared" si="427"/>
        <v>#DIV/0!</v>
      </c>
    </row>
    <row r="1091" spans="1:18">
      <c r="A1091" s="1658">
        <f>'Part VIII-Bldg Credit Alloc NC'!A141</f>
        <v>0</v>
      </c>
      <c r="B1091" s="1658"/>
      <c r="C1091" s="1658"/>
      <c r="D1091" s="1777">
        <f>'Part VIII-Bldg Credit Alloc NC'!D141</f>
        <v>0</v>
      </c>
      <c r="E1091" s="1778">
        <f>'Part VIII-Bldg Credit Alloc NC'!E141</f>
        <v>0</v>
      </c>
      <c r="F1091" s="1778">
        <f>'Part VIII-Bldg Credit Alloc NC'!F141</f>
        <v>0</v>
      </c>
      <c r="G1091" s="1778">
        <f>'Part VIII-Bldg Credit Alloc NC'!G141</f>
        <v>0</v>
      </c>
      <c r="H1091" s="1778">
        <f>'Part VIII-Bldg Credit Alloc NC'!H141</f>
        <v>0</v>
      </c>
      <c r="I1091" s="1778">
        <f>'Part VIII-Bldg Credit Alloc NC'!I141</f>
        <v>0</v>
      </c>
      <c r="J1091" s="1776">
        <f>'Part VIII-Bldg Credit Alloc NC'!J141</f>
        <v>0</v>
      </c>
      <c r="K1091" s="1778">
        <f>'Part VIII-Bldg Credit Alloc NC'!K141</f>
        <v>0</v>
      </c>
      <c r="L1091" s="1779" t="e">
        <f t="shared" si="423"/>
        <v>#DIV/0!</v>
      </c>
      <c r="M1091" s="1778" t="e">
        <f t="shared" si="424"/>
        <v>#DIV/0!</v>
      </c>
      <c r="N1091" s="1777">
        <f>'Part VIII-Bldg Credit Alloc NC'!N141</f>
        <v>0</v>
      </c>
      <c r="O1091" s="1779">
        <f>'Part VIII-Bldg Credit Alloc NC'!O141</f>
        <v>0</v>
      </c>
      <c r="P1091" s="1778" t="e">
        <f t="shared" si="425"/>
        <v>#DIV/0!</v>
      </c>
      <c r="Q1091" s="1778" t="e">
        <f t="shared" si="426"/>
        <v>#DIV/0!</v>
      </c>
      <c r="R1091" s="1778" t="e">
        <f t="shared" si="427"/>
        <v>#DIV/0!</v>
      </c>
    </row>
    <row r="1092" spans="1:18">
      <c r="A1092" s="1658">
        <f>'Part VIII-Bldg Credit Alloc NC'!A142</f>
        <v>0</v>
      </c>
      <c r="B1092" s="1658"/>
      <c r="C1092" s="1658"/>
      <c r="D1092" s="1777">
        <f>'Part VIII-Bldg Credit Alloc NC'!D142</f>
        <v>0</v>
      </c>
      <c r="E1092" s="1778">
        <f>'Part VIII-Bldg Credit Alloc NC'!E142</f>
        <v>0</v>
      </c>
      <c r="F1092" s="1778">
        <f>'Part VIII-Bldg Credit Alloc NC'!F142</f>
        <v>0</v>
      </c>
      <c r="G1092" s="1778">
        <f>'Part VIII-Bldg Credit Alloc NC'!G142</f>
        <v>0</v>
      </c>
      <c r="H1092" s="1778">
        <f>'Part VIII-Bldg Credit Alloc NC'!H142</f>
        <v>0</v>
      </c>
      <c r="I1092" s="1778">
        <f>'Part VIII-Bldg Credit Alloc NC'!I142</f>
        <v>0</v>
      </c>
      <c r="J1092" s="1776">
        <f>'Part VIII-Bldg Credit Alloc NC'!J142</f>
        <v>0</v>
      </c>
      <c r="K1092" s="1778">
        <f>'Part VIII-Bldg Credit Alloc NC'!K142</f>
        <v>0</v>
      </c>
      <c r="L1092" s="1779" t="e">
        <f t="shared" si="423"/>
        <v>#DIV/0!</v>
      </c>
      <c r="M1092" s="1778" t="e">
        <f t="shared" si="424"/>
        <v>#DIV/0!</v>
      </c>
      <c r="N1092" s="1777">
        <f>'Part VIII-Bldg Credit Alloc NC'!N142</f>
        <v>0</v>
      </c>
      <c r="O1092" s="1779">
        <f>'Part VIII-Bldg Credit Alloc NC'!O142</f>
        <v>0</v>
      </c>
      <c r="P1092" s="1778" t="e">
        <f t="shared" si="425"/>
        <v>#DIV/0!</v>
      </c>
      <c r="Q1092" s="1778" t="e">
        <f t="shared" si="426"/>
        <v>#DIV/0!</v>
      </c>
      <c r="R1092" s="1778" t="e">
        <f t="shared" si="427"/>
        <v>#DIV/0!</v>
      </c>
    </row>
    <row r="1093" spans="1:18">
      <c r="A1093" s="1658">
        <f>'Part VIII-Bldg Credit Alloc NC'!A143</f>
        <v>0</v>
      </c>
      <c r="B1093" s="1658"/>
      <c r="C1093" s="1658"/>
      <c r="D1093" s="1777">
        <f>'Part VIII-Bldg Credit Alloc NC'!D143</f>
        <v>0</v>
      </c>
      <c r="E1093" s="1778">
        <f>'Part VIII-Bldg Credit Alloc NC'!E143</f>
        <v>0</v>
      </c>
      <c r="F1093" s="1778">
        <f>'Part VIII-Bldg Credit Alloc NC'!F143</f>
        <v>0</v>
      </c>
      <c r="G1093" s="1778">
        <f>'Part VIII-Bldg Credit Alloc NC'!G143</f>
        <v>0</v>
      </c>
      <c r="H1093" s="1778">
        <f>'Part VIII-Bldg Credit Alloc NC'!H143</f>
        <v>0</v>
      </c>
      <c r="I1093" s="1778">
        <f>'Part VIII-Bldg Credit Alloc NC'!I143</f>
        <v>0</v>
      </c>
      <c r="J1093" s="1776">
        <f>'Part VIII-Bldg Credit Alloc NC'!J143</f>
        <v>0</v>
      </c>
      <c r="K1093" s="1778">
        <f>'Part VIII-Bldg Credit Alloc NC'!K143</f>
        <v>0</v>
      </c>
      <c r="L1093" s="1779" t="e">
        <f t="shared" si="423"/>
        <v>#DIV/0!</v>
      </c>
      <c r="M1093" s="1778" t="e">
        <f t="shared" si="424"/>
        <v>#DIV/0!</v>
      </c>
      <c r="N1093" s="1777">
        <f>'Part VIII-Bldg Credit Alloc NC'!N143</f>
        <v>0</v>
      </c>
      <c r="O1093" s="1779">
        <f>'Part VIII-Bldg Credit Alloc NC'!O143</f>
        <v>0</v>
      </c>
      <c r="P1093" s="1778" t="e">
        <f t="shared" si="425"/>
        <v>#DIV/0!</v>
      </c>
      <c r="Q1093" s="1778" t="e">
        <f t="shared" si="426"/>
        <v>#DIV/0!</v>
      </c>
      <c r="R1093" s="1778" t="e">
        <f t="shared" si="427"/>
        <v>#DIV/0!</v>
      </c>
    </row>
    <row r="1094" spans="1:18">
      <c r="A1094" s="1658">
        <f>'Part VIII-Bldg Credit Alloc NC'!A144</f>
        <v>0</v>
      </c>
      <c r="B1094" s="1658"/>
      <c r="C1094" s="1658"/>
      <c r="D1094" s="1777">
        <f>'Part VIII-Bldg Credit Alloc NC'!D144</f>
        <v>0</v>
      </c>
      <c r="E1094" s="1778">
        <f>'Part VIII-Bldg Credit Alloc NC'!E144</f>
        <v>0</v>
      </c>
      <c r="F1094" s="1778">
        <f>'Part VIII-Bldg Credit Alloc NC'!F144</f>
        <v>0</v>
      </c>
      <c r="G1094" s="1778">
        <f>'Part VIII-Bldg Credit Alloc NC'!G144</f>
        <v>0</v>
      </c>
      <c r="H1094" s="1778">
        <f>'Part VIII-Bldg Credit Alloc NC'!H144</f>
        <v>0</v>
      </c>
      <c r="I1094" s="1778">
        <f>'Part VIII-Bldg Credit Alloc NC'!I144</f>
        <v>0</v>
      </c>
      <c r="J1094" s="1776">
        <f>'Part VIII-Bldg Credit Alloc NC'!J144</f>
        <v>0</v>
      </c>
      <c r="K1094" s="1778">
        <f>'Part VIII-Bldg Credit Alloc NC'!K144</f>
        <v>0</v>
      </c>
      <c r="L1094" s="1779" t="e">
        <f t="shared" si="423"/>
        <v>#DIV/0!</v>
      </c>
      <c r="M1094" s="1778" t="e">
        <f t="shared" si="424"/>
        <v>#DIV/0!</v>
      </c>
      <c r="N1094" s="1777">
        <f>'Part VIII-Bldg Credit Alloc NC'!N144</f>
        <v>0</v>
      </c>
      <c r="O1094" s="1779">
        <f>'Part VIII-Bldg Credit Alloc NC'!O144</f>
        <v>0</v>
      </c>
      <c r="P1094" s="1778" t="e">
        <f t="shared" si="425"/>
        <v>#DIV/0!</v>
      </c>
      <c r="Q1094" s="1778" t="e">
        <f t="shared" si="426"/>
        <v>#DIV/0!</v>
      </c>
      <c r="R1094" s="1778" t="e">
        <f t="shared" si="427"/>
        <v>#DIV/0!</v>
      </c>
    </row>
    <row r="1095" spans="1:18">
      <c r="A1095" s="1658">
        <f>'Part VIII-Bldg Credit Alloc NC'!A145</f>
        <v>0</v>
      </c>
      <c r="B1095" s="1658"/>
      <c r="C1095" s="1658"/>
      <c r="D1095" s="1777">
        <f>'Part VIII-Bldg Credit Alloc NC'!D145</f>
        <v>0</v>
      </c>
      <c r="E1095" s="1778">
        <f>'Part VIII-Bldg Credit Alloc NC'!E145</f>
        <v>0</v>
      </c>
      <c r="F1095" s="1778">
        <f>'Part VIII-Bldg Credit Alloc NC'!F145</f>
        <v>0</v>
      </c>
      <c r="G1095" s="1778">
        <f>'Part VIII-Bldg Credit Alloc NC'!G145</f>
        <v>0</v>
      </c>
      <c r="H1095" s="1778">
        <f>'Part VIII-Bldg Credit Alloc NC'!H145</f>
        <v>0</v>
      </c>
      <c r="I1095" s="1778">
        <f>'Part VIII-Bldg Credit Alloc NC'!I145</f>
        <v>0</v>
      </c>
      <c r="J1095" s="1776">
        <f>'Part VIII-Bldg Credit Alloc NC'!J145</f>
        <v>0</v>
      </c>
      <c r="K1095" s="1778">
        <f>'Part VIII-Bldg Credit Alloc NC'!K145</f>
        <v>0</v>
      </c>
      <c r="L1095" s="1779" t="e">
        <f t="shared" si="423"/>
        <v>#DIV/0!</v>
      </c>
      <c r="M1095" s="1778" t="e">
        <f t="shared" si="424"/>
        <v>#DIV/0!</v>
      </c>
      <c r="N1095" s="1777">
        <f>'Part VIII-Bldg Credit Alloc NC'!N145</f>
        <v>0</v>
      </c>
      <c r="O1095" s="1779">
        <f>'Part VIII-Bldg Credit Alloc NC'!O145</f>
        <v>0</v>
      </c>
      <c r="P1095" s="1778" t="e">
        <f t="shared" si="425"/>
        <v>#DIV/0!</v>
      </c>
      <c r="Q1095" s="1778" t="e">
        <f t="shared" si="426"/>
        <v>#DIV/0!</v>
      </c>
      <c r="R1095" s="1778" t="e">
        <f t="shared" si="427"/>
        <v>#DIV/0!</v>
      </c>
    </row>
    <row r="1096" spans="1:18">
      <c r="A1096" s="1658">
        <f>'Part VIII-Bldg Credit Alloc NC'!A146</f>
        <v>0</v>
      </c>
      <c r="B1096" s="1658"/>
      <c r="C1096" s="1658"/>
      <c r="D1096" s="1777">
        <f>'Part VIII-Bldg Credit Alloc NC'!D146</f>
        <v>0</v>
      </c>
      <c r="E1096" s="1778">
        <f>'Part VIII-Bldg Credit Alloc NC'!E146</f>
        <v>0</v>
      </c>
      <c r="F1096" s="1778">
        <f>'Part VIII-Bldg Credit Alloc NC'!F146</f>
        <v>0</v>
      </c>
      <c r="G1096" s="1778">
        <f>'Part VIII-Bldg Credit Alloc NC'!G146</f>
        <v>0</v>
      </c>
      <c r="H1096" s="1778">
        <f>'Part VIII-Bldg Credit Alloc NC'!H146</f>
        <v>0</v>
      </c>
      <c r="I1096" s="1778">
        <f>'Part VIII-Bldg Credit Alloc NC'!I146</f>
        <v>0</v>
      </c>
      <c r="J1096" s="1776">
        <f>'Part VIII-Bldg Credit Alloc NC'!J146</f>
        <v>0</v>
      </c>
      <c r="K1096" s="1778">
        <f>'Part VIII-Bldg Credit Alloc NC'!K146</f>
        <v>0</v>
      </c>
      <c r="L1096" s="1779" t="e">
        <f t="shared" si="423"/>
        <v>#DIV/0!</v>
      </c>
      <c r="M1096" s="1778" t="e">
        <f t="shared" si="424"/>
        <v>#DIV/0!</v>
      </c>
      <c r="N1096" s="1777">
        <f>'Part VIII-Bldg Credit Alloc NC'!N146</f>
        <v>0</v>
      </c>
      <c r="O1096" s="1779">
        <f>'Part VIII-Bldg Credit Alloc NC'!O146</f>
        <v>0</v>
      </c>
      <c r="P1096" s="1778" t="e">
        <f t="shared" si="425"/>
        <v>#DIV/0!</v>
      </c>
      <c r="Q1096" s="1778" t="e">
        <f t="shared" si="426"/>
        <v>#DIV/0!</v>
      </c>
      <c r="R1096" s="1778" t="e">
        <f t="shared" si="427"/>
        <v>#DIV/0!</v>
      </c>
    </row>
    <row r="1097" spans="1:18">
      <c r="A1097" s="1658">
        <f>'Part VIII-Bldg Credit Alloc NC'!A147</f>
        <v>0</v>
      </c>
      <c r="B1097" s="1658"/>
      <c r="C1097" s="1658"/>
      <c r="D1097" s="1777">
        <f>'Part VIII-Bldg Credit Alloc NC'!D147</f>
        <v>0</v>
      </c>
      <c r="E1097" s="1778">
        <f>'Part VIII-Bldg Credit Alloc NC'!E147</f>
        <v>0</v>
      </c>
      <c r="F1097" s="1778">
        <f>'Part VIII-Bldg Credit Alloc NC'!F147</f>
        <v>0</v>
      </c>
      <c r="G1097" s="1778">
        <f>'Part VIII-Bldg Credit Alloc NC'!G147</f>
        <v>0</v>
      </c>
      <c r="H1097" s="1778">
        <f>'Part VIII-Bldg Credit Alloc NC'!H147</f>
        <v>0</v>
      </c>
      <c r="I1097" s="1778">
        <f>'Part VIII-Bldg Credit Alloc NC'!I147</f>
        <v>0</v>
      </c>
      <c r="J1097" s="1776">
        <f>'Part VIII-Bldg Credit Alloc NC'!J147</f>
        <v>0</v>
      </c>
      <c r="K1097" s="1778">
        <f>'Part VIII-Bldg Credit Alloc NC'!K147</f>
        <v>0</v>
      </c>
      <c r="L1097" s="1779" t="e">
        <f t="shared" si="423"/>
        <v>#DIV/0!</v>
      </c>
      <c r="M1097" s="1778" t="e">
        <f t="shared" si="424"/>
        <v>#DIV/0!</v>
      </c>
      <c r="N1097" s="1777">
        <f>'Part VIII-Bldg Credit Alloc NC'!N147</f>
        <v>0</v>
      </c>
      <c r="O1097" s="1779">
        <f>'Part VIII-Bldg Credit Alloc NC'!O147</f>
        <v>0</v>
      </c>
      <c r="P1097" s="1778" t="e">
        <f t="shared" si="425"/>
        <v>#DIV/0!</v>
      </c>
      <c r="Q1097" s="1778" t="e">
        <f t="shared" si="426"/>
        <v>#DIV/0!</v>
      </c>
      <c r="R1097" s="1778" t="e">
        <f t="shared" si="427"/>
        <v>#DIV/0!</v>
      </c>
    </row>
    <row r="1098" spans="1:18">
      <c r="A1098" s="1658">
        <f>'Part VIII-Bldg Credit Alloc NC'!A148</f>
        <v>0</v>
      </c>
      <c r="B1098" s="1658"/>
      <c r="C1098" s="1658"/>
      <c r="D1098" s="1777">
        <f>'Part VIII-Bldg Credit Alloc NC'!D148</f>
        <v>0</v>
      </c>
      <c r="E1098" s="1778">
        <f>'Part VIII-Bldg Credit Alloc NC'!E148</f>
        <v>0</v>
      </c>
      <c r="F1098" s="1778">
        <f>'Part VIII-Bldg Credit Alloc NC'!F148</f>
        <v>0</v>
      </c>
      <c r="G1098" s="1778">
        <f>'Part VIII-Bldg Credit Alloc NC'!G148</f>
        <v>0</v>
      </c>
      <c r="H1098" s="1778">
        <f>'Part VIII-Bldg Credit Alloc NC'!H148</f>
        <v>0</v>
      </c>
      <c r="I1098" s="1778">
        <f>'Part VIII-Bldg Credit Alloc NC'!I148</f>
        <v>0</v>
      </c>
      <c r="J1098" s="1776">
        <f>'Part VIII-Bldg Credit Alloc NC'!J148</f>
        <v>0</v>
      </c>
      <c r="K1098" s="1778">
        <f>'Part VIII-Bldg Credit Alloc NC'!K148</f>
        <v>0</v>
      </c>
      <c r="L1098" s="1779" t="e">
        <f t="shared" si="423"/>
        <v>#DIV/0!</v>
      </c>
      <c r="M1098" s="1778" t="e">
        <f t="shared" si="424"/>
        <v>#DIV/0!</v>
      </c>
      <c r="N1098" s="1777">
        <f>'Part VIII-Bldg Credit Alloc NC'!N148</f>
        <v>0</v>
      </c>
      <c r="O1098" s="1779">
        <f>'Part VIII-Bldg Credit Alloc NC'!O148</f>
        <v>0</v>
      </c>
      <c r="P1098" s="1778" t="e">
        <f t="shared" si="425"/>
        <v>#DIV/0!</v>
      </c>
      <c r="Q1098" s="1778" t="e">
        <f t="shared" si="426"/>
        <v>#DIV/0!</v>
      </c>
      <c r="R1098" s="1778" t="e">
        <f t="shared" si="427"/>
        <v>#DIV/0!</v>
      </c>
    </row>
    <row r="1099" spans="1:18">
      <c r="A1099" s="1658">
        <f>'Part VIII-Bldg Credit Alloc NC'!A149</f>
        <v>0</v>
      </c>
      <c r="B1099" s="1658"/>
      <c r="C1099" s="1658"/>
      <c r="D1099" s="1777">
        <f>'Part VIII-Bldg Credit Alloc NC'!D149</f>
        <v>0</v>
      </c>
      <c r="E1099" s="1778">
        <f>'Part VIII-Bldg Credit Alloc NC'!E149</f>
        <v>0</v>
      </c>
      <c r="F1099" s="1778">
        <f>'Part VIII-Bldg Credit Alloc NC'!F149</f>
        <v>0</v>
      </c>
      <c r="G1099" s="1778">
        <f>'Part VIII-Bldg Credit Alloc NC'!G149</f>
        <v>0</v>
      </c>
      <c r="H1099" s="1778">
        <f>'Part VIII-Bldg Credit Alloc NC'!H149</f>
        <v>0</v>
      </c>
      <c r="I1099" s="1778">
        <f>'Part VIII-Bldg Credit Alloc NC'!I149</f>
        <v>0</v>
      </c>
      <c r="J1099" s="1776">
        <f>'Part VIII-Bldg Credit Alloc NC'!J149</f>
        <v>0</v>
      </c>
      <c r="K1099" s="1778">
        <f>'Part VIII-Bldg Credit Alloc NC'!K149</f>
        <v>0</v>
      </c>
      <c r="L1099" s="1779" t="e">
        <f t="shared" si="423"/>
        <v>#DIV/0!</v>
      </c>
      <c r="M1099" s="1778" t="e">
        <f t="shared" si="424"/>
        <v>#DIV/0!</v>
      </c>
      <c r="N1099" s="1777">
        <f>'Part VIII-Bldg Credit Alloc NC'!N149</f>
        <v>0</v>
      </c>
      <c r="O1099" s="1779">
        <f>'Part VIII-Bldg Credit Alloc NC'!O149</f>
        <v>0</v>
      </c>
      <c r="P1099" s="1778" t="e">
        <f t="shared" si="425"/>
        <v>#DIV/0!</v>
      </c>
      <c r="Q1099" s="1778" t="e">
        <f t="shared" si="426"/>
        <v>#DIV/0!</v>
      </c>
      <c r="R1099" s="1778" t="e">
        <f t="shared" si="427"/>
        <v>#DIV/0!</v>
      </c>
    </row>
    <row r="1100" spans="1:18">
      <c r="A1100" s="1658">
        <f>'Part VIII-Bldg Credit Alloc NC'!A150</f>
        <v>0</v>
      </c>
      <c r="B1100" s="1658"/>
      <c r="C1100" s="1658"/>
      <c r="D1100" s="1777">
        <f>'Part VIII-Bldg Credit Alloc NC'!D150</f>
        <v>0</v>
      </c>
      <c r="E1100" s="1778">
        <f>'Part VIII-Bldg Credit Alloc NC'!E150</f>
        <v>0</v>
      </c>
      <c r="F1100" s="1778">
        <f>'Part VIII-Bldg Credit Alloc NC'!F150</f>
        <v>0</v>
      </c>
      <c r="G1100" s="1778">
        <f>'Part VIII-Bldg Credit Alloc NC'!G150</f>
        <v>0</v>
      </c>
      <c r="H1100" s="1778">
        <f>'Part VIII-Bldg Credit Alloc NC'!H150</f>
        <v>0</v>
      </c>
      <c r="I1100" s="1778">
        <f>'Part VIII-Bldg Credit Alloc NC'!I150</f>
        <v>0</v>
      </c>
      <c r="J1100" s="1776">
        <f>'Part VIII-Bldg Credit Alloc NC'!J150</f>
        <v>0</v>
      </c>
      <c r="K1100" s="1778">
        <f>'Part VIII-Bldg Credit Alloc NC'!K150</f>
        <v>0</v>
      </c>
      <c r="L1100" s="1779" t="e">
        <f t="shared" si="423"/>
        <v>#DIV/0!</v>
      </c>
      <c r="M1100" s="1778" t="e">
        <f t="shared" si="424"/>
        <v>#DIV/0!</v>
      </c>
      <c r="N1100" s="1777">
        <f>'Part VIII-Bldg Credit Alloc NC'!N150</f>
        <v>0</v>
      </c>
      <c r="O1100" s="1779">
        <f>'Part VIII-Bldg Credit Alloc NC'!O150</f>
        <v>0</v>
      </c>
      <c r="P1100" s="1778" t="e">
        <f t="shared" si="425"/>
        <v>#DIV/0!</v>
      </c>
      <c r="Q1100" s="1778" t="e">
        <f t="shared" si="426"/>
        <v>#DIV/0!</v>
      </c>
      <c r="R1100" s="1778" t="e">
        <f t="shared" si="427"/>
        <v>#DIV/0!</v>
      </c>
    </row>
    <row r="1101" spans="1:18">
      <c r="A1101" s="1658">
        <f>'Part VIII-Bldg Credit Alloc NC'!A151</f>
        <v>0</v>
      </c>
      <c r="B1101" s="1658"/>
      <c r="C1101" s="1658"/>
      <c r="D1101" s="1777">
        <f>'Part VIII-Bldg Credit Alloc NC'!D151</f>
        <v>0</v>
      </c>
      <c r="E1101" s="1778">
        <f>'Part VIII-Bldg Credit Alloc NC'!E151</f>
        <v>0</v>
      </c>
      <c r="F1101" s="1778">
        <f>'Part VIII-Bldg Credit Alloc NC'!F151</f>
        <v>0</v>
      </c>
      <c r="G1101" s="1778">
        <f>'Part VIII-Bldg Credit Alloc NC'!G151</f>
        <v>0</v>
      </c>
      <c r="H1101" s="1778">
        <f>'Part VIII-Bldg Credit Alloc NC'!H151</f>
        <v>0</v>
      </c>
      <c r="I1101" s="1778">
        <f>'Part VIII-Bldg Credit Alloc NC'!I151</f>
        <v>0</v>
      </c>
      <c r="J1101" s="1776">
        <f>'Part VIII-Bldg Credit Alloc NC'!J151</f>
        <v>0</v>
      </c>
      <c r="K1101" s="1778">
        <f>'Part VIII-Bldg Credit Alloc NC'!K151</f>
        <v>0</v>
      </c>
      <c r="L1101" s="1779" t="e">
        <f t="shared" si="423"/>
        <v>#DIV/0!</v>
      </c>
      <c r="M1101" s="1778" t="e">
        <f t="shared" si="424"/>
        <v>#DIV/0!</v>
      </c>
      <c r="N1101" s="1777">
        <f>'Part VIII-Bldg Credit Alloc NC'!N151</f>
        <v>0</v>
      </c>
      <c r="O1101" s="1779">
        <f>'Part VIII-Bldg Credit Alloc NC'!O151</f>
        <v>0</v>
      </c>
      <c r="P1101" s="1778" t="e">
        <f t="shared" si="425"/>
        <v>#DIV/0!</v>
      </c>
      <c r="Q1101" s="1778" t="e">
        <f t="shared" si="426"/>
        <v>#DIV/0!</v>
      </c>
      <c r="R1101" s="1778" t="e">
        <f t="shared" si="427"/>
        <v>#DIV/0!</v>
      </c>
    </row>
    <row r="1102" spans="1:18">
      <c r="A1102" s="1658">
        <f>'Part VIII-Bldg Credit Alloc NC'!A152</f>
        <v>0</v>
      </c>
      <c r="B1102" s="1658"/>
      <c r="C1102" s="1658"/>
      <c r="D1102" s="1777">
        <f>'Part VIII-Bldg Credit Alloc NC'!D152</f>
        <v>0</v>
      </c>
      <c r="E1102" s="1778">
        <f>'Part VIII-Bldg Credit Alloc NC'!E152</f>
        <v>0</v>
      </c>
      <c r="F1102" s="1778">
        <f>'Part VIII-Bldg Credit Alloc NC'!F152</f>
        <v>0</v>
      </c>
      <c r="G1102" s="1778">
        <f>'Part VIII-Bldg Credit Alloc NC'!G152</f>
        <v>0</v>
      </c>
      <c r="H1102" s="1778">
        <f>'Part VIII-Bldg Credit Alloc NC'!H152</f>
        <v>0</v>
      </c>
      <c r="I1102" s="1778">
        <f>'Part VIII-Bldg Credit Alloc NC'!I152</f>
        <v>0</v>
      </c>
      <c r="J1102" s="1776">
        <f>'Part VIII-Bldg Credit Alloc NC'!J152</f>
        <v>0</v>
      </c>
      <c r="K1102" s="1778">
        <f>'Part VIII-Bldg Credit Alloc NC'!K152</f>
        <v>0</v>
      </c>
      <c r="L1102" s="1779" t="e">
        <f t="shared" si="423"/>
        <v>#DIV/0!</v>
      </c>
      <c r="M1102" s="1778" t="e">
        <f t="shared" si="424"/>
        <v>#DIV/0!</v>
      </c>
      <c r="N1102" s="1777">
        <f>'Part VIII-Bldg Credit Alloc NC'!N152</f>
        <v>0</v>
      </c>
      <c r="O1102" s="1779">
        <f>'Part VIII-Bldg Credit Alloc NC'!O152</f>
        <v>0</v>
      </c>
      <c r="P1102" s="1778" t="e">
        <f t="shared" si="425"/>
        <v>#DIV/0!</v>
      </c>
      <c r="Q1102" s="1778" t="e">
        <f t="shared" si="426"/>
        <v>#DIV/0!</v>
      </c>
      <c r="R1102" s="1778" t="e">
        <f t="shared" si="427"/>
        <v>#DIV/0!</v>
      </c>
    </row>
    <row r="1103" spans="1:18">
      <c r="A1103" s="1658">
        <f>'Part VIII-Bldg Credit Alloc NC'!A153</f>
        <v>0</v>
      </c>
      <c r="B1103" s="1658"/>
      <c r="C1103" s="1658"/>
      <c r="D1103" s="1777">
        <f>'Part VIII-Bldg Credit Alloc NC'!D153</f>
        <v>0</v>
      </c>
      <c r="E1103" s="1778">
        <f>'Part VIII-Bldg Credit Alloc NC'!E153</f>
        <v>0</v>
      </c>
      <c r="F1103" s="1778">
        <f>'Part VIII-Bldg Credit Alloc NC'!F153</f>
        <v>0</v>
      </c>
      <c r="G1103" s="1778">
        <f>'Part VIII-Bldg Credit Alloc NC'!G153</f>
        <v>0</v>
      </c>
      <c r="H1103" s="1778">
        <f>'Part VIII-Bldg Credit Alloc NC'!H153</f>
        <v>0</v>
      </c>
      <c r="I1103" s="1778">
        <f>'Part VIII-Bldg Credit Alloc NC'!I153</f>
        <v>0</v>
      </c>
      <c r="J1103" s="1776">
        <f>'Part VIII-Bldg Credit Alloc NC'!J153</f>
        <v>0</v>
      </c>
      <c r="K1103" s="1778">
        <f>'Part VIII-Bldg Credit Alloc NC'!K153</f>
        <v>0</v>
      </c>
      <c r="L1103" s="1779" t="e">
        <f t="shared" si="423"/>
        <v>#DIV/0!</v>
      </c>
      <c r="M1103" s="1778" t="e">
        <f t="shared" si="424"/>
        <v>#DIV/0!</v>
      </c>
      <c r="N1103" s="1777">
        <f>'Part VIII-Bldg Credit Alloc NC'!N153</f>
        <v>0</v>
      </c>
      <c r="O1103" s="1779">
        <f>'Part VIII-Bldg Credit Alloc NC'!O153</f>
        <v>0</v>
      </c>
      <c r="P1103" s="1778" t="e">
        <f t="shared" si="425"/>
        <v>#DIV/0!</v>
      </c>
      <c r="Q1103" s="1778" t="e">
        <f t="shared" si="426"/>
        <v>#DIV/0!</v>
      </c>
      <c r="R1103" s="1778" t="e">
        <f t="shared" si="427"/>
        <v>#DIV/0!</v>
      </c>
    </row>
    <row r="1104" spans="1:18">
      <c r="A1104" s="1658">
        <f>'Part VIII-Bldg Credit Alloc NC'!A154</f>
        <v>0</v>
      </c>
      <c r="B1104" s="1658"/>
      <c r="C1104" s="1658"/>
      <c r="D1104" s="1777">
        <f>'Part VIII-Bldg Credit Alloc NC'!D154</f>
        <v>0</v>
      </c>
      <c r="E1104" s="1778">
        <f>'Part VIII-Bldg Credit Alloc NC'!E154</f>
        <v>0</v>
      </c>
      <c r="F1104" s="1778">
        <f>'Part VIII-Bldg Credit Alloc NC'!F154</f>
        <v>0</v>
      </c>
      <c r="G1104" s="1778">
        <f>'Part VIII-Bldg Credit Alloc NC'!G154</f>
        <v>0</v>
      </c>
      <c r="H1104" s="1778">
        <f>'Part VIII-Bldg Credit Alloc NC'!H154</f>
        <v>0</v>
      </c>
      <c r="I1104" s="1778">
        <f>'Part VIII-Bldg Credit Alloc NC'!I154</f>
        <v>0</v>
      </c>
      <c r="J1104" s="1776">
        <f>'Part VIII-Bldg Credit Alloc NC'!J154</f>
        <v>0</v>
      </c>
      <c r="K1104" s="1778">
        <f>'Part VIII-Bldg Credit Alloc NC'!K154</f>
        <v>0</v>
      </c>
      <c r="L1104" s="1779" t="e">
        <f t="shared" si="423"/>
        <v>#DIV/0!</v>
      </c>
      <c r="M1104" s="1778" t="e">
        <f t="shared" si="424"/>
        <v>#DIV/0!</v>
      </c>
      <c r="N1104" s="1777">
        <f>'Part VIII-Bldg Credit Alloc NC'!N154</f>
        <v>0</v>
      </c>
      <c r="O1104" s="1779">
        <f>'Part VIII-Bldg Credit Alloc NC'!O154</f>
        <v>0</v>
      </c>
      <c r="P1104" s="1778" t="e">
        <f t="shared" si="425"/>
        <v>#DIV/0!</v>
      </c>
      <c r="Q1104" s="1778" t="e">
        <f t="shared" si="426"/>
        <v>#DIV/0!</v>
      </c>
      <c r="R1104" s="1778" t="e">
        <f t="shared" si="427"/>
        <v>#DIV/0!</v>
      </c>
    </row>
    <row r="1105" spans="1:18">
      <c r="A1105" s="1658">
        <f>'Part VIII-Bldg Credit Alloc NC'!A155</f>
        <v>0</v>
      </c>
      <c r="B1105" s="1658"/>
      <c r="C1105" s="1658"/>
      <c r="D1105" s="1777">
        <f>'Part VIII-Bldg Credit Alloc NC'!D155</f>
        <v>0</v>
      </c>
      <c r="E1105" s="1778">
        <f>'Part VIII-Bldg Credit Alloc NC'!E155</f>
        <v>0</v>
      </c>
      <c r="F1105" s="1778">
        <f>'Part VIII-Bldg Credit Alloc NC'!F155</f>
        <v>0</v>
      </c>
      <c r="G1105" s="1778">
        <f>'Part VIII-Bldg Credit Alloc NC'!G155</f>
        <v>0</v>
      </c>
      <c r="H1105" s="1778">
        <f>'Part VIII-Bldg Credit Alloc NC'!H155</f>
        <v>0</v>
      </c>
      <c r="I1105" s="1778">
        <f>'Part VIII-Bldg Credit Alloc NC'!I155</f>
        <v>0</v>
      </c>
      <c r="J1105" s="1776">
        <f>'Part VIII-Bldg Credit Alloc NC'!J155</f>
        <v>0</v>
      </c>
      <c r="K1105" s="1778">
        <f>'Part VIII-Bldg Credit Alloc NC'!K155</f>
        <v>0</v>
      </c>
      <c r="L1105" s="1779" t="e">
        <f t="shared" si="423"/>
        <v>#DIV/0!</v>
      </c>
      <c r="M1105" s="1778" t="e">
        <f t="shared" si="424"/>
        <v>#DIV/0!</v>
      </c>
      <c r="N1105" s="1777">
        <f>'Part VIII-Bldg Credit Alloc NC'!N155</f>
        <v>0</v>
      </c>
      <c r="O1105" s="1779">
        <f>'Part VIII-Bldg Credit Alloc NC'!O155</f>
        <v>0</v>
      </c>
      <c r="P1105" s="1778" t="e">
        <f t="shared" si="425"/>
        <v>#DIV/0!</v>
      </c>
      <c r="Q1105" s="1778" t="e">
        <f t="shared" si="426"/>
        <v>#DIV/0!</v>
      </c>
      <c r="R1105" s="1778" t="e">
        <f t="shared" si="427"/>
        <v>#DIV/0!</v>
      </c>
    </row>
    <row r="1106" spans="1:18">
      <c r="A1106" s="1658">
        <f>'Part VIII-Bldg Credit Alloc NC'!A156</f>
        <v>0</v>
      </c>
      <c r="B1106" s="1658"/>
      <c r="C1106" s="1658"/>
      <c r="D1106" s="1777">
        <f>'Part VIII-Bldg Credit Alloc NC'!D156</f>
        <v>0</v>
      </c>
      <c r="E1106" s="1778">
        <f>'Part VIII-Bldg Credit Alloc NC'!E156</f>
        <v>0</v>
      </c>
      <c r="F1106" s="1778">
        <f>'Part VIII-Bldg Credit Alloc NC'!F156</f>
        <v>0</v>
      </c>
      <c r="G1106" s="1778">
        <f>'Part VIII-Bldg Credit Alloc NC'!G156</f>
        <v>0</v>
      </c>
      <c r="H1106" s="1778">
        <f>'Part VIII-Bldg Credit Alloc NC'!H156</f>
        <v>0</v>
      </c>
      <c r="I1106" s="1778">
        <f>'Part VIII-Bldg Credit Alloc NC'!I156</f>
        <v>0</v>
      </c>
      <c r="J1106" s="1776">
        <f>'Part VIII-Bldg Credit Alloc NC'!J156</f>
        <v>0</v>
      </c>
      <c r="K1106" s="1778">
        <f>'Part VIII-Bldg Credit Alloc NC'!K156</f>
        <v>0</v>
      </c>
      <c r="L1106" s="1779" t="e">
        <f t="shared" si="423"/>
        <v>#DIV/0!</v>
      </c>
      <c r="M1106" s="1778" t="e">
        <f t="shared" si="424"/>
        <v>#DIV/0!</v>
      </c>
      <c r="N1106" s="1777">
        <f>'Part VIII-Bldg Credit Alloc NC'!N156</f>
        <v>0</v>
      </c>
      <c r="O1106" s="1779">
        <f>'Part VIII-Bldg Credit Alloc NC'!O156</f>
        <v>0</v>
      </c>
      <c r="P1106" s="1778" t="e">
        <f t="shared" si="425"/>
        <v>#DIV/0!</v>
      </c>
      <c r="Q1106" s="1778" t="e">
        <f t="shared" si="426"/>
        <v>#DIV/0!</v>
      </c>
      <c r="R1106" s="1778" t="e">
        <f t="shared" si="427"/>
        <v>#DIV/0!</v>
      </c>
    </row>
    <row r="1107" spans="1:18">
      <c r="A1107" s="1658">
        <f>'Part VIII-Bldg Credit Alloc NC'!A157</f>
        <v>0</v>
      </c>
      <c r="B1107" s="1658"/>
      <c r="C1107" s="1658"/>
      <c r="D1107" s="1777">
        <f>'Part VIII-Bldg Credit Alloc NC'!D157</f>
        <v>0</v>
      </c>
      <c r="E1107" s="1778">
        <f>'Part VIII-Bldg Credit Alloc NC'!E157</f>
        <v>0</v>
      </c>
      <c r="F1107" s="1778">
        <f>'Part VIII-Bldg Credit Alloc NC'!F157</f>
        <v>0</v>
      </c>
      <c r="G1107" s="1778">
        <f>'Part VIII-Bldg Credit Alloc NC'!G157</f>
        <v>0</v>
      </c>
      <c r="H1107" s="1778">
        <f>'Part VIII-Bldg Credit Alloc NC'!H157</f>
        <v>0</v>
      </c>
      <c r="I1107" s="1778">
        <f>'Part VIII-Bldg Credit Alloc NC'!I157</f>
        <v>0</v>
      </c>
      <c r="J1107" s="1776">
        <f>'Part VIII-Bldg Credit Alloc NC'!J157</f>
        <v>0</v>
      </c>
      <c r="K1107" s="1778">
        <f>'Part VIII-Bldg Credit Alloc NC'!K157</f>
        <v>0</v>
      </c>
      <c r="L1107" s="1779" t="e">
        <f t="shared" si="423"/>
        <v>#DIV/0!</v>
      </c>
      <c r="M1107" s="1778" t="e">
        <f t="shared" si="424"/>
        <v>#DIV/0!</v>
      </c>
      <c r="N1107" s="1777">
        <f>'Part VIII-Bldg Credit Alloc NC'!N157</f>
        <v>0</v>
      </c>
      <c r="O1107" s="1779">
        <f>'Part VIII-Bldg Credit Alloc NC'!O157</f>
        <v>0</v>
      </c>
      <c r="P1107" s="1778" t="e">
        <f t="shared" si="425"/>
        <v>#DIV/0!</v>
      </c>
      <c r="Q1107" s="1778" t="e">
        <f t="shared" si="426"/>
        <v>#DIV/0!</v>
      </c>
      <c r="R1107" s="1778" t="e">
        <f t="shared" si="427"/>
        <v>#DIV/0!</v>
      </c>
    </row>
    <row r="1108" spans="1:18">
      <c r="A1108" s="1658">
        <f>'Part VIII-Bldg Credit Alloc NC'!A158</f>
        <v>0</v>
      </c>
      <c r="B1108" s="1658"/>
      <c r="C1108" s="1658"/>
      <c r="D1108" s="1777">
        <f>'Part VIII-Bldg Credit Alloc NC'!D158</f>
        <v>0</v>
      </c>
      <c r="E1108" s="1778">
        <f>'Part VIII-Bldg Credit Alloc NC'!E158</f>
        <v>0</v>
      </c>
      <c r="F1108" s="1778">
        <f>'Part VIII-Bldg Credit Alloc NC'!F158</f>
        <v>0</v>
      </c>
      <c r="G1108" s="1778">
        <f>'Part VIII-Bldg Credit Alloc NC'!G158</f>
        <v>0</v>
      </c>
      <c r="H1108" s="1778">
        <f>'Part VIII-Bldg Credit Alloc NC'!H158</f>
        <v>0</v>
      </c>
      <c r="I1108" s="1778">
        <f>'Part VIII-Bldg Credit Alloc NC'!I158</f>
        <v>0</v>
      </c>
      <c r="J1108" s="1776">
        <f>'Part VIII-Bldg Credit Alloc NC'!J158</f>
        <v>0</v>
      </c>
      <c r="K1108" s="1778">
        <f>'Part VIII-Bldg Credit Alloc NC'!K158</f>
        <v>0</v>
      </c>
      <c r="L1108" s="1779" t="e">
        <f t="shared" si="423"/>
        <v>#DIV/0!</v>
      </c>
      <c r="M1108" s="1778" t="e">
        <f t="shared" si="424"/>
        <v>#DIV/0!</v>
      </c>
      <c r="N1108" s="1777">
        <f>'Part VIII-Bldg Credit Alloc NC'!N158</f>
        <v>0</v>
      </c>
      <c r="O1108" s="1779">
        <f>'Part VIII-Bldg Credit Alloc NC'!O158</f>
        <v>0</v>
      </c>
      <c r="P1108" s="1778" t="e">
        <f t="shared" si="425"/>
        <v>#DIV/0!</v>
      </c>
      <c r="Q1108" s="1778" t="e">
        <f t="shared" si="426"/>
        <v>#DIV/0!</v>
      </c>
      <c r="R1108" s="1778" t="e">
        <f t="shared" si="427"/>
        <v>#DIV/0!</v>
      </c>
    </row>
    <row r="1109" spans="1:18">
      <c r="A1109" s="1658">
        <f>'Part VIII-Bldg Credit Alloc NC'!A159</f>
        <v>0</v>
      </c>
      <c r="B1109" s="1658"/>
      <c r="C1109" s="1658"/>
      <c r="D1109" s="1777">
        <f>'Part VIII-Bldg Credit Alloc NC'!D159</f>
        <v>0</v>
      </c>
      <c r="E1109" s="1778">
        <f>'Part VIII-Bldg Credit Alloc NC'!E159</f>
        <v>0</v>
      </c>
      <c r="F1109" s="1778">
        <f>'Part VIII-Bldg Credit Alloc NC'!F159</f>
        <v>0</v>
      </c>
      <c r="G1109" s="1778">
        <f>'Part VIII-Bldg Credit Alloc NC'!G159</f>
        <v>0</v>
      </c>
      <c r="H1109" s="1778">
        <f>'Part VIII-Bldg Credit Alloc NC'!H159</f>
        <v>0</v>
      </c>
      <c r="I1109" s="1778">
        <f>'Part VIII-Bldg Credit Alloc NC'!I159</f>
        <v>0</v>
      </c>
      <c r="J1109" s="1776">
        <f>'Part VIII-Bldg Credit Alloc NC'!J159</f>
        <v>0</v>
      </c>
      <c r="K1109" s="1778">
        <f>'Part VIII-Bldg Credit Alloc NC'!K159</f>
        <v>0</v>
      </c>
      <c r="L1109" s="1779" t="e">
        <f t="shared" si="423"/>
        <v>#DIV/0!</v>
      </c>
      <c r="M1109" s="1778" t="e">
        <f t="shared" si="424"/>
        <v>#DIV/0!</v>
      </c>
      <c r="N1109" s="1777">
        <f>'Part VIII-Bldg Credit Alloc NC'!N159</f>
        <v>0</v>
      </c>
      <c r="O1109" s="1779">
        <f>'Part VIII-Bldg Credit Alloc NC'!O159</f>
        <v>0</v>
      </c>
      <c r="P1109" s="1778" t="e">
        <f t="shared" si="425"/>
        <v>#DIV/0!</v>
      </c>
      <c r="Q1109" s="1778" t="e">
        <f t="shared" si="426"/>
        <v>#DIV/0!</v>
      </c>
      <c r="R1109" s="1778" t="e">
        <f t="shared" si="427"/>
        <v>#DIV/0!</v>
      </c>
    </row>
    <row r="1110" spans="1:18">
      <c r="A1110" s="1658">
        <f>'Part VIII-Bldg Credit Alloc NC'!A160</f>
        <v>0</v>
      </c>
      <c r="B1110" s="1658"/>
      <c r="C1110" s="1658"/>
      <c r="D1110" s="1777">
        <f>'Part VIII-Bldg Credit Alloc NC'!D160</f>
        <v>0</v>
      </c>
      <c r="E1110" s="1778">
        <f>'Part VIII-Bldg Credit Alloc NC'!E160</f>
        <v>0</v>
      </c>
      <c r="F1110" s="1778">
        <f>'Part VIII-Bldg Credit Alloc NC'!F160</f>
        <v>0</v>
      </c>
      <c r="G1110" s="1778">
        <f>'Part VIII-Bldg Credit Alloc NC'!G160</f>
        <v>0</v>
      </c>
      <c r="H1110" s="1778">
        <f>'Part VIII-Bldg Credit Alloc NC'!H160</f>
        <v>0</v>
      </c>
      <c r="I1110" s="1778">
        <f>'Part VIII-Bldg Credit Alloc NC'!I160</f>
        <v>0</v>
      </c>
      <c r="J1110" s="1776">
        <f>'Part VIII-Bldg Credit Alloc NC'!J160</f>
        <v>0</v>
      </c>
      <c r="K1110" s="1778">
        <f>'Part VIII-Bldg Credit Alloc NC'!K160</f>
        <v>0</v>
      </c>
      <c r="L1110" s="1779" t="e">
        <f t="shared" si="423"/>
        <v>#DIV/0!</v>
      </c>
      <c r="M1110" s="1778" t="e">
        <f t="shared" si="424"/>
        <v>#DIV/0!</v>
      </c>
      <c r="N1110" s="1777">
        <f>'Part VIII-Bldg Credit Alloc NC'!N160</f>
        <v>0</v>
      </c>
      <c r="O1110" s="1779">
        <f>'Part VIII-Bldg Credit Alloc NC'!O160</f>
        <v>0</v>
      </c>
      <c r="P1110" s="1778" t="e">
        <f t="shared" si="425"/>
        <v>#DIV/0!</v>
      </c>
      <c r="Q1110" s="1778" t="e">
        <f t="shared" si="426"/>
        <v>#DIV/0!</v>
      </c>
      <c r="R1110" s="1778" t="e">
        <f t="shared" si="427"/>
        <v>#DIV/0!</v>
      </c>
    </row>
    <row r="1111" spans="1:18">
      <c r="A1111" s="1658">
        <f>'Part VIII-Bldg Credit Alloc NC'!A161</f>
        <v>0</v>
      </c>
      <c r="B1111" s="1658"/>
      <c r="C1111" s="1658"/>
      <c r="D1111" s="1777">
        <f>'Part VIII-Bldg Credit Alloc NC'!D161</f>
        <v>0</v>
      </c>
      <c r="E1111" s="1778">
        <f>'Part VIII-Bldg Credit Alloc NC'!E161</f>
        <v>0</v>
      </c>
      <c r="F1111" s="1778">
        <f>'Part VIII-Bldg Credit Alloc NC'!F161</f>
        <v>0</v>
      </c>
      <c r="G1111" s="1778">
        <f>'Part VIII-Bldg Credit Alloc NC'!G161</f>
        <v>0</v>
      </c>
      <c r="H1111" s="1778">
        <f>'Part VIII-Bldg Credit Alloc NC'!H161</f>
        <v>0</v>
      </c>
      <c r="I1111" s="1778">
        <f>'Part VIII-Bldg Credit Alloc NC'!I161</f>
        <v>0</v>
      </c>
      <c r="J1111" s="1776">
        <f>'Part VIII-Bldg Credit Alloc NC'!J161</f>
        <v>0</v>
      </c>
      <c r="K1111" s="1778">
        <f>'Part VIII-Bldg Credit Alloc NC'!K161</f>
        <v>0</v>
      </c>
      <c r="L1111" s="1779" t="e">
        <f t="shared" si="423"/>
        <v>#DIV/0!</v>
      </c>
      <c r="M1111" s="1778" t="e">
        <f t="shared" si="424"/>
        <v>#DIV/0!</v>
      </c>
      <c r="N1111" s="1777">
        <f>'Part VIII-Bldg Credit Alloc NC'!N161</f>
        <v>0</v>
      </c>
      <c r="O1111" s="1779">
        <f>'Part VIII-Bldg Credit Alloc NC'!O161</f>
        <v>0</v>
      </c>
      <c r="P1111" s="1778" t="e">
        <f t="shared" si="425"/>
        <v>#DIV/0!</v>
      </c>
      <c r="Q1111" s="1778" t="e">
        <f t="shared" si="426"/>
        <v>#DIV/0!</v>
      </c>
      <c r="R1111" s="1778" t="e">
        <f t="shared" si="427"/>
        <v>#DIV/0!</v>
      </c>
    </row>
    <row r="1112" spans="1:18">
      <c r="A1112" s="1658">
        <f>'Part VIII-Bldg Credit Alloc NC'!A162</f>
        <v>0</v>
      </c>
      <c r="B1112" s="1658"/>
      <c r="C1112" s="1658"/>
      <c r="D1112" s="1777">
        <f>'Part VIII-Bldg Credit Alloc NC'!D162</f>
        <v>0</v>
      </c>
      <c r="E1112" s="1778">
        <f>'Part VIII-Bldg Credit Alloc NC'!E162</f>
        <v>0</v>
      </c>
      <c r="F1112" s="1778">
        <f>'Part VIII-Bldg Credit Alloc NC'!F162</f>
        <v>0</v>
      </c>
      <c r="G1112" s="1778">
        <f>'Part VIII-Bldg Credit Alloc NC'!G162</f>
        <v>0</v>
      </c>
      <c r="H1112" s="1778">
        <f>'Part VIII-Bldg Credit Alloc NC'!H162</f>
        <v>0</v>
      </c>
      <c r="I1112" s="1778">
        <f>'Part VIII-Bldg Credit Alloc NC'!I162</f>
        <v>0</v>
      </c>
      <c r="J1112" s="1776">
        <f>'Part VIII-Bldg Credit Alloc NC'!J162</f>
        <v>0</v>
      </c>
      <c r="K1112" s="1778">
        <f>'Part VIII-Bldg Credit Alloc NC'!K162</f>
        <v>0</v>
      </c>
      <c r="L1112" s="1779" t="e">
        <f t="shared" si="423"/>
        <v>#DIV/0!</v>
      </c>
      <c r="M1112" s="1778" t="e">
        <f t="shared" si="424"/>
        <v>#DIV/0!</v>
      </c>
      <c r="N1112" s="1777">
        <f>'Part VIII-Bldg Credit Alloc NC'!N162</f>
        <v>0</v>
      </c>
      <c r="O1112" s="1779">
        <f>'Part VIII-Bldg Credit Alloc NC'!O162</f>
        <v>0</v>
      </c>
      <c r="P1112" s="1778" t="e">
        <f t="shared" si="425"/>
        <v>#DIV/0!</v>
      </c>
      <c r="Q1112" s="1778" t="e">
        <f t="shared" si="426"/>
        <v>#DIV/0!</v>
      </c>
      <c r="R1112" s="1778" t="e">
        <f t="shared" si="427"/>
        <v>#DIV/0!</v>
      </c>
    </row>
    <row r="1113" spans="1:18">
      <c r="A1113" s="1658">
        <f>'Part VIII-Bldg Credit Alloc NC'!A163</f>
        <v>0</v>
      </c>
      <c r="B1113" s="1658"/>
      <c r="C1113" s="1658"/>
      <c r="D1113" s="1777">
        <f>'Part VIII-Bldg Credit Alloc NC'!D163</f>
        <v>0</v>
      </c>
      <c r="E1113" s="1778">
        <f>'Part VIII-Bldg Credit Alloc NC'!E163</f>
        <v>0</v>
      </c>
      <c r="F1113" s="1778">
        <f>'Part VIII-Bldg Credit Alloc NC'!F163</f>
        <v>0</v>
      </c>
      <c r="G1113" s="1778">
        <f>'Part VIII-Bldg Credit Alloc NC'!G163</f>
        <v>0</v>
      </c>
      <c r="H1113" s="1778">
        <f>'Part VIII-Bldg Credit Alloc NC'!H163</f>
        <v>0</v>
      </c>
      <c r="I1113" s="1778">
        <f>'Part VIII-Bldg Credit Alloc NC'!I163</f>
        <v>0</v>
      </c>
      <c r="J1113" s="1776">
        <f>'Part VIII-Bldg Credit Alloc NC'!J163</f>
        <v>0</v>
      </c>
      <c r="K1113" s="1778">
        <f>'Part VIII-Bldg Credit Alloc NC'!K163</f>
        <v>0</v>
      </c>
      <c r="L1113" s="1779" t="e">
        <f t="shared" si="423"/>
        <v>#DIV/0!</v>
      </c>
      <c r="M1113" s="1778" t="e">
        <f t="shared" si="424"/>
        <v>#DIV/0!</v>
      </c>
      <c r="N1113" s="1777">
        <f>'Part VIII-Bldg Credit Alloc NC'!N163</f>
        <v>0</v>
      </c>
      <c r="O1113" s="1779">
        <f>'Part VIII-Bldg Credit Alloc NC'!O163</f>
        <v>0</v>
      </c>
      <c r="P1113" s="1778" t="e">
        <f t="shared" si="425"/>
        <v>#DIV/0!</v>
      </c>
      <c r="Q1113" s="1778" t="e">
        <f t="shared" si="426"/>
        <v>#DIV/0!</v>
      </c>
      <c r="R1113" s="1778" t="e">
        <f t="shared" si="427"/>
        <v>#DIV/0!</v>
      </c>
    </row>
    <row r="1114" spans="1:18">
      <c r="A1114" s="1658">
        <f>'Part VIII-Bldg Credit Alloc NC'!A164</f>
        <v>0</v>
      </c>
      <c r="B1114" s="1658"/>
      <c r="C1114" s="1658"/>
      <c r="D1114" s="1777">
        <f>'Part VIII-Bldg Credit Alloc NC'!D164</f>
        <v>0</v>
      </c>
      <c r="E1114" s="1778">
        <f>'Part VIII-Bldg Credit Alloc NC'!E164</f>
        <v>0</v>
      </c>
      <c r="F1114" s="1778">
        <f>'Part VIII-Bldg Credit Alloc NC'!F164</f>
        <v>0</v>
      </c>
      <c r="G1114" s="1778">
        <f>'Part VIII-Bldg Credit Alloc NC'!G164</f>
        <v>0</v>
      </c>
      <c r="H1114" s="1778">
        <f>'Part VIII-Bldg Credit Alloc NC'!H164</f>
        <v>0</v>
      </c>
      <c r="I1114" s="1778">
        <f>'Part VIII-Bldg Credit Alloc NC'!I164</f>
        <v>0</v>
      </c>
      <c r="J1114" s="1776">
        <f>'Part VIII-Bldg Credit Alloc NC'!J164</f>
        <v>0</v>
      </c>
      <c r="K1114" s="1778">
        <f>'Part VIII-Bldg Credit Alloc NC'!K164</f>
        <v>0</v>
      </c>
      <c r="L1114" s="1779" t="e">
        <f t="shared" si="423"/>
        <v>#DIV/0!</v>
      </c>
      <c r="M1114" s="1778" t="e">
        <f t="shared" si="424"/>
        <v>#DIV/0!</v>
      </c>
      <c r="N1114" s="1777">
        <f>'Part VIII-Bldg Credit Alloc NC'!N164</f>
        <v>0</v>
      </c>
      <c r="O1114" s="1779">
        <f>'Part VIII-Bldg Credit Alloc NC'!O164</f>
        <v>0</v>
      </c>
      <c r="P1114" s="1778" t="e">
        <f t="shared" si="425"/>
        <v>#DIV/0!</v>
      </c>
      <c r="Q1114" s="1778" t="e">
        <f t="shared" si="426"/>
        <v>#DIV/0!</v>
      </c>
      <c r="R1114" s="1778" t="e">
        <f t="shared" si="427"/>
        <v>#DIV/0!</v>
      </c>
    </row>
    <row r="1115" spans="1:18">
      <c r="A1115" s="1658">
        <f>'Part VIII-Bldg Credit Alloc NC'!A165</f>
        <v>0</v>
      </c>
      <c r="B1115" s="1658"/>
      <c r="C1115" s="1658"/>
      <c r="D1115" s="1777">
        <f>'Part VIII-Bldg Credit Alloc NC'!D165</f>
        <v>0</v>
      </c>
      <c r="E1115" s="1778">
        <f>'Part VIII-Bldg Credit Alloc NC'!E165</f>
        <v>0</v>
      </c>
      <c r="F1115" s="1778">
        <f>'Part VIII-Bldg Credit Alloc NC'!F165</f>
        <v>0</v>
      </c>
      <c r="G1115" s="1778">
        <f>'Part VIII-Bldg Credit Alloc NC'!G165</f>
        <v>0</v>
      </c>
      <c r="H1115" s="1778">
        <f>'Part VIII-Bldg Credit Alloc NC'!H165</f>
        <v>0</v>
      </c>
      <c r="I1115" s="1778">
        <f>'Part VIII-Bldg Credit Alloc NC'!I165</f>
        <v>0</v>
      </c>
      <c r="J1115" s="1776">
        <f>'Part VIII-Bldg Credit Alloc NC'!J165</f>
        <v>0</v>
      </c>
      <c r="K1115" s="1778">
        <f>'Part VIII-Bldg Credit Alloc NC'!K165</f>
        <v>0</v>
      </c>
      <c r="L1115" s="1779" t="e">
        <f t="shared" si="423"/>
        <v>#DIV/0!</v>
      </c>
      <c r="M1115" s="1778" t="e">
        <f t="shared" si="424"/>
        <v>#DIV/0!</v>
      </c>
      <c r="N1115" s="1777">
        <f>'Part VIII-Bldg Credit Alloc NC'!N165</f>
        <v>0</v>
      </c>
      <c r="O1115" s="1779">
        <f>'Part VIII-Bldg Credit Alloc NC'!O165</f>
        <v>0</v>
      </c>
      <c r="P1115" s="1778" t="e">
        <f t="shared" si="425"/>
        <v>#DIV/0!</v>
      </c>
      <c r="Q1115" s="1778" t="e">
        <f t="shared" si="426"/>
        <v>#DIV/0!</v>
      </c>
      <c r="R1115" s="1778" t="e">
        <f t="shared" si="427"/>
        <v>#DIV/0!</v>
      </c>
    </row>
    <row r="1116" spans="1:18">
      <c r="A1116" s="1658">
        <f>'Part VIII-Bldg Credit Alloc NC'!A166</f>
        <v>0</v>
      </c>
      <c r="B1116" s="1658"/>
      <c r="C1116" s="1658"/>
      <c r="D1116" s="1777">
        <f>'Part VIII-Bldg Credit Alloc NC'!D166</f>
        <v>0</v>
      </c>
      <c r="E1116" s="1778">
        <f>'Part VIII-Bldg Credit Alloc NC'!E166</f>
        <v>0</v>
      </c>
      <c r="F1116" s="1778">
        <f>'Part VIII-Bldg Credit Alloc NC'!F166</f>
        <v>0</v>
      </c>
      <c r="G1116" s="1778">
        <f>'Part VIII-Bldg Credit Alloc NC'!G166</f>
        <v>0</v>
      </c>
      <c r="H1116" s="1778">
        <f>'Part VIII-Bldg Credit Alloc NC'!H166</f>
        <v>0</v>
      </c>
      <c r="I1116" s="1778">
        <f>'Part VIII-Bldg Credit Alloc NC'!I166</f>
        <v>0</v>
      </c>
      <c r="J1116" s="1776">
        <f>'Part VIII-Bldg Credit Alloc NC'!J166</f>
        <v>0</v>
      </c>
      <c r="K1116" s="1778">
        <f>'Part VIII-Bldg Credit Alloc NC'!K166</f>
        <v>0</v>
      </c>
      <c r="L1116" s="1779" t="e">
        <f t="shared" si="423"/>
        <v>#DIV/0!</v>
      </c>
      <c r="M1116" s="1778" t="e">
        <f t="shared" si="424"/>
        <v>#DIV/0!</v>
      </c>
      <c r="N1116" s="1777">
        <f>'Part VIII-Bldg Credit Alloc NC'!N166</f>
        <v>0</v>
      </c>
      <c r="O1116" s="1779">
        <f>'Part VIII-Bldg Credit Alloc NC'!O166</f>
        <v>0</v>
      </c>
      <c r="P1116" s="1778" t="e">
        <f t="shared" si="425"/>
        <v>#DIV/0!</v>
      </c>
      <c r="Q1116" s="1778" t="e">
        <f t="shared" si="426"/>
        <v>#DIV/0!</v>
      </c>
      <c r="R1116" s="1778" t="e">
        <f>IF(P1116="","",ROUND(P1116,0))</f>
        <v>#DIV/0!</v>
      </c>
    </row>
    <row r="1117" spans="1:18">
      <c r="A1117" s="1658">
        <f>'Part VIII-Bldg Credit Alloc NC'!A167</f>
        <v>0</v>
      </c>
      <c r="B1117" s="1658"/>
      <c r="C1117" s="1658"/>
      <c r="D1117" s="1777">
        <f>'Part VIII-Bldg Credit Alloc NC'!D167</f>
        <v>0</v>
      </c>
      <c r="E1117" s="1778">
        <f>'Part VIII-Bldg Credit Alloc NC'!E167</f>
        <v>0</v>
      </c>
      <c r="F1117" s="1778">
        <f>'Part VIII-Bldg Credit Alloc NC'!F167</f>
        <v>0</v>
      </c>
      <c r="G1117" s="1778">
        <f>'Part VIII-Bldg Credit Alloc NC'!G167</f>
        <v>0</v>
      </c>
      <c r="H1117" s="1778">
        <f>'Part VIII-Bldg Credit Alloc NC'!H167</f>
        <v>0</v>
      </c>
      <c r="I1117" s="1778">
        <f>'Part VIII-Bldg Credit Alloc NC'!I167</f>
        <v>0</v>
      </c>
      <c r="J1117" s="1776">
        <f>'Part VIII-Bldg Credit Alloc NC'!J167</f>
        <v>0</v>
      </c>
      <c r="K1117" s="1778">
        <f>'Part VIII-Bldg Credit Alloc NC'!K167</f>
        <v>0</v>
      </c>
      <c r="L1117" s="1779" t="e">
        <f t="shared" si="423"/>
        <v>#DIV/0!</v>
      </c>
      <c r="M1117" s="1778" t="e">
        <f t="shared" si="424"/>
        <v>#DIV/0!</v>
      </c>
      <c r="N1117" s="1777">
        <f>'Part VIII-Bldg Credit Alloc NC'!N167</f>
        <v>0</v>
      </c>
      <c r="O1117" s="1779">
        <f>'Part VIII-Bldg Credit Alloc NC'!O167</f>
        <v>0</v>
      </c>
      <c r="P1117" s="1778" t="e">
        <f t="shared" si="425"/>
        <v>#DIV/0!</v>
      </c>
      <c r="Q1117" s="1778" t="e">
        <f t="shared" si="426"/>
        <v>#DIV/0!</v>
      </c>
      <c r="R1117" s="1778" t="e">
        <f t="shared" si="427"/>
        <v>#DIV/0!</v>
      </c>
    </row>
    <row r="1118" spans="1:18">
      <c r="A1118" s="1658">
        <f>'Part VIII-Bldg Credit Alloc NC'!A168</f>
        <v>0</v>
      </c>
      <c r="B1118" s="1658"/>
      <c r="C1118" s="1658"/>
      <c r="D1118" s="1777">
        <f>'Part VIII-Bldg Credit Alloc NC'!D168</f>
        <v>0</v>
      </c>
      <c r="E1118" s="1778">
        <f>'Part VIII-Bldg Credit Alloc NC'!E168</f>
        <v>0</v>
      </c>
      <c r="F1118" s="1778">
        <f>'Part VIII-Bldg Credit Alloc NC'!F168</f>
        <v>0</v>
      </c>
      <c r="G1118" s="1778">
        <f>'Part VIII-Bldg Credit Alloc NC'!G168</f>
        <v>0</v>
      </c>
      <c r="H1118" s="1778">
        <f>'Part VIII-Bldg Credit Alloc NC'!H168</f>
        <v>0</v>
      </c>
      <c r="I1118" s="1778">
        <f>'Part VIII-Bldg Credit Alloc NC'!I168</f>
        <v>0</v>
      </c>
      <c r="J1118" s="1776">
        <f>'Part VIII-Bldg Credit Alloc NC'!J168</f>
        <v>0</v>
      </c>
      <c r="K1118" s="1778">
        <f>'Part VIII-Bldg Credit Alloc NC'!K168</f>
        <v>0</v>
      </c>
      <c r="L1118" s="1779" t="e">
        <f t="shared" si="423"/>
        <v>#DIV/0!</v>
      </c>
      <c r="M1118" s="1778" t="e">
        <f t="shared" si="424"/>
        <v>#DIV/0!</v>
      </c>
      <c r="N1118" s="1777">
        <f>'Part VIII-Bldg Credit Alloc NC'!N168</f>
        <v>0</v>
      </c>
      <c r="O1118" s="1779">
        <f>'Part VIII-Bldg Credit Alloc NC'!O168</f>
        <v>0</v>
      </c>
      <c r="P1118" s="1778" t="e">
        <f t="shared" si="425"/>
        <v>#DIV/0!</v>
      </c>
      <c r="Q1118" s="1778" t="e">
        <f t="shared" si="426"/>
        <v>#DIV/0!</v>
      </c>
      <c r="R1118" s="1778" t="e">
        <f t="shared" si="427"/>
        <v>#DIV/0!</v>
      </c>
    </row>
    <row r="1119" spans="1:18">
      <c r="A1119" s="1658">
        <f>'Part VIII-Bldg Credit Alloc NC'!A169</f>
        <v>0</v>
      </c>
      <c r="B1119" s="1658"/>
      <c r="C1119" s="1658"/>
      <c r="D1119" s="1777">
        <f>'Part VIII-Bldg Credit Alloc NC'!D169</f>
        <v>0</v>
      </c>
      <c r="E1119" s="1778">
        <f>'Part VIII-Bldg Credit Alloc NC'!E169</f>
        <v>0</v>
      </c>
      <c r="F1119" s="1778">
        <f>'Part VIII-Bldg Credit Alloc NC'!F169</f>
        <v>0</v>
      </c>
      <c r="G1119" s="1778">
        <f>'Part VIII-Bldg Credit Alloc NC'!G169</f>
        <v>0</v>
      </c>
      <c r="H1119" s="1778">
        <f>'Part VIII-Bldg Credit Alloc NC'!H169</f>
        <v>0</v>
      </c>
      <c r="I1119" s="1778">
        <f>'Part VIII-Bldg Credit Alloc NC'!I169</f>
        <v>0</v>
      </c>
      <c r="J1119" s="1776">
        <f>'Part VIII-Bldg Credit Alloc NC'!J169</f>
        <v>0</v>
      </c>
      <c r="K1119" s="1778">
        <f>'Part VIII-Bldg Credit Alloc NC'!K169</f>
        <v>0</v>
      </c>
      <c r="L1119" s="1779" t="e">
        <f t="shared" si="423"/>
        <v>#DIV/0!</v>
      </c>
      <c r="M1119" s="1778" t="e">
        <f t="shared" si="424"/>
        <v>#DIV/0!</v>
      </c>
      <c r="N1119" s="1777">
        <f>'Part VIII-Bldg Credit Alloc NC'!N169</f>
        <v>0</v>
      </c>
      <c r="O1119" s="1779">
        <f>'Part VIII-Bldg Credit Alloc NC'!O169</f>
        <v>0</v>
      </c>
      <c r="P1119" s="1778" t="e">
        <f t="shared" si="425"/>
        <v>#DIV/0!</v>
      </c>
      <c r="Q1119" s="1778" t="e">
        <f t="shared" si="426"/>
        <v>#DIV/0!</v>
      </c>
      <c r="R1119" s="1778" t="e">
        <f t="shared" si="427"/>
        <v>#DIV/0!</v>
      </c>
    </row>
    <row r="1120" spans="1:18">
      <c r="A1120" s="1658">
        <f>'Part VIII-Bldg Credit Alloc NC'!A170</f>
        <v>0</v>
      </c>
      <c r="B1120" s="1658"/>
      <c r="C1120" s="1658"/>
      <c r="D1120" s="1777">
        <f>'Part VIII-Bldg Credit Alloc NC'!D170</f>
        <v>0</v>
      </c>
      <c r="E1120" s="1778">
        <f>'Part VIII-Bldg Credit Alloc NC'!E170</f>
        <v>0</v>
      </c>
      <c r="F1120" s="1778">
        <f>'Part VIII-Bldg Credit Alloc NC'!F170</f>
        <v>0</v>
      </c>
      <c r="G1120" s="1778">
        <f>'Part VIII-Bldg Credit Alloc NC'!G170</f>
        <v>0</v>
      </c>
      <c r="H1120" s="1778">
        <f>'Part VIII-Bldg Credit Alloc NC'!H170</f>
        <v>0</v>
      </c>
      <c r="I1120" s="1778">
        <f>'Part VIII-Bldg Credit Alloc NC'!I170</f>
        <v>0</v>
      </c>
      <c r="J1120" s="1776">
        <f>'Part VIII-Bldg Credit Alloc NC'!J170</f>
        <v>0</v>
      </c>
      <c r="K1120" s="1778">
        <f>'Part VIII-Bldg Credit Alloc NC'!K170</f>
        <v>0</v>
      </c>
      <c r="L1120" s="1779" t="e">
        <f t="shared" si="423"/>
        <v>#DIV/0!</v>
      </c>
      <c r="M1120" s="1778" t="e">
        <f t="shared" si="424"/>
        <v>#DIV/0!</v>
      </c>
      <c r="N1120" s="1777">
        <f>'Part VIII-Bldg Credit Alloc NC'!N170</f>
        <v>0</v>
      </c>
      <c r="O1120" s="1779">
        <f>'Part VIII-Bldg Credit Alloc NC'!O170</f>
        <v>0</v>
      </c>
      <c r="P1120" s="1778" t="e">
        <f t="shared" si="425"/>
        <v>#DIV/0!</v>
      </c>
      <c r="Q1120" s="1778" t="e">
        <f t="shared" si="426"/>
        <v>#DIV/0!</v>
      </c>
      <c r="R1120" s="1778" t="e">
        <f t="shared" si="427"/>
        <v>#DIV/0!</v>
      </c>
    </row>
    <row r="1121" spans="1:18">
      <c r="A1121" s="1715" t="s">
        <v>3693</v>
      </c>
      <c r="B1121" s="1780"/>
      <c r="C1121" s="1780"/>
      <c r="D1121" s="1777"/>
      <c r="E1121" s="1778">
        <f>SUM(E1088:E1120)</f>
        <v>0</v>
      </c>
      <c r="F1121" s="1778">
        <f>SUM(F1088:F1120)</f>
        <v>0</v>
      </c>
      <c r="G1121" s="1778">
        <f>SUM(G1088:G1120)</f>
        <v>0</v>
      </c>
      <c r="H1121" s="1778">
        <f>SUM(H1088:H1120)</f>
        <v>0</v>
      </c>
      <c r="I1121" s="1778">
        <f>SUM(I1088:I1120)</f>
        <v>0</v>
      </c>
      <c r="J1121" s="1658"/>
      <c r="K1121" s="1778">
        <f>SUM(K1088:K1120)</f>
        <v>0</v>
      </c>
      <c r="L1121" s="1779"/>
      <c r="M1121" s="1778" t="e">
        <f>SUM(M1088:M1120)</f>
        <v>#DIV/0!</v>
      </c>
      <c r="N1121" s="1777"/>
      <c r="O1121" s="1779"/>
      <c r="P1121" s="1778" t="e">
        <f>SUM(P1088:P1120)</f>
        <v>#DIV/0!</v>
      </c>
      <c r="Q1121" s="1778" t="e">
        <f>SUM(Q1088:Q1120)</f>
        <v>#DIV/0!</v>
      </c>
      <c r="R1121" s="1778" t="e">
        <f>SUM(R1088:R1120)</f>
        <v>#DIV/0!</v>
      </c>
    </row>
    <row r="1122" spans="1:18">
      <c r="A1122" s="1186"/>
      <c r="B1122" s="1780"/>
      <c r="C1122" s="1780"/>
      <c r="D1122" s="1777"/>
      <c r="E1122" s="1778"/>
      <c r="F1122" s="1778"/>
      <c r="G1122" s="1778"/>
      <c r="H1122" s="1778"/>
      <c r="I1122" s="1778"/>
      <c r="J1122" s="1658"/>
      <c r="K1122" s="1778"/>
      <c r="L1122" s="1779"/>
      <c r="M1122" s="1778"/>
      <c r="N1122" s="1777"/>
      <c r="O1122" s="1779"/>
      <c r="P1122" s="1778"/>
      <c r="Q1122" s="1778"/>
      <c r="R1122" s="1778"/>
    </row>
    <row r="1123" spans="1:18">
      <c r="A1123" s="1523" t="str">
        <f>"GRAND TOTALS - "&amp;C954</f>
        <v>GRAND TOTALS - New Construction</v>
      </c>
      <c r="B1123" s="1780"/>
      <c r="C1123" s="1781"/>
      <c r="D1123" s="1777"/>
      <c r="E1123" s="1778">
        <f>E995+E1039+E1081+E1121</f>
        <v>0</v>
      </c>
      <c r="F1123" s="1778">
        <f t="shared" ref="F1123:M1123" si="428">F995+F1039+F1081+F1121</f>
        <v>0</v>
      </c>
      <c r="G1123" s="1778">
        <f t="shared" si="428"/>
        <v>0</v>
      </c>
      <c r="H1123" s="1778">
        <f t="shared" si="428"/>
        <v>0</v>
      </c>
      <c r="I1123" s="1778">
        <f t="shared" si="428"/>
        <v>0</v>
      </c>
      <c r="J1123" s="1658"/>
      <c r="K1123" s="1778">
        <f t="shared" si="428"/>
        <v>0</v>
      </c>
      <c r="L1123" s="1779"/>
      <c r="M1123" s="1778" t="e">
        <f t="shared" si="428"/>
        <v>#DIV/0!</v>
      </c>
      <c r="N1123" s="1777"/>
      <c r="O1123" s="1779"/>
      <c r="P1123" s="1778" t="e">
        <f t="shared" ref="P1123:R1123" si="429">P995+P1039+P1081+P1121</f>
        <v>#DIV/0!</v>
      </c>
      <c r="Q1123" s="1778" t="e">
        <f t="shared" si="429"/>
        <v>#DIV/0!</v>
      </c>
      <c r="R1123" s="1778" t="e">
        <f t="shared" si="429"/>
        <v>#DIV/0!</v>
      </c>
    </row>
    <row r="1124" spans="1:18">
      <c r="A1124" s="1780"/>
      <c r="B1124" s="1780"/>
      <c r="C1124" s="1780"/>
      <c r="D1124" s="1777"/>
      <c r="E1124" s="1778"/>
      <c r="F1124" s="1778"/>
      <c r="G1124" s="1778"/>
      <c r="H1124" s="1778"/>
      <c r="I1124" s="1778"/>
      <c r="J1124" s="1658"/>
      <c r="K1124" s="1778"/>
      <c r="L1124" s="1779"/>
      <c r="M1124" s="1778"/>
      <c r="N1124" s="1777"/>
      <c r="O1124" s="1779"/>
      <c r="P1124" s="1778"/>
      <c r="Q1124" s="1778"/>
      <c r="R1124" s="1778"/>
    </row>
    <row r="1125" spans="1:18">
      <c r="A1125" s="1154" t="s">
        <v>687</v>
      </c>
      <c r="B1125" s="1154" t="s">
        <v>3158</v>
      </c>
      <c r="C1125" s="1154"/>
      <c r="D1125" s="1154"/>
      <c r="E1125" s="1154"/>
      <c r="F1125" s="1154"/>
      <c r="G1125" s="1154"/>
      <c r="H1125" s="1715" t="s">
        <v>3128</v>
      </c>
      <c r="I1125" s="1656"/>
      <c r="J1125" s="1771" t="str">
        <f>C954</f>
        <v>New Construction</v>
      </c>
      <c r="K1125" s="1781"/>
      <c r="L1125" s="1781"/>
      <c r="M1125" s="1186"/>
      <c r="N1125" s="1186"/>
      <c r="O1125" s="1186"/>
      <c r="P1125" s="1186"/>
      <c r="Q1125" s="1186"/>
      <c r="R1125" s="1186"/>
    </row>
    <row r="1126" spans="1:18">
      <c r="A1126" s="1154"/>
      <c r="B1126" s="1518"/>
      <c r="C1126" s="1154"/>
      <c r="D1126" s="1154"/>
      <c r="E1126" s="1154"/>
      <c r="F1126" s="1154"/>
      <c r="G1126" s="1154"/>
      <c r="H1126" s="1154"/>
      <c r="I1126" s="1154"/>
      <c r="J1126" s="1154"/>
      <c r="K1126" s="1154"/>
      <c r="L1126" s="1186"/>
      <c r="M1126" s="1186"/>
      <c r="N1126" s="1186"/>
      <c r="O1126" s="1186"/>
      <c r="P1126" s="1186"/>
      <c r="Q1126" s="1186"/>
      <c r="R1126" s="1186"/>
    </row>
    <row r="1127" spans="1:18">
      <c r="A1127" s="1782">
        <f>'Part VIII-Bldg Credit Alloc NC'!A177</f>
        <v>0</v>
      </c>
      <c r="B1127" s="1782"/>
      <c r="C1127" s="1782"/>
      <c r="D1127" s="1782"/>
      <c r="E1127" s="1782"/>
      <c r="F1127" s="1782"/>
      <c r="G1127" s="1782"/>
      <c r="H1127" s="1782"/>
      <c r="I1127" s="1782"/>
      <c r="J1127" s="1782"/>
      <c r="K1127" s="1782"/>
      <c r="L1127" s="1782"/>
      <c r="M1127" s="1782"/>
      <c r="N1127" s="1782"/>
      <c r="O1127" s="1782"/>
      <c r="P1127" s="1782"/>
      <c r="Q1127" s="1782"/>
      <c r="R1127" s="1782"/>
    </row>
    <row r="1128" spans="1:18">
      <c r="A1128" s="1782"/>
      <c r="B1128" s="1782"/>
      <c r="C1128" s="1782"/>
      <c r="D1128" s="1782"/>
      <c r="E1128" s="1782"/>
      <c r="F1128" s="1782"/>
      <c r="G1128" s="1782"/>
      <c r="H1128" s="1782"/>
      <c r="I1128" s="1782"/>
      <c r="J1128" s="1782"/>
      <c r="K1128" s="1782"/>
      <c r="L1128" s="1782"/>
      <c r="M1128" s="1782"/>
      <c r="N1128" s="1782"/>
      <c r="O1128" s="1782"/>
      <c r="P1128" s="1782"/>
      <c r="Q1128" s="1782"/>
      <c r="R1128" s="1782"/>
    </row>
    <row r="1129" spans="1:18">
      <c r="A1129" s="1782"/>
      <c r="B1129" s="1782"/>
      <c r="C1129" s="1782"/>
      <c r="D1129" s="1782"/>
      <c r="E1129" s="1782"/>
      <c r="F1129" s="1782"/>
      <c r="G1129" s="1782"/>
      <c r="H1129" s="1782"/>
      <c r="I1129" s="1782"/>
      <c r="J1129" s="1782"/>
      <c r="K1129" s="1782"/>
      <c r="L1129" s="1782"/>
      <c r="M1129" s="1782"/>
      <c r="N1129" s="1782"/>
      <c r="O1129" s="1782"/>
      <c r="P1129" s="1782"/>
      <c r="Q1129" s="1782"/>
      <c r="R1129" s="1782"/>
    </row>
    <row r="1130" spans="1:18">
      <c r="A1130" s="1782"/>
      <c r="B1130" s="1782"/>
      <c r="C1130" s="1782"/>
      <c r="D1130" s="1782"/>
      <c r="E1130" s="1782"/>
      <c r="F1130" s="1782"/>
      <c r="G1130" s="1782"/>
      <c r="H1130" s="1782"/>
      <c r="I1130" s="1782"/>
      <c r="J1130" s="1782"/>
      <c r="K1130" s="1782"/>
      <c r="L1130" s="1782"/>
      <c r="M1130" s="1782"/>
      <c r="N1130" s="1782"/>
      <c r="O1130" s="1782"/>
      <c r="P1130" s="1782"/>
      <c r="Q1130" s="1782"/>
      <c r="R1130" s="1782"/>
    </row>
    <row r="1131" spans="1:18">
      <c r="A1131" s="1596"/>
      <c r="B1131" s="1596"/>
      <c r="C1131" s="1596"/>
      <c r="D1131" s="1596"/>
      <c r="E1131" s="1596"/>
      <c r="F1131" s="1596"/>
      <c r="G1131" s="1596"/>
      <c r="H1131" s="1596"/>
      <c r="I1131" s="1596"/>
      <c r="J1131" s="1596"/>
      <c r="K1131" s="1596"/>
      <c r="L1131" s="1596"/>
      <c r="M1131" s="1596"/>
      <c r="N1131" s="1596"/>
      <c r="O1131" s="1596"/>
      <c r="P1131" s="1596"/>
      <c r="Q1131" s="1596"/>
      <c r="R1131" s="1596"/>
    </row>
    <row r="1132" spans="1:18">
      <c r="A1132" s="1167" t="str">
        <f>CONCATENATE("PART EIGHT - BUILDING BY BUILDING CREDIT ALLOCATION - ",$C$4,"  -  ",'Part I-Project Information'!$D$4," - ",'Part I-Project Information'!$O$4)</f>
        <v>PART EIGHT - BUILDING BY BUILDING CREDIT ALLOCATION -   -   - 20##-###</v>
      </c>
      <c r="B1132" s="1167"/>
      <c r="C1132" s="1167"/>
      <c r="D1132" s="1167"/>
      <c r="E1132" s="1167"/>
      <c r="F1132" s="1167"/>
      <c r="G1132" s="1167"/>
      <c r="H1132" s="1167"/>
      <c r="I1132" s="1167"/>
      <c r="J1132" s="1167"/>
      <c r="K1132" s="1167"/>
      <c r="L1132" s="1167"/>
      <c r="M1132" s="1167"/>
      <c r="N1132" s="1167"/>
      <c r="O1132" s="1167"/>
      <c r="P1132" s="1167"/>
      <c r="Q1132" s="1167"/>
      <c r="R1132" s="1167"/>
    </row>
    <row r="1133" spans="1:18">
      <c r="A1133" s="1167"/>
      <c r="B1133" s="1167"/>
      <c r="C1133" s="1167"/>
      <c r="D1133" s="1167"/>
      <c r="E1133" s="1167"/>
      <c r="F1133" s="1167"/>
      <c r="G1133" s="1167"/>
      <c r="H1133" s="1167"/>
      <c r="I1133" s="1167"/>
      <c r="J1133" s="1167"/>
      <c r="K1133" s="1167"/>
      <c r="L1133" s="1167"/>
      <c r="M1133" s="1712"/>
      <c r="N1133" s="1712"/>
      <c r="O1133" s="1712"/>
      <c r="P1133" s="1712"/>
      <c r="Q1133" s="1712"/>
      <c r="R1133" s="1712"/>
    </row>
    <row r="1134" spans="1:18">
      <c r="A1134" s="1168" t="s">
        <v>3125</v>
      </c>
      <c r="B1134" s="1167"/>
      <c r="C1134" s="1769">
        <f>'Part VIII-Bldg Credit Alloc SR'!C3</f>
        <v>0</v>
      </c>
      <c r="D1134" s="1769"/>
      <c r="E1134" s="1712"/>
      <c r="F1134" s="1168" t="s">
        <v>3126</v>
      </c>
      <c r="G1134" s="1712"/>
      <c r="H1134" s="1712"/>
      <c r="I1134" s="1769">
        <f>'Part VIII-Bldg Credit Alloc SR'!I3</f>
        <v>0</v>
      </c>
      <c r="J1134" s="1769"/>
      <c r="K1134" s="1712"/>
      <c r="L1134" s="1168" t="s">
        <v>3127</v>
      </c>
      <c r="M1134" s="1168" t="str">
        <f>'Part VIII-Bldg Credit Alloc SR'!M3</f>
        <v>Peachtree Corners, GA, Gwinnett County</v>
      </c>
      <c r="N1134" s="1168"/>
      <c r="O1134" s="1168"/>
      <c r="P1134" s="1168"/>
      <c r="Q1134" s="1168"/>
      <c r="R1134" s="1168"/>
    </row>
    <row r="1135" spans="1:18">
      <c r="A1135" s="1168" t="s">
        <v>3128</v>
      </c>
      <c r="B1135" s="1518"/>
      <c r="C1135" s="1771" t="str">
        <f>'Part VIII-Bldg Credit Alloc SR'!C4</f>
        <v>Rehabilitation</v>
      </c>
      <c r="D1135" s="1771"/>
      <c r="E1135" s="1771"/>
      <c r="F1135" s="1712" t="str">
        <f>IF(NOT(OR(C1135="New Construction",C1135="Rehabilitation",C1135="Acquisition")),"   &lt;-- PLEASE SELECT TYPE OF ACTIVITY FOR THIS PAGE BEFORE PROCEEDING!","")</f>
        <v/>
      </c>
      <c r="G1135" s="1712"/>
      <c r="H1135" s="1712"/>
      <c r="I1135" s="1712"/>
      <c r="J1135" s="1712"/>
      <c r="K1135" s="1712"/>
      <c r="L1135" s="1712"/>
      <c r="M1135" s="1712"/>
      <c r="N1135" s="1712"/>
      <c r="O1135" s="1712"/>
      <c r="P1135" s="1712"/>
      <c r="Q1135" s="1712"/>
      <c r="R1135" s="1712"/>
    </row>
    <row r="1136" spans="1:18">
      <c r="A1136" s="1712" t="s">
        <v>3129</v>
      </c>
      <c r="B1136" s="1712"/>
      <c r="C1136" s="1712"/>
      <c r="D1136" s="1712"/>
      <c r="E1136" s="1712"/>
      <c r="F1136" s="1712"/>
      <c r="G1136" s="1712"/>
      <c r="H1136" s="1712"/>
      <c r="I1136" s="1712"/>
      <c r="J1136" s="1712"/>
      <c r="K1136" s="1712"/>
      <c r="L1136" s="1712"/>
      <c r="M1136" s="1712"/>
      <c r="N1136" s="1712"/>
      <c r="O1136" s="1712"/>
      <c r="P1136" s="1712"/>
      <c r="Q1136" s="1712"/>
      <c r="R1136" s="1712"/>
    </row>
    <row r="1137" spans="1:18" ht="13.5" customHeight="1">
      <c r="A1137" s="1746"/>
      <c r="B1137" s="1658"/>
      <c r="C1137" s="1658"/>
      <c r="D1137" s="1746"/>
      <c r="E1137" s="1746" t="s">
        <v>503</v>
      </c>
      <c r="F1137" s="1746" t="s">
        <v>503</v>
      </c>
      <c r="G1137" s="1746" t="s">
        <v>477</v>
      </c>
      <c r="H1137" s="1746" t="s">
        <v>3130</v>
      </c>
      <c r="I1137" s="1746"/>
      <c r="J1137" s="1746"/>
      <c r="K1137" s="1746"/>
      <c r="L1137" s="1746"/>
      <c r="M1137" s="1746"/>
      <c r="N1137" s="1746" t="s">
        <v>861</v>
      </c>
      <c r="O1137" s="1746"/>
      <c r="P1137" s="1746"/>
      <c r="Q1137" s="1774" t="s">
        <v>3719</v>
      </c>
      <c r="R1137" s="1774"/>
    </row>
    <row r="1138" spans="1:18" ht="13.5">
      <c r="A1138" s="1746"/>
      <c r="B1138" s="1658"/>
      <c r="C1138" s="1658"/>
      <c r="D1138" s="1746" t="s">
        <v>496</v>
      </c>
      <c r="E1138" s="1783" t="s">
        <v>152</v>
      </c>
      <c r="F1138" s="1746" t="s">
        <v>3132</v>
      </c>
      <c r="G1138" s="1746" t="s">
        <v>3133</v>
      </c>
      <c r="H1138" s="1746" t="s">
        <v>3134</v>
      </c>
      <c r="I1138" s="1746" t="s">
        <v>3135</v>
      </c>
      <c r="J1138" s="1692" t="s">
        <v>3136</v>
      </c>
      <c r="K1138" s="1746" t="s">
        <v>3135</v>
      </c>
      <c r="L1138" s="1746" t="s">
        <v>3135</v>
      </c>
      <c r="M1138" s="1746" t="s">
        <v>3135</v>
      </c>
      <c r="N1138" s="1746" t="s">
        <v>3137</v>
      </c>
      <c r="O1138" s="1746" t="s">
        <v>3138</v>
      </c>
      <c r="P1138" s="1746" t="s">
        <v>3139</v>
      </c>
      <c r="Q1138" s="1774"/>
      <c r="R1138" s="1774"/>
    </row>
    <row r="1139" spans="1:18" ht="13.5">
      <c r="A1139" s="1746"/>
      <c r="B1139" s="1658"/>
      <c r="C1139" s="1658"/>
      <c r="D1139" s="1746" t="s">
        <v>3140</v>
      </c>
      <c r="E1139" s="1746" t="s">
        <v>3141</v>
      </c>
      <c r="F1139" s="1746" t="s">
        <v>3110</v>
      </c>
      <c r="G1139" s="1746" t="s">
        <v>3134</v>
      </c>
      <c r="H1139" s="1746" t="s">
        <v>3110</v>
      </c>
      <c r="I1139" s="1746" t="s">
        <v>3142</v>
      </c>
      <c r="J1139" s="1692"/>
      <c r="K1139" s="1746" t="s">
        <v>3143</v>
      </c>
      <c r="L1139" s="1746" t="s">
        <v>3144</v>
      </c>
      <c r="M1139" s="1746" t="s">
        <v>3145</v>
      </c>
      <c r="N1139" s="1746" t="s">
        <v>3146</v>
      </c>
      <c r="O1139" s="1746" t="s">
        <v>3147</v>
      </c>
      <c r="P1139" s="1746" t="s">
        <v>3147</v>
      </c>
      <c r="Q1139" s="1746" t="s">
        <v>3135</v>
      </c>
      <c r="R1139" s="1746" t="s">
        <v>3148</v>
      </c>
    </row>
    <row r="1140" spans="1:18" ht="13.5">
      <c r="A1140" s="1746" t="s">
        <v>3149</v>
      </c>
      <c r="B1140" s="1658"/>
      <c r="C1140" s="1658"/>
      <c r="D1140" s="1746" t="s">
        <v>3150</v>
      </c>
      <c r="E1140" s="1746" t="s">
        <v>3151</v>
      </c>
      <c r="F1140" s="1746" t="s">
        <v>3152</v>
      </c>
      <c r="G1140" s="1746" t="s">
        <v>3151</v>
      </c>
      <c r="H1140" s="1746" t="s">
        <v>3152</v>
      </c>
      <c r="I1140" s="1746" t="s">
        <v>3153</v>
      </c>
      <c r="J1140" s="1658" t="s">
        <v>3154</v>
      </c>
      <c r="K1140" s="1746" t="s">
        <v>3153</v>
      </c>
      <c r="L1140" s="1746" t="s">
        <v>3155</v>
      </c>
      <c r="M1140" s="1746" t="s">
        <v>3153</v>
      </c>
      <c r="N1140" s="1746" t="s">
        <v>3156</v>
      </c>
      <c r="O1140" s="1746" t="s">
        <v>3157</v>
      </c>
      <c r="P1140" s="1746" t="s">
        <v>1793</v>
      </c>
      <c r="Q1140" s="1746" t="s">
        <v>1830</v>
      </c>
      <c r="R1140" s="1746" t="s">
        <v>1793</v>
      </c>
    </row>
    <row r="1141" spans="1:18">
      <c r="A1141" s="1658">
        <f>'Part VIII-Bldg Credit Alloc SR'!A10</f>
        <v>0</v>
      </c>
      <c r="B1141" s="1658"/>
      <c r="C1141" s="1658"/>
      <c r="D1141" s="1784">
        <f>'Part VIII-Bldg Credit Alloc SR'!D10</f>
        <v>0</v>
      </c>
      <c r="E1141" s="1785">
        <f>'Part VIII-Bldg Credit Alloc SR'!E10</f>
        <v>0</v>
      </c>
      <c r="F1141" s="1785">
        <f>'Part VIII-Bldg Credit Alloc SR'!F10</f>
        <v>0</v>
      </c>
      <c r="G1141" s="1785">
        <f>'Part VIII-Bldg Credit Alloc SR'!G10</f>
        <v>0</v>
      </c>
      <c r="H1141" s="1785">
        <f>'Part VIII-Bldg Credit Alloc SR'!H10</f>
        <v>0</v>
      </c>
      <c r="I1141" s="1785">
        <f>'Part VIII-Bldg Credit Alloc SR'!I10</f>
        <v>0</v>
      </c>
      <c r="J1141" s="1658">
        <f>'Part VIII-Bldg Credit Alloc SR'!J10</f>
        <v>0</v>
      </c>
      <c r="K1141" s="1785">
        <f>'Part VIII-Bldg Credit Alloc SR'!K10</f>
        <v>0</v>
      </c>
      <c r="L1141" s="1786" t="e">
        <f>IF(OR(E1141="",F1141=""),"",MIN(G1141/E1141,H1141/F1141))</f>
        <v>#DIV/0!</v>
      </c>
      <c r="M1141" s="1785" t="e">
        <f>IF(OR(E1141="",F1141=""),"",K1141*L1141)</f>
        <v>#DIV/0!</v>
      </c>
      <c r="N1141" s="1784">
        <f>'Part VIII-Bldg Credit Alloc SR'!N10</f>
        <v>0</v>
      </c>
      <c r="O1141" s="1786">
        <f>'Part VIII-Bldg Credit Alloc SR'!O10</f>
        <v>0</v>
      </c>
      <c r="P1141" s="1785" t="e">
        <f>IF(OR(M1141="",O1141=""),"",M1141*O1141)</f>
        <v>#DIV/0!</v>
      </c>
      <c r="Q1141" s="1785" t="e">
        <f>IF(M1141="","",ROUND(M1141,0))</f>
        <v>#DIV/0!</v>
      </c>
      <c r="R1141" s="1785" t="e">
        <f>IF(P1141="","",ROUND(P1141,0))</f>
        <v>#DIV/0!</v>
      </c>
    </row>
    <row r="1142" spans="1:18">
      <c r="A1142" s="1658">
        <f>'Part VIII-Bldg Credit Alloc SR'!A11</f>
        <v>0</v>
      </c>
      <c r="B1142" s="1658"/>
      <c r="C1142" s="1658"/>
      <c r="D1142" s="1784">
        <f>'Part VIII-Bldg Credit Alloc SR'!D11</f>
        <v>0</v>
      </c>
      <c r="E1142" s="1785">
        <f>'Part VIII-Bldg Credit Alloc SR'!E11</f>
        <v>0</v>
      </c>
      <c r="F1142" s="1785">
        <f>'Part VIII-Bldg Credit Alloc SR'!F11</f>
        <v>0</v>
      </c>
      <c r="G1142" s="1785">
        <f>'Part VIII-Bldg Credit Alloc SR'!G11</f>
        <v>0</v>
      </c>
      <c r="H1142" s="1785">
        <f>'Part VIII-Bldg Credit Alloc SR'!H11</f>
        <v>0</v>
      </c>
      <c r="I1142" s="1785">
        <f>'Part VIII-Bldg Credit Alloc SR'!I11</f>
        <v>0</v>
      </c>
      <c r="J1142" s="1658">
        <f>'Part VIII-Bldg Credit Alloc SR'!J11</f>
        <v>0</v>
      </c>
      <c r="K1142" s="1785">
        <f>'Part VIII-Bldg Credit Alloc SR'!K11</f>
        <v>0</v>
      </c>
      <c r="L1142" s="1786" t="e">
        <f t="shared" ref="L1142:L1175" si="430">IF(OR(E1142="",F1142=""),"",MIN(G1142/E1142,H1142/F1142))</f>
        <v>#DIV/0!</v>
      </c>
      <c r="M1142" s="1785" t="e">
        <f t="shared" ref="M1142:M1175" si="431">IF(OR(E1142="",F1142=""),"",K1142*L1142)</f>
        <v>#DIV/0!</v>
      </c>
      <c r="N1142" s="1784">
        <f>'Part VIII-Bldg Credit Alloc SR'!N11</f>
        <v>0</v>
      </c>
      <c r="O1142" s="1786">
        <f>'Part VIII-Bldg Credit Alloc SR'!O11</f>
        <v>0</v>
      </c>
      <c r="P1142" s="1785" t="e">
        <f t="shared" ref="P1142:P1175" si="432">IF(OR(M1142="",O1142=""),"",M1142*O1142)</f>
        <v>#DIV/0!</v>
      </c>
      <c r="Q1142" s="1785" t="e">
        <f t="shared" ref="Q1142:Q1175" si="433">IF(M1142="","",ROUND(M1142,0))</f>
        <v>#DIV/0!</v>
      </c>
      <c r="R1142" s="1785" t="e">
        <f t="shared" ref="R1142:R1175" si="434">IF(P1142="","",ROUND(P1142,0))</f>
        <v>#DIV/0!</v>
      </c>
    </row>
    <row r="1143" spans="1:18">
      <c r="A1143" s="1658">
        <f>'Part VIII-Bldg Credit Alloc SR'!A12</f>
        <v>0</v>
      </c>
      <c r="B1143" s="1658"/>
      <c r="C1143" s="1658"/>
      <c r="D1143" s="1784">
        <f>'Part VIII-Bldg Credit Alloc SR'!D12</f>
        <v>0</v>
      </c>
      <c r="E1143" s="1785">
        <f>'Part VIII-Bldg Credit Alloc SR'!E12</f>
        <v>0</v>
      </c>
      <c r="F1143" s="1785">
        <f>'Part VIII-Bldg Credit Alloc SR'!F12</f>
        <v>0</v>
      </c>
      <c r="G1143" s="1785">
        <f>'Part VIII-Bldg Credit Alloc SR'!G12</f>
        <v>0</v>
      </c>
      <c r="H1143" s="1785">
        <f>'Part VIII-Bldg Credit Alloc SR'!H12</f>
        <v>0</v>
      </c>
      <c r="I1143" s="1785">
        <f>'Part VIII-Bldg Credit Alloc SR'!I12</f>
        <v>0</v>
      </c>
      <c r="J1143" s="1658">
        <f>'Part VIII-Bldg Credit Alloc SR'!J12</f>
        <v>0</v>
      </c>
      <c r="K1143" s="1785">
        <f>'Part VIII-Bldg Credit Alloc SR'!K12</f>
        <v>0</v>
      </c>
      <c r="L1143" s="1786" t="e">
        <f t="shared" si="430"/>
        <v>#DIV/0!</v>
      </c>
      <c r="M1143" s="1785" t="e">
        <f t="shared" si="431"/>
        <v>#DIV/0!</v>
      </c>
      <c r="N1143" s="1784">
        <f>'Part VIII-Bldg Credit Alloc SR'!N12</f>
        <v>0</v>
      </c>
      <c r="O1143" s="1786">
        <f>'Part VIII-Bldg Credit Alloc SR'!O12</f>
        <v>0</v>
      </c>
      <c r="P1143" s="1785" t="e">
        <f t="shared" si="432"/>
        <v>#DIV/0!</v>
      </c>
      <c r="Q1143" s="1785" t="e">
        <f t="shared" si="433"/>
        <v>#DIV/0!</v>
      </c>
      <c r="R1143" s="1785" t="e">
        <f t="shared" si="434"/>
        <v>#DIV/0!</v>
      </c>
    </row>
    <row r="1144" spans="1:18">
      <c r="A1144" s="1658">
        <f>'Part VIII-Bldg Credit Alloc SR'!A13</f>
        <v>0</v>
      </c>
      <c r="B1144" s="1658"/>
      <c r="C1144" s="1658"/>
      <c r="D1144" s="1784">
        <f>'Part VIII-Bldg Credit Alloc SR'!D13</f>
        <v>0</v>
      </c>
      <c r="E1144" s="1785">
        <f>'Part VIII-Bldg Credit Alloc SR'!E13</f>
        <v>0</v>
      </c>
      <c r="F1144" s="1785">
        <f>'Part VIII-Bldg Credit Alloc SR'!F13</f>
        <v>0</v>
      </c>
      <c r="G1144" s="1785">
        <f>'Part VIII-Bldg Credit Alloc SR'!G13</f>
        <v>0</v>
      </c>
      <c r="H1144" s="1785">
        <f>'Part VIII-Bldg Credit Alloc SR'!H13</f>
        <v>0</v>
      </c>
      <c r="I1144" s="1785">
        <f>'Part VIII-Bldg Credit Alloc SR'!I13</f>
        <v>0</v>
      </c>
      <c r="J1144" s="1658">
        <f>'Part VIII-Bldg Credit Alloc SR'!J13</f>
        <v>0</v>
      </c>
      <c r="K1144" s="1785">
        <f>'Part VIII-Bldg Credit Alloc SR'!K13</f>
        <v>0</v>
      </c>
      <c r="L1144" s="1786" t="e">
        <f t="shared" si="430"/>
        <v>#DIV/0!</v>
      </c>
      <c r="M1144" s="1785" t="e">
        <f t="shared" si="431"/>
        <v>#DIV/0!</v>
      </c>
      <c r="N1144" s="1784">
        <f>'Part VIII-Bldg Credit Alloc SR'!N13</f>
        <v>0</v>
      </c>
      <c r="O1144" s="1786">
        <f>'Part VIII-Bldg Credit Alloc SR'!O13</f>
        <v>0</v>
      </c>
      <c r="P1144" s="1785" t="e">
        <f t="shared" si="432"/>
        <v>#DIV/0!</v>
      </c>
      <c r="Q1144" s="1785" t="e">
        <f t="shared" si="433"/>
        <v>#DIV/0!</v>
      </c>
      <c r="R1144" s="1785" t="e">
        <f t="shared" si="434"/>
        <v>#DIV/0!</v>
      </c>
    </row>
    <row r="1145" spans="1:18">
      <c r="A1145" s="1658">
        <f>'Part VIII-Bldg Credit Alloc SR'!A14</f>
        <v>0</v>
      </c>
      <c r="B1145" s="1658"/>
      <c r="C1145" s="1658"/>
      <c r="D1145" s="1784">
        <f>'Part VIII-Bldg Credit Alloc SR'!D14</f>
        <v>0</v>
      </c>
      <c r="E1145" s="1785">
        <f>'Part VIII-Bldg Credit Alloc SR'!E14</f>
        <v>0</v>
      </c>
      <c r="F1145" s="1785">
        <f>'Part VIII-Bldg Credit Alloc SR'!F14</f>
        <v>0</v>
      </c>
      <c r="G1145" s="1785">
        <f>'Part VIII-Bldg Credit Alloc SR'!G14</f>
        <v>0</v>
      </c>
      <c r="H1145" s="1785">
        <f>'Part VIII-Bldg Credit Alloc SR'!H14</f>
        <v>0</v>
      </c>
      <c r="I1145" s="1785">
        <f>'Part VIII-Bldg Credit Alloc SR'!I14</f>
        <v>0</v>
      </c>
      <c r="J1145" s="1658">
        <f>'Part VIII-Bldg Credit Alloc SR'!J14</f>
        <v>0</v>
      </c>
      <c r="K1145" s="1785">
        <f>'Part VIII-Bldg Credit Alloc SR'!K14</f>
        <v>0</v>
      </c>
      <c r="L1145" s="1786" t="e">
        <f t="shared" si="430"/>
        <v>#DIV/0!</v>
      </c>
      <c r="M1145" s="1785" t="e">
        <f t="shared" si="431"/>
        <v>#DIV/0!</v>
      </c>
      <c r="N1145" s="1784">
        <f>'Part VIII-Bldg Credit Alloc SR'!N14</f>
        <v>0</v>
      </c>
      <c r="O1145" s="1786">
        <f>'Part VIII-Bldg Credit Alloc SR'!O14</f>
        <v>0</v>
      </c>
      <c r="P1145" s="1785" t="e">
        <f t="shared" si="432"/>
        <v>#DIV/0!</v>
      </c>
      <c r="Q1145" s="1785" t="e">
        <f t="shared" si="433"/>
        <v>#DIV/0!</v>
      </c>
      <c r="R1145" s="1785" t="e">
        <f t="shared" si="434"/>
        <v>#DIV/0!</v>
      </c>
    </row>
    <row r="1146" spans="1:18">
      <c r="A1146" s="1658">
        <f>'Part VIII-Bldg Credit Alloc SR'!A15</f>
        <v>0</v>
      </c>
      <c r="B1146" s="1658"/>
      <c r="C1146" s="1658"/>
      <c r="D1146" s="1784">
        <f>'Part VIII-Bldg Credit Alloc SR'!D15</f>
        <v>0</v>
      </c>
      <c r="E1146" s="1785">
        <f>'Part VIII-Bldg Credit Alloc SR'!E15</f>
        <v>0</v>
      </c>
      <c r="F1146" s="1785">
        <f>'Part VIII-Bldg Credit Alloc SR'!F15</f>
        <v>0</v>
      </c>
      <c r="G1146" s="1785">
        <f>'Part VIII-Bldg Credit Alloc SR'!G15</f>
        <v>0</v>
      </c>
      <c r="H1146" s="1785">
        <f>'Part VIII-Bldg Credit Alloc SR'!H15</f>
        <v>0</v>
      </c>
      <c r="I1146" s="1785">
        <f>'Part VIII-Bldg Credit Alloc SR'!I15</f>
        <v>0</v>
      </c>
      <c r="J1146" s="1658">
        <f>'Part VIII-Bldg Credit Alloc SR'!J15</f>
        <v>0</v>
      </c>
      <c r="K1146" s="1785">
        <f>'Part VIII-Bldg Credit Alloc SR'!K15</f>
        <v>0</v>
      </c>
      <c r="L1146" s="1786" t="e">
        <f t="shared" si="430"/>
        <v>#DIV/0!</v>
      </c>
      <c r="M1146" s="1785" t="e">
        <f t="shared" si="431"/>
        <v>#DIV/0!</v>
      </c>
      <c r="N1146" s="1784">
        <f>'Part VIII-Bldg Credit Alloc SR'!N15</f>
        <v>0</v>
      </c>
      <c r="O1146" s="1786">
        <f>'Part VIII-Bldg Credit Alloc SR'!O15</f>
        <v>0</v>
      </c>
      <c r="P1146" s="1785" t="e">
        <f t="shared" si="432"/>
        <v>#DIV/0!</v>
      </c>
      <c r="Q1146" s="1785" t="e">
        <f t="shared" si="433"/>
        <v>#DIV/0!</v>
      </c>
      <c r="R1146" s="1785" t="e">
        <f t="shared" si="434"/>
        <v>#DIV/0!</v>
      </c>
    </row>
    <row r="1147" spans="1:18">
      <c r="A1147" s="1658">
        <f>'Part VIII-Bldg Credit Alloc SR'!A16</f>
        <v>0</v>
      </c>
      <c r="B1147" s="1658"/>
      <c r="C1147" s="1658"/>
      <c r="D1147" s="1784">
        <f>'Part VIII-Bldg Credit Alloc SR'!D16</f>
        <v>0</v>
      </c>
      <c r="E1147" s="1785">
        <f>'Part VIII-Bldg Credit Alloc SR'!E16</f>
        <v>0</v>
      </c>
      <c r="F1147" s="1785">
        <f>'Part VIII-Bldg Credit Alloc SR'!F16</f>
        <v>0</v>
      </c>
      <c r="G1147" s="1785">
        <f>'Part VIII-Bldg Credit Alloc SR'!G16</f>
        <v>0</v>
      </c>
      <c r="H1147" s="1785">
        <f>'Part VIII-Bldg Credit Alloc SR'!H16</f>
        <v>0</v>
      </c>
      <c r="I1147" s="1785">
        <f>'Part VIII-Bldg Credit Alloc SR'!I16</f>
        <v>0</v>
      </c>
      <c r="J1147" s="1658">
        <f>'Part VIII-Bldg Credit Alloc SR'!J16</f>
        <v>0</v>
      </c>
      <c r="K1147" s="1785">
        <f>'Part VIII-Bldg Credit Alloc SR'!K16</f>
        <v>0</v>
      </c>
      <c r="L1147" s="1779" t="e">
        <f t="shared" si="430"/>
        <v>#DIV/0!</v>
      </c>
      <c r="M1147" s="1778" t="e">
        <f t="shared" si="431"/>
        <v>#DIV/0!</v>
      </c>
      <c r="N1147" s="1784">
        <f>'Part VIII-Bldg Credit Alloc SR'!N16</f>
        <v>0</v>
      </c>
      <c r="O1147" s="1786">
        <f>'Part VIII-Bldg Credit Alloc SR'!O16</f>
        <v>0</v>
      </c>
      <c r="P1147" s="1778" t="e">
        <f t="shared" si="432"/>
        <v>#DIV/0!</v>
      </c>
      <c r="Q1147" s="1778" t="e">
        <f t="shared" si="433"/>
        <v>#DIV/0!</v>
      </c>
      <c r="R1147" s="1778" t="e">
        <f t="shared" si="434"/>
        <v>#DIV/0!</v>
      </c>
    </row>
    <row r="1148" spans="1:18">
      <c r="A1148" s="1658">
        <f>'Part VIII-Bldg Credit Alloc SR'!A17</f>
        <v>0</v>
      </c>
      <c r="B1148" s="1658"/>
      <c r="C1148" s="1658"/>
      <c r="D1148" s="1784">
        <f>'Part VIII-Bldg Credit Alloc SR'!D17</f>
        <v>0</v>
      </c>
      <c r="E1148" s="1785">
        <f>'Part VIII-Bldg Credit Alloc SR'!E17</f>
        <v>0</v>
      </c>
      <c r="F1148" s="1785">
        <f>'Part VIII-Bldg Credit Alloc SR'!F17</f>
        <v>0</v>
      </c>
      <c r="G1148" s="1785">
        <f>'Part VIII-Bldg Credit Alloc SR'!G17</f>
        <v>0</v>
      </c>
      <c r="H1148" s="1785">
        <f>'Part VIII-Bldg Credit Alloc SR'!H17</f>
        <v>0</v>
      </c>
      <c r="I1148" s="1785">
        <f>'Part VIII-Bldg Credit Alloc SR'!I17</f>
        <v>0</v>
      </c>
      <c r="J1148" s="1658">
        <f>'Part VIII-Bldg Credit Alloc SR'!J17</f>
        <v>0</v>
      </c>
      <c r="K1148" s="1785">
        <f>'Part VIII-Bldg Credit Alloc SR'!K17</f>
        <v>0</v>
      </c>
      <c r="L1148" s="1779" t="e">
        <f t="shared" si="430"/>
        <v>#DIV/0!</v>
      </c>
      <c r="M1148" s="1778" t="e">
        <f t="shared" si="431"/>
        <v>#DIV/0!</v>
      </c>
      <c r="N1148" s="1784">
        <f>'Part VIII-Bldg Credit Alloc SR'!N17</f>
        <v>0</v>
      </c>
      <c r="O1148" s="1786">
        <f>'Part VIII-Bldg Credit Alloc SR'!O17</f>
        <v>0</v>
      </c>
      <c r="P1148" s="1778" t="e">
        <f t="shared" si="432"/>
        <v>#DIV/0!</v>
      </c>
      <c r="Q1148" s="1778" t="e">
        <f t="shared" si="433"/>
        <v>#DIV/0!</v>
      </c>
      <c r="R1148" s="1778" t="e">
        <f t="shared" si="434"/>
        <v>#DIV/0!</v>
      </c>
    </row>
    <row r="1149" spans="1:18">
      <c r="A1149" s="1658">
        <f>'Part VIII-Bldg Credit Alloc SR'!A18</f>
        <v>0</v>
      </c>
      <c r="B1149" s="1658"/>
      <c r="C1149" s="1658"/>
      <c r="D1149" s="1784">
        <f>'Part VIII-Bldg Credit Alloc SR'!D18</f>
        <v>0</v>
      </c>
      <c r="E1149" s="1785">
        <f>'Part VIII-Bldg Credit Alloc SR'!E18</f>
        <v>0</v>
      </c>
      <c r="F1149" s="1785">
        <f>'Part VIII-Bldg Credit Alloc SR'!F18</f>
        <v>0</v>
      </c>
      <c r="G1149" s="1785">
        <f>'Part VIII-Bldg Credit Alloc SR'!G18</f>
        <v>0</v>
      </c>
      <c r="H1149" s="1785">
        <f>'Part VIII-Bldg Credit Alloc SR'!H18</f>
        <v>0</v>
      </c>
      <c r="I1149" s="1785">
        <f>'Part VIII-Bldg Credit Alloc SR'!I18</f>
        <v>0</v>
      </c>
      <c r="J1149" s="1658">
        <f>'Part VIII-Bldg Credit Alloc SR'!J18</f>
        <v>0</v>
      </c>
      <c r="K1149" s="1785">
        <f>'Part VIII-Bldg Credit Alloc SR'!K18</f>
        <v>0</v>
      </c>
      <c r="L1149" s="1779" t="e">
        <f t="shared" si="430"/>
        <v>#DIV/0!</v>
      </c>
      <c r="M1149" s="1778" t="e">
        <f t="shared" si="431"/>
        <v>#DIV/0!</v>
      </c>
      <c r="N1149" s="1784">
        <f>'Part VIII-Bldg Credit Alloc SR'!N18</f>
        <v>0</v>
      </c>
      <c r="O1149" s="1786">
        <f>'Part VIII-Bldg Credit Alloc SR'!O18</f>
        <v>0</v>
      </c>
      <c r="P1149" s="1778" t="e">
        <f t="shared" si="432"/>
        <v>#DIV/0!</v>
      </c>
      <c r="Q1149" s="1778" t="e">
        <f t="shared" si="433"/>
        <v>#DIV/0!</v>
      </c>
      <c r="R1149" s="1778" t="e">
        <f t="shared" si="434"/>
        <v>#DIV/0!</v>
      </c>
    </row>
    <row r="1150" spans="1:18">
      <c r="A1150" s="1658">
        <f>'Part VIII-Bldg Credit Alloc SR'!A19</f>
        <v>0</v>
      </c>
      <c r="B1150" s="1658"/>
      <c r="C1150" s="1658"/>
      <c r="D1150" s="1784">
        <f>'Part VIII-Bldg Credit Alloc SR'!D19</f>
        <v>0</v>
      </c>
      <c r="E1150" s="1785">
        <f>'Part VIII-Bldg Credit Alloc SR'!E19</f>
        <v>0</v>
      </c>
      <c r="F1150" s="1785">
        <f>'Part VIII-Bldg Credit Alloc SR'!F19</f>
        <v>0</v>
      </c>
      <c r="G1150" s="1785">
        <f>'Part VIII-Bldg Credit Alloc SR'!G19</f>
        <v>0</v>
      </c>
      <c r="H1150" s="1785">
        <f>'Part VIII-Bldg Credit Alloc SR'!H19</f>
        <v>0</v>
      </c>
      <c r="I1150" s="1785">
        <f>'Part VIII-Bldg Credit Alloc SR'!I19</f>
        <v>0</v>
      </c>
      <c r="J1150" s="1658">
        <f>'Part VIII-Bldg Credit Alloc SR'!J19</f>
        <v>0</v>
      </c>
      <c r="K1150" s="1785">
        <f>'Part VIII-Bldg Credit Alloc SR'!K19</f>
        <v>0</v>
      </c>
      <c r="L1150" s="1779" t="e">
        <f t="shared" si="430"/>
        <v>#DIV/0!</v>
      </c>
      <c r="M1150" s="1778" t="e">
        <f t="shared" si="431"/>
        <v>#DIV/0!</v>
      </c>
      <c r="N1150" s="1784">
        <f>'Part VIII-Bldg Credit Alloc SR'!N19</f>
        <v>0</v>
      </c>
      <c r="O1150" s="1786">
        <f>'Part VIII-Bldg Credit Alloc SR'!O19</f>
        <v>0</v>
      </c>
      <c r="P1150" s="1778" t="e">
        <f t="shared" si="432"/>
        <v>#DIV/0!</v>
      </c>
      <c r="Q1150" s="1778" t="e">
        <f t="shared" si="433"/>
        <v>#DIV/0!</v>
      </c>
      <c r="R1150" s="1778" t="e">
        <f t="shared" si="434"/>
        <v>#DIV/0!</v>
      </c>
    </row>
    <row r="1151" spans="1:18">
      <c r="A1151" s="1658">
        <f>'Part VIII-Bldg Credit Alloc SR'!A20</f>
        <v>0</v>
      </c>
      <c r="B1151" s="1658"/>
      <c r="C1151" s="1658"/>
      <c r="D1151" s="1784">
        <f>'Part VIII-Bldg Credit Alloc SR'!D20</f>
        <v>0</v>
      </c>
      <c r="E1151" s="1785">
        <f>'Part VIII-Bldg Credit Alloc SR'!E20</f>
        <v>0</v>
      </c>
      <c r="F1151" s="1785">
        <f>'Part VIII-Bldg Credit Alloc SR'!F20</f>
        <v>0</v>
      </c>
      <c r="G1151" s="1785">
        <f>'Part VIII-Bldg Credit Alloc SR'!G20</f>
        <v>0</v>
      </c>
      <c r="H1151" s="1785">
        <f>'Part VIII-Bldg Credit Alloc SR'!H20</f>
        <v>0</v>
      </c>
      <c r="I1151" s="1785">
        <f>'Part VIII-Bldg Credit Alloc SR'!I20</f>
        <v>0</v>
      </c>
      <c r="J1151" s="1658">
        <f>'Part VIII-Bldg Credit Alloc SR'!J20</f>
        <v>0</v>
      </c>
      <c r="K1151" s="1785">
        <f>'Part VIII-Bldg Credit Alloc SR'!K20</f>
        <v>0</v>
      </c>
      <c r="L1151" s="1779" t="e">
        <f t="shared" si="430"/>
        <v>#DIV/0!</v>
      </c>
      <c r="M1151" s="1778" t="e">
        <f t="shared" si="431"/>
        <v>#DIV/0!</v>
      </c>
      <c r="N1151" s="1784">
        <f>'Part VIII-Bldg Credit Alloc SR'!N20</f>
        <v>0</v>
      </c>
      <c r="O1151" s="1786">
        <f>'Part VIII-Bldg Credit Alloc SR'!O20</f>
        <v>0</v>
      </c>
      <c r="P1151" s="1778" t="e">
        <f t="shared" si="432"/>
        <v>#DIV/0!</v>
      </c>
      <c r="Q1151" s="1778" t="e">
        <f t="shared" si="433"/>
        <v>#DIV/0!</v>
      </c>
      <c r="R1151" s="1778" t="e">
        <f t="shared" si="434"/>
        <v>#DIV/0!</v>
      </c>
    </row>
    <row r="1152" spans="1:18">
      <c r="A1152" s="1658">
        <f>'Part VIII-Bldg Credit Alloc SR'!A21</f>
        <v>0</v>
      </c>
      <c r="B1152" s="1658"/>
      <c r="C1152" s="1658"/>
      <c r="D1152" s="1784">
        <f>'Part VIII-Bldg Credit Alloc SR'!D21</f>
        <v>0</v>
      </c>
      <c r="E1152" s="1785">
        <f>'Part VIII-Bldg Credit Alloc SR'!E21</f>
        <v>0</v>
      </c>
      <c r="F1152" s="1785">
        <f>'Part VIII-Bldg Credit Alloc SR'!F21</f>
        <v>0</v>
      </c>
      <c r="G1152" s="1785">
        <f>'Part VIII-Bldg Credit Alloc SR'!G21</f>
        <v>0</v>
      </c>
      <c r="H1152" s="1785">
        <f>'Part VIII-Bldg Credit Alloc SR'!H21</f>
        <v>0</v>
      </c>
      <c r="I1152" s="1785">
        <f>'Part VIII-Bldg Credit Alloc SR'!I21</f>
        <v>0</v>
      </c>
      <c r="J1152" s="1658">
        <f>'Part VIII-Bldg Credit Alloc SR'!J21</f>
        <v>0</v>
      </c>
      <c r="K1152" s="1785">
        <f>'Part VIII-Bldg Credit Alloc SR'!K21</f>
        <v>0</v>
      </c>
      <c r="L1152" s="1779" t="e">
        <f t="shared" si="430"/>
        <v>#DIV/0!</v>
      </c>
      <c r="M1152" s="1778" t="e">
        <f t="shared" si="431"/>
        <v>#DIV/0!</v>
      </c>
      <c r="N1152" s="1784">
        <f>'Part VIII-Bldg Credit Alloc SR'!N21</f>
        <v>0</v>
      </c>
      <c r="O1152" s="1786">
        <f>'Part VIII-Bldg Credit Alloc SR'!O21</f>
        <v>0</v>
      </c>
      <c r="P1152" s="1778" t="e">
        <f t="shared" si="432"/>
        <v>#DIV/0!</v>
      </c>
      <c r="Q1152" s="1778" t="e">
        <f t="shared" si="433"/>
        <v>#DIV/0!</v>
      </c>
      <c r="R1152" s="1778" t="e">
        <f t="shared" si="434"/>
        <v>#DIV/0!</v>
      </c>
    </row>
    <row r="1153" spans="1:18">
      <c r="A1153" s="1658">
        <f>'Part VIII-Bldg Credit Alloc SR'!A22</f>
        <v>0</v>
      </c>
      <c r="B1153" s="1658"/>
      <c r="C1153" s="1658"/>
      <c r="D1153" s="1784">
        <f>'Part VIII-Bldg Credit Alloc SR'!D22</f>
        <v>0</v>
      </c>
      <c r="E1153" s="1785">
        <f>'Part VIII-Bldg Credit Alloc SR'!E22</f>
        <v>0</v>
      </c>
      <c r="F1153" s="1785">
        <f>'Part VIII-Bldg Credit Alloc SR'!F22</f>
        <v>0</v>
      </c>
      <c r="G1153" s="1785">
        <f>'Part VIII-Bldg Credit Alloc SR'!G22</f>
        <v>0</v>
      </c>
      <c r="H1153" s="1785">
        <f>'Part VIII-Bldg Credit Alloc SR'!H22</f>
        <v>0</v>
      </c>
      <c r="I1153" s="1785">
        <f>'Part VIII-Bldg Credit Alloc SR'!I22</f>
        <v>0</v>
      </c>
      <c r="J1153" s="1658">
        <f>'Part VIII-Bldg Credit Alloc SR'!J22</f>
        <v>0</v>
      </c>
      <c r="K1153" s="1785">
        <f>'Part VIII-Bldg Credit Alloc SR'!K22</f>
        <v>0</v>
      </c>
      <c r="L1153" s="1779" t="e">
        <f t="shared" si="430"/>
        <v>#DIV/0!</v>
      </c>
      <c r="M1153" s="1778" t="e">
        <f t="shared" si="431"/>
        <v>#DIV/0!</v>
      </c>
      <c r="N1153" s="1784">
        <f>'Part VIII-Bldg Credit Alloc SR'!N22</f>
        <v>0</v>
      </c>
      <c r="O1153" s="1786">
        <f>'Part VIII-Bldg Credit Alloc SR'!O22</f>
        <v>0</v>
      </c>
      <c r="P1153" s="1778" t="e">
        <f t="shared" si="432"/>
        <v>#DIV/0!</v>
      </c>
      <c r="Q1153" s="1778" t="e">
        <f t="shared" si="433"/>
        <v>#DIV/0!</v>
      </c>
      <c r="R1153" s="1778" t="e">
        <f t="shared" si="434"/>
        <v>#DIV/0!</v>
      </c>
    </row>
    <row r="1154" spans="1:18">
      <c r="A1154" s="1658">
        <f>'Part VIII-Bldg Credit Alloc SR'!A23</f>
        <v>0</v>
      </c>
      <c r="B1154" s="1658"/>
      <c r="C1154" s="1658"/>
      <c r="D1154" s="1784">
        <f>'Part VIII-Bldg Credit Alloc SR'!D23</f>
        <v>0</v>
      </c>
      <c r="E1154" s="1785">
        <f>'Part VIII-Bldg Credit Alloc SR'!E23</f>
        <v>0</v>
      </c>
      <c r="F1154" s="1785">
        <f>'Part VIII-Bldg Credit Alloc SR'!F23</f>
        <v>0</v>
      </c>
      <c r="G1154" s="1785">
        <f>'Part VIII-Bldg Credit Alloc SR'!G23</f>
        <v>0</v>
      </c>
      <c r="H1154" s="1785">
        <f>'Part VIII-Bldg Credit Alloc SR'!H23</f>
        <v>0</v>
      </c>
      <c r="I1154" s="1785">
        <f>'Part VIII-Bldg Credit Alloc SR'!I23</f>
        <v>0</v>
      </c>
      <c r="J1154" s="1658">
        <f>'Part VIII-Bldg Credit Alloc SR'!J23</f>
        <v>0</v>
      </c>
      <c r="K1154" s="1785">
        <f>'Part VIII-Bldg Credit Alloc SR'!K23</f>
        <v>0</v>
      </c>
      <c r="L1154" s="1779" t="e">
        <f t="shared" si="430"/>
        <v>#DIV/0!</v>
      </c>
      <c r="M1154" s="1778" t="e">
        <f t="shared" si="431"/>
        <v>#DIV/0!</v>
      </c>
      <c r="N1154" s="1784">
        <f>'Part VIII-Bldg Credit Alloc SR'!N23</f>
        <v>0</v>
      </c>
      <c r="O1154" s="1786">
        <f>'Part VIII-Bldg Credit Alloc SR'!O23</f>
        <v>0</v>
      </c>
      <c r="P1154" s="1778" t="e">
        <f t="shared" si="432"/>
        <v>#DIV/0!</v>
      </c>
      <c r="Q1154" s="1778" t="e">
        <f t="shared" si="433"/>
        <v>#DIV/0!</v>
      </c>
      <c r="R1154" s="1778" t="e">
        <f t="shared" si="434"/>
        <v>#DIV/0!</v>
      </c>
    </row>
    <row r="1155" spans="1:18">
      <c r="A1155" s="1658">
        <f>'Part VIII-Bldg Credit Alloc SR'!A24</f>
        <v>0</v>
      </c>
      <c r="B1155" s="1658"/>
      <c r="C1155" s="1658"/>
      <c r="D1155" s="1784">
        <f>'Part VIII-Bldg Credit Alloc SR'!D24</f>
        <v>0</v>
      </c>
      <c r="E1155" s="1785">
        <f>'Part VIII-Bldg Credit Alloc SR'!E24</f>
        <v>0</v>
      </c>
      <c r="F1155" s="1785">
        <f>'Part VIII-Bldg Credit Alloc SR'!F24</f>
        <v>0</v>
      </c>
      <c r="G1155" s="1785">
        <f>'Part VIII-Bldg Credit Alloc SR'!G24</f>
        <v>0</v>
      </c>
      <c r="H1155" s="1785">
        <f>'Part VIII-Bldg Credit Alloc SR'!H24</f>
        <v>0</v>
      </c>
      <c r="I1155" s="1785">
        <f>'Part VIII-Bldg Credit Alloc SR'!I24</f>
        <v>0</v>
      </c>
      <c r="J1155" s="1658">
        <f>'Part VIII-Bldg Credit Alloc SR'!J24</f>
        <v>0</v>
      </c>
      <c r="K1155" s="1785">
        <f>'Part VIII-Bldg Credit Alloc SR'!K24</f>
        <v>0</v>
      </c>
      <c r="L1155" s="1779" t="e">
        <f t="shared" si="430"/>
        <v>#DIV/0!</v>
      </c>
      <c r="M1155" s="1778" t="e">
        <f t="shared" si="431"/>
        <v>#DIV/0!</v>
      </c>
      <c r="N1155" s="1784">
        <f>'Part VIII-Bldg Credit Alloc SR'!N24</f>
        <v>0</v>
      </c>
      <c r="O1155" s="1786">
        <f>'Part VIII-Bldg Credit Alloc SR'!O24</f>
        <v>0</v>
      </c>
      <c r="P1155" s="1778" t="e">
        <f t="shared" si="432"/>
        <v>#DIV/0!</v>
      </c>
      <c r="Q1155" s="1778" t="e">
        <f t="shared" si="433"/>
        <v>#DIV/0!</v>
      </c>
      <c r="R1155" s="1778" t="e">
        <f t="shared" si="434"/>
        <v>#DIV/0!</v>
      </c>
    </row>
    <row r="1156" spans="1:18">
      <c r="A1156" s="1658">
        <f>'Part VIII-Bldg Credit Alloc SR'!A25</f>
        <v>0</v>
      </c>
      <c r="B1156" s="1658"/>
      <c r="C1156" s="1658"/>
      <c r="D1156" s="1784">
        <f>'Part VIII-Bldg Credit Alloc SR'!D25</f>
        <v>0</v>
      </c>
      <c r="E1156" s="1785">
        <f>'Part VIII-Bldg Credit Alloc SR'!E25</f>
        <v>0</v>
      </c>
      <c r="F1156" s="1785">
        <f>'Part VIII-Bldg Credit Alloc SR'!F25</f>
        <v>0</v>
      </c>
      <c r="G1156" s="1785">
        <f>'Part VIII-Bldg Credit Alloc SR'!G25</f>
        <v>0</v>
      </c>
      <c r="H1156" s="1785">
        <f>'Part VIII-Bldg Credit Alloc SR'!H25</f>
        <v>0</v>
      </c>
      <c r="I1156" s="1785">
        <f>'Part VIII-Bldg Credit Alloc SR'!I25</f>
        <v>0</v>
      </c>
      <c r="J1156" s="1658">
        <f>'Part VIII-Bldg Credit Alloc SR'!J25</f>
        <v>0</v>
      </c>
      <c r="K1156" s="1785">
        <f>'Part VIII-Bldg Credit Alloc SR'!K25</f>
        <v>0</v>
      </c>
      <c r="L1156" s="1779" t="e">
        <f t="shared" si="430"/>
        <v>#DIV/0!</v>
      </c>
      <c r="M1156" s="1778" t="e">
        <f t="shared" si="431"/>
        <v>#DIV/0!</v>
      </c>
      <c r="N1156" s="1784">
        <f>'Part VIII-Bldg Credit Alloc SR'!N25</f>
        <v>0</v>
      </c>
      <c r="O1156" s="1786">
        <f>'Part VIII-Bldg Credit Alloc SR'!O25</f>
        <v>0</v>
      </c>
      <c r="P1156" s="1778" t="e">
        <f t="shared" si="432"/>
        <v>#DIV/0!</v>
      </c>
      <c r="Q1156" s="1778" t="e">
        <f t="shared" si="433"/>
        <v>#DIV/0!</v>
      </c>
      <c r="R1156" s="1778" t="e">
        <f t="shared" si="434"/>
        <v>#DIV/0!</v>
      </c>
    </row>
    <row r="1157" spans="1:18">
      <c r="A1157" s="1658">
        <f>'Part VIII-Bldg Credit Alloc SR'!A26</f>
        <v>0</v>
      </c>
      <c r="B1157" s="1658"/>
      <c r="C1157" s="1658"/>
      <c r="D1157" s="1784">
        <f>'Part VIII-Bldg Credit Alloc SR'!D26</f>
        <v>0</v>
      </c>
      <c r="E1157" s="1785">
        <f>'Part VIII-Bldg Credit Alloc SR'!E26</f>
        <v>0</v>
      </c>
      <c r="F1157" s="1785">
        <f>'Part VIII-Bldg Credit Alloc SR'!F26</f>
        <v>0</v>
      </c>
      <c r="G1157" s="1785">
        <f>'Part VIII-Bldg Credit Alloc SR'!G26</f>
        <v>0</v>
      </c>
      <c r="H1157" s="1785">
        <f>'Part VIII-Bldg Credit Alloc SR'!H26</f>
        <v>0</v>
      </c>
      <c r="I1157" s="1785">
        <f>'Part VIII-Bldg Credit Alloc SR'!I26</f>
        <v>0</v>
      </c>
      <c r="J1157" s="1658">
        <f>'Part VIII-Bldg Credit Alloc SR'!J26</f>
        <v>0</v>
      </c>
      <c r="K1157" s="1785">
        <f>'Part VIII-Bldg Credit Alloc SR'!K26</f>
        <v>0</v>
      </c>
      <c r="L1157" s="1779" t="e">
        <f t="shared" si="430"/>
        <v>#DIV/0!</v>
      </c>
      <c r="M1157" s="1778" t="e">
        <f t="shared" si="431"/>
        <v>#DIV/0!</v>
      </c>
      <c r="N1157" s="1784">
        <f>'Part VIII-Bldg Credit Alloc SR'!N26</f>
        <v>0</v>
      </c>
      <c r="O1157" s="1786">
        <f>'Part VIII-Bldg Credit Alloc SR'!O26</f>
        <v>0</v>
      </c>
      <c r="P1157" s="1778" t="e">
        <f t="shared" si="432"/>
        <v>#DIV/0!</v>
      </c>
      <c r="Q1157" s="1778" t="e">
        <f t="shared" si="433"/>
        <v>#DIV/0!</v>
      </c>
      <c r="R1157" s="1778" t="e">
        <f t="shared" si="434"/>
        <v>#DIV/0!</v>
      </c>
    </row>
    <row r="1158" spans="1:18">
      <c r="A1158" s="1658">
        <f>'Part VIII-Bldg Credit Alloc SR'!A27</f>
        <v>0</v>
      </c>
      <c r="B1158" s="1658"/>
      <c r="C1158" s="1658"/>
      <c r="D1158" s="1784">
        <f>'Part VIII-Bldg Credit Alloc SR'!D27</f>
        <v>0</v>
      </c>
      <c r="E1158" s="1785">
        <f>'Part VIII-Bldg Credit Alloc SR'!E27</f>
        <v>0</v>
      </c>
      <c r="F1158" s="1785">
        <f>'Part VIII-Bldg Credit Alloc SR'!F27</f>
        <v>0</v>
      </c>
      <c r="G1158" s="1785">
        <f>'Part VIII-Bldg Credit Alloc SR'!G27</f>
        <v>0</v>
      </c>
      <c r="H1158" s="1785">
        <f>'Part VIII-Bldg Credit Alloc SR'!H27</f>
        <v>0</v>
      </c>
      <c r="I1158" s="1785">
        <f>'Part VIII-Bldg Credit Alloc SR'!I27</f>
        <v>0</v>
      </c>
      <c r="J1158" s="1658">
        <f>'Part VIII-Bldg Credit Alloc SR'!J27</f>
        <v>0</v>
      </c>
      <c r="K1158" s="1785">
        <f>'Part VIII-Bldg Credit Alloc SR'!K27</f>
        <v>0</v>
      </c>
      <c r="L1158" s="1779" t="e">
        <f t="shared" si="430"/>
        <v>#DIV/0!</v>
      </c>
      <c r="M1158" s="1778" t="e">
        <f t="shared" si="431"/>
        <v>#DIV/0!</v>
      </c>
      <c r="N1158" s="1784">
        <f>'Part VIII-Bldg Credit Alloc SR'!N27</f>
        <v>0</v>
      </c>
      <c r="O1158" s="1786">
        <f>'Part VIII-Bldg Credit Alloc SR'!O27</f>
        <v>0</v>
      </c>
      <c r="P1158" s="1778" t="e">
        <f t="shared" si="432"/>
        <v>#DIV/0!</v>
      </c>
      <c r="Q1158" s="1778" t="e">
        <f t="shared" si="433"/>
        <v>#DIV/0!</v>
      </c>
      <c r="R1158" s="1778" t="e">
        <f t="shared" si="434"/>
        <v>#DIV/0!</v>
      </c>
    </row>
    <row r="1159" spans="1:18">
      <c r="A1159" s="1658">
        <f>'Part VIII-Bldg Credit Alloc SR'!A28</f>
        <v>0</v>
      </c>
      <c r="B1159" s="1658"/>
      <c r="C1159" s="1658"/>
      <c r="D1159" s="1784">
        <f>'Part VIII-Bldg Credit Alloc SR'!D28</f>
        <v>0</v>
      </c>
      <c r="E1159" s="1785">
        <f>'Part VIII-Bldg Credit Alloc SR'!E28</f>
        <v>0</v>
      </c>
      <c r="F1159" s="1785">
        <f>'Part VIII-Bldg Credit Alloc SR'!F28</f>
        <v>0</v>
      </c>
      <c r="G1159" s="1785">
        <f>'Part VIII-Bldg Credit Alloc SR'!G28</f>
        <v>0</v>
      </c>
      <c r="H1159" s="1785">
        <f>'Part VIII-Bldg Credit Alloc SR'!H28</f>
        <v>0</v>
      </c>
      <c r="I1159" s="1785">
        <f>'Part VIII-Bldg Credit Alloc SR'!I28</f>
        <v>0</v>
      </c>
      <c r="J1159" s="1658">
        <f>'Part VIII-Bldg Credit Alloc SR'!J28</f>
        <v>0</v>
      </c>
      <c r="K1159" s="1785">
        <f>'Part VIII-Bldg Credit Alloc SR'!K28</f>
        <v>0</v>
      </c>
      <c r="L1159" s="1779" t="e">
        <f t="shared" si="430"/>
        <v>#DIV/0!</v>
      </c>
      <c r="M1159" s="1778" t="e">
        <f t="shared" si="431"/>
        <v>#DIV/0!</v>
      </c>
      <c r="N1159" s="1784">
        <f>'Part VIII-Bldg Credit Alloc SR'!N28</f>
        <v>0</v>
      </c>
      <c r="O1159" s="1786">
        <f>'Part VIII-Bldg Credit Alloc SR'!O28</f>
        <v>0</v>
      </c>
      <c r="P1159" s="1778" t="e">
        <f t="shared" si="432"/>
        <v>#DIV/0!</v>
      </c>
      <c r="Q1159" s="1778" t="e">
        <f t="shared" si="433"/>
        <v>#DIV/0!</v>
      </c>
      <c r="R1159" s="1778" t="e">
        <f t="shared" si="434"/>
        <v>#DIV/0!</v>
      </c>
    </row>
    <row r="1160" spans="1:18">
      <c r="A1160" s="1658">
        <f>'Part VIII-Bldg Credit Alloc SR'!A29</f>
        <v>0</v>
      </c>
      <c r="B1160" s="1658"/>
      <c r="C1160" s="1658"/>
      <c r="D1160" s="1784">
        <f>'Part VIII-Bldg Credit Alloc SR'!D29</f>
        <v>0</v>
      </c>
      <c r="E1160" s="1785">
        <f>'Part VIII-Bldg Credit Alloc SR'!E29</f>
        <v>0</v>
      </c>
      <c r="F1160" s="1785">
        <f>'Part VIII-Bldg Credit Alloc SR'!F29</f>
        <v>0</v>
      </c>
      <c r="G1160" s="1785">
        <f>'Part VIII-Bldg Credit Alloc SR'!G29</f>
        <v>0</v>
      </c>
      <c r="H1160" s="1785">
        <f>'Part VIII-Bldg Credit Alloc SR'!H29</f>
        <v>0</v>
      </c>
      <c r="I1160" s="1785">
        <f>'Part VIII-Bldg Credit Alloc SR'!I29</f>
        <v>0</v>
      </c>
      <c r="J1160" s="1658">
        <f>'Part VIII-Bldg Credit Alloc SR'!J29</f>
        <v>0</v>
      </c>
      <c r="K1160" s="1785">
        <f>'Part VIII-Bldg Credit Alloc SR'!K29</f>
        <v>0</v>
      </c>
      <c r="L1160" s="1779" t="e">
        <f t="shared" si="430"/>
        <v>#DIV/0!</v>
      </c>
      <c r="M1160" s="1778" t="e">
        <f t="shared" si="431"/>
        <v>#DIV/0!</v>
      </c>
      <c r="N1160" s="1784">
        <f>'Part VIII-Bldg Credit Alloc SR'!N29</f>
        <v>0</v>
      </c>
      <c r="O1160" s="1786">
        <f>'Part VIII-Bldg Credit Alloc SR'!O29</f>
        <v>0</v>
      </c>
      <c r="P1160" s="1778" t="e">
        <f t="shared" si="432"/>
        <v>#DIV/0!</v>
      </c>
      <c r="Q1160" s="1778" t="e">
        <f t="shared" si="433"/>
        <v>#DIV/0!</v>
      </c>
      <c r="R1160" s="1778" t="e">
        <f t="shared" si="434"/>
        <v>#DIV/0!</v>
      </c>
    </row>
    <row r="1161" spans="1:18">
      <c r="A1161" s="1658">
        <f>'Part VIII-Bldg Credit Alloc SR'!A30</f>
        <v>0</v>
      </c>
      <c r="B1161" s="1658"/>
      <c r="C1161" s="1658"/>
      <c r="D1161" s="1784">
        <f>'Part VIII-Bldg Credit Alloc SR'!D30</f>
        <v>0</v>
      </c>
      <c r="E1161" s="1785">
        <f>'Part VIII-Bldg Credit Alloc SR'!E30</f>
        <v>0</v>
      </c>
      <c r="F1161" s="1785">
        <f>'Part VIII-Bldg Credit Alloc SR'!F30</f>
        <v>0</v>
      </c>
      <c r="G1161" s="1785">
        <f>'Part VIII-Bldg Credit Alloc SR'!G30</f>
        <v>0</v>
      </c>
      <c r="H1161" s="1785">
        <f>'Part VIII-Bldg Credit Alloc SR'!H30</f>
        <v>0</v>
      </c>
      <c r="I1161" s="1785">
        <f>'Part VIII-Bldg Credit Alloc SR'!I30</f>
        <v>0</v>
      </c>
      <c r="J1161" s="1658">
        <f>'Part VIII-Bldg Credit Alloc SR'!J30</f>
        <v>0</v>
      </c>
      <c r="K1161" s="1785">
        <f>'Part VIII-Bldg Credit Alloc SR'!K30</f>
        <v>0</v>
      </c>
      <c r="L1161" s="1779" t="e">
        <f t="shared" si="430"/>
        <v>#DIV/0!</v>
      </c>
      <c r="M1161" s="1778" t="e">
        <f t="shared" si="431"/>
        <v>#DIV/0!</v>
      </c>
      <c r="N1161" s="1784">
        <f>'Part VIII-Bldg Credit Alloc SR'!N30</f>
        <v>0</v>
      </c>
      <c r="O1161" s="1786">
        <f>'Part VIII-Bldg Credit Alloc SR'!O30</f>
        <v>0</v>
      </c>
      <c r="P1161" s="1778" t="e">
        <f t="shared" si="432"/>
        <v>#DIV/0!</v>
      </c>
      <c r="Q1161" s="1778" t="e">
        <f t="shared" si="433"/>
        <v>#DIV/0!</v>
      </c>
      <c r="R1161" s="1778" t="e">
        <f t="shared" si="434"/>
        <v>#DIV/0!</v>
      </c>
    </row>
    <row r="1162" spans="1:18">
      <c r="A1162" s="1658">
        <f>'Part VIII-Bldg Credit Alloc SR'!A31</f>
        <v>0</v>
      </c>
      <c r="B1162" s="1658"/>
      <c r="C1162" s="1658"/>
      <c r="D1162" s="1784">
        <f>'Part VIII-Bldg Credit Alloc SR'!D31</f>
        <v>0</v>
      </c>
      <c r="E1162" s="1785">
        <f>'Part VIII-Bldg Credit Alloc SR'!E31</f>
        <v>0</v>
      </c>
      <c r="F1162" s="1785">
        <f>'Part VIII-Bldg Credit Alloc SR'!F31</f>
        <v>0</v>
      </c>
      <c r="G1162" s="1785">
        <f>'Part VIII-Bldg Credit Alloc SR'!G31</f>
        <v>0</v>
      </c>
      <c r="H1162" s="1785">
        <f>'Part VIII-Bldg Credit Alloc SR'!H31</f>
        <v>0</v>
      </c>
      <c r="I1162" s="1785">
        <f>'Part VIII-Bldg Credit Alloc SR'!I31</f>
        <v>0</v>
      </c>
      <c r="J1162" s="1658">
        <f>'Part VIII-Bldg Credit Alloc SR'!J31</f>
        <v>0</v>
      </c>
      <c r="K1162" s="1785">
        <f>'Part VIII-Bldg Credit Alloc SR'!K31</f>
        <v>0</v>
      </c>
      <c r="L1162" s="1779" t="e">
        <f t="shared" si="430"/>
        <v>#DIV/0!</v>
      </c>
      <c r="M1162" s="1778" t="e">
        <f t="shared" si="431"/>
        <v>#DIV/0!</v>
      </c>
      <c r="N1162" s="1784">
        <f>'Part VIII-Bldg Credit Alloc SR'!N31</f>
        <v>0</v>
      </c>
      <c r="O1162" s="1786">
        <f>'Part VIII-Bldg Credit Alloc SR'!O31</f>
        <v>0</v>
      </c>
      <c r="P1162" s="1778" t="e">
        <f t="shared" si="432"/>
        <v>#DIV/0!</v>
      </c>
      <c r="Q1162" s="1778" t="e">
        <f t="shared" si="433"/>
        <v>#DIV/0!</v>
      </c>
      <c r="R1162" s="1778" t="e">
        <f t="shared" si="434"/>
        <v>#DIV/0!</v>
      </c>
    </row>
    <row r="1163" spans="1:18">
      <c r="A1163" s="1658">
        <f>'Part VIII-Bldg Credit Alloc SR'!A32</f>
        <v>0</v>
      </c>
      <c r="B1163" s="1658"/>
      <c r="C1163" s="1658"/>
      <c r="D1163" s="1784">
        <f>'Part VIII-Bldg Credit Alloc SR'!D32</f>
        <v>0</v>
      </c>
      <c r="E1163" s="1785">
        <f>'Part VIII-Bldg Credit Alloc SR'!E32</f>
        <v>0</v>
      </c>
      <c r="F1163" s="1785">
        <f>'Part VIII-Bldg Credit Alloc SR'!F32</f>
        <v>0</v>
      </c>
      <c r="G1163" s="1785">
        <f>'Part VIII-Bldg Credit Alloc SR'!G32</f>
        <v>0</v>
      </c>
      <c r="H1163" s="1785">
        <f>'Part VIII-Bldg Credit Alloc SR'!H32</f>
        <v>0</v>
      </c>
      <c r="I1163" s="1785">
        <f>'Part VIII-Bldg Credit Alloc SR'!I32</f>
        <v>0</v>
      </c>
      <c r="J1163" s="1658">
        <f>'Part VIII-Bldg Credit Alloc SR'!J32</f>
        <v>0</v>
      </c>
      <c r="K1163" s="1785">
        <f>'Part VIII-Bldg Credit Alloc SR'!K32</f>
        <v>0</v>
      </c>
      <c r="L1163" s="1779" t="e">
        <f t="shared" si="430"/>
        <v>#DIV/0!</v>
      </c>
      <c r="M1163" s="1778" t="e">
        <f t="shared" si="431"/>
        <v>#DIV/0!</v>
      </c>
      <c r="N1163" s="1784">
        <f>'Part VIII-Bldg Credit Alloc SR'!N32</f>
        <v>0</v>
      </c>
      <c r="O1163" s="1786">
        <f>'Part VIII-Bldg Credit Alloc SR'!O32</f>
        <v>0</v>
      </c>
      <c r="P1163" s="1778" t="e">
        <f t="shared" si="432"/>
        <v>#DIV/0!</v>
      </c>
      <c r="Q1163" s="1778" t="e">
        <f t="shared" si="433"/>
        <v>#DIV/0!</v>
      </c>
      <c r="R1163" s="1778" t="e">
        <f t="shared" si="434"/>
        <v>#DIV/0!</v>
      </c>
    </row>
    <row r="1164" spans="1:18">
      <c r="A1164" s="1658">
        <f>'Part VIII-Bldg Credit Alloc SR'!A33</f>
        <v>0</v>
      </c>
      <c r="B1164" s="1658"/>
      <c r="C1164" s="1658"/>
      <c r="D1164" s="1784">
        <f>'Part VIII-Bldg Credit Alloc SR'!D33</f>
        <v>0</v>
      </c>
      <c r="E1164" s="1785">
        <f>'Part VIII-Bldg Credit Alloc SR'!E33</f>
        <v>0</v>
      </c>
      <c r="F1164" s="1785">
        <f>'Part VIII-Bldg Credit Alloc SR'!F33</f>
        <v>0</v>
      </c>
      <c r="G1164" s="1785">
        <f>'Part VIII-Bldg Credit Alloc SR'!G33</f>
        <v>0</v>
      </c>
      <c r="H1164" s="1785">
        <f>'Part VIII-Bldg Credit Alloc SR'!H33</f>
        <v>0</v>
      </c>
      <c r="I1164" s="1785">
        <f>'Part VIII-Bldg Credit Alloc SR'!I33</f>
        <v>0</v>
      </c>
      <c r="J1164" s="1658">
        <f>'Part VIII-Bldg Credit Alloc SR'!J33</f>
        <v>0</v>
      </c>
      <c r="K1164" s="1785">
        <f>'Part VIII-Bldg Credit Alloc SR'!K33</f>
        <v>0</v>
      </c>
      <c r="L1164" s="1779" t="e">
        <f t="shared" si="430"/>
        <v>#DIV/0!</v>
      </c>
      <c r="M1164" s="1778" t="e">
        <f t="shared" si="431"/>
        <v>#DIV/0!</v>
      </c>
      <c r="N1164" s="1784">
        <f>'Part VIII-Bldg Credit Alloc SR'!N33</f>
        <v>0</v>
      </c>
      <c r="O1164" s="1786">
        <f>'Part VIII-Bldg Credit Alloc SR'!O33</f>
        <v>0</v>
      </c>
      <c r="P1164" s="1778" t="e">
        <f t="shared" si="432"/>
        <v>#DIV/0!</v>
      </c>
      <c r="Q1164" s="1778" t="e">
        <f t="shared" si="433"/>
        <v>#DIV/0!</v>
      </c>
      <c r="R1164" s="1778" t="e">
        <f t="shared" si="434"/>
        <v>#DIV/0!</v>
      </c>
    </row>
    <row r="1165" spans="1:18">
      <c r="A1165" s="1658">
        <f>'Part VIII-Bldg Credit Alloc SR'!A34</f>
        <v>0</v>
      </c>
      <c r="B1165" s="1658"/>
      <c r="C1165" s="1658"/>
      <c r="D1165" s="1784">
        <f>'Part VIII-Bldg Credit Alloc SR'!D34</f>
        <v>0</v>
      </c>
      <c r="E1165" s="1785">
        <f>'Part VIII-Bldg Credit Alloc SR'!E34</f>
        <v>0</v>
      </c>
      <c r="F1165" s="1785">
        <f>'Part VIII-Bldg Credit Alloc SR'!F34</f>
        <v>0</v>
      </c>
      <c r="G1165" s="1785">
        <f>'Part VIII-Bldg Credit Alloc SR'!G34</f>
        <v>0</v>
      </c>
      <c r="H1165" s="1785">
        <f>'Part VIII-Bldg Credit Alloc SR'!H34</f>
        <v>0</v>
      </c>
      <c r="I1165" s="1785">
        <f>'Part VIII-Bldg Credit Alloc SR'!I34</f>
        <v>0</v>
      </c>
      <c r="J1165" s="1658">
        <f>'Part VIII-Bldg Credit Alloc SR'!J34</f>
        <v>0</v>
      </c>
      <c r="K1165" s="1785">
        <f>'Part VIII-Bldg Credit Alloc SR'!K34</f>
        <v>0</v>
      </c>
      <c r="L1165" s="1779" t="e">
        <f t="shared" si="430"/>
        <v>#DIV/0!</v>
      </c>
      <c r="M1165" s="1778" t="e">
        <f t="shared" si="431"/>
        <v>#DIV/0!</v>
      </c>
      <c r="N1165" s="1784">
        <f>'Part VIII-Bldg Credit Alloc SR'!N34</f>
        <v>0</v>
      </c>
      <c r="O1165" s="1786">
        <f>'Part VIII-Bldg Credit Alloc SR'!O34</f>
        <v>0</v>
      </c>
      <c r="P1165" s="1778" t="e">
        <f t="shared" si="432"/>
        <v>#DIV/0!</v>
      </c>
      <c r="Q1165" s="1778" t="e">
        <f t="shared" si="433"/>
        <v>#DIV/0!</v>
      </c>
      <c r="R1165" s="1778" t="e">
        <f t="shared" si="434"/>
        <v>#DIV/0!</v>
      </c>
    </row>
    <row r="1166" spans="1:18">
      <c r="A1166" s="1658">
        <f>'Part VIII-Bldg Credit Alloc SR'!A35</f>
        <v>0</v>
      </c>
      <c r="B1166" s="1658"/>
      <c r="C1166" s="1658"/>
      <c r="D1166" s="1784">
        <f>'Part VIII-Bldg Credit Alloc SR'!D35</f>
        <v>0</v>
      </c>
      <c r="E1166" s="1785">
        <f>'Part VIII-Bldg Credit Alloc SR'!E35</f>
        <v>0</v>
      </c>
      <c r="F1166" s="1785">
        <f>'Part VIII-Bldg Credit Alloc SR'!F35</f>
        <v>0</v>
      </c>
      <c r="G1166" s="1785">
        <f>'Part VIII-Bldg Credit Alloc SR'!G35</f>
        <v>0</v>
      </c>
      <c r="H1166" s="1785">
        <f>'Part VIII-Bldg Credit Alloc SR'!H35</f>
        <v>0</v>
      </c>
      <c r="I1166" s="1785">
        <f>'Part VIII-Bldg Credit Alloc SR'!I35</f>
        <v>0</v>
      </c>
      <c r="J1166" s="1658">
        <f>'Part VIII-Bldg Credit Alloc SR'!J35</f>
        <v>0</v>
      </c>
      <c r="K1166" s="1785">
        <f>'Part VIII-Bldg Credit Alloc SR'!K35</f>
        <v>0</v>
      </c>
      <c r="L1166" s="1779" t="e">
        <f t="shared" si="430"/>
        <v>#DIV/0!</v>
      </c>
      <c r="M1166" s="1778" t="e">
        <f t="shared" si="431"/>
        <v>#DIV/0!</v>
      </c>
      <c r="N1166" s="1784">
        <f>'Part VIII-Bldg Credit Alloc SR'!N35</f>
        <v>0</v>
      </c>
      <c r="O1166" s="1786">
        <f>'Part VIII-Bldg Credit Alloc SR'!O35</f>
        <v>0</v>
      </c>
      <c r="P1166" s="1778" t="e">
        <f t="shared" si="432"/>
        <v>#DIV/0!</v>
      </c>
      <c r="Q1166" s="1778" t="e">
        <f t="shared" si="433"/>
        <v>#DIV/0!</v>
      </c>
      <c r="R1166" s="1778" t="e">
        <f t="shared" si="434"/>
        <v>#DIV/0!</v>
      </c>
    </row>
    <row r="1167" spans="1:18">
      <c r="A1167" s="1658">
        <f>'Part VIII-Bldg Credit Alloc SR'!A36</f>
        <v>0</v>
      </c>
      <c r="B1167" s="1658"/>
      <c r="C1167" s="1658"/>
      <c r="D1167" s="1784">
        <f>'Part VIII-Bldg Credit Alloc SR'!D36</f>
        <v>0</v>
      </c>
      <c r="E1167" s="1785">
        <f>'Part VIII-Bldg Credit Alloc SR'!E36</f>
        <v>0</v>
      </c>
      <c r="F1167" s="1785">
        <f>'Part VIII-Bldg Credit Alloc SR'!F36</f>
        <v>0</v>
      </c>
      <c r="G1167" s="1785">
        <f>'Part VIII-Bldg Credit Alloc SR'!G36</f>
        <v>0</v>
      </c>
      <c r="H1167" s="1785">
        <f>'Part VIII-Bldg Credit Alloc SR'!H36</f>
        <v>0</v>
      </c>
      <c r="I1167" s="1785">
        <f>'Part VIII-Bldg Credit Alloc SR'!I36</f>
        <v>0</v>
      </c>
      <c r="J1167" s="1658">
        <f>'Part VIII-Bldg Credit Alloc SR'!J36</f>
        <v>0</v>
      </c>
      <c r="K1167" s="1785">
        <f>'Part VIII-Bldg Credit Alloc SR'!K36</f>
        <v>0</v>
      </c>
      <c r="L1167" s="1779" t="e">
        <f t="shared" si="430"/>
        <v>#DIV/0!</v>
      </c>
      <c r="M1167" s="1778" t="e">
        <f t="shared" si="431"/>
        <v>#DIV/0!</v>
      </c>
      <c r="N1167" s="1784">
        <f>'Part VIII-Bldg Credit Alloc SR'!N36</f>
        <v>0</v>
      </c>
      <c r="O1167" s="1786">
        <f>'Part VIII-Bldg Credit Alloc SR'!O36</f>
        <v>0</v>
      </c>
      <c r="P1167" s="1778" t="e">
        <f t="shared" si="432"/>
        <v>#DIV/0!</v>
      </c>
      <c r="Q1167" s="1778" t="e">
        <f t="shared" si="433"/>
        <v>#DIV/0!</v>
      </c>
      <c r="R1167" s="1778" t="e">
        <f t="shared" si="434"/>
        <v>#DIV/0!</v>
      </c>
    </row>
    <row r="1168" spans="1:18">
      <c r="A1168" s="1658">
        <f>'Part VIII-Bldg Credit Alloc SR'!A37</f>
        <v>0</v>
      </c>
      <c r="B1168" s="1658"/>
      <c r="C1168" s="1658"/>
      <c r="D1168" s="1784">
        <f>'Part VIII-Bldg Credit Alloc SR'!D37</f>
        <v>0</v>
      </c>
      <c r="E1168" s="1785">
        <f>'Part VIII-Bldg Credit Alloc SR'!E37</f>
        <v>0</v>
      </c>
      <c r="F1168" s="1785">
        <f>'Part VIII-Bldg Credit Alloc SR'!F37</f>
        <v>0</v>
      </c>
      <c r="G1168" s="1785">
        <f>'Part VIII-Bldg Credit Alloc SR'!G37</f>
        <v>0</v>
      </c>
      <c r="H1168" s="1785">
        <f>'Part VIII-Bldg Credit Alloc SR'!H37</f>
        <v>0</v>
      </c>
      <c r="I1168" s="1785">
        <f>'Part VIII-Bldg Credit Alloc SR'!I37</f>
        <v>0</v>
      </c>
      <c r="J1168" s="1658">
        <f>'Part VIII-Bldg Credit Alloc SR'!J37</f>
        <v>0</v>
      </c>
      <c r="K1168" s="1785">
        <f>'Part VIII-Bldg Credit Alloc SR'!K37</f>
        <v>0</v>
      </c>
      <c r="L1168" s="1779" t="e">
        <f t="shared" si="430"/>
        <v>#DIV/0!</v>
      </c>
      <c r="M1168" s="1778" t="e">
        <f t="shared" si="431"/>
        <v>#DIV/0!</v>
      </c>
      <c r="N1168" s="1784">
        <f>'Part VIII-Bldg Credit Alloc SR'!N37</f>
        <v>0</v>
      </c>
      <c r="O1168" s="1786">
        <f>'Part VIII-Bldg Credit Alloc SR'!O37</f>
        <v>0</v>
      </c>
      <c r="P1168" s="1778" t="e">
        <f t="shared" si="432"/>
        <v>#DIV/0!</v>
      </c>
      <c r="Q1168" s="1778" t="e">
        <f t="shared" si="433"/>
        <v>#DIV/0!</v>
      </c>
      <c r="R1168" s="1778" t="e">
        <f t="shared" si="434"/>
        <v>#DIV/0!</v>
      </c>
    </row>
    <row r="1169" spans="1:18">
      <c r="A1169" s="1658">
        <f>'Part VIII-Bldg Credit Alloc SR'!A38</f>
        <v>0</v>
      </c>
      <c r="B1169" s="1658"/>
      <c r="C1169" s="1658"/>
      <c r="D1169" s="1784">
        <f>'Part VIII-Bldg Credit Alloc SR'!D38</f>
        <v>0</v>
      </c>
      <c r="E1169" s="1785">
        <f>'Part VIII-Bldg Credit Alloc SR'!E38</f>
        <v>0</v>
      </c>
      <c r="F1169" s="1785">
        <f>'Part VIII-Bldg Credit Alloc SR'!F38</f>
        <v>0</v>
      </c>
      <c r="G1169" s="1785">
        <f>'Part VIII-Bldg Credit Alloc SR'!G38</f>
        <v>0</v>
      </c>
      <c r="H1169" s="1785">
        <f>'Part VIII-Bldg Credit Alloc SR'!H38</f>
        <v>0</v>
      </c>
      <c r="I1169" s="1785">
        <f>'Part VIII-Bldg Credit Alloc SR'!I38</f>
        <v>0</v>
      </c>
      <c r="J1169" s="1658">
        <f>'Part VIII-Bldg Credit Alloc SR'!J38</f>
        <v>0</v>
      </c>
      <c r="K1169" s="1785">
        <f>'Part VIII-Bldg Credit Alloc SR'!K38</f>
        <v>0</v>
      </c>
      <c r="L1169" s="1779" t="e">
        <f t="shared" si="430"/>
        <v>#DIV/0!</v>
      </c>
      <c r="M1169" s="1778" t="e">
        <f t="shared" si="431"/>
        <v>#DIV/0!</v>
      </c>
      <c r="N1169" s="1784">
        <f>'Part VIII-Bldg Credit Alloc SR'!N38</f>
        <v>0</v>
      </c>
      <c r="O1169" s="1786">
        <f>'Part VIII-Bldg Credit Alloc SR'!O38</f>
        <v>0</v>
      </c>
      <c r="P1169" s="1778" t="e">
        <f t="shared" si="432"/>
        <v>#DIV/0!</v>
      </c>
      <c r="Q1169" s="1778" t="e">
        <f t="shared" si="433"/>
        <v>#DIV/0!</v>
      </c>
      <c r="R1169" s="1778" t="e">
        <f t="shared" si="434"/>
        <v>#DIV/0!</v>
      </c>
    </row>
    <row r="1170" spans="1:18">
      <c r="A1170" s="1658">
        <f>'Part VIII-Bldg Credit Alloc SR'!A39</f>
        <v>0</v>
      </c>
      <c r="B1170" s="1658"/>
      <c r="C1170" s="1658"/>
      <c r="D1170" s="1784">
        <f>'Part VIII-Bldg Credit Alloc SR'!D39</f>
        <v>0</v>
      </c>
      <c r="E1170" s="1785">
        <f>'Part VIII-Bldg Credit Alloc SR'!E39</f>
        <v>0</v>
      </c>
      <c r="F1170" s="1785">
        <f>'Part VIII-Bldg Credit Alloc SR'!F39</f>
        <v>0</v>
      </c>
      <c r="G1170" s="1785">
        <f>'Part VIII-Bldg Credit Alloc SR'!G39</f>
        <v>0</v>
      </c>
      <c r="H1170" s="1785">
        <f>'Part VIII-Bldg Credit Alloc SR'!H39</f>
        <v>0</v>
      </c>
      <c r="I1170" s="1785">
        <f>'Part VIII-Bldg Credit Alloc SR'!I39</f>
        <v>0</v>
      </c>
      <c r="J1170" s="1658">
        <f>'Part VIII-Bldg Credit Alloc SR'!J39</f>
        <v>0</v>
      </c>
      <c r="K1170" s="1785">
        <f>'Part VIII-Bldg Credit Alloc SR'!K39</f>
        <v>0</v>
      </c>
      <c r="L1170" s="1779" t="e">
        <f t="shared" si="430"/>
        <v>#DIV/0!</v>
      </c>
      <c r="M1170" s="1778" t="e">
        <f t="shared" si="431"/>
        <v>#DIV/0!</v>
      </c>
      <c r="N1170" s="1784">
        <f>'Part VIII-Bldg Credit Alloc SR'!N39</f>
        <v>0</v>
      </c>
      <c r="O1170" s="1786">
        <f>'Part VIII-Bldg Credit Alloc SR'!O39</f>
        <v>0</v>
      </c>
      <c r="P1170" s="1778" t="e">
        <f t="shared" si="432"/>
        <v>#DIV/0!</v>
      </c>
      <c r="Q1170" s="1778" t="e">
        <f t="shared" si="433"/>
        <v>#DIV/0!</v>
      </c>
      <c r="R1170" s="1778" t="e">
        <f t="shared" si="434"/>
        <v>#DIV/0!</v>
      </c>
    </row>
    <row r="1171" spans="1:18">
      <c r="A1171" s="1658">
        <f>'Part VIII-Bldg Credit Alloc SR'!A40</f>
        <v>0</v>
      </c>
      <c r="B1171" s="1658"/>
      <c r="C1171" s="1658"/>
      <c r="D1171" s="1784">
        <f>'Part VIII-Bldg Credit Alloc SR'!D40</f>
        <v>0</v>
      </c>
      <c r="E1171" s="1785">
        <f>'Part VIII-Bldg Credit Alloc SR'!E40</f>
        <v>0</v>
      </c>
      <c r="F1171" s="1785">
        <f>'Part VIII-Bldg Credit Alloc SR'!F40</f>
        <v>0</v>
      </c>
      <c r="G1171" s="1785">
        <f>'Part VIII-Bldg Credit Alloc SR'!G40</f>
        <v>0</v>
      </c>
      <c r="H1171" s="1785">
        <f>'Part VIII-Bldg Credit Alloc SR'!H40</f>
        <v>0</v>
      </c>
      <c r="I1171" s="1785">
        <f>'Part VIII-Bldg Credit Alloc SR'!I40</f>
        <v>0</v>
      </c>
      <c r="J1171" s="1658">
        <f>'Part VIII-Bldg Credit Alloc SR'!J40</f>
        <v>0</v>
      </c>
      <c r="K1171" s="1785">
        <f>'Part VIII-Bldg Credit Alloc SR'!K40</f>
        <v>0</v>
      </c>
      <c r="L1171" s="1779" t="e">
        <f t="shared" si="430"/>
        <v>#DIV/0!</v>
      </c>
      <c r="M1171" s="1778" t="e">
        <f t="shared" si="431"/>
        <v>#DIV/0!</v>
      </c>
      <c r="N1171" s="1784">
        <f>'Part VIII-Bldg Credit Alloc SR'!N40</f>
        <v>0</v>
      </c>
      <c r="O1171" s="1786">
        <f>'Part VIII-Bldg Credit Alloc SR'!O40</f>
        <v>0</v>
      </c>
      <c r="P1171" s="1778" t="e">
        <f t="shared" si="432"/>
        <v>#DIV/0!</v>
      </c>
      <c r="Q1171" s="1778" t="e">
        <f t="shared" si="433"/>
        <v>#DIV/0!</v>
      </c>
      <c r="R1171" s="1778" t="e">
        <f>IF(P1171="","",ROUND(P1171,0))</f>
        <v>#DIV/0!</v>
      </c>
    </row>
    <row r="1172" spans="1:18">
      <c r="A1172" s="1658">
        <f>'Part VIII-Bldg Credit Alloc SR'!A41</f>
        <v>0</v>
      </c>
      <c r="B1172" s="1658"/>
      <c r="C1172" s="1658"/>
      <c r="D1172" s="1784">
        <f>'Part VIII-Bldg Credit Alloc SR'!D41</f>
        <v>0</v>
      </c>
      <c r="E1172" s="1785">
        <f>'Part VIII-Bldg Credit Alloc SR'!E41</f>
        <v>0</v>
      </c>
      <c r="F1172" s="1785">
        <f>'Part VIII-Bldg Credit Alloc SR'!F41</f>
        <v>0</v>
      </c>
      <c r="G1172" s="1785">
        <f>'Part VIII-Bldg Credit Alloc SR'!G41</f>
        <v>0</v>
      </c>
      <c r="H1172" s="1785">
        <f>'Part VIII-Bldg Credit Alloc SR'!H41</f>
        <v>0</v>
      </c>
      <c r="I1172" s="1785">
        <f>'Part VIII-Bldg Credit Alloc SR'!I41</f>
        <v>0</v>
      </c>
      <c r="J1172" s="1658">
        <f>'Part VIII-Bldg Credit Alloc SR'!J41</f>
        <v>0</v>
      </c>
      <c r="K1172" s="1785">
        <f>'Part VIII-Bldg Credit Alloc SR'!K41</f>
        <v>0</v>
      </c>
      <c r="L1172" s="1779" t="e">
        <f t="shared" si="430"/>
        <v>#DIV/0!</v>
      </c>
      <c r="M1172" s="1778" t="e">
        <f t="shared" si="431"/>
        <v>#DIV/0!</v>
      </c>
      <c r="N1172" s="1784">
        <f>'Part VIII-Bldg Credit Alloc SR'!N41</f>
        <v>0</v>
      </c>
      <c r="O1172" s="1786">
        <f>'Part VIII-Bldg Credit Alloc SR'!O41</f>
        <v>0</v>
      </c>
      <c r="P1172" s="1778" t="e">
        <f t="shared" si="432"/>
        <v>#DIV/0!</v>
      </c>
      <c r="Q1172" s="1778" t="e">
        <f t="shared" si="433"/>
        <v>#DIV/0!</v>
      </c>
      <c r="R1172" s="1778" t="e">
        <f t="shared" si="434"/>
        <v>#DIV/0!</v>
      </c>
    </row>
    <row r="1173" spans="1:18">
      <c r="A1173" s="1658">
        <f>'Part VIII-Bldg Credit Alloc SR'!A42</f>
        <v>0</v>
      </c>
      <c r="B1173" s="1658"/>
      <c r="C1173" s="1658"/>
      <c r="D1173" s="1784">
        <f>'Part VIII-Bldg Credit Alloc SR'!D42</f>
        <v>0</v>
      </c>
      <c r="E1173" s="1785">
        <f>'Part VIII-Bldg Credit Alloc SR'!E42</f>
        <v>0</v>
      </c>
      <c r="F1173" s="1785">
        <f>'Part VIII-Bldg Credit Alloc SR'!F42</f>
        <v>0</v>
      </c>
      <c r="G1173" s="1785">
        <f>'Part VIII-Bldg Credit Alloc SR'!G42</f>
        <v>0</v>
      </c>
      <c r="H1173" s="1785">
        <f>'Part VIII-Bldg Credit Alloc SR'!H42</f>
        <v>0</v>
      </c>
      <c r="I1173" s="1785">
        <f>'Part VIII-Bldg Credit Alloc SR'!I42</f>
        <v>0</v>
      </c>
      <c r="J1173" s="1658">
        <f>'Part VIII-Bldg Credit Alloc SR'!J42</f>
        <v>0</v>
      </c>
      <c r="K1173" s="1785">
        <f>'Part VIII-Bldg Credit Alloc SR'!K42</f>
        <v>0</v>
      </c>
      <c r="L1173" s="1779" t="e">
        <f t="shared" si="430"/>
        <v>#DIV/0!</v>
      </c>
      <c r="M1173" s="1778" t="e">
        <f t="shared" si="431"/>
        <v>#DIV/0!</v>
      </c>
      <c r="N1173" s="1784">
        <f>'Part VIII-Bldg Credit Alloc SR'!N42</f>
        <v>0</v>
      </c>
      <c r="O1173" s="1786">
        <f>'Part VIII-Bldg Credit Alloc SR'!O42</f>
        <v>0</v>
      </c>
      <c r="P1173" s="1778" t="e">
        <f t="shared" si="432"/>
        <v>#DIV/0!</v>
      </c>
      <c r="Q1173" s="1778" t="e">
        <f t="shared" si="433"/>
        <v>#DIV/0!</v>
      </c>
      <c r="R1173" s="1778" t="e">
        <f t="shared" si="434"/>
        <v>#DIV/0!</v>
      </c>
    </row>
    <row r="1174" spans="1:18">
      <c r="A1174" s="1658">
        <f>'Part VIII-Bldg Credit Alloc SR'!A43</f>
        <v>0</v>
      </c>
      <c r="B1174" s="1658"/>
      <c r="C1174" s="1658"/>
      <c r="D1174" s="1784">
        <f>'Part VIII-Bldg Credit Alloc SR'!D43</f>
        <v>0</v>
      </c>
      <c r="E1174" s="1785">
        <f>'Part VIII-Bldg Credit Alloc SR'!E43</f>
        <v>0</v>
      </c>
      <c r="F1174" s="1785">
        <f>'Part VIII-Bldg Credit Alloc SR'!F43</f>
        <v>0</v>
      </c>
      <c r="G1174" s="1785">
        <f>'Part VIII-Bldg Credit Alloc SR'!G43</f>
        <v>0</v>
      </c>
      <c r="H1174" s="1785">
        <f>'Part VIII-Bldg Credit Alloc SR'!H43</f>
        <v>0</v>
      </c>
      <c r="I1174" s="1785">
        <f>'Part VIII-Bldg Credit Alloc SR'!I43</f>
        <v>0</v>
      </c>
      <c r="J1174" s="1658">
        <f>'Part VIII-Bldg Credit Alloc SR'!J43</f>
        <v>0</v>
      </c>
      <c r="K1174" s="1785">
        <f>'Part VIII-Bldg Credit Alloc SR'!K43</f>
        <v>0</v>
      </c>
      <c r="L1174" s="1779" t="e">
        <f t="shared" si="430"/>
        <v>#DIV/0!</v>
      </c>
      <c r="M1174" s="1778" t="e">
        <f t="shared" si="431"/>
        <v>#DIV/0!</v>
      </c>
      <c r="N1174" s="1784">
        <f>'Part VIII-Bldg Credit Alloc SR'!N43</f>
        <v>0</v>
      </c>
      <c r="O1174" s="1786">
        <f>'Part VIII-Bldg Credit Alloc SR'!O43</f>
        <v>0</v>
      </c>
      <c r="P1174" s="1778" t="e">
        <f t="shared" si="432"/>
        <v>#DIV/0!</v>
      </c>
      <c r="Q1174" s="1778" t="e">
        <f t="shared" si="433"/>
        <v>#DIV/0!</v>
      </c>
      <c r="R1174" s="1778" t="e">
        <f t="shared" si="434"/>
        <v>#DIV/0!</v>
      </c>
    </row>
    <row r="1175" spans="1:18">
      <c r="A1175" s="1658">
        <f>'Part VIII-Bldg Credit Alloc SR'!A44</f>
        <v>0</v>
      </c>
      <c r="B1175" s="1658"/>
      <c r="C1175" s="1658"/>
      <c r="D1175" s="1784">
        <f>'Part VIII-Bldg Credit Alloc SR'!D44</f>
        <v>0</v>
      </c>
      <c r="E1175" s="1785">
        <f>'Part VIII-Bldg Credit Alloc SR'!E44</f>
        <v>0</v>
      </c>
      <c r="F1175" s="1785">
        <f>'Part VIII-Bldg Credit Alloc SR'!F44</f>
        <v>0</v>
      </c>
      <c r="G1175" s="1785">
        <f>'Part VIII-Bldg Credit Alloc SR'!G44</f>
        <v>0</v>
      </c>
      <c r="H1175" s="1785">
        <f>'Part VIII-Bldg Credit Alloc SR'!H44</f>
        <v>0</v>
      </c>
      <c r="I1175" s="1785">
        <f>'Part VIII-Bldg Credit Alloc SR'!I44</f>
        <v>0</v>
      </c>
      <c r="J1175" s="1658">
        <f>'Part VIII-Bldg Credit Alloc SR'!J44</f>
        <v>0</v>
      </c>
      <c r="K1175" s="1785">
        <f>'Part VIII-Bldg Credit Alloc SR'!K44</f>
        <v>0</v>
      </c>
      <c r="L1175" s="1779" t="e">
        <f t="shared" si="430"/>
        <v>#DIV/0!</v>
      </c>
      <c r="M1175" s="1778" t="e">
        <f t="shared" si="431"/>
        <v>#DIV/0!</v>
      </c>
      <c r="N1175" s="1784">
        <f>'Part VIII-Bldg Credit Alloc SR'!N44</f>
        <v>0</v>
      </c>
      <c r="O1175" s="1786">
        <f>'Part VIII-Bldg Credit Alloc SR'!O44</f>
        <v>0</v>
      </c>
      <c r="P1175" s="1778" t="e">
        <f t="shared" si="432"/>
        <v>#DIV/0!</v>
      </c>
      <c r="Q1175" s="1778" t="e">
        <f t="shared" si="433"/>
        <v>#DIV/0!</v>
      </c>
      <c r="R1175" s="1778" t="e">
        <f t="shared" si="434"/>
        <v>#DIV/0!</v>
      </c>
    </row>
    <row r="1176" spans="1:18">
      <c r="A1176" s="1715" t="s">
        <v>3690</v>
      </c>
      <c r="B1176" s="1780"/>
      <c r="C1176" s="1780"/>
      <c r="D1176" s="1777"/>
      <c r="E1176" s="1778">
        <f>SUM(E1141:E1175)</f>
        <v>0</v>
      </c>
      <c r="F1176" s="1778">
        <f>SUM(F1141:F1175)</f>
        <v>0</v>
      </c>
      <c r="G1176" s="1778">
        <f>SUM(G1141:G1175)</f>
        <v>0</v>
      </c>
      <c r="H1176" s="1778">
        <f>SUM(H1141:H1175)</f>
        <v>0</v>
      </c>
      <c r="I1176" s="1778">
        <f>SUM(I1141:I1175)</f>
        <v>0</v>
      </c>
      <c r="J1176" s="1658"/>
      <c r="K1176" s="1778">
        <f>SUM(K1141:K1175)</f>
        <v>0</v>
      </c>
      <c r="L1176" s="1779"/>
      <c r="M1176" s="1778" t="e">
        <f>SUM(M1141:M1175)</f>
        <v>#DIV/0!</v>
      </c>
      <c r="N1176" s="1777"/>
      <c r="O1176" s="1779"/>
      <c r="P1176" s="1778" t="e">
        <f>SUM(P1141:P1175)</f>
        <v>#DIV/0!</v>
      </c>
      <c r="Q1176" s="1778" t="e">
        <f>SUM(Q1141:Q1175)</f>
        <v>#DIV/0!</v>
      </c>
      <c r="R1176" s="1778" t="e">
        <f>SUM(R1141:R1175)</f>
        <v>#DIV/0!</v>
      </c>
    </row>
    <row r="1177" spans="1:18">
      <c r="A1177" s="1780"/>
      <c r="B1177" s="1780"/>
      <c r="C1177" s="1780"/>
      <c r="D1177" s="1777"/>
      <c r="E1177" s="1778"/>
      <c r="F1177" s="1778"/>
      <c r="G1177" s="1778"/>
      <c r="H1177" s="1778"/>
      <c r="I1177" s="1778"/>
      <c r="J1177" s="1658"/>
      <c r="K1177" s="1778"/>
      <c r="L1177" s="1779"/>
      <c r="M1177" s="1778"/>
      <c r="N1177" s="1779"/>
      <c r="O1177" s="1777"/>
      <c r="P1177" s="1778"/>
      <c r="Q1177" s="1778"/>
      <c r="R1177" s="1778"/>
    </row>
    <row r="1178" spans="1:18">
      <c r="A1178" s="1186"/>
      <c r="B1178" s="1186"/>
      <c r="C1178" s="1186"/>
      <c r="D1178" s="1186"/>
      <c r="E1178" s="1186"/>
      <c r="F1178" s="1186"/>
      <c r="G1178" s="1186"/>
      <c r="H1178" s="1186"/>
      <c r="I1178" s="1186"/>
      <c r="J1178" s="1186"/>
      <c r="K1178" s="1186"/>
      <c r="L1178" s="1186"/>
      <c r="M1178" s="1186"/>
      <c r="N1178" s="1186"/>
      <c r="O1178" s="1186"/>
      <c r="P1178" s="1186"/>
      <c r="Q1178" s="1186"/>
      <c r="R1178" s="1186"/>
    </row>
    <row r="1179" spans="1:18">
      <c r="A1179" s="1715" t="s">
        <v>3128</v>
      </c>
      <c r="B1179" s="1656"/>
      <c r="C1179" s="1771" t="str">
        <f>C1135</f>
        <v>Rehabilitation</v>
      </c>
      <c r="D1179" s="1781"/>
      <c r="E1179" s="1781"/>
      <c r="F1179" s="1713"/>
      <c r="G1179" s="1656"/>
      <c r="H1179" s="1656"/>
      <c r="I1179" s="1656"/>
      <c r="J1179" s="1656"/>
      <c r="K1179" s="1656"/>
      <c r="L1179" s="1657"/>
      <c r="M1179" s="1657"/>
      <c r="N1179" s="1657"/>
      <c r="O1179" s="1656"/>
      <c r="P1179" s="1656"/>
      <c r="Q1179" s="1656"/>
      <c r="R1179" s="1656"/>
    </row>
    <row r="1180" spans="1:18">
      <c r="A1180" s="1712" t="s">
        <v>3129</v>
      </c>
      <c r="B1180" s="1712"/>
      <c r="C1180" s="1712"/>
      <c r="D1180" s="1712"/>
      <c r="E1180" s="1712"/>
      <c r="F1180" s="1712"/>
      <c r="G1180" s="1712"/>
      <c r="H1180" s="1712"/>
      <c r="I1180" s="1712"/>
      <c r="J1180" s="1712"/>
      <c r="K1180" s="1712"/>
      <c r="L1180" s="1712"/>
      <c r="M1180" s="1712"/>
      <c r="N1180" s="1712"/>
      <c r="O1180" s="1712"/>
      <c r="P1180" s="1712"/>
      <c r="Q1180" s="1712"/>
      <c r="R1180" s="1712"/>
    </row>
    <row r="1181" spans="1:18" ht="13.5" customHeight="1">
      <c r="A1181" s="1772"/>
      <c r="B1181" s="1658"/>
      <c r="C1181" s="1658"/>
      <c r="D1181" s="1773"/>
      <c r="E1181" s="1773" t="s">
        <v>503</v>
      </c>
      <c r="F1181" s="1773" t="s">
        <v>503</v>
      </c>
      <c r="G1181" s="1773" t="s">
        <v>477</v>
      </c>
      <c r="H1181" s="1773" t="s">
        <v>3130</v>
      </c>
      <c r="I1181" s="1718"/>
      <c r="J1181" s="1773"/>
      <c r="K1181" s="1718"/>
      <c r="L1181" s="1718"/>
      <c r="M1181" s="1746"/>
      <c r="N1181" s="1773" t="s">
        <v>861</v>
      </c>
      <c r="O1181" s="1746"/>
      <c r="P1181" s="1746"/>
      <c r="Q1181" s="1774" t="s">
        <v>3719</v>
      </c>
      <c r="R1181" s="1774"/>
    </row>
    <row r="1182" spans="1:18" ht="13.5">
      <c r="A1182" s="1772"/>
      <c r="B1182" s="1658"/>
      <c r="C1182" s="1658"/>
      <c r="D1182" s="1773" t="s">
        <v>496</v>
      </c>
      <c r="E1182" s="1775" t="s">
        <v>152</v>
      </c>
      <c r="F1182" s="1773" t="s">
        <v>3132</v>
      </c>
      <c r="G1182" s="1773" t="s">
        <v>3133</v>
      </c>
      <c r="H1182" s="1773" t="s">
        <v>3134</v>
      </c>
      <c r="I1182" s="1773" t="s">
        <v>3135</v>
      </c>
      <c r="J1182" s="1692" t="s">
        <v>3136</v>
      </c>
      <c r="K1182" s="1773" t="s">
        <v>3135</v>
      </c>
      <c r="L1182" s="1773" t="s">
        <v>3135</v>
      </c>
      <c r="M1182" s="1773" t="s">
        <v>3135</v>
      </c>
      <c r="N1182" s="1773" t="s">
        <v>3137</v>
      </c>
      <c r="O1182" s="1773" t="s">
        <v>3138</v>
      </c>
      <c r="P1182" s="1773" t="s">
        <v>3139</v>
      </c>
      <c r="Q1182" s="1774"/>
      <c r="R1182" s="1774"/>
    </row>
    <row r="1183" spans="1:18" ht="13.5">
      <c r="A1183" s="1772"/>
      <c r="B1183" s="1658"/>
      <c r="C1183" s="1658"/>
      <c r="D1183" s="1773" t="s">
        <v>3140</v>
      </c>
      <c r="E1183" s="1773" t="s">
        <v>3141</v>
      </c>
      <c r="F1183" s="1773" t="s">
        <v>3110</v>
      </c>
      <c r="G1183" s="1773" t="s">
        <v>3134</v>
      </c>
      <c r="H1183" s="1773" t="s">
        <v>3110</v>
      </c>
      <c r="I1183" s="1773" t="s">
        <v>3142</v>
      </c>
      <c r="J1183" s="1692"/>
      <c r="K1183" s="1773" t="s">
        <v>3143</v>
      </c>
      <c r="L1183" s="1773" t="s">
        <v>3144</v>
      </c>
      <c r="M1183" s="1773" t="s">
        <v>3145</v>
      </c>
      <c r="N1183" s="1773" t="s">
        <v>3146</v>
      </c>
      <c r="O1183" s="1773" t="s">
        <v>3147</v>
      </c>
      <c r="P1183" s="1773" t="s">
        <v>3147</v>
      </c>
      <c r="Q1183" s="1773" t="s">
        <v>3135</v>
      </c>
      <c r="R1183" s="1773" t="s">
        <v>3148</v>
      </c>
    </row>
    <row r="1184" spans="1:18" ht="13.5">
      <c r="A1184" s="1772" t="s">
        <v>3149</v>
      </c>
      <c r="B1184" s="1658"/>
      <c r="C1184" s="1658"/>
      <c r="D1184" s="1773" t="s">
        <v>3150</v>
      </c>
      <c r="E1184" s="1773" t="s">
        <v>3151</v>
      </c>
      <c r="F1184" s="1773" t="s">
        <v>3152</v>
      </c>
      <c r="G1184" s="1773" t="s">
        <v>3151</v>
      </c>
      <c r="H1184" s="1773" t="s">
        <v>3152</v>
      </c>
      <c r="I1184" s="1773" t="s">
        <v>3153</v>
      </c>
      <c r="J1184" s="1776" t="s">
        <v>3154</v>
      </c>
      <c r="K1184" s="1773" t="s">
        <v>3153</v>
      </c>
      <c r="L1184" s="1773" t="s">
        <v>3155</v>
      </c>
      <c r="M1184" s="1773" t="s">
        <v>3153</v>
      </c>
      <c r="N1184" s="1773" t="s">
        <v>3156</v>
      </c>
      <c r="O1184" s="1773" t="s">
        <v>3157</v>
      </c>
      <c r="P1184" s="1773" t="s">
        <v>1793</v>
      </c>
      <c r="Q1184" s="1773" t="s">
        <v>1830</v>
      </c>
      <c r="R1184" s="1773" t="s">
        <v>1793</v>
      </c>
    </row>
    <row r="1185" spans="1:18">
      <c r="A1185" s="1658">
        <f>'Part VIII-Bldg Credit Alloc SR'!A54</f>
        <v>0</v>
      </c>
      <c r="B1185" s="1658"/>
      <c r="C1185" s="1658"/>
      <c r="D1185" s="1777">
        <f>'Part VIII-Bldg Credit Alloc SR'!D54</f>
        <v>0</v>
      </c>
      <c r="E1185" s="1778">
        <f>'Part VIII-Bldg Credit Alloc SR'!E54</f>
        <v>0</v>
      </c>
      <c r="F1185" s="1778">
        <f>'Part VIII-Bldg Credit Alloc SR'!F54</f>
        <v>0</v>
      </c>
      <c r="G1185" s="1778">
        <f>'Part VIII-Bldg Credit Alloc SR'!G54</f>
        <v>0</v>
      </c>
      <c r="H1185" s="1778">
        <f>'Part VIII-Bldg Credit Alloc SR'!H54</f>
        <v>0</v>
      </c>
      <c r="I1185" s="1778">
        <f>'Part VIII-Bldg Credit Alloc SR'!I54</f>
        <v>0</v>
      </c>
      <c r="J1185" s="1776">
        <f>'Part VIII-Bldg Credit Alloc SR'!J54</f>
        <v>0</v>
      </c>
      <c r="K1185" s="1778">
        <f>'Part VIII-Bldg Credit Alloc SR'!K54</f>
        <v>0</v>
      </c>
      <c r="L1185" s="1779" t="e">
        <f>IF(OR(E1185="",F1185=""),"",MIN(G1185/E1185,H1185/F1185))</f>
        <v>#DIV/0!</v>
      </c>
      <c r="M1185" s="1778" t="e">
        <f>IF(OR(E1185="",F1185=""),"",K1185*L1185)</f>
        <v>#DIV/0!</v>
      </c>
      <c r="N1185" s="1777">
        <f>'Part VIII-Bldg Credit Alloc SR'!N54</f>
        <v>0</v>
      </c>
      <c r="O1185" s="1779">
        <f>'Part VIII-Bldg Credit Alloc SR'!O54</f>
        <v>0</v>
      </c>
      <c r="P1185" s="1778" t="e">
        <f>IF(OR(M1185="",O1185=""),"",M1185*O1185)</f>
        <v>#DIV/0!</v>
      </c>
      <c r="Q1185" s="1778" t="e">
        <f>IF(M1185="","",ROUND(M1185,0))</f>
        <v>#DIV/0!</v>
      </c>
      <c r="R1185" s="1778" t="e">
        <f>IF(P1185="","",ROUND(P1185,0))</f>
        <v>#DIV/0!</v>
      </c>
    </row>
    <row r="1186" spans="1:18">
      <c r="A1186" s="1658">
        <f>'Part VIII-Bldg Credit Alloc SR'!A55</f>
        <v>0</v>
      </c>
      <c r="B1186" s="1658"/>
      <c r="C1186" s="1658"/>
      <c r="D1186" s="1777">
        <f>'Part VIII-Bldg Credit Alloc SR'!D55</f>
        <v>0</v>
      </c>
      <c r="E1186" s="1778">
        <f>'Part VIII-Bldg Credit Alloc SR'!E55</f>
        <v>0</v>
      </c>
      <c r="F1186" s="1778">
        <f>'Part VIII-Bldg Credit Alloc SR'!F55</f>
        <v>0</v>
      </c>
      <c r="G1186" s="1778">
        <f>'Part VIII-Bldg Credit Alloc SR'!G55</f>
        <v>0</v>
      </c>
      <c r="H1186" s="1778">
        <f>'Part VIII-Bldg Credit Alloc SR'!H55</f>
        <v>0</v>
      </c>
      <c r="I1186" s="1778">
        <f>'Part VIII-Bldg Credit Alloc SR'!I55</f>
        <v>0</v>
      </c>
      <c r="J1186" s="1776">
        <f>'Part VIII-Bldg Credit Alloc SR'!J55</f>
        <v>0</v>
      </c>
      <c r="K1186" s="1778">
        <f>'Part VIII-Bldg Credit Alloc SR'!K55</f>
        <v>0</v>
      </c>
      <c r="L1186" s="1779" t="e">
        <f t="shared" ref="L1186:L1219" si="435">IF(OR(E1186="",F1186=""),"",MIN(G1186/E1186,H1186/F1186))</f>
        <v>#DIV/0!</v>
      </c>
      <c r="M1186" s="1778" t="e">
        <f t="shared" ref="M1186:M1219" si="436">IF(OR(E1186="",F1186=""),"",K1186*L1186)</f>
        <v>#DIV/0!</v>
      </c>
      <c r="N1186" s="1777">
        <f>'Part VIII-Bldg Credit Alloc SR'!N55</f>
        <v>0</v>
      </c>
      <c r="O1186" s="1779">
        <f>'Part VIII-Bldg Credit Alloc SR'!O55</f>
        <v>0</v>
      </c>
      <c r="P1186" s="1778" t="e">
        <f t="shared" ref="P1186:P1219" si="437">IF(OR(M1186="",O1186=""),"",M1186*O1186)</f>
        <v>#DIV/0!</v>
      </c>
      <c r="Q1186" s="1778" t="e">
        <f t="shared" ref="Q1186:Q1219" si="438">IF(M1186="","",ROUND(M1186,0))</f>
        <v>#DIV/0!</v>
      </c>
      <c r="R1186" s="1778" t="e">
        <f t="shared" ref="R1186:R1219" si="439">IF(P1186="","",ROUND(P1186,0))</f>
        <v>#DIV/0!</v>
      </c>
    </row>
    <row r="1187" spans="1:18">
      <c r="A1187" s="1658">
        <f>'Part VIII-Bldg Credit Alloc SR'!A56</f>
        <v>0</v>
      </c>
      <c r="B1187" s="1658"/>
      <c r="C1187" s="1658"/>
      <c r="D1187" s="1777">
        <f>'Part VIII-Bldg Credit Alloc SR'!D56</f>
        <v>0</v>
      </c>
      <c r="E1187" s="1778">
        <f>'Part VIII-Bldg Credit Alloc SR'!E56</f>
        <v>0</v>
      </c>
      <c r="F1187" s="1778">
        <f>'Part VIII-Bldg Credit Alloc SR'!F56</f>
        <v>0</v>
      </c>
      <c r="G1187" s="1778">
        <f>'Part VIII-Bldg Credit Alloc SR'!G56</f>
        <v>0</v>
      </c>
      <c r="H1187" s="1778">
        <f>'Part VIII-Bldg Credit Alloc SR'!H56</f>
        <v>0</v>
      </c>
      <c r="I1187" s="1778">
        <f>'Part VIII-Bldg Credit Alloc SR'!I56</f>
        <v>0</v>
      </c>
      <c r="J1187" s="1776">
        <f>'Part VIII-Bldg Credit Alloc SR'!J56</f>
        <v>0</v>
      </c>
      <c r="K1187" s="1778">
        <f>'Part VIII-Bldg Credit Alloc SR'!K56</f>
        <v>0</v>
      </c>
      <c r="L1187" s="1779" t="e">
        <f t="shared" si="435"/>
        <v>#DIV/0!</v>
      </c>
      <c r="M1187" s="1778" t="e">
        <f t="shared" si="436"/>
        <v>#DIV/0!</v>
      </c>
      <c r="N1187" s="1777">
        <f>'Part VIII-Bldg Credit Alloc SR'!N56</f>
        <v>0</v>
      </c>
      <c r="O1187" s="1779">
        <f>'Part VIII-Bldg Credit Alloc SR'!O56</f>
        <v>0</v>
      </c>
      <c r="P1187" s="1778" t="e">
        <f t="shared" si="437"/>
        <v>#DIV/0!</v>
      </c>
      <c r="Q1187" s="1778" t="e">
        <f t="shared" si="438"/>
        <v>#DIV/0!</v>
      </c>
      <c r="R1187" s="1778" t="e">
        <f t="shared" si="439"/>
        <v>#DIV/0!</v>
      </c>
    </row>
    <row r="1188" spans="1:18">
      <c r="A1188" s="1658">
        <f>'Part VIII-Bldg Credit Alloc SR'!A57</f>
        <v>0</v>
      </c>
      <c r="B1188" s="1658"/>
      <c r="C1188" s="1658"/>
      <c r="D1188" s="1777">
        <f>'Part VIII-Bldg Credit Alloc SR'!D57</f>
        <v>0</v>
      </c>
      <c r="E1188" s="1778">
        <f>'Part VIII-Bldg Credit Alloc SR'!E57</f>
        <v>0</v>
      </c>
      <c r="F1188" s="1778">
        <f>'Part VIII-Bldg Credit Alloc SR'!F57</f>
        <v>0</v>
      </c>
      <c r="G1188" s="1778">
        <f>'Part VIII-Bldg Credit Alloc SR'!G57</f>
        <v>0</v>
      </c>
      <c r="H1188" s="1778">
        <f>'Part VIII-Bldg Credit Alloc SR'!H57</f>
        <v>0</v>
      </c>
      <c r="I1188" s="1778">
        <f>'Part VIII-Bldg Credit Alloc SR'!I57</f>
        <v>0</v>
      </c>
      <c r="J1188" s="1776">
        <f>'Part VIII-Bldg Credit Alloc SR'!J57</f>
        <v>0</v>
      </c>
      <c r="K1188" s="1778">
        <f>'Part VIII-Bldg Credit Alloc SR'!K57</f>
        <v>0</v>
      </c>
      <c r="L1188" s="1779" t="e">
        <f t="shared" si="435"/>
        <v>#DIV/0!</v>
      </c>
      <c r="M1188" s="1778" t="e">
        <f t="shared" si="436"/>
        <v>#DIV/0!</v>
      </c>
      <c r="N1188" s="1777">
        <f>'Part VIII-Bldg Credit Alloc SR'!N57</f>
        <v>0</v>
      </c>
      <c r="O1188" s="1779">
        <f>'Part VIII-Bldg Credit Alloc SR'!O57</f>
        <v>0</v>
      </c>
      <c r="P1188" s="1778" t="e">
        <f t="shared" si="437"/>
        <v>#DIV/0!</v>
      </c>
      <c r="Q1188" s="1778" t="e">
        <f t="shared" si="438"/>
        <v>#DIV/0!</v>
      </c>
      <c r="R1188" s="1778" t="e">
        <f t="shared" si="439"/>
        <v>#DIV/0!</v>
      </c>
    </row>
    <row r="1189" spans="1:18">
      <c r="A1189" s="1658">
        <f>'Part VIII-Bldg Credit Alloc SR'!A58</f>
        <v>0</v>
      </c>
      <c r="B1189" s="1658"/>
      <c r="C1189" s="1658"/>
      <c r="D1189" s="1777">
        <f>'Part VIII-Bldg Credit Alloc SR'!D58</f>
        <v>0</v>
      </c>
      <c r="E1189" s="1778">
        <f>'Part VIII-Bldg Credit Alloc SR'!E58</f>
        <v>0</v>
      </c>
      <c r="F1189" s="1778">
        <f>'Part VIII-Bldg Credit Alloc SR'!F58</f>
        <v>0</v>
      </c>
      <c r="G1189" s="1778">
        <f>'Part VIII-Bldg Credit Alloc SR'!G58</f>
        <v>0</v>
      </c>
      <c r="H1189" s="1778">
        <f>'Part VIII-Bldg Credit Alloc SR'!H58</f>
        <v>0</v>
      </c>
      <c r="I1189" s="1778">
        <f>'Part VIII-Bldg Credit Alloc SR'!I58</f>
        <v>0</v>
      </c>
      <c r="J1189" s="1776">
        <f>'Part VIII-Bldg Credit Alloc SR'!J58</f>
        <v>0</v>
      </c>
      <c r="K1189" s="1778">
        <f>'Part VIII-Bldg Credit Alloc SR'!K58</f>
        <v>0</v>
      </c>
      <c r="L1189" s="1779" t="e">
        <f t="shared" si="435"/>
        <v>#DIV/0!</v>
      </c>
      <c r="M1189" s="1778" t="e">
        <f t="shared" si="436"/>
        <v>#DIV/0!</v>
      </c>
      <c r="N1189" s="1777">
        <f>'Part VIII-Bldg Credit Alloc SR'!N58</f>
        <v>0</v>
      </c>
      <c r="O1189" s="1779">
        <f>'Part VIII-Bldg Credit Alloc SR'!O58</f>
        <v>0</v>
      </c>
      <c r="P1189" s="1778" t="e">
        <f t="shared" si="437"/>
        <v>#DIV/0!</v>
      </c>
      <c r="Q1189" s="1778" t="e">
        <f t="shared" si="438"/>
        <v>#DIV/0!</v>
      </c>
      <c r="R1189" s="1778" t="e">
        <f t="shared" si="439"/>
        <v>#DIV/0!</v>
      </c>
    </row>
    <row r="1190" spans="1:18">
      <c r="A1190" s="1658">
        <f>'Part VIII-Bldg Credit Alloc SR'!A59</f>
        <v>0</v>
      </c>
      <c r="B1190" s="1658"/>
      <c r="C1190" s="1658"/>
      <c r="D1190" s="1777">
        <f>'Part VIII-Bldg Credit Alloc SR'!D59</f>
        <v>0</v>
      </c>
      <c r="E1190" s="1778">
        <f>'Part VIII-Bldg Credit Alloc SR'!E59</f>
        <v>0</v>
      </c>
      <c r="F1190" s="1778">
        <f>'Part VIII-Bldg Credit Alloc SR'!F59</f>
        <v>0</v>
      </c>
      <c r="G1190" s="1778">
        <f>'Part VIII-Bldg Credit Alloc SR'!G59</f>
        <v>0</v>
      </c>
      <c r="H1190" s="1778">
        <f>'Part VIII-Bldg Credit Alloc SR'!H59</f>
        <v>0</v>
      </c>
      <c r="I1190" s="1778">
        <f>'Part VIII-Bldg Credit Alloc SR'!I59</f>
        <v>0</v>
      </c>
      <c r="J1190" s="1776">
        <f>'Part VIII-Bldg Credit Alloc SR'!J59</f>
        <v>0</v>
      </c>
      <c r="K1190" s="1778">
        <f>'Part VIII-Bldg Credit Alloc SR'!K59</f>
        <v>0</v>
      </c>
      <c r="L1190" s="1779" t="e">
        <f t="shared" si="435"/>
        <v>#DIV/0!</v>
      </c>
      <c r="M1190" s="1778" t="e">
        <f t="shared" si="436"/>
        <v>#DIV/0!</v>
      </c>
      <c r="N1190" s="1777">
        <f>'Part VIII-Bldg Credit Alloc SR'!N59</f>
        <v>0</v>
      </c>
      <c r="O1190" s="1779">
        <f>'Part VIII-Bldg Credit Alloc SR'!O59</f>
        <v>0</v>
      </c>
      <c r="P1190" s="1778" t="e">
        <f t="shared" si="437"/>
        <v>#DIV/0!</v>
      </c>
      <c r="Q1190" s="1778" t="e">
        <f t="shared" si="438"/>
        <v>#DIV/0!</v>
      </c>
      <c r="R1190" s="1778" t="e">
        <f t="shared" si="439"/>
        <v>#DIV/0!</v>
      </c>
    </row>
    <row r="1191" spans="1:18">
      <c r="A1191" s="1658">
        <f>'Part VIII-Bldg Credit Alloc SR'!A60</f>
        <v>0</v>
      </c>
      <c r="B1191" s="1658"/>
      <c r="C1191" s="1658"/>
      <c r="D1191" s="1777">
        <f>'Part VIII-Bldg Credit Alloc SR'!D60</f>
        <v>0</v>
      </c>
      <c r="E1191" s="1778">
        <f>'Part VIII-Bldg Credit Alloc SR'!E60</f>
        <v>0</v>
      </c>
      <c r="F1191" s="1778">
        <f>'Part VIII-Bldg Credit Alloc SR'!F60</f>
        <v>0</v>
      </c>
      <c r="G1191" s="1778">
        <f>'Part VIII-Bldg Credit Alloc SR'!G60</f>
        <v>0</v>
      </c>
      <c r="H1191" s="1778">
        <f>'Part VIII-Bldg Credit Alloc SR'!H60</f>
        <v>0</v>
      </c>
      <c r="I1191" s="1778">
        <f>'Part VIII-Bldg Credit Alloc SR'!I60</f>
        <v>0</v>
      </c>
      <c r="J1191" s="1776">
        <f>'Part VIII-Bldg Credit Alloc SR'!J60</f>
        <v>0</v>
      </c>
      <c r="K1191" s="1778">
        <f>'Part VIII-Bldg Credit Alloc SR'!K60</f>
        <v>0</v>
      </c>
      <c r="L1191" s="1779" t="e">
        <f t="shared" si="435"/>
        <v>#DIV/0!</v>
      </c>
      <c r="M1191" s="1778" t="e">
        <f t="shared" si="436"/>
        <v>#DIV/0!</v>
      </c>
      <c r="N1191" s="1777">
        <f>'Part VIII-Bldg Credit Alloc SR'!N60</f>
        <v>0</v>
      </c>
      <c r="O1191" s="1779">
        <f>'Part VIII-Bldg Credit Alloc SR'!O60</f>
        <v>0</v>
      </c>
      <c r="P1191" s="1778" t="e">
        <f t="shared" si="437"/>
        <v>#DIV/0!</v>
      </c>
      <c r="Q1191" s="1778" t="e">
        <f t="shared" si="438"/>
        <v>#DIV/0!</v>
      </c>
      <c r="R1191" s="1778" t="e">
        <f t="shared" si="439"/>
        <v>#DIV/0!</v>
      </c>
    </row>
    <row r="1192" spans="1:18">
      <c r="A1192" s="1658">
        <f>'Part VIII-Bldg Credit Alloc SR'!A61</f>
        <v>0</v>
      </c>
      <c r="B1192" s="1658"/>
      <c r="C1192" s="1658"/>
      <c r="D1192" s="1777">
        <f>'Part VIII-Bldg Credit Alloc SR'!D61</f>
        <v>0</v>
      </c>
      <c r="E1192" s="1778">
        <f>'Part VIII-Bldg Credit Alloc SR'!E61</f>
        <v>0</v>
      </c>
      <c r="F1192" s="1778">
        <f>'Part VIII-Bldg Credit Alloc SR'!F61</f>
        <v>0</v>
      </c>
      <c r="G1192" s="1778">
        <f>'Part VIII-Bldg Credit Alloc SR'!G61</f>
        <v>0</v>
      </c>
      <c r="H1192" s="1778">
        <f>'Part VIII-Bldg Credit Alloc SR'!H61</f>
        <v>0</v>
      </c>
      <c r="I1192" s="1778">
        <f>'Part VIII-Bldg Credit Alloc SR'!I61</f>
        <v>0</v>
      </c>
      <c r="J1192" s="1776">
        <f>'Part VIII-Bldg Credit Alloc SR'!J61</f>
        <v>0</v>
      </c>
      <c r="K1192" s="1778">
        <f>'Part VIII-Bldg Credit Alloc SR'!K61</f>
        <v>0</v>
      </c>
      <c r="L1192" s="1779" t="e">
        <f t="shared" si="435"/>
        <v>#DIV/0!</v>
      </c>
      <c r="M1192" s="1778" t="e">
        <f t="shared" si="436"/>
        <v>#DIV/0!</v>
      </c>
      <c r="N1192" s="1777">
        <f>'Part VIII-Bldg Credit Alloc SR'!N61</f>
        <v>0</v>
      </c>
      <c r="O1192" s="1779">
        <f>'Part VIII-Bldg Credit Alloc SR'!O61</f>
        <v>0</v>
      </c>
      <c r="P1192" s="1778" t="e">
        <f t="shared" si="437"/>
        <v>#DIV/0!</v>
      </c>
      <c r="Q1192" s="1778" t="e">
        <f t="shared" si="438"/>
        <v>#DIV/0!</v>
      </c>
      <c r="R1192" s="1778" t="e">
        <f t="shared" si="439"/>
        <v>#DIV/0!</v>
      </c>
    </row>
    <row r="1193" spans="1:18">
      <c r="A1193" s="1658">
        <f>'Part VIII-Bldg Credit Alloc SR'!A62</f>
        <v>0</v>
      </c>
      <c r="B1193" s="1658"/>
      <c r="C1193" s="1658"/>
      <c r="D1193" s="1777">
        <f>'Part VIII-Bldg Credit Alloc SR'!D62</f>
        <v>0</v>
      </c>
      <c r="E1193" s="1778">
        <f>'Part VIII-Bldg Credit Alloc SR'!E62</f>
        <v>0</v>
      </c>
      <c r="F1193" s="1778">
        <f>'Part VIII-Bldg Credit Alloc SR'!F62</f>
        <v>0</v>
      </c>
      <c r="G1193" s="1778">
        <f>'Part VIII-Bldg Credit Alloc SR'!G62</f>
        <v>0</v>
      </c>
      <c r="H1193" s="1778">
        <f>'Part VIII-Bldg Credit Alloc SR'!H62</f>
        <v>0</v>
      </c>
      <c r="I1193" s="1778">
        <f>'Part VIII-Bldg Credit Alloc SR'!I62</f>
        <v>0</v>
      </c>
      <c r="J1193" s="1776">
        <f>'Part VIII-Bldg Credit Alloc SR'!J62</f>
        <v>0</v>
      </c>
      <c r="K1193" s="1778">
        <f>'Part VIII-Bldg Credit Alloc SR'!K62</f>
        <v>0</v>
      </c>
      <c r="L1193" s="1779" t="e">
        <f t="shared" si="435"/>
        <v>#DIV/0!</v>
      </c>
      <c r="M1193" s="1778" t="e">
        <f t="shared" si="436"/>
        <v>#DIV/0!</v>
      </c>
      <c r="N1193" s="1777">
        <f>'Part VIII-Bldg Credit Alloc SR'!N62</f>
        <v>0</v>
      </c>
      <c r="O1193" s="1779">
        <f>'Part VIII-Bldg Credit Alloc SR'!O62</f>
        <v>0</v>
      </c>
      <c r="P1193" s="1778" t="e">
        <f t="shared" si="437"/>
        <v>#DIV/0!</v>
      </c>
      <c r="Q1193" s="1778" t="e">
        <f t="shared" si="438"/>
        <v>#DIV/0!</v>
      </c>
      <c r="R1193" s="1778" t="e">
        <f t="shared" si="439"/>
        <v>#DIV/0!</v>
      </c>
    </row>
    <row r="1194" spans="1:18">
      <c r="A1194" s="1658">
        <f>'Part VIII-Bldg Credit Alloc SR'!A63</f>
        <v>0</v>
      </c>
      <c r="B1194" s="1658"/>
      <c r="C1194" s="1658"/>
      <c r="D1194" s="1777">
        <f>'Part VIII-Bldg Credit Alloc SR'!D63</f>
        <v>0</v>
      </c>
      <c r="E1194" s="1778">
        <f>'Part VIII-Bldg Credit Alloc SR'!E63</f>
        <v>0</v>
      </c>
      <c r="F1194" s="1778">
        <f>'Part VIII-Bldg Credit Alloc SR'!F63</f>
        <v>0</v>
      </c>
      <c r="G1194" s="1778">
        <f>'Part VIII-Bldg Credit Alloc SR'!G63</f>
        <v>0</v>
      </c>
      <c r="H1194" s="1778">
        <f>'Part VIII-Bldg Credit Alloc SR'!H63</f>
        <v>0</v>
      </c>
      <c r="I1194" s="1778">
        <f>'Part VIII-Bldg Credit Alloc SR'!I63</f>
        <v>0</v>
      </c>
      <c r="J1194" s="1776">
        <f>'Part VIII-Bldg Credit Alloc SR'!J63</f>
        <v>0</v>
      </c>
      <c r="K1194" s="1778">
        <f>'Part VIII-Bldg Credit Alloc SR'!K63</f>
        <v>0</v>
      </c>
      <c r="L1194" s="1779" t="e">
        <f t="shared" si="435"/>
        <v>#DIV/0!</v>
      </c>
      <c r="M1194" s="1778" t="e">
        <f t="shared" si="436"/>
        <v>#DIV/0!</v>
      </c>
      <c r="N1194" s="1777">
        <f>'Part VIII-Bldg Credit Alloc SR'!N63</f>
        <v>0</v>
      </c>
      <c r="O1194" s="1779">
        <f>'Part VIII-Bldg Credit Alloc SR'!O63</f>
        <v>0</v>
      </c>
      <c r="P1194" s="1778" t="e">
        <f t="shared" si="437"/>
        <v>#DIV/0!</v>
      </c>
      <c r="Q1194" s="1778" t="e">
        <f t="shared" si="438"/>
        <v>#DIV/0!</v>
      </c>
      <c r="R1194" s="1778" t="e">
        <f t="shared" si="439"/>
        <v>#DIV/0!</v>
      </c>
    </row>
    <row r="1195" spans="1:18">
      <c r="A1195" s="1658">
        <f>'Part VIII-Bldg Credit Alloc SR'!A64</f>
        <v>0</v>
      </c>
      <c r="B1195" s="1658"/>
      <c r="C1195" s="1658"/>
      <c r="D1195" s="1777">
        <f>'Part VIII-Bldg Credit Alloc SR'!D64</f>
        <v>0</v>
      </c>
      <c r="E1195" s="1778">
        <f>'Part VIII-Bldg Credit Alloc SR'!E64</f>
        <v>0</v>
      </c>
      <c r="F1195" s="1778">
        <f>'Part VIII-Bldg Credit Alloc SR'!F64</f>
        <v>0</v>
      </c>
      <c r="G1195" s="1778">
        <f>'Part VIII-Bldg Credit Alloc SR'!G64</f>
        <v>0</v>
      </c>
      <c r="H1195" s="1778">
        <f>'Part VIII-Bldg Credit Alloc SR'!H64</f>
        <v>0</v>
      </c>
      <c r="I1195" s="1778">
        <f>'Part VIII-Bldg Credit Alloc SR'!I64</f>
        <v>0</v>
      </c>
      <c r="J1195" s="1776">
        <f>'Part VIII-Bldg Credit Alloc SR'!J64</f>
        <v>0</v>
      </c>
      <c r="K1195" s="1778">
        <f>'Part VIII-Bldg Credit Alloc SR'!K64</f>
        <v>0</v>
      </c>
      <c r="L1195" s="1779" t="e">
        <f t="shared" si="435"/>
        <v>#DIV/0!</v>
      </c>
      <c r="M1195" s="1778" t="e">
        <f t="shared" si="436"/>
        <v>#DIV/0!</v>
      </c>
      <c r="N1195" s="1777">
        <f>'Part VIII-Bldg Credit Alloc SR'!N64</f>
        <v>0</v>
      </c>
      <c r="O1195" s="1779">
        <f>'Part VIII-Bldg Credit Alloc SR'!O64</f>
        <v>0</v>
      </c>
      <c r="P1195" s="1778" t="e">
        <f t="shared" si="437"/>
        <v>#DIV/0!</v>
      </c>
      <c r="Q1195" s="1778" t="e">
        <f t="shared" si="438"/>
        <v>#DIV/0!</v>
      </c>
      <c r="R1195" s="1778" t="e">
        <f t="shared" si="439"/>
        <v>#DIV/0!</v>
      </c>
    </row>
    <row r="1196" spans="1:18">
      <c r="A1196" s="1658">
        <f>'Part VIII-Bldg Credit Alloc SR'!A65</f>
        <v>0</v>
      </c>
      <c r="B1196" s="1658"/>
      <c r="C1196" s="1658"/>
      <c r="D1196" s="1777">
        <f>'Part VIII-Bldg Credit Alloc SR'!D65</f>
        <v>0</v>
      </c>
      <c r="E1196" s="1778">
        <f>'Part VIII-Bldg Credit Alloc SR'!E65</f>
        <v>0</v>
      </c>
      <c r="F1196" s="1778">
        <f>'Part VIII-Bldg Credit Alloc SR'!F65</f>
        <v>0</v>
      </c>
      <c r="G1196" s="1778">
        <f>'Part VIII-Bldg Credit Alloc SR'!G65</f>
        <v>0</v>
      </c>
      <c r="H1196" s="1778">
        <f>'Part VIII-Bldg Credit Alloc SR'!H65</f>
        <v>0</v>
      </c>
      <c r="I1196" s="1778">
        <f>'Part VIII-Bldg Credit Alloc SR'!I65</f>
        <v>0</v>
      </c>
      <c r="J1196" s="1776">
        <f>'Part VIII-Bldg Credit Alloc SR'!J65</f>
        <v>0</v>
      </c>
      <c r="K1196" s="1778">
        <f>'Part VIII-Bldg Credit Alloc SR'!K65</f>
        <v>0</v>
      </c>
      <c r="L1196" s="1779" t="e">
        <f t="shared" si="435"/>
        <v>#DIV/0!</v>
      </c>
      <c r="M1196" s="1778" t="e">
        <f t="shared" si="436"/>
        <v>#DIV/0!</v>
      </c>
      <c r="N1196" s="1777">
        <f>'Part VIII-Bldg Credit Alloc SR'!N65</f>
        <v>0</v>
      </c>
      <c r="O1196" s="1779">
        <f>'Part VIII-Bldg Credit Alloc SR'!O65</f>
        <v>0</v>
      </c>
      <c r="P1196" s="1778" t="e">
        <f t="shared" si="437"/>
        <v>#DIV/0!</v>
      </c>
      <c r="Q1196" s="1778" t="e">
        <f t="shared" si="438"/>
        <v>#DIV/0!</v>
      </c>
      <c r="R1196" s="1778" t="e">
        <f t="shared" si="439"/>
        <v>#DIV/0!</v>
      </c>
    </row>
    <row r="1197" spans="1:18">
      <c r="A1197" s="1658">
        <f>'Part VIII-Bldg Credit Alloc SR'!A66</f>
        <v>0</v>
      </c>
      <c r="B1197" s="1658"/>
      <c r="C1197" s="1658"/>
      <c r="D1197" s="1777">
        <f>'Part VIII-Bldg Credit Alloc SR'!D66</f>
        <v>0</v>
      </c>
      <c r="E1197" s="1778">
        <f>'Part VIII-Bldg Credit Alloc SR'!E66</f>
        <v>0</v>
      </c>
      <c r="F1197" s="1778">
        <f>'Part VIII-Bldg Credit Alloc SR'!F66</f>
        <v>0</v>
      </c>
      <c r="G1197" s="1778">
        <f>'Part VIII-Bldg Credit Alloc SR'!G66</f>
        <v>0</v>
      </c>
      <c r="H1197" s="1778">
        <f>'Part VIII-Bldg Credit Alloc SR'!H66</f>
        <v>0</v>
      </c>
      <c r="I1197" s="1778">
        <f>'Part VIII-Bldg Credit Alloc SR'!I66</f>
        <v>0</v>
      </c>
      <c r="J1197" s="1776">
        <f>'Part VIII-Bldg Credit Alloc SR'!J66</f>
        <v>0</v>
      </c>
      <c r="K1197" s="1778">
        <f>'Part VIII-Bldg Credit Alloc SR'!K66</f>
        <v>0</v>
      </c>
      <c r="L1197" s="1779" t="e">
        <f t="shared" si="435"/>
        <v>#DIV/0!</v>
      </c>
      <c r="M1197" s="1778" t="e">
        <f t="shared" si="436"/>
        <v>#DIV/0!</v>
      </c>
      <c r="N1197" s="1777">
        <f>'Part VIII-Bldg Credit Alloc SR'!N66</f>
        <v>0</v>
      </c>
      <c r="O1197" s="1779">
        <f>'Part VIII-Bldg Credit Alloc SR'!O66</f>
        <v>0</v>
      </c>
      <c r="P1197" s="1778" t="e">
        <f t="shared" si="437"/>
        <v>#DIV/0!</v>
      </c>
      <c r="Q1197" s="1778" t="e">
        <f t="shared" si="438"/>
        <v>#DIV/0!</v>
      </c>
      <c r="R1197" s="1778" t="e">
        <f t="shared" si="439"/>
        <v>#DIV/0!</v>
      </c>
    </row>
    <row r="1198" spans="1:18">
      <c r="A1198" s="1658">
        <f>'Part VIII-Bldg Credit Alloc SR'!A67</f>
        <v>0</v>
      </c>
      <c r="B1198" s="1658"/>
      <c r="C1198" s="1658"/>
      <c r="D1198" s="1777">
        <f>'Part VIII-Bldg Credit Alloc SR'!D67</f>
        <v>0</v>
      </c>
      <c r="E1198" s="1778">
        <f>'Part VIII-Bldg Credit Alloc SR'!E67</f>
        <v>0</v>
      </c>
      <c r="F1198" s="1778">
        <f>'Part VIII-Bldg Credit Alloc SR'!F67</f>
        <v>0</v>
      </c>
      <c r="G1198" s="1778">
        <f>'Part VIII-Bldg Credit Alloc SR'!G67</f>
        <v>0</v>
      </c>
      <c r="H1198" s="1778">
        <f>'Part VIII-Bldg Credit Alloc SR'!H67</f>
        <v>0</v>
      </c>
      <c r="I1198" s="1778">
        <f>'Part VIII-Bldg Credit Alloc SR'!I67</f>
        <v>0</v>
      </c>
      <c r="J1198" s="1776">
        <f>'Part VIII-Bldg Credit Alloc SR'!J67</f>
        <v>0</v>
      </c>
      <c r="K1198" s="1778">
        <f>'Part VIII-Bldg Credit Alloc SR'!K67</f>
        <v>0</v>
      </c>
      <c r="L1198" s="1779" t="e">
        <f t="shared" si="435"/>
        <v>#DIV/0!</v>
      </c>
      <c r="M1198" s="1778" t="e">
        <f t="shared" si="436"/>
        <v>#DIV/0!</v>
      </c>
      <c r="N1198" s="1777">
        <f>'Part VIII-Bldg Credit Alloc SR'!N67</f>
        <v>0</v>
      </c>
      <c r="O1198" s="1779">
        <f>'Part VIII-Bldg Credit Alloc SR'!O67</f>
        <v>0</v>
      </c>
      <c r="P1198" s="1778" t="e">
        <f t="shared" si="437"/>
        <v>#DIV/0!</v>
      </c>
      <c r="Q1198" s="1778" t="e">
        <f t="shared" si="438"/>
        <v>#DIV/0!</v>
      </c>
      <c r="R1198" s="1778" t="e">
        <f t="shared" si="439"/>
        <v>#DIV/0!</v>
      </c>
    </row>
    <row r="1199" spans="1:18">
      <c r="A1199" s="1658">
        <f>'Part VIII-Bldg Credit Alloc SR'!A68</f>
        <v>0</v>
      </c>
      <c r="B1199" s="1658"/>
      <c r="C1199" s="1658"/>
      <c r="D1199" s="1777">
        <f>'Part VIII-Bldg Credit Alloc SR'!D68</f>
        <v>0</v>
      </c>
      <c r="E1199" s="1778">
        <f>'Part VIII-Bldg Credit Alloc SR'!E68</f>
        <v>0</v>
      </c>
      <c r="F1199" s="1778">
        <f>'Part VIII-Bldg Credit Alloc SR'!F68</f>
        <v>0</v>
      </c>
      <c r="G1199" s="1778">
        <f>'Part VIII-Bldg Credit Alloc SR'!G68</f>
        <v>0</v>
      </c>
      <c r="H1199" s="1778">
        <f>'Part VIII-Bldg Credit Alloc SR'!H68</f>
        <v>0</v>
      </c>
      <c r="I1199" s="1778">
        <f>'Part VIII-Bldg Credit Alloc SR'!I68</f>
        <v>0</v>
      </c>
      <c r="J1199" s="1776">
        <f>'Part VIII-Bldg Credit Alloc SR'!J68</f>
        <v>0</v>
      </c>
      <c r="K1199" s="1778">
        <f>'Part VIII-Bldg Credit Alloc SR'!K68</f>
        <v>0</v>
      </c>
      <c r="L1199" s="1779" t="e">
        <f t="shared" si="435"/>
        <v>#DIV/0!</v>
      </c>
      <c r="M1199" s="1778" t="e">
        <f t="shared" si="436"/>
        <v>#DIV/0!</v>
      </c>
      <c r="N1199" s="1777">
        <f>'Part VIII-Bldg Credit Alloc SR'!N68</f>
        <v>0</v>
      </c>
      <c r="O1199" s="1779">
        <f>'Part VIII-Bldg Credit Alloc SR'!O68</f>
        <v>0</v>
      </c>
      <c r="P1199" s="1778" t="e">
        <f t="shared" si="437"/>
        <v>#DIV/0!</v>
      </c>
      <c r="Q1199" s="1778" t="e">
        <f t="shared" si="438"/>
        <v>#DIV/0!</v>
      </c>
      <c r="R1199" s="1778" t="e">
        <f t="shared" si="439"/>
        <v>#DIV/0!</v>
      </c>
    </row>
    <row r="1200" spans="1:18">
      <c r="A1200" s="1658">
        <f>'Part VIII-Bldg Credit Alloc SR'!A69</f>
        <v>0</v>
      </c>
      <c r="B1200" s="1658"/>
      <c r="C1200" s="1658"/>
      <c r="D1200" s="1777">
        <f>'Part VIII-Bldg Credit Alloc SR'!D69</f>
        <v>0</v>
      </c>
      <c r="E1200" s="1778">
        <f>'Part VIII-Bldg Credit Alloc SR'!E69</f>
        <v>0</v>
      </c>
      <c r="F1200" s="1778">
        <f>'Part VIII-Bldg Credit Alloc SR'!F69</f>
        <v>0</v>
      </c>
      <c r="G1200" s="1778">
        <f>'Part VIII-Bldg Credit Alloc SR'!G69</f>
        <v>0</v>
      </c>
      <c r="H1200" s="1778">
        <f>'Part VIII-Bldg Credit Alloc SR'!H69</f>
        <v>0</v>
      </c>
      <c r="I1200" s="1778">
        <f>'Part VIII-Bldg Credit Alloc SR'!I69</f>
        <v>0</v>
      </c>
      <c r="J1200" s="1776">
        <f>'Part VIII-Bldg Credit Alloc SR'!J69</f>
        <v>0</v>
      </c>
      <c r="K1200" s="1778">
        <f>'Part VIII-Bldg Credit Alloc SR'!K69</f>
        <v>0</v>
      </c>
      <c r="L1200" s="1779" t="e">
        <f t="shared" si="435"/>
        <v>#DIV/0!</v>
      </c>
      <c r="M1200" s="1778" t="e">
        <f t="shared" si="436"/>
        <v>#DIV/0!</v>
      </c>
      <c r="N1200" s="1777">
        <f>'Part VIII-Bldg Credit Alloc SR'!N69</f>
        <v>0</v>
      </c>
      <c r="O1200" s="1779">
        <f>'Part VIII-Bldg Credit Alloc SR'!O69</f>
        <v>0</v>
      </c>
      <c r="P1200" s="1778" t="e">
        <f t="shared" si="437"/>
        <v>#DIV/0!</v>
      </c>
      <c r="Q1200" s="1778" t="e">
        <f t="shared" si="438"/>
        <v>#DIV/0!</v>
      </c>
      <c r="R1200" s="1778" t="e">
        <f t="shared" si="439"/>
        <v>#DIV/0!</v>
      </c>
    </row>
    <row r="1201" spans="1:18">
      <c r="A1201" s="1658">
        <f>'Part VIII-Bldg Credit Alloc SR'!A70</f>
        <v>0</v>
      </c>
      <c r="B1201" s="1658"/>
      <c r="C1201" s="1658"/>
      <c r="D1201" s="1777">
        <f>'Part VIII-Bldg Credit Alloc SR'!D70</f>
        <v>0</v>
      </c>
      <c r="E1201" s="1778">
        <f>'Part VIII-Bldg Credit Alloc SR'!E70</f>
        <v>0</v>
      </c>
      <c r="F1201" s="1778">
        <f>'Part VIII-Bldg Credit Alloc SR'!F70</f>
        <v>0</v>
      </c>
      <c r="G1201" s="1778">
        <f>'Part VIII-Bldg Credit Alloc SR'!G70</f>
        <v>0</v>
      </c>
      <c r="H1201" s="1778">
        <f>'Part VIII-Bldg Credit Alloc SR'!H70</f>
        <v>0</v>
      </c>
      <c r="I1201" s="1778">
        <f>'Part VIII-Bldg Credit Alloc SR'!I70</f>
        <v>0</v>
      </c>
      <c r="J1201" s="1776">
        <f>'Part VIII-Bldg Credit Alloc SR'!J70</f>
        <v>0</v>
      </c>
      <c r="K1201" s="1778">
        <f>'Part VIII-Bldg Credit Alloc SR'!K70</f>
        <v>0</v>
      </c>
      <c r="L1201" s="1779" t="e">
        <f t="shared" si="435"/>
        <v>#DIV/0!</v>
      </c>
      <c r="M1201" s="1778" t="e">
        <f t="shared" si="436"/>
        <v>#DIV/0!</v>
      </c>
      <c r="N1201" s="1777">
        <f>'Part VIII-Bldg Credit Alloc SR'!N70</f>
        <v>0</v>
      </c>
      <c r="O1201" s="1779">
        <f>'Part VIII-Bldg Credit Alloc SR'!O70</f>
        <v>0</v>
      </c>
      <c r="P1201" s="1778" t="e">
        <f t="shared" si="437"/>
        <v>#DIV/0!</v>
      </c>
      <c r="Q1201" s="1778" t="e">
        <f t="shared" si="438"/>
        <v>#DIV/0!</v>
      </c>
      <c r="R1201" s="1778" t="e">
        <f t="shared" si="439"/>
        <v>#DIV/0!</v>
      </c>
    </row>
    <row r="1202" spans="1:18">
      <c r="A1202" s="1658">
        <f>'Part VIII-Bldg Credit Alloc SR'!A71</f>
        <v>0</v>
      </c>
      <c r="B1202" s="1658"/>
      <c r="C1202" s="1658"/>
      <c r="D1202" s="1777">
        <f>'Part VIII-Bldg Credit Alloc SR'!D71</f>
        <v>0</v>
      </c>
      <c r="E1202" s="1778">
        <f>'Part VIII-Bldg Credit Alloc SR'!E71</f>
        <v>0</v>
      </c>
      <c r="F1202" s="1778">
        <f>'Part VIII-Bldg Credit Alloc SR'!F71</f>
        <v>0</v>
      </c>
      <c r="G1202" s="1778">
        <f>'Part VIII-Bldg Credit Alloc SR'!G71</f>
        <v>0</v>
      </c>
      <c r="H1202" s="1778">
        <f>'Part VIII-Bldg Credit Alloc SR'!H71</f>
        <v>0</v>
      </c>
      <c r="I1202" s="1778">
        <f>'Part VIII-Bldg Credit Alloc SR'!I71</f>
        <v>0</v>
      </c>
      <c r="J1202" s="1776">
        <f>'Part VIII-Bldg Credit Alloc SR'!J71</f>
        <v>0</v>
      </c>
      <c r="K1202" s="1778">
        <f>'Part VIII-Bldg Credit Alloc SR'!K71</f>
        <v>0</v>
      </c>
      <c r="L1202" s="1779" t="e">
        <f t="shared" si="435"/>
        <v>#DIV/0!</v>
      </c>
      <c r="M1202" s="1778" t="e">
        <f t="shared" si="436"/>
        <v>#DIV/0!</v>
      </c>
      <c r="N1202" s="1777">
        <f>'Part VIII-Bldg Credit Alloc SR'!N71</f>
        <v>0</v>
      </c>
      <c r="O1202" s="1779">
        <f>'Part VIII-Bldg Credit Alloc SR'!O71</f>
        <v>0</v>
      </c>
      <c r="P1202" s="1778" t="e">
        <f t="shared" si="437"/>
        <v>#DIV/0!</v>
      </c>
      <c r="Q1202" s="1778" t="e">
        <f t="shared" si="438"/>
        <v>#DIV/0!</v>
      </c>
      <c r="R1202" s="1778" t="e">
        <f t="shared" si="439"/>
        <v>#DIV/0!</v>
      </c>
    </row>
    <row r="1203" spans="1:18">
      <c r="A1203" s="1658">
        <f>'Part VIII-Bldg Credit Alloc SR'!A72</f>
        <v>0</v>
      </c>
      <c r="B1203" s="1658"/>
      <c r="C1203" s="1658"/>
      <c r="D1203" s="1777">
        <f>'Part VIII-Bldg Credit Alloc SR'!D72</f>
        <v>0</v>
      </c>
      <c r="E1203" s="1778">
        <f>'Part VIII-Bldg Credit Alloc SR'!E72</f>
        <v>0</v>
      </c>
      <c r="F1203" s="1778">
        <f>'Part VIII-Bldg Credit Alloc SR'!F72</f>
        <v>0</v>
      </c>
      <c r="G1203" s="1778">
        <f>'Part VIII-Bldg Credit Alloc SR'!G72</f>
        <v>0</v>
      </c>
      <c r="H1203" s="1778">
        <f>'Part VIII-Bldg Credit Alloc SR'!H72</f>
        <v>0</v>
      </c>
      <c r="I1203" s="1778">
        <f>'Part VIII-Bldg Credit Alloc SR'!I72</f>
        <v>0</v>
      </c>
      <c r="J1203" s="1776">
        <f>'Part VIII-Bldg Credit Alloc SR'!J72</f>
        <v>0</v>
      </c>
      <c r="K1203" s="1778">
        <f>'Part VIII-Bldg Credit Alloc SR'!K72</f>
        <v>0</v>
      </c>
      <c r="L1203" s="1779" t="e">
        <f t="shared" si="435"/>
        <v>#DIV/0!</v>
      </c>
      <c r="M1203" s="1778" t="e">
        <f t="shared" si="436"/>
        <v>#DIV/0!</v>
      </c>
      <c r="N1203" s="1777">
        <f>'Part VIII-Bldg Credit Alloc SR'!N72</f>
        <v>0</v>
      </c>
      <c r="O1203" s="1779">
        <f>'Part VIII-Bldg Credit Alloc SR'!O72</f>
        <v>0</v>
      </c>
      <c r="P1203" s="1778" t="e">
        <f t="shared" si="437"/>
        <v>#DIV/0!</v>
      </c>
      <c r="Q1203" s="1778" t="e">
        <f t="shared" si="438"/>
        <v>#DIV/0!</v>
      </c>
      <c r="R1203" s="1778" t="e">
        <f t="shared" si="439"/>
        <v>#DIV/0!</v>
      </c>
    </row>
    <row r="1204" spans="1:18">
      <c r="A1204" s="1658">
        <f>'Part VIII-Bldg Credit Alloc SR'!A73</f>
        <v>0</v>
      </c>
      <c r="B1204" s="1658"/>
      <c r="C1204" s="1658"/>
      <c r="D1204" s="1777">
        <f>'Part VIII-Bldg Credit Alloc SR'!D73</f>
        <v>0</v>
      </c>
      <c r="E1204" s="1778">
        <f>'Part VIII-Bldg Credit Alloc SR'!E73</f>
        <v>0</v>
      </c>
      <c r="F1204" s="1778">
        <f>'Part VIII-Bldg Credit Alloc SR'!F73</f>
        <v>0</v>
      </c>
      <c r="G1204" s="1778">
        <f>'Part VIII-Bldg Credit Alloc SR'!G73</f>
        <v>0</v>
      </c>
      <c r="H1204" s="1778">
        <f>'Part VIII-Bldg Credit Alloc SR'!H73</f>
        <v>0</v>
      </c>
      <c r="I1204" s="1778">
        <f>'Part VIII-Bldg Credit Alloc SR'!I73</f>
        <v>0</v>
      </c>
      <c r="J1204" s="1776">
        <f>'Part VIII-Bldg Credit Alloc SR'!J73</f>
        <v>0</v>
      </c>
      <c r="K1204" s="1778">
        <f>'Part VIII-Bldg Credit Alloc SR'!K73</f>
        <v>0</v>
      </c>
      <c r="L1204" s="1779" t="e">
        <f t="shared" si="435"/>
        <v>#DIV/0!</v>
      </c>
      <c r="M1204" s="1778" t="e">
        <f t="shared" si="436"/>
        <v>#DIV/0!</v>
      </c>
      <c r="N1204" s="1777">
        <f>'Part VIII-Bldg Credit Alloc SR'!N73</f>
        <v>0</v>
      </c>
      <c r="O1204" s="1779">
        <f>'Part VIII-Bldg Credit Alloc SR'!O73</f>
        <v>0</v>
      </c>
      <c r="P1204" s="1778" t="e">
        <f t="shared" si="437"/>
        <v>#DIV/0!</v>
      </c>
      <c r="Q1204" s="1778" t="e">
        <f t="shared" si="438"/>
        <v>#DIV/0!</v>
      </c>
      <c r="R1204" s="1778" t="e">
        <f t="shared" si="439"/>
        <v>#DIV/0!</v>
      </c>
    </row>
    <row r="1205" spans="1:18">
      <c r="A1205" s="1658">
        <f>'Part VIII-Bldg Credit Alloc SR'!A74</f>
        <v>0</v>
      </c>
      <c r="B1205" s="1658"/>
      <c r="C1205" s="1658"/>
      <c r="D1205" s="1777">
        <f>'Part VIII-Bldg Credit Alloc SR'!D74</f>
        <v>0</v>
      </c>
      <c r="E1205" s="1778">
        <f>'Part VIII-Bldg Credit Alloc SR'!E74</f>
        <v>0</v>
      </c>
      <c r="F1205" s="1778">
        <f>'Part VIII-Bldg Credit Alloc SR'!F74</f>
        <v>0</v>
      </c>
      <c r="G1205" s="1778">
        <f>'Part VIII-Bldg Credit Alloc SR'!G74</f>
        <v>0</v>
      </c>
      <c r="H1205" s="1778">
        <f>'Part VIII-Bldg Credit Alloc SR'!H74</f>
        <v>0</v>
      </c>
      <c r="I1205" s="1778">
        <f>'Part VIII-Bldg Credit Alloc SR'!I74</f>
        <v>0</v>
      </c>
      <c r="J1205" s="1776">
        <f>'Part VIII-Bldg Credit Alloc SR'!J74</f>
        <v>0</v>
      </c>
      <c r="K1205" s="1778">
        <f>'Part VIII-Bldg Credit Alloc SR'!K74</f>
        <v>0</v>
      </c>
      <c r="L1205" s="1779" t="e">
        <f t="shared" si="435"/>
        <v>#DIV/0!</v>
      </c>
      <c r="M1205" s="1778" t="e">
        <f t="shared" si="436"/>
        <v>#DIV/0!</v>
      </c>
      <c r="N1205" s="1777">
        <f>'Part VIII-Bldg Credit Alloc SR'!N74</f>
        <v>0</v>
      </c>
      <c r="O1205" s="1779">
        <f>'Part VIII-Bldg Credit Alloc SR'!O74</f>
        <v>0</v>
      </c>
      <c r="P1205" s="1778" t="e">
        <f t="shared" si="437"/>
        <v>#DIV/0!</v>
      </c>
      <c r="Q1205" s="1778" t="e">
        <f t="shared" si="438"/>
        <v>#DIV/0!</v>
      </c>
      <c r="R1205" s="1778" t="e">
        <f t="shared" si="439"/>
        <v>#DIV/0!</v>
      </c>
    </row>
    <row r="1206" spans="1:18">
      <c r="A1206" s="1658">
        <f>'Part VIII-Bldg Credit Alloc SR'!A75</f>
        <v>0</v>
      </c>
      <c r="B1206" s="1658"/>
      <c r="C1206" s="1658"/>
      <c r="D1206" s="1777">
        <f>'Part VIII-Bldg Credit Alloc SR'!D75</f>
        <v>0</v>
      </c>
      <c r="E1206" s="1778">
        <f>'Part VIII-Bldg Credit Alloc SR'!E75</f>
        <v>0</v>
      </c>
      <c r="F1206" s="1778">
        <f>'Part VIII-Bldg Credit Alloc SR'!F75</f>
        <v>0</v>
      </c>
      <c r="G1206" s="1778">
        <f>'Part VIII-Bldg Credit Alloc SR'!G75</f>
        <v>0</v>
      </c>
      <c r="H1206" s="1778">
        <f>'Part VIII-Bldg Credit Alloc SR'!H75</f>
        <v>0</v>
      </c>
      <c r="I1206" s="1778">
        <f>'Part VIII-Bldg Credit Alloc SR'!I75</f>
        <v>0</v>
      </c>
      <c r="J1206" s="1776">
        <f>'Part VIII-Bldg Credit Alloc SR'!J75</f>
        <v>0</v>
      </c>
      <c r="K1206" s="1778">
        <f>'Part VIII-Bldg Credit Alloc SR'!K75</f>
        <v>0</v>
      </c>
      <c r="L1206" s="1779" t="e">
        <f t="shared" si="435"/>
        <v>#DIV/0!</v>
      </c>
      <c r="M1206" s="1778" t="e">
        <f t="shared" si="436"/>
        <v>#DIV/0!</v>
      </c>
      <c r="N1206" s="1777">
        <f>'Part VIII-Bldg Credit Alloc SR'!N75</f>
        <v>0</v>
      </c>
      <c r="O1206" s="1779">
        <f>'Part VIII-Bldg Credit Alloc SR'!O75</f>
        <v>0</v>
      </c>
      <c r="P1206" s="1778" t="e">
        <f t="shared" si="437"/>
        <v>#DIV/0!</v>
      </c>
      <c r="Q1206" s="1778" t="e">
        <f t="shared" si="438"/>
        <v>#DIV/0!</v>
      </c>
      <c r="R1206" s="1778" t="e">
        <f t="shared" si="439"/>
        <v>#DIV/0!</v>
      </c>
    </row>
    <row r="1207" spans="1:18">
      <c r="A1207" s="1658">
        <f>'Part VIII-Bldg Credit Alloc SR'!A76</f>
        <v>0</v>
      </c>
      <c r="B1207" s="1658"/>
      <c r="C1207" s="1658"/>
      <c r="D1207" s="1777">
        <f>'Part VIII-Bldg Credit Alloc SR'!D76</f>
        <v>0</v>
      </c>
      <c r="E1207" s="1778">
        <f>'Part VIII-Bldg Credit Alloc SR'!E76</f>
        <v>0</v>
      </c>
      <c r="F1207" s="1778">
        <f>'Part VIII-Bldg Credit Alloc SR'!F76</f>
        <v>0</v>
      </c>
      <c r="G1207" s="1778">
        <f>'Part VIII-Bldg Credit Alloc SR'!G76</f>
        <v>0</v>
      </c>
      <c r="H1207" s="1778">
        <f>'Part VIII-Bldg Credit Alloc SR'!H76</f>
        <v>0</v>
      </c>
      <c r="I1207" s="1778">
        <f>'Part VIII-Bldg Credit Alloc SR'!I76</f>
        <v>0</v>
      </c>
      <c r="J1207" s="1776">
        <f>'Part VIII-Bldg Credit Alloc SR'!J76</f>
        <v>0</v>
      </c>
      <c r="K1207" s="1778">
        <f>'Part VIII-Bldg Credit Alloc SR'!K76</f>
        <v>0</v>
      </c>
      <c r="L1207" s="1779" t="e">
        <f t="shared" si="435"/>
        <v>#DIV/0!</v>
      </c>
      <c r="M1207" s="1778" t="e">
        <f t="shared" si="436"/>
        <v>#DIV/0!</v>
      </c>
      <c r="N1207" s="1777">
        <f>'Part VIII-Bldg Credit Alloc SR'!N76</f>
        <v>0</v>
      </c>
      <c r="O1207" s="1779">
        <f>'Part VIII-Bldg Credit Alloc SR'!O76</f>
        <v>0</v>
      </c>
      <c r="P1207" s="1778" t="e">
        <f t="shared" si="437"/>
        <v>#DIV/0!</v>
      </c>
      <c r="Q1207" s="1778" t="e">
        <f t="shared" si="438"/>
        <v>#DIV/0!</v>
      </c>
      <c r="R1207" s="1778" t="e">
        <f t="shared" si="439"/>
        <v>#DIV/0!</v>
      </c>
    </row>
    <row r="1208" spans="1:18">
      <c r="A1208" s="1658">
        <f>'Part VIII-Bldg Credit Alloc SR'!A77</f>
        <v>0</v>
      </c>
      <c r="B1208" s="1658"/>
      <c r="C1208" s="1658"/>
      <c r="D1208" s="1777">
        <f>'Part VIII-Bldg Credit Alloc SR'!D77</f>
        <v>0</v>
      </c>
      <c r="E1208" s="1778">
        <f>'Part VIII-Bldg Credit Alloc SR'!E77</f>
        <v>0</v>
      </c>
      <c r="F1208" s="1778">
        <f>'Part VIII-Bldg Credit Alloc SR'!F77</f>
        <v>0</v>
      </c>
      <c r="G1208" s="1778">
        <f>'Part VIII-Bldg Credit Alloc SR'!G77</f>
        <v>0</v>
      </c>
      <c r="H1208" s="1778">
        <f>'Part VIII-Bldg Credit Alloc SR'!H77</f>
        <v>0</v>
      </c>
      <c r="I1208" s="1778">
        <f>'Part VIII-Bldg Credit Alloc SR'!I77</f>
        <v>0</v>
      </c>
      <c r="J1208" s="1776">
        <f>'Part VIII-Bldg Credit Alloc SR'!J77</f>
        <v>0</v>
      </c>
      <c r="K1208" s="1778">
        <f>'Part VIII-Bldg Credit Alloc SR'!K77</f>
        <v>0</v>
      </c>
      <c r="L1208" s="1779" t="e">
        <f t="shared" si="435"/>
        <v>#DIV/0!</v>
      </c>
      <c r="M1208" s="1778" t="e">
        <f t="shared" si="436"/>
        <v>#DIV/0!</v>
      </c>
      <c r="N1208" s="1777">
        <f>'Part VIII-Bldg Credit Alloc SR'!N77</f>
        <v>0</v>
      </c>
      <c r="O1208" s="1779">
        <f>'Part VIII-Bldg Credit Alloc SR'!O77</f>
        <v>0</v>
      </c>
      <c r="P1208" s="1778" t="e">
        <f t="shared" si="437"/>
        <v>#DIV/0!</v>
      </c>
      <c r="Q1208" s="1778" t="e">
        <f t="shared" si="438"/>
        <v>#DIV/0!</v>
      </c>
      <c r="R1208" s="1778" t="e">
        <f t="shared" si="439"/>
        <v>#DIV/0!</v>
      </c>
    </row>
    <row r="1209" spans="1:18">
      <c r="A1209" s="1658">
        <f>'Part VIII-Bldg Credit Alloc SR'!A78</f>
        <v>0</v>
      </c>
      <c r="B1209" s="1658"/>
      <c r="C1209" s="1658"/>
      <c r="D1209" s="1777">
        <f>'Part VIII-Bldg Credit Alloc SR'!D78</f>
        <v>0</v>
      </c>
      <c r="E1209" s="1778">
        <f>'Part VIII-Bldg Credit Alloc SR'!E78</f>
        <v>0</v>
      </c>
      <c r="F1209" s="1778">
        <f>'Part VIII-Bldg Credit Alloc SR'!F78</f>
        <v>0</v>
      </c>
      <c r="G1209" s="1778">
        <f>'Part VIII-Bldg Credit Alloc SR'!G78</f>
        <v>0</v>
      </c>
      <c r="H1209" s="1778">
        <f>'Part VIII-Bldg Credit Alloc SR'!H78</f>
        <v>0</v>
      </c>
      <c r="I1209" s="1778">
        <f>'Part VIII-Bldg Credit Alloc SR'!I78</f>
        <v>0</v>
      </c>
      <c r="J1209" s="1776">
        <f>'Part VIII-Bldg Credit Alloc SR'!J78</f>
        <v>0</v>
      </c>
      <c r="K1209" s="1778">
        <f>'Part VIII-Bldg Credit Alloc SR'!K78</f>
        <v>0</v>
      </c>
      <c r="L1209" s="1779" t="e">
        <f t="shared" si="435"/>
        <v>#DIV/0!</v>
      </c>
      <c r="M1209" s="1778" t="e">
        <f t="shared" si="436"/>
        <v>#DIV/0!</v>
      </c>
      <c r="N1209" s="1777">
        <f>'Part VIII-Bldg Credit Alloc SR'!N78</f>
        <v>0</v>
      </c>
      <c r="O1209" s="1779">
        <f>'Part VIII-Bldg Credit Alloc SR'!O78</f>
        <v>0</v>
      </c>
      <c r="P1209" s="1778" t="e">
        <f t="shared" si="437"/>
        <v>#DIV/0!</v>
      </c>
      <c r="Q1209" s="1778" t="e">
        <f t="shared" si="438"/>
        <v>#DIV/0!</v>
      </c>
      <c r="R1209" s="1778" t="e">
        <f t="shared" si="439"/>
        <v>#DIV/0!</v>
      </c>
    </row>
    <row r="1210" spans="1:18">
      <c r="A1210" s="1658">
        <f>'Part VIII-Bldg Credit Alloc SR'!A79</f>
        <v>0</v>
      </c>
      <c r="B1210" s="1658"/>
      <c r="C1210" s="1658"/>
      <c r="D1210" s="1777">
        <f>'Part VIII-Bldg Credit Alloc SR'!D79</f>
        <v>0</v>
      </c>
      <c r="E1210" s="1778">
        <f>'Part VIII-Bldg Credit Alloc SR'!E79</f>
        <v>0</v>
      </c>
      <c r="F1210" s="1778">
        <f>'Part VIII-Bldg Credit Alloc SR'!F79</f>
        <v>0</v>
      </c>
      <c r="G1210" s="1778">
        <f>'Part VIII-Bldg Credit Alloc SR'!G79</f>
        <v>0</v>
      </c>
      <c r="H1210" s="1778">
        <f>'Part VIII-Bldg Credit Alloc SR'!H79</f>
        <v>0</v>
      </c>
      <c r="I1210" s="1778">
        <f>'Part VIII-Bldg Credit Alloc SR'!I79</f>
        <v>0</v>
      </c>
      <c r="J1210" s="1776">
        <f>'Part VIII-Bldg Credit Alloc SR'!J79</f>
        <v>0</v>
      </c>
      <c r="K1210" s="1778">
        <f>'Part VIII-Bldg Credit Alloc SR'!K79</f>
        <v>0</v>
      </c>
      <c r="L1210" s="1779" t="e">
        <f t="shared" si="435"/>
        <v>#DIV/0!</v>
      </c>
      <c r="M1210" s="1778" t="e">
        <f t="shared" si="436"/>
        <v>#DIV/0!</v>
      </c>
      <c r="N1210" s="1777">
        <f>'Part VIII-Bldg Credit Alloc SR'!N79</f>
        <v>0</v>
      </c>
      <c r="O1210" s="1779">
        <f>'Part VIII-Bldg Credit Alloc SR'!O79</f>
        <v>0</v>
      </c>
      <c r="P1210" s="1778" t="e">
        <f t="shared" si="437"/>
        <v>#DIV/0!</v>
      </c>
      <c r="Q1210" s="1778" t="e">
        <f t="shared" si="438"/>
        <v>#DIV/0!</v>
      </c>
      <c r="R1210" s="1778" t="e">
        <f t="shared" si="439"/>
        <v>#DIV/0!</v>
      </c>
    </row>
    <row r="1211" spans="1:18">
      <c r="A1211" s="1658">
        <f>'Part VIII-Bldg Credit Alloc SR'!A80</f>
        <v>0</v>
      </c>
      <c r="B1211" s="1658"/>
      <c r="C1211" s="1658"/>
      <c r="D1211" s="1777">
        <f>'Part VIII-Bldg Credit Alloc SR'!D80</f>
        <v>0</v>
      </c>
      <c r="E1211" s="1778">
        <f>'Part VIII-Bldg Credit Alloc SR'!E80</f>
        <v>0</v>
      </c>
      <c r="F1211" s="1778">
        <f>'Part VIII-Bldg Credit Alloc SR'!F80</f>
        <v>0</v>
      </c>
      <c r="G1211" s="1778">
        <f>'Part VIII-Bldg Credit Alloc SR'!G80</f>
        <v>0</v>
      </c>
      <c r="H1211" s="1778">
        <f>'Part VIII-Bldg Credit Alloc SR'!H80</f>
        <v>0</v>
      </c>
      <c r="I1211" s="1778">
        <f>'Part VIII-Bldg Credit Alloc SR'!I80</f>
        <v>0</v>
      </c>
      <c r="J1211" s="1776">
        <f>'Part VIII-Bldg Credit Alloc SR'!J80</f>
        <v>0</v>
      </c>
      <c r="K1211" s="1778">
        <f>'Part VIII-Bldg Credit Alloc SR'!K80</f>
        <v>0</v>
      </c>
      <c r="L1211" s="1779" t="e">
        <f t="shared" si="435"/>
        <v>#DIV/0!</v>
      </c>
      <c r="M1211" s="1778" t="e">
        <f t="shared" si="436"/>
        <v>#DIV/0!</v>
      </c>
      <c r="N1211" s="1777">
        <f>'Part VIII-Bldg Credit Alloc SR'!N80</f>
        <v>0</v>
      </c>
      <c r="O1211" s="1779">
        <f>'Part VIII-Bldg Credit Alloc SR'!O80</f>
        <v>0</v>
      </c>
      <c r="P1211" s="1778" t="e">
        <f t="shared" si="437"/>
        <v>#DIV/0!</v>
      </c>
      <c r="Q1211" s="1778" t="e">
        <f t="shared" si="438"/>
        <v>#DIV/0!</v>
      </c>
      <c r="R1211" s="1778" t="e">
        <f t="shared" si="439"/>
        <v>#DIV/0!</v>
      </c>
    </row>
    <row r="1212" spans="1:18">
      <c r="A1212" s="1658">
        <f>'Part VIII-Bldg Credit Alloc SR'!A81</f>
        <v>0</v>
      </c>
      <c r="B1212" s="1658"/>
      <c r="C1212" s="1658"/>
      <c r="D1212" s="1777">
        <f>'Part VIII-Bldg Credit Alloc SR'!D81</f>
        <v>0</v>
      </c>
      <c r="E1212" s="1778">
        <f>'Part VIII-Bldg Credit Alloc SR'!E81</f>
        <v>0</v>
      </c>
      <c r="F1212" s="1778">
        <f>'Part VIII-Bldg Credit Alloc SR'!F81</f>
        <v>0</v>
      </c>
      <c r="G1212" s="1778">
        <f>'Part VIII-Bldg Credit Alloc SR'!G81</f>
        <v>0</v>
      </c>
      <c r="H1212" s="1778">
        <f>'Part VIII-Bldg Credit Alloc SR'!H81</f>
        <v>0</v>
      </c>
      <c r="I1212" s="1778">
        <f>'Part VIII-Bldg Credit Alloc SR'!I81</f>
        <v>0</v>
      </c>
      <c r="J1212" s="1776">
        <f>'Part VIII-Bldg Credit Alloc SR'!J81</f>
        <v>0</v>
      </c>
      <c r="K1212" s="1778">
        <f>'Part VIII-Bldg Credit Alloc SR'!K81</f>
        <v>0</v>
      </c>
      <c r="L1212" s="1779" t="e">
        <f t="shared" si="435"/>
        <v>#DIV/0!</v>
      </c>
      <c r="M1212" s="1778" t="e">
        <f t="shared" si="436"/>
        <v>#DIV/0!</v>
      </c>
      <c r="N1212" s="1777">
        <f>'Part VIII-Bldg Credit Alloc SR'!N81</f>
        <v>0</v>
      </c>
      <c r="O1212" s="1779">
        <f>'Part VIII-Bldg Credit Alloc SR'!O81</f>
        <v>0</v>
      </c>
      <c r="P1212" s="1778" t="e">
        <f t="shared" si="437"/>
        <v>#DIV/0!</v>
      </c>
      <c r="Q1212" s="1778" t="e">
        <f t="shared" si="438"/>
        <v>#DIV/0!</v>
      </c>
      <c r="R1212" s="1778" t="e">
        <f t="shared" si="439"/>
        <v>#DIV/0!</v>
      </c>
    </row>
    <row r="1213" spans="1:18">
      <c r="A1213" s="1658">
        <f>'Part VIII-Bldg Credit Alloc SR'!A82</f>
        <v>0</v>
      </c>
      <c r="B1213" s="1658"/>
      <c r="C1213" s="1658"/>
      <c r="D1213" s="1777">
        <f>'Part VIII-Bldg Credit Alloc SR'!D82</f>
        <v>0</v>
      </c>
      <c r="E1213" s="1778">
        <f>'Part VIII-Bldg Credit Alloc SR'!E82</f>
        <v>0</v>
      </c>
      <c r="F1213" s="1778">
        <f>'Part VIII-Bldg Credit Alloc SR'!F82</f>
        <v>0</v>
      </c>
      <c r="G1213" s="1778">
        <f>'Part VIII-Bldg Credit Alloc SR'!G82</f>
        <v>0</v>
      </c>
      <c r="H1213" s="1778">
        <f>'Part VIII-Bldg Credit Alloc SR'!H82</f>
        <v>0</v>
      </c>
      <c r="I1213" s="1778">
        <f>'Part VIII-Bldg Credit Alloc SR'!I82</f>
        <v>0</v>
      </c>
      <c r="J1213" s="1776">
        <f>'Part VIII-Bldg Credit Alloc SR'!J82</f>
        <v>0</v>
      </c>
      <c r="K1213" s="1778">
        <f>'Part VIII-Bldg Credit Alloc SR'!K82</f>
        <v>0</v>
      </c>
      <c r="L1213" s="1779" t="e">
        <f t="shared" si="435"/>
        <v>#DIV/0!</v>
      </c>
      <c r="M1213" s="1778" t="e">
        <f t="shared" si="436"/>
        <v>#DIV/0!</v>
      </c>
      <c r="N1213" s="1777">
        <f>'Part VIII-Bldg Credit Alloc SR'!N82</f>
        <v>0</v>
      </c>
      <c r="O1213" s="1779">
        <f>'Part VIII-Bldg Credit Alloc SR'!O82</f>
        <v>0</v>
      </c>
      <c r="P1213" s="1778" t="e">
        <f t="shared" si="437"/>
        <v>#DIV/0!</v>
      </c>
      <c r="Q1213" s="1778" t="e">
        <f t="shared" si="438"/>
        <v>#DIV/0!</v>
      </c>
      <c r="R1213" s="1778" t="e">
        <f t="shared" si="439"/>
        <v>#DIV/0!</v>
      </c>
    </row>
    <row r="1214" spans="1:18">
      <c r="A1214" s="1658">
        <f>'Part VIII-Bldg Credit Alloc SR'!A83</f>
        <v>0</v>
      </c>
      <c r="B1214" s="1658"/>
      <c r="C1214" s="1658"/>
      <c r="D1214" s="1777">
        <f>'Part VIII-Bldg Credit Alloc SR'!D83</f>
        <v>0</v>
      </c>
      <c r="E1214" s="1778">
        <f>'Part VIII-Bldg Credit Alloc SR'!E83</f>
        <v>0</v>
      </c>
      <c r="F1214" s="1778">
        <f>'Part VIII-Bldg Credit Alloc SR'!F83</f>
        <v>0</v>
      </c>
      <c r="G1214" s="1778">
        <f>'Part VIII-Bldg Credit Alloc SR'!G83</f>
        <v>0</v>
      </c>
      <c r="H1214" s="1778">
        <f>'Part VIII-Bldg Credit Alloc SR'!H83</f>
        <v>0</v>
      </c>
      <c r="I1214" s="1778">
        <f>'Part VIII-Bldg Credit Alloc SR'!I83</f>
        <v>0</v>
      </c>
      <c r="J1214" s="1776">
        <f>'Part VIII-Bldg Credit Alloc SR'!J83</f>
        <v>0</v>
      </c>
      <c r="K1214" s="1778">
        <f>'Part VIII-Bldg Credit Alloc SR'!K83</f>
        <v>0</v>
      </c>
      <c r="L1214" s="1779" t="e">
        <f t="shared" si="435"/>
        <v>#DIV/0!</v>
      </c>
      <c r="M1214" s="1778" t="e">
        <f t="shared" si="436"/>
        <v>#DIV/0!</v>
      </c>
      <c r="N1214" s="1777">
        <f>'Part VIII-Bldg Credit Alloc SR'!N83</f>
        <v>0</v>
      </c>
      <c r="O1214" s="1779">
        <f>'Part VIII-Bldg Credit Alloc SR'!O83</f>
        <v>0</v>
      </c>
      <c r="P1214" s="1778" t="e">
        <f t="shared" si="437"/>
        <v>#DIV/0!</v>
      </c>
      <c r="Q1214" s="1778" t="e">
        <f t="shared" si="438"/>
        <v>#DIV/0!</v>
      </c>
      <c r="R1214" s="1778" t="e">
        <f t="shared" si="439"/>
        <v>#DIV/0!</v>
      </c>
    </row>
    <row r="1215" spans="1:18">
      <c r="A1215" s="1658">
        <f>'Part VIII-Bldg Credit Alloc SR'!A84</f>
        <v>0</v>
      </c>
      <c r="B1215" s="1658"/>
      <c r="C1215" s="1658"/>
      <c r="D1215" s="1777">
        <f>'Part VIII-Bldg Credit Alloc SR'!D84</f>
        <v>0</v>
      </c>
      <c r="E1215" s="1778">
        <f>'Part VIII-Bldg Credit Alloc SR'!E84</f>
        <v>0</v>
      </c>
      <c r="F1215" s="1778">
        <f>'Part VIII-Bldg Credit Alloc SR'!F84</f>
        <v>0</v>
      </c>
      <c r="G1215" s="1778">
        <f>'Part VIII-Bldg Credit Alloc SR'!G84</f>
        <v>0</v>
      </c>
      <c r="H1215" s="1778">
        <f>'Part VIII-Bldg Credit Alloc SR'!H84</f>
        <v>0</v>
      </c>
      <c r="I1215" s="1778">
        <f>'Part VIII-Bldg Credit Alloc SR'!I84</f>
        <v>0</v>
      </c>
      <c r="J1215" s="1776">
        <f>'Part VIII-Bldg Credit Alloc SR'!J84</f>
        <v>0</v>
      </c>
      <c r="K1215" s="1778">
        <f>'Part VIII-Bldg Credit Alloc SR'!K84</f>
        <v>0</v>
      </c>
      <c r="L1215" s="1779" t="e">
        <f t="shared" si="435"/>
        <v>#DIV/0!</v>
      </c>
      <c r="M1215" s="1778" t="e">
        <f t="shared" si="436"/>
        <v>#DIV/0!</v>
      </c>
      <c r="N1215" s="1777">
        <f>'Part VIII-Bldg Credit Alloc SR'!N84</f>
        <v>0</v>
      </c>
      <c r="O1215" s="1779">
        <f>'Part VIII-Bldg Credit Alloc SR'!O84</f>
        <v>0</v>
      </c>
      <c r="P1215" s="1778" t="e">
        <f t="shared" si="437"/>
        <v>#DIV/0!</v>
      </c>
      <c r="Q1215" s="1778" t="e">
        <f t="shared" si="438"/>
        <v>#DIV/0!</v>
      </c>
      <c r="R1215" s="1778" t="e">
        <f t="shared" si="439"/>
        <v>#DIV/0!</v>
      </c>
    </row>
    <row r="1216" spans="1:18">
      <c r="A1216" s="1658">
        <f>'Part VIII-Bldg Credit Alloc SR'!A85</f>
        <v>0</v>
      </c>
      <c r="B1216" s="1658"/>
      <c r="C1216" s="1658"/>
      <c r="D1216" s="1777">
        <f>'Part VIII-Bldg Credit Alloc SR'!D85</f>
        <v>0</v>
      </c>
      <c r="E1216" s="1778">
        <f>'Part VIII-Bldg Credit Alloc SR'!E85</f>
        <v>0</v>
      </c>
      <c r="F1216" s="1778">
        <f>'Part VIII-Bldg Credit Alloc SR'!F85</f>
        <v>0</v>
      </c>
      <c r="G1216" s="1778">
        <f>'Part VIII-Bldg Credit Alloc SR'!G85</f>
        <v>0</v>
      </c>
      <c r="H1216" s="1778">
        <f>'Part VIII-Bldg Credit Alloc SR'!H85</f>
        <v>0</v>
      </c>
      <c r="I1216" s="1778">
        <f>'Part VIII-Bldg Credit Alloc SR'!I85</f>
        <v>0</v>
      </c>
      <c r="J1216" s="1776">
        <f>'Part VIII-Bldg Credit Alloc SR'!J85</f>
        <v>0</v>
      </c>
      <c r="K1216" s="1778">
        <f>'Part VIII-Bldg Credit Alloc SR'!K85</f>
        <v>0</v>
      </c>
      <c r="L1216" s="1779" t="e">
        <f t="shared" si="435"/>
        <v>#DIV/0!</v>
      </c>
      <c r="M1216" s="1778" t="e">
        <f t="shared" si="436"/>
        <v>#DIV/0!</v>
      </c>
      <c r="N1216" s="1777">
        <f>'Part VIII-Bldg Credit Alloc SR'!N85</f>
        <v>0</v>
      </c>
      <c r="O1216" s="1779">
        <f>'Part VIII-Bldg Credit Alloc SR'!O85</f>
        <v>0</v>
      </c>
      <c r="P1216" s="1778" t="e">
        <f t="shared" si="437"/>
        <v>#DIV/0!</v>
      </c>
      <c r="Q1216" s="1778" t="e">
        <f t="shared" si="438"/>
        <v>#DIV/0!</v>
      </c>
      <c r="R1216" s="1778" t="e">
        <f t="shared" si="439"/>
        <v>#DIV/0!</v>
      </c>
    </row>
    <row r="1217" spans="1:18">
      <c r="A1217" s="1658">
        <f>'Part VIII-Bldg Credit Alloc SR'!A86</f>
        <v>0</v>
      </c>
      <c r="B1217" s="1658"/>
      <c r="C1217" s="1658"/>
      <c r="D1217" s="1777">
        <f>'Part VIII-Bldg Credit Alloc SR'!D86</f>
        <v>0</v>
      </c>
      <c r="E1217" s="1778">
        <f>'Part VIII-Bldg Credit Alloc SR'!E86</f>
        <v>0</v>
      </c>
      <c r="F1217" s="1778">
        <f>'Part VIII-Bldg Credit Alloc SR'!F86</f>
        <v>0</v>
      </c>
      <c r="G1217" s="1778">
        <f>'Part VIII-Bldg Credit Alloc SR'!G86</f>
        <v>0</v>
      </c>
      <c r="H1217" s="1778">
        <f>'Part VIII-Bldg Credit Alloc SR'!H86</f>
        <v>0</v>
      </c>
      <c r="I1217" s="1778">
        <f>'Part VIII-Bldg Credit Alloc SR'!I86</f>
        <v>0</v>
      </c>
      <c r="J1217" s="1776">
        <f>'Part VIII-Bldg Credit Alloc SR'!J86</f>
        <v>0</v>
      </c>
      <c r="K1217" s="1778">
        <f>'Part VIII-Bldg Credit Alloc SR'!K86</f>
        <v>0</v>
      </c>
      <c r="L1217" s="1779" t="e">
        <f t="shared" si="435"/>
        <v>#DIV/0!</v>
      </c>
      <c r="M1217" s="1778" t="e">
        <f t="shared" si="436"/>
        <v>#DIV/0!</v>
      </c>
      <c r="N1217" s="1777">
        <f>'Part VIII-Bldg Credit Alloc SR'!N86</f>
        <v>0</v>
      </c>
      <c r="O1217" s="1779">
        <f>'Part VIII-Bldg Credit Alloc SR'!O86</f>
        <v>0</v>
      </c>
      <c r="P1217" s="1778" t="e">
        <f t="shared" si="437"/>
        <v>#DIV/0!</v>
      </c>
      <c r="Q1217" s="1778" t="e">
        <f t="shared" si="438"/>
        <v>#DIV/0!</v>
      </c>
      <c r="R1217" s="1778" t="e">
        <f t="shared" si="439"/>
        <v>#DIV/0!</v>
      </c>
    </row>
    <row r="1218" spans="1:18">
      <c r="A1218" s="1658">
        <f>'Part VIII-Bldg Credit Alloc SR'!A87</f>
        <v>0</v>
      </c>
      <c r="B1218" s="1658"/>
      <c r="C1218" s="1658"/>
      <c r="D1218" s="1777">
        <f>'Part VIII-Bldg Credit Alloc SR'!D87</f>
        <v>0</v>
      </c>
      <c r="E1218" s="1778">
        <f>'Part VIII-Bldg Credit Alloc SR'!E87</f>
        <v>0</v>
      </c>
      <c r="F1218" s="1778">
        <f>'Part VIII-Bldg Credit Alloc SR'!F87</f>
        <v>0</v>
      </c>
      <c r="G1218" s="1778">
        <f>'Part VIII-Bldg Credit Alloc SR'!G87</f>
        <v>0</v>
      </c>
      <c r="H1218" s="1778">
        <f>'Part VIII-Bldg Credit Alloc SR'!H87</f>
        <v>0</v>
      </c>
      <c r="I1218" s="1778">
        <f>'Part VIII-Bldg Credit Alloc SR'!I87</f>
        <v>0</v>
      </c>
      <c r="J1218" s="1776">
        <f>'Part VIII-Bldg Credit Alloc SR'!J87</f>
        <v>0</v>
      </c>
      <c r="K1218" s="1778">
        <f>'Part VIII-Bldg Credit Alloc SR'!K87</f>
        <v>0</v>
      </c>
      <c r="L1218" s="1779" t="e">
        <f t="shared" si="435"/>
        <v>#DIV/0!</v>
      </c>
      <c r="M1218" s="1778" t="e">
        <f t="shared" si="436"/>
        <v>#DIV/0!</v>
      </c>
      <c r="N1218" s="1777">
        <f>'Part VIII-Bldg Credit Alloc SR'!N87</f>
        <v>0</v>
      </c>
      <c r="O1218" s="1779">
        <f>'Part VIII-Bldg Credit Alloc SR'!O87</f>
        <v>0</v>
      </c>
      <c r="P1218" s="1778" t="e">
        <f t="shared" si="437"/>
        <v>#DIV/0!</v>
      </c>
      <c r="Q1218" s="1778" t="e">
        <f t="shared" si="438"/>
        <v>#DIV/0!</v>
      </c>
      <c r="R1218" s="1778" t="e">
        <f t="shared" si="439"/>
        <v>#DIV/0!</v>
      </c>
    </row>
    <row r="1219" spans="1:18">
      <c r="A1219" s="1658">
        <f>'Part VIII-Bldg Credit Alloc SR'!A88</f>
        <v>0</v>
      </c>
      <c r="B1219" s="1658"/>
      <c r="C1219" s="1658"/>
      <c r="D1219" s="1777">
        <f>'Part VIII-Bldg Credit Alloc SR'!D88</f>
        <v>0</v>
      </c>
      <c r="E1219" s="1778">
        <f>'Part VIII-Bldg Credit Alloc SR'!E88</f>
        <v>0</v>
      </c>
      <c r="F1219" s="1778">
        <f>'Part VIII-Bldg Credit Alloc SR'!F88</f>
        <v>0</v>
      </c>
      <c r="G1219" s="1778">
        <f>'Part VIII-Bldg Credit Alloc SR'!G88</f>
        <v>0</v>
      </c>
      <c r="H1219" s="1778">
        <f>'Part VIII-Bldg Credit Alloc SR'!H88</f>
        <v>0</v>
      </c>
      <c r="I1219" s="1778">
        <f>'Part VIII-Bldg Credit Alloc SR'!I88</f>
        <v>0</v>
      </c>
      <c r="J1219" s="1776">
        <f>'Part VIII-Bldg Credit Alloc SR'!J88</f>
        <v>0</v>
      </c>
      <c r="K1219" s="1778">
        <f>'Part VIII-Bldg Credit Alloc SR'!K88</f>
        <v>0</v>
      </c>
      <c r="L1219" s="1779" t="e">
        <f t="shared" si="435"/>
        <v>#DIV/0!</v>
      </c>
      <c r="M1219" s="1778" t="e">
        <f t="shared" si="436"/>
        <v>#DIV/0!</v>
      </c>
      <c r="N1219" s="1777">
        <f>'Part VIII-Bldg Credit Alloc SR'!N88</f>
        <v>0</v>
      </c>
      <c r="O1219" s="1779">
        <f>'Part VIII-Bldg Credit Alloc SR'!O88</f>
        <v>0</v>
      </c>
      <c r="P1219" s="1778" t="e">
        <f t="shared" si="437"/>
        <v>#DIV/0!</v>
      </c>
      <c r="Q1219" s="1778" t="e">
        <f t="shared" si="438"/>
        <v>#DIV/0!</v>
      </c>
      <c r="R1219" s="1778" t="e">
        <f t="shared" si="439"/>
        <v>#DIV/0!</v>
      </c>
    </row>
    <row r="1220" spans="1:18">
      <c r="A1220" s="1715" t="s">
        <v>3691</v>
      </c>
      <c r="B1220" s="1780"/>
      <c r="C1220" s="1780"/>
      <c r="D1220" s="1777"/>
      <c r="E1220" s="1778">
        <f>SUM(E1185:E1219)</f>
        <v>0</v>
      </c>
      <c r="F1220" s="1778">
        <f>SUM(F1185:F1219)</f>
        <v>0</v>
      </c>
      <c r="G1220" s="1778">
        <f>SUM(G1185:G1219)</f>
        <v>0</v>
      </c>
      <c r="H1220" s="1778">
        <f>SUM(H1185:H1219)</f>
        <v>0</v>
      </c>
      <c r="I1220" s="1778">
        <f>SUM(I1185:I1219)</f>
        <v>0</v>
      </c>
      <c r="J1220" s="1658"/>
      <c r="K1220" s="1778">
        <f>SUM(K1185:K1219)</f>
        <v>0</v>
      </c>
      <c r="L1220" s="1779"/>
      <c r="M1220" s="1778" t="e">
        <f>SUM(M1185:M1219)</f>
        <v>#DIV/0!</v>
      </c>
      <c r="N1220" s="1777"/>
      <c r="O1220" s="1779"/>
      <c r="P1220" s="1778" t="e">
        <f>SUM(P1185:P1219)</f>
        <v>#DIV/0!</v>
      </c>
      <c r="Q1220" s="1778" t="e">
        <f>SUM(Q1185:Q1219)</f>
        <v>#DIV/0!</v>
      </c>
      <c r="R1220" s="1778" t="e">
        <f>SUM(R1185:R1219)</f>
        <v>#DIV/0!</v>
      </c>
    </row>
    <row r="1221" spans="1:18">
      <c r="A1221" s="1715" t="s">
        <v>3128</v>
      </c>
      <c r="B1221" s="1656"/>
      <c r="C1221" s="1771" t="str">
        <f>C1135</f>
        <v>Rehabilitation</v>
      </c>
      <c r="D1221" s="1781"/>
      <c r="E1221" s="1781"/>
      <c r="F1221" s="1713"/>
      <c r="G1221" s="1656"/>
      <c r="H1221" s="1656"/>
      <c r="I1221" s="1656"/>
      <c r="J1221" s="1656"/>
      <c r="K1221" s="1656"/>
      <c r="L1221" s="1657"/>
      <c r="M1221" s="1657"/>
      <c r="N1221" s="1657"/>
      <c r="O1221" s="1656"/>
      <c r="P1221" s="1656"/>
      <c r="Q1221" s="1656"/>
      <c r="R1221" s="1656"/>
    </row>
    <row r="1222" spans="1:18">
      <c r="A1222" s="1712" t="s">
        <v>3129</v>
      </c>
      <c r="B1222" s="1712"/>
      <c r="C1222" s="1712"/>
      <c r="D1222" s="1712"/>
      <c r="E1222" s="1712"/>
      <c r="F1222" s="1712"/>
      <c r="G1222" s="1712"/>
      <c r="H1222" s="1712"/>
      <c r="I1222" s="1712"/>
      <c r="J1222" s="1712"/>
      <c r="K1222" s="1712"/>
      <c r="L1222" s="1712"/>
      <c r="M1222" s="1712"/>
      <c r="N1222" s="1712"/>
      <c r="O1222" s="1712"/>
      <c r="P1222" s="1712"/>
      <c r="Q1222" s="1712"/>
      <c r="R1222" s="1712"/>
    </row>
    <row r="1223" spans="1:18" ht="13.5" customHeight="1">
      <c r="A1223" s="1772"/>
      <c r="B1223" s="1658"/>
      <c r="C1223" s="1658"/>
      <c r="D1223" s="1773"/>
      <c r="E1223" s="1773" t="s">
        <v>503</v>
      </c>
      <c r="F1223" s="1773" t="s">
        <v>503</v>
      </c>
      <c r="G1223" s="1773" t="s">
        <v>477</v>
      </c>
      <c r="H1223" s="1773" t="s">
        <v>3130</v>
      </c>
      <c r="I1223" s="1718"/>
      <c r="J1223" s="1773"/>
      <c r="K1223" s="1718"/>
      <c r="L1223" s="1718"/>
      <c r="M1223" s="1746"/>
      <c r="N1223" s="1773" t="s">
        <v>861</v>
      </c>
      <c r="O1223" s="1746"/>
      <c r="P1223" s="1746"/>
      <c r="Q1223" s="1774" t="s">
        <v>3719</v>
      </c>
      <c r="R1223" s="1774"/>
    </row>
    <row r="1224" spans="1:18" ht="13.5">
      <c r="A1224" s="1772"/>
      <c r="B1224" s="1658"/>
      <c r="C1224" s="1658"/>
      <c r="D1224" s="1773" t="s">
        <v>496</v>
      </c>
      <c r="E1224" s="1775" t="s">
        <v>152</v>
      </c>
      <c r="F1224" s="1773" t="s">
        <v>3132</v>
      </c>
      <c r="G1224" s="1773" t="s">
        <v>3133</v>
      </c>
      <c r="H1224" s="1773" t="s">
        <v>3134</v>
      </c>
      <c r="I1224" s="1773" t="s">
        <v>3135</v>
      </c>
      <c r="J1224" s="1692" t="s">
        <v>3136</v>
      </c>
      <c r="K1224" s="1773" t="s">
        <v>3135</v>
      </c>
      <c r="L1224" s="1773" t="s">
        <v>3135</v>
      </c>
      <c r="M1224" s="1773" t="s">
        <v>3135</v>
      </c>
      <c r="N1224" s="1773" t="s">
        <v>3137</v>
      </c>
      <c r="O1224" s="1773" t="s">
        <v>3138</v>
      </c>
      <c r="P1224" s="1773" t="s">
        <v>3139</v>
      </c>
      <c r="Q1224" s="1774"/>
      <c r="R1224" s="1774"/>
    </row>
    <row r="1225" spans="1:18" ht="13.5">
      <c r="A1225" s="1772"/>
      <c r="B1225" s="1658"/>
      <c r="C1225" s="1658"/>
      <c r="D1225" s="1773" t="s">
        <v>3140</v>
      </c>
      <c r="E1225" s="1773" t="s">
        <v>3141</v>
      </c>
      <c r="F1225" s="1773" t="s">
        <v>3110</v>
      </c>
      <c r="G1225" s="1773" t="s">
        <v>3134</v>
      </c>
      <c r="H1225" s="1773" t="s">
        <v>3110</v>
      </c>
      <c r="I1225" s="1773" t="s">
        <v>3142</v>
      </c>
      <c r="J1225" s="1692"/>
      <c r="K1225" s="1773" t="s">
        <v>3143</v>
      </c>
      <c r="L1225" s="1773" t="s">
        <v>3144</v>
      </c>
      <c r="M1225" s="1773" t="s">
        <v>3145</v>
      </c>
      <c r="N1225" s="1773" t="s">
        <v>3146</v>
      </c>
      <c r="O1225" s="1773" t="s">
        <v>3147</v>
      </c>
      <c r="P1225" s="1773" t="s">
        <v>3147</v>
      </c>
      <c r="Q1225" s="1773" t="s">
        <v>3135</v>
      </c>
      <c r="R1225" s="1773" t="s">
        <v>3148</v>
      </c>
    </row>
    <row r="1226" spans="1:18" ht="13.5">
      <c r="A1226" s="1772" t="s">
        <v>3149</v>
      </c>
      <c r="B1226" s="1658"/>
      <c r="C1226" s="1658"/>
      <c r="D1226" s="1773" t="s">
        <v>3150</v>
      </c>
      <c r="E1226" s="1773" t="s">
        <v>3151</v>
      </c>
      <c r="F1226" s="1773" t="s">
        <v>3152</v>
      </c>
      <c r="G1226" s="1773" t="s">
        <v>3151</v>
      </c>
      <c r="H1226" s="1773" t="s">
        <v>3152</v>
      </c>
      <c r="I1226" s="1773" t="s">
        <v>3153</v>
      </c>
      <c r="J1226" s="1776" t="s">
        <v>3154</v>
      </c>
      <c r="K1226" s="1773" t="s">
        <v>3153</v>
      </c>
      <c r="L1226" s="1773" t="s">
        <v>3155</v>
      </c>
      <c r="M1226" s="1773" t="s">
        <v>3153</v>
      </c>
      <c r="N1226" s="1773" t="s">
        <v>3156</v>
      </c>
      <c r="O1226" s="1773" t="s">
        <v>3157</v>
      </c>
      <c r="P1226" s="1773" t="s">
        <v>1793</v>
      </c>
      <c r="Q1226" s="1773" t="s">
        <v>1830</v>
      </c>
      <c r="R1226" s="1773" t="s">
        <v>1793</v>
      </c>
    </row>
    <row r="1227" spans="1:18">
      <c r="A1227" s="1658">
        <f>'Part VIII-Bldg Credit Alloc SR'!A96</f>
        <v>0</v>
      </c>
      <c r="B1227" s="1658"/>
      <c r="C1227" s="1658"/>
      <c r="D1227" s="1777">
        <f>'Part VIII-Bldg Credit Alloc SR'!D96</f>
        <v>0</v>
      </c>
      <c r="E1227" s="1778">
        <f>'Part VIII-Bldg Credit Alloc SR'!E96</f>
        <v>0</v>
      </c>
      <c r="F1227" s="1778">
        <f>'Part VIII-Bldg Credit Alloc SR'!F96</f>
        <v>0</v>
      </c>
      <c r="G1227" s="1778">
        <f>'Part VIII-Bldg Credit Alloc SR'!G96</f>
        <v>0</v>
      </c>
      <c r="H1227" s="1778">
        <f>'Part VIII-Bldg Credit Alloc SR'!H96</f>
        <v>0</v>
      </c>
      <c r="I1227" s="1778">
        <f>'Part VIII-Bldg Credit Alloc SR'!I96</f>
        <v>0</v>
      </c>
      <c r="J1227" s="1776">
        <f>'Part VIII-Bldg Credit Alloc SR'!J96</f>
        <v>0</v>
      </c>
      <c r="K1227" s="1778">
        <f>'Part VIII-Bldg Credit Alloc SR'!K96</f>
        <v>0</v>
      </c>
      <c r="L1227" s="1779" t="e">
        <f>IF(OR(E1227="",F1227=""),"",MIN(G1227/E1227,H1227/F1227))</f>
        <v>#DIV/0!</v>
      </c>
      <c r="M1227" s="1778" t="e">
        <f>IF(OR(E1227="",F1227=""),"",K1227*L1227)</f>
        <v>#DIV/0!</v>
      </c>
      <c r="N1227" s="1777">
        <f>'Part VIII-Bldg Credit Alloc SR'!N96</f>
        <v>0</v>
      </c>
      <c r="O1227" s="1779">
        <f>'Part VIII-Bldg Credit Alloc SR'!O96</f>
        <v>0</v>
      </c>
      <c r="P1227" s="1778" t="e">
        <f>IF(OR(M1227="",O1227=""),"",M1227*O1227)</f>
        <v>#DIV/0!</v>
      </c>
      <c r="Q1227" s="1778" t="e">
        <f>IF(M1227="","",ROUND(M1227,0))</f>
        <v>#DIV/0!</v>
      </c>
      <c r="R1227" s="1778" t="e">
        <f>IF(P1227="","",ROUND(P1227,0))</f>
        <v>#DIV/0!</v>
      </c>
    </row>
    <row r="1228" spans="1:18">
      <c r="A1228" s="1658">
        <f>'Part VIII-Bldg Credit Alloc SR'!A97</f>
        <v>0</v>
      </c>
      <c r="B1228" s="1658"/>
      <c r="C1228" s="1658"/>
      <c r="D1228" s="1777">
        <f>'Part VIII-Bldg Credit Alloc SR'!D97</f>
        <v>0</v>
      </c>
      <c r="E1228" s="1778">
        <f>'Part VIII-Bldg Credit Alloc SR'!E97</f>
        <v>0</v>
      </c>
      <c r="F1228" s="1778">
        <f>'Part VIII-Bldg Credit Alloc SR'!F97</f>
        <v>0</v>
      </c>
      <c r="G1228" s="1778">
        <f>'Part VIII-Bldg Credit Alloc SR'!G97</f>
        <v>0</v>
      </c>
      <c r="H1228" s="1778">
        <f>'Part VIII-Bldg Credit Alloc SR'!H97</f>
        <v>0</v>
      </c>
      <c r="I1228" s="1778">
        <f>'Part VIII-Bldg Credit Alloc SR'!I97</f>
        <v>0</v>
      </c>
      <c r="J1228" s="1776">
        <f>'Part VIII-Bldg Credit Alloc SR'!J97</f>
        <v>0</v>
      </c>
      <c r="K1228" s="1778">
        <f>'Part VIII-Bldg Credit Alloc SR'!K97</f>
        <v>0</v>
      </c>
      <c r="L1228" s="1779" t="e">
        <f t="shared" ref="L1228:L1261" si="440">IF(OR(E1228="",F1228=""),"",MIN(G1228/E1228,H1228/F1228))</f>
        <v>#DIV/0!</v>
      </c>
      <c r="M1228" s="1778" t="e">
        <f t="shared" ref="M1228:M1261" si="441">IF(OR(E1228="",F1228=""),"",K1228*L1228)</f>
        <v>#DIV/0!</v>
      </c>
      <c r="N1228" s="1777">
        <f>'Part VIII-Bldg Credit Alloc SR'!N97</f>
        <v>0</v>
      </c>
      <c r="O1228" s="1779">
        <f>'Part VIII-Bldg Credit Alloc SR'!O97</f>
        <v>0</v>
      </c>
      <c r="P1228" s="1778" t="e">
        <f t="shared" ref="P1228:P1261" si="442">IF(OR(M1228="",O1228=""),"",M1228*O1228)</f>
        <v>#DIV/0!</v>
      </c>
      <c r="Q1228" s="1778" t="e">
        <f t="shared" ref="Q1228:Q1261" si="443">IF(M1228="","",ROUND(M1228,0))</f>
        <v>#DIV/0!</v>
      </c>
      <c r="R1228" s="1778" t="e">
        <f t="shared" ref="R1228:R1261" si="444">IF(P1228="","",ROUND(P1228,0))</f>
        <v>#DIV/0!</v>
      </c>
    </row>
    <row r="1229" spans="1:18">
      <c r="A1229" s="1658">
        <f>'Part VIII-Bldg Credit Alloc SR'!A98</f>
        <v>0</v>
      </c>
      <c r="B1229" s="1658"/>
      <c r="C1229" s="1658"/>
      <c r="D1229" s="1777">
        <f>'Part VIII-Bldg Credit Alloc SR'!D98</f>
        <v>0</v>
      </c>
      <c r="E1229" s="1778">
        <f>'Part VIII-Bldg Credit Alloc SR'!E98</f>
        <v>0</v>
      </c>
      <c r="F1229" s="1778">
        <f>'Part VIII-Bldg Credit Alloc SR'!F98</f>
        <v>0</v>
      </c>
      <c r="G1229" s="1778">
        <f>'Part VIII-Bldg Credit Alloc SR'!G98</f>
        <v>0</v>
      </c>
      <c r="H1229" s="1778">
        <f>'Part VIII-Bldg Credit Alloc SR'!H98</f>
        <v>0</v>
      </c>
      <c r="I1229" s="1778">
        <f>'Part VIII-Bldg Credit Alloc SR'!I98</f>
        <v>0</v>
      </c>
      <c r="J1229" s="1776">
        <f>'Part VIII-Bldg Credit Alloc SR'!J98</f>
        <v>0</v>
      </c>
      <c r="K1229" s="1778">
        <f>'Part VIII-Bldg Credit Alloc SR'!K98</f>
        <v>0</v>
      </c>
      <c r="L1229" s="1779" t="e">
        <f t="shared" si="440"/>
        <v>#DIV/0!</v>
      </c>
      <c r="M1229" s="1778" t="e">
        <f t="shared" si="441"/>
        <v>#DIV/0!</v>
      </c>
      <c r="N1229" s="1777">
        <f>'Part VIII-Bldg Credit Alloc SR'!N98</f>
        <v>0</v>
      </c>
      <c r="O1229" s="1779">
        <f>'Part VIII-Bldg Credit Alloc SR'!O98</f>
        <v>0</v>
      </c>
      <c r="P1229" s="1778" t="e">
        <f t="shared" si="442"/>
        <v>#DIV/0!</v>
      </c>
      <c r="Q1229" s="1778" t="e">
        <f t="shared" si="443"/>
        <v>#DIV/0!</v>
      </c>
      <c r="R1229" s="1778" t="e">
        <f t="shared" si="444"/>
        <v>#DIV/0!</v>
      </c>
    </row>
    <row r="1230" spans="1:18">
      <c r="A1230" s="1658">
        <f>'Part VIII-Bldg Credit Alloc SR'!A99</f>
        <v>0</v>
      </c>
      <c r="B1230" s="1658"/>
      <c r="C1230" s="1658"/>
      <c r="D1230" s="1777">
        <f>'Part VIII-Bldg Credit Alloc SR'!D99</f>
        <v>0</v>
      </c>
      <c r="E1230" s="1778">
        <f>'Part VIII-Bldg Credit Alloc SR'!E99</f>
        <v>0</v>
      </c>
      <c r="F1230" s="1778">
        <f>'Part VIII-Bldg Credit Alloc SR'!F99</f>
        <v>0</v>
      </c>
      <c r="G1230" s="1778">
        <f>'Part VIII-Bldg Credit Alloc SR'!G99</f>
        <v>0</v>
      </c>
      <c r="H1230" s="1778">
        <f>'Part VIII-Bldg Credit Alloc SR'!H99</f>
        <v>0</v>
      </c>
      <c r="I1230" s="1778">
        <f>'Part VIII-Bldg Credit Alloc SR'!I99</f>
        <v>0</v>
      </c>
      <c r="J1230" s="1776">
        <f>'Part VIII-Bldg Credit Alloc SR'!J99</f>
        <v>0</v>
      </c>
      <c r="K1230" s="1778">
        <f>'Part VIII-Bldg Credit Alloc SR'!K99</f>
        <v>0</v>
      </c>
      <c r="L1230" s="1779" t="e">
        <f t="shared" si="440"/>
        <v>#DIV/0!</v>
      </c>
      <c r="M1230" s="1778" t="e">
        <f t="shared" si="441"/>
        <v>#DIV/0!</v>
      </c>
      <c r="N1230" s="1777">
        <f>'Part VIII-Bldg Credit Alloc SR'!N99</f>
        <v>0</v>
      </c>
      <c r="O1230" s="1779">
        <f>'Part VIII-Bldg Credit Alloc SR'!O99</f>
        <v>0</v>
      </c>
      <c r="P1230" s="1778" t="e">
        <f t="shared" si="442"/>
        <v>#DIV/0!</v>
      </c>
      <c r="Q1230" s="1778" t="e">
        <f t="shared" si="443"/>
        <v>#DIV/0!</v>
      </c>
      <c r="R1230" s="1778" t="e">
        <f t="shared" si="444"/>
        <v>#DIV/0!</v>
      </c>
    </row>
    <row r="1231" spans="1:18">
      <c r="A1231" s="1658">
        <f>'Part VIII-Bldg Credit Alloc SR'!A100</f>
        <v>0</v>
      </c>
      <c r="B1231" s="1658"/>
      <c r="C1231" s="1658"/>
      <c r="D1231" s="1777">
        <f>'Part VIII-Bldg Credit Alloc SR'!D100</f>
        <v>0</v>
      </c>
      <c r="E1231" s="1778">
        <f>'Part VIII-Bldg Credit Alloc SR'!E100</f>
        <v>0</v>
      </c>
      <c r="F1231" s="1778">
        <f>'Part VIII-Bldg Credit Alloc SR'!F100</f>
        <v>0</v>
      </c>
      <c r="G1231" s="1778">
        <f>'Part VIII-Bldg Credit Alloc SR'!G100</f>
        <v>0</v>
      </c>
      <c r="H1231" s="1778">
        <f>'Part VIII-Bldg Credit Alloc SR'!H100</f>
        <v>0</v>
      </c>
      <c r="I1231" s="1778">
        <f>'Part VIII-Bldg Credit Alloc SR'!I100</f>
        <v>0</v>
      </c>
      <c r="J1231" s="1776">
        <f>'Part VIII-Bldg Credit Alloc SR'!J100</f>
        <v>0</v>
      </c>
      <c r="K1231" s="1778">
        <f>'Part VIII-Bldg Credit Alloc SR'!K100</f>
        <v>0</v>
      </c>
      <c r="L1231" s="1779" t="e">
        <f t="shared" si="440"/>
        <v>#DIV/0!</v>
      </c>
      <c r="M1231" s="1778" t="e">
        <f t="shared" si="441"/>
        <v>#DIV/0!</v>
      </c>
      <c r="N1231" s="1777">
        <f>'Part VIII-Bldg Credit Alloc SR'!N100</f>
        <v>0</v>
      </c>
      <c r="O1231" s="1779">
        <f>'Part VIII-Bldg Credit Alloc SR'!O100</f>
        <v>0</v>
      </c>
      <c r="P1231" s="1778" t="e">
        <f t="shared" si="442"/>
        <v>#DIV/0!</v>
      </c>
      <c r="Q1231" s="1778" t="e">
        <f t="shared" si="443"/>
        <v>#DIV/0!</v>
      </c>
      <c r="R1231" s="1778" t="e">
        <f t="shared" si="444"/>
        <v>#DIV/0!</v>
      </c>
    </row>
    <row r="1232" spans="1:18">
      <c r="A1232" s="1658">
        <f>'Part VIII-Bldg Credit Alloc SR'!A101</f>
        <v>0</v>
      </c>
      <c r="B1232" s="1658"/>
      <c r="C1232" s="1658"/>
      <c r="D1232" s="1777">
        <f>'Part VIII-Bldg Credit Alloc SR'!D101</f>
        <v>0</v>
      </c>
      <c r="E1232" s="1778">
        <f>'Part VIII-Bldg Credit Alloc SR'!E101</f>
        <v>0</v>
      </c>
      <c r="F1232" s="1778">
        <f>'Part VIII-Bldg Credit Alloc SR'!F101</f>
        <v>0</v>
      </c>
      <c r="G1232" s="1778">
        <f>'Part VIII-Bldg Credit Alloc SR'!G101</f>
        <v>0</v>
      </c>
      <c r="H1232" s="1778">
        <f>'Part VIII-Bldg Credit Alloc SR'!H101</f>
        <v>0</v>
      </c>
      <c r="I1232" s="1778">
        <f>'Part VIII-Bldg Credit Alloc SR'!I101</f>
        <v>0</v>
      </c>
      <c r="J1232" s="1776">
        <f>'Part VIII-Bldg Credit Alloc SR'!J101</f>
        <v>0</v>
      </c>
      <c r="K1232" s="1778">
        <f>'Part VIII-Bldg Credit Alloc SR'!K101</f>
        <v>0</v>
      </c>
      <c r="L1232" s="1779" t="e">
        <f t="shared" si="440"/>
        <v>#DIV/0!</v>
      </c>
      <c r="M1232" s="1778" t="e">
        <f t="shared" si="441"/>
        <v>#DIV/0!</v>
      </c>
      <c r="N1232" s="1777">
        <f>'Part VIII-Bldg Credit Alloc SR'!N101</f>
        <v>0</v>
      </c>
      <c r="O1232" s="1779">
        <f>'Part VIII-Bldg Credit Alloc SR'!O101</f>
        <v>0</v>
      </c>
      <c r="P1232" s="1778" t="e">
        <f t="shared" si="442"/>
        <v>#DIV/0!</v>
      </c>
      <c r="Q1232" s="1778" t="e">
        <f t="shared" si="443"/>
        <v>#DIV/0!</v>
      </c>
      <c r="R1232" s="1778" t="e">
        <f t="shared" si="444"/>
        <v>#DIV/0!</v>
      </c>
    </row>
    <row r="1233" spans="1:18">
      <c r="A1233" s="1658">
        <f>'Part VIII-Bldg Credit Alloc SR'!A102</f>
        <v>0</v>
      </c>
      <c r="B1233" s="1658"/>
      <c r="C1233" s="1658"/>
      <c r="D1233" s="1777">
        <f>'Part VIII-Bldg Credit Alloc SR'!D102</f>
        <v>0</v>
      </c>
      <c r="E1233" s="1778">
        <f>'Part VIII-Bldg Credit Alloc SR'!E102</f>
        <v>0</v>
      </c>
      <c r="F1233" s="1778">
        <f>'Part VIII-Bldg Credit Alloc SR'!F102</f>
        <v>0</v>
      </c>
      <c r="G1233" s="1778">
        <f>'Part VIII-Bldg Credit Alloc SR'!G102</f>
        <v>0</v>
      </c>
      <c r="H1233" s="1778">
        <f>'Part VIII-Bldg Credit Alloc SR'!H102</f>
        <v>0</v>
      </c>
      <c r="I1233" s="1778">
        <f>'Part VIII-Bldg Credit Alloc SR'!I102</f>
        <v>0</v>
      </c>
      <c r="J1233" s="1776">
        <f>'Part VIII-Bldg Credit Alloc SR'!J102</f>
        <v>0</v>
      </c>
      <c r="K1233" s="1778">
        <f>'Part VIII-Bldg Credit Alloc SR'!K102</f>
        <v>0</v>
      </c>
      <c r="L1233" s="1779" t="e">
        <f t="shared" si="440"/>
        <v>#DIV/0!</v>
      </c>
      <c r="M1233" s="1778" t="e">
        <f t="shared" si="441"/>
        <v>#DIV/0!</v>
      </c>
      <c r="N1233" s="1777">
        <f>'Part VIII-Bldg Credit Alloc SR'!N102</f>
        <v>0</v>
      </c>
      <c r="O1233" s="1779">
        <f>'Part VIII-Bldg Credit Alloc SR'!O102</f>
        <v>0</v>
      </c>
      <c r="P1233" s="1778" t="e">
        <f t="shared" si="442"/>
        <v>#DIV/0!</v>
      </c>
      <c r="Q1233" s="1778" t="e">
        <f t="shared" si="443"/>
        <v>#DIV/0!</v>
      </c>
      <c r="R1233" s="1778" t="e">
        <f t="shared" si="444"/>
        <v>#DIV/0!</v>
      </c>
    </row>
    <row r="1234" spans="1:18">
      <c r="A1234" s="1658">
        <f>'Part VIII-Bldg Credit Alloc SR'!A103</f>
        <v>0</v>
      </c>
      <c r="B1234" s="1658"/>
      <c r="C1234" s="1658"/>
      <c r="D1234" s="1777">
        <f>'Part VIII-Bldg Credit Alloc SR'!D103</f>
        <v>0</v>
      </c>
      <c r="E1234" s="1778">
        <f>'Part VIII-Bldg Credit Alloc SR'!E103</f>
        <v>0</v>
      </c>
      <c r="F1234" s="1778">
        <f>'Part VIII-Bldg Credit Alloc SR'!F103</f>
        <v>0</v>
      </c>
      <c r="G1234" s="1778">
        <f>'Part VIII-Bldg Credit Alloc SR'!G103</f>
        <v>0</v>
      </c>
      <c r="H1234" s="1778">
        <f>'Part VIII-Bldg Credit Alloc SR'!H103</f>
        <v>0</v>
      </c>
      <c r="I1234" s="1778">
        <f>'Part VIII-Bldg Credit Alloc SR'!I103</f>
        <v>0</v>
      </c>
      <c r="J1234" s="1776">
        <f>'Part VIII-Bldg Credit Alloc SR'!J103</f>
        <v>0</v>
      </c>
      <c r="K1234" s="1778">
        <f>'Part VIII-Bldg Credit Alloc SR'!K103</f>
        <v>0</v>
      </c>
      <c r="L1234" s="1779" t="e">
        <f t="shared" si="440"/>
        <v>#DIV/0!</v>
      </c>
      <c r="M1234" s="1778" t="e">
        <f t="shared" si="441"/>
        <v>#DIV/0!</v>
      </c>
      <c r="N1234" s="1777">
        <f>'Part VIII-Bldg Credit Alloc SR'!N103</f>
        <v>0</v>
      </c>
      <c r="O1234" s="1779">
        <f>'Part VIII-Bldg Credit Alloc SR'!O103</f>
        <v>0</v>
      </c>
      <c r="P1234" s="1778" t="e">
        <f t="shared" si="442"/>
        <v>#DIV/0!</v>
      </c>
      <c r="Q1234" s="1778" t="e">
        <f t="shared" si="443"/>
        <v>#DIV/0!</v>
      </c>
      <c r="R1234" s="1778" t="e">
        <f t="shared" si="444"/>
        <v>#DIV/0!</v>
      </c>
    </row>
    <row r="1235" spans="1:18">
      <c r="A1235" s="1658">
        <f>'Part VIII-Bldg Credit Alloc SR'!A104</f>
        <v>0</v>
      </c>
      <c r="B1235" s="1658"/>
      <c r="C1235" s="1658"/>
      <c r="D1235" s="1777">
        <f>'Part VIII-Bldg Credit Alloc SR'!D104</f>
        <v>0</v>
      </c>
      <c r="E1235" s="1778">
        <f>'Part VIII-Bldg Credit Alloc SR'!E104</f>
        <v>0</v>
      </c>
      <c r="F1235" s="1778">
        <f>'Part VIII-Bldg Credit Alloc SR'!F104</f>
        <v>0</v>
      </c>
      <c r="G1235" s="1778">
        <f>'Part VIII-Bldg Credit Alloc SR'!G104</f>
        <v>0</v>
      </c>
      <c r="H1235" s="1778">
        <f>'Part VIII-Bldg Credit Alloc SR'!H104</f>
        <v>0</v>
      </c>
      <c r="I1235" s="1778">
        <f>'Part VIII-Bldg Credit Alloc SR'!I104</f>
        <v>0</v>
      </c>
      <c r="J1235" s="1776">
        <f>'Part VIII-Bldg Credit Alloc SR'!J104</f>
        <v>0</v>
      </c>
      <c r="K1235" s="1778">
        <f>'Part VIII-Bldg Credit Alloc SR'!K104</f>
        <v>0</v>
      </c>
      <c r="L1235" s="1779" t="e">
        <f t="shared" si="440"/>
        <v>#DIV/0!</v>
      </c>
      <c r="M1235" s="1778" t="e">
        <f t="shared" si="441"/>
        <v>#DIV/0!</v>
      </c>
      <c r="N1235" s="1777">
        <f>'Part VIII-Bldg Credit Alloc SR'!N104</f>
        <v>0</v>
      </c>
      <c r="O1235" s="1779">
        <f>'Part VIII-Bldg Credit Alloc SR'!O104</f>
        <v>0</v>
      </c>
      <c r="P1235" s="1778" t="e">
        <f t="shared" si="442"/>
        <v>#DIV/0!</v>
      </c>
      <c r="Q1235" s="1778" t="e">
        <f t="shared" si="443"/>
        <v>#DIV/0!</v>
      </c>
      <c r="R1235" s="1778" t="e">
        <f t="shared" si="444"/>
        <v>#DIV/0!</v>
      </c>
    </row>
    <row r="1236" spans="1:18">
      <c r="A1236" s="1658">
        <f>'Part VIII-Bldg Credit Alloc SR'!A105</f>
        <v>0</v>
      </c>
      <c r="B1236" s="1658"/>
      <c r="C1236" s="1658"/>
      <c r="D1236" s="1777">
        <f>'Part VIII-Bldg Credit Alloc SR'!D105</f>
        <v>0</v>
      </c>
      <c r="E1236" s="1778">
        <f>'Part VIII-Bldg Credit Alloc SR'!E105</f>
        <v>0</v>
      </c>
      <c r="F1236" s="1778">
        <f>'Part VIII-Bldg Credit Alloc SR'!F105</f>
        <v>0</v>
      </c>
      <c r="G1236" s="1778">
        <f>'Part VIII-Bldg Credit Alloc SR'!G105</f>
        <v>0</v>
      </c>
      <c r="H1236" s="1778">
        <f>'Part VIII-Bldg Credit Alloc SR'!H105</f>
        <v>0</v>
      </c>
      <c r="I1236" s="1778">
        <f>'Part VIII-Bldg Credit Alloc SR'!I105</f>
        <v>0</v>
      </c>
      <c r="J1236" s="1776">
        <f>'Part VIII-Bldg Credit Alloc SR'!J105</f>
        <v>0</v>
      </c>
      <c r="K1236" s="1778">
        <f>'Part VIII-Bldg Credit Alloc SR'!K105</f>
        <v>0</v>
      </c>
      <c r="L1236" s="1779" t="e">
        <f t="shared" si="440"/>
        <v>#DIV/0!</v>
      </c>
      <c r="M1236" s="1778" t="e">
        <f t="shared" si="441"/>
        <v>#DIV/0!</v>
      </c>
      <c r="N1236" s="1777">
        <f>'Part VIII-Bldg Credit Alloc SR'!N105</f>
        <v>0</v>
      </c>
      <c r="O1236" s="1779">
        <f>'Part VIII-Bldg Credit Alloc SR'!O105</f>
        <v>0</v>
      </c>
      <c r="P1236" s="1778" t="e">
        <f t="shared" si="442"/>
        <v>#DIV/0!</v>
      </c>
      <c r="Q1236" s="1778" t="e">
        <f t="shared" si="443"/>
        <v>#DIV/0!</v>
      </c>
      <c r="R1236" s="1778" t="e">
        <f t="shared" si="444"/>
        <v>#DIV/0!</v>
      </c>
    </row>
    <row r="1237" spans="1:18">
      <c r="A1237" s="1658">
        <f>'Part VIII-Bldg Credit Alloc SR'!A106</f>
        <v>0</v>
      </c>
      <c r="B1237" s="1658"/>
      <c r="C1237" s="1658"/>
      <c r="D1237" s="1777">
        <f>'Part VIII-Bldg Credit Alloc SR'!D106</f>
        <v>0</v>
      </c>
      <c r="E1237" s="1778">
        <f>'Part VIII-Bldg Credit Alloc SR'!E106</f>
        <v>0</v>
      </c>
      <c r="F1237" s="1778">
        <f>'Part VIII-Bldg Credit Alloc SR'!F106</f>
        <v>0</v>
      </c>
      <c r="G1237" s="1778">
        <f>'Part VIII-Bldg Credit Alloc SR'!G106</f>
        <v>0</v>
      </c>
      <c r="H1237" s="1778">
        <f>'Part VIII-Bldg Credit Alloc SR'!H106</f>
        <v>0</v>
      </c>
      <c r="I1237" s="1778">
        <f>'Part VIII-Bldg Credit Alloc SR'!I106</f>
        <v>0</v>
      </c>
      <c r="J1237" s="1776">
        <f>'Part VIII-Bldg Credit Alloc SR'!J106</f>
        <v>0</v>
      </c>
      <c r="K1237" s="1778">
        <f>'Part VIII-Bldg Credit Alloc SR'!K106</f>
        <v>0</v>
      </c>
      <c r="L1237" s="1779" t="e">
        <f t="shared" si="440"/>
        <v>#DIV/0!</v>
      </c>
      <c r="M1237" s="1778" t="e">
        <f t="shared" si="441"/>
        <v>#DIV/0!</v>
      </c>
      <c r="N1237" s="1777">
        <f>'Part VIII-Bldg Credit Alloc SR'!N106</f>
        <v>0</v>
      </c>
      <c r="O1237" s="1779">
        <f>'Part VIII-Bldg Credit Alloc SR'!O106</f>
        <v>0</v>
      </c>
      <c r="P1237" s="1778" t="e">
        <f t="shared" si="442"/>
        <v>#DIV/0!</v>
      </c>
      <c r="Q1237" s="1778" t="e">
        <f t="shared" si="443"/>
        <v>#DIV/0!</v>
      </c>
      <c r="R1237" s="1778" t="e">
        <f t="shared" si="444"/>
        <v>#DIV/0!</v>
      </c>
    </row>
    <row r="1238" spans="1:18">
      <c r="A1238" s="1658">
        <f>'Part VIII-Bldg Credit Alloc SR'!A107</f>
        <v>0</v>
      </c>
      <c r="B1238" s="1658"/>
      <c r="C1238" s="1658"/>
      <c r="D1238" s="1777">
        <f>'Part VIII-Bldg Credit Alloc SR'!D107</f>
        <v>0</v>
      </c>
      <c r="E1238" s="1778">
        <f>'Part VIII-Bldg Credit Alloc SR'!E107</f>
        <v>0</v>
      </c>
      <c r="F1238" s="1778">
        <f>'Part VIII-Bldg Credit Alloc SR'!F107</f>
        <v>0</v>
      </c>
      <c r="G1238" s="1778">
        <f>'Part VIII-Bldg Credit Alloc SR'!G107</f>
        <v>0</v>
      </c>
      <c r="H1238" s="1778">
        <f>'Part VIII-Bldg Credit Alloc SR'!H107</f>
        <v>0</v>
      </c>
      <c r="I1238" s="1778">
        <f>'Part VIII-Bldg Credit Alloc SR'!I107</f>
        <v>0</v>
      </c>
      <c r="J1238" s="1776">
        <f>'Part VIII-Bldg Credit Alloc SR'!J107</f>
        <v>0</v>
      </c>
      <c r="K1238" s="1778">
        <f>'Part VIII-Bldg Credit Alloc SR'!K107</f>
        <v>0</v>
      </c>
      <c r="L1238" s="1779" t="e">
        <f t="shared" si="440"/>
        <v>#DIV/0!</v>
      </c>
      <c r="M1238" s="1778" t="e">
        <f t="shared" si="441"/>
        <v>#DIV/0!</v>
      </c>
      <c r="N1238" s="1777">
        <f>'Part VIII-Bldg Credit Alloc SR'!N107</f>
        <v>0</v>
      </c>
      <c r="O1238" s="1779">
        <f>'Part VIII-Bldg Credit Alloc SR'!O107</f>
        <v>0</v>
      </c>
      <c r="P1238" s="1778" t="e">
        <f t="shared" si="442"/>
        <v>#DIV/0!</v>
      </c>
      <c r="Q1238" s="1778" t="e">
        <f t="shared" si="443"/>
        <v>#DIV/0!</v>
      </c>
      <c r="R1238" s="1778" t="e">
        <f t="shared" si="444"/>
        <v>#DIV/0!</v>
      </c>
    </row>
    <row r="1239" spans="1:18">
      <c r="A1239" s="1658">
        <f>'Part VIII-Bldg Credit Alloc SR'!A108</f>
        <v>0</v>
      </c>
      <c r="B1239" s="1658"/>
      <c r="C1239" s="1658"/>
      <c r="D1239" s="1777">
        <f>'Part VIII-Bldg Credit Alloc SR'!D108</f>
        <v>0</v>
      </c>
      <c r="E1239" s="1778">
        <f>'Part VIII-Bldg Credit Alloc SR'!E108</f>
        <v>0</v>
      </c>
      <c r="F1239" s="1778">
        <f>'Part VIII-Bldg Credit Alloc SR'!F108</f>
        <v>0</v>
      </c>
      <c r="G1239" s="1778">
        <f>'Part VIII-Bldg Credit Alloc SR'!G108</f>
        <v>0</v>
      </c>
      <c r="H1239" s="1778">
        <f>'Part VIII-Bldg Credit Alloc SR'!H108</f>
        <v>0</v>
      </c>
      <c r="I1239" s="1778">
        <f>'Part VIII-Bldg Credit Alloc SR'!I108</f>
        <v>0</v>
      </c>
      <c r="J1239" s="1776">
        <f>'Part VIII-Bldg Credit Alloc SR'!J108</f>
        <v>0</v>
      </c>
      <c r="K1239" s="1778">
        <f>'Part VIII-Bldg Credit Alloc SR'!K108</f>
        <v>0</v>
      </c>
      <c r="L1239" s="1779" t="e">
        <f t="shared" si="440"/>
        <v>#DIV/0!</v>
      </c>
      <c r="M1239" s="1778" t="e">
        <f t="shared" si="441"/>
        <v>#DIV/0!</v>
      </c>
      <c r="N1239" s="1777">
        <f>'Part VIII-Bldg Credit Alloc SR'!N108</f>
        <v>0</v>
      </c>
      <c r="O1239" s="1779">
        <f>'Part VIII-Bldg Credit Alloc SR'!O108</f>
        <v>0</v>
      </c>
      <c r="P1239" s="1778" t="e">
        <f t="shared" si="442"/>
        <v>#DIV/0!</v>
      </c>
      <c r="Q1239" s="1778" t="e">
        <f t="shared" si="443"/>
        <v>#DIV/0!</v>
      </c>
      <c r="R1239" s="1778" t="e">
        <f t="shared" si="444"/>
        <v>#DIV/0!</v>
      </c>
    </row>
    <row r="1240" spans="1:18">
      <c r="A1240" s="1658">
        <f>'Part VIII-Bldg Credit Alloc SR'!A109</f>
        <v>0</v>
      </c>
      <c r="B1240" s="1658"/>
      <c r="C1240" s="1658"/>
      <c r="D1240" s="1777">
        <f>'Part VIII-Bldg Credit Alloc SR'!D109</f>
        <v>0</v>
      </c>
      <c r="E1240" s="1778">
        <f>'Part VIII-Bldg Credit Alloc SR'!E109</f>
        <v>0</v>
      </c>
      <c r="F1240" s="1778">
        <f>'Part VIII-Bldg Credit Alloc SR'!F109</f>
        <v>0</v>
      </c>
      <c r="G1240" s="1778">
        <f>'Part VIII-Bldg Credit Alloc SR'!G109</f>
        <v>0</v>
      </c>
      <c r="H1240" s="1778">
        <f>'Part VIII-Bldg Credit Alloc SR'!H109</f>
        <v>0</v>
      </c>
      <c r="I1240" s="1778">
        <f>'Part VIII-Bldg Credit Alloc SR'!I109</f>
        <v>0</v>
      </c>
      <c r="J1240" s="1776">
        <f>'Part VIII-Bldg Credit Alloc SR'!J109</f>
        <v>0</v>
      </c>
      <c r="K1240" s="1778">
        <f>'Part VIII-Bldg Credit Alloc SR'!K109</f>
        <v>0</v>
      </c>
      <c r="L1240" s="1779" t="e">
        <f t="shared" si="440"/>
        <v>#DIV/0!</v>
      </c>
      <c r="M1240" s="1778" t="e">
        <f t="shared" si="441"/>
        <v>#DIV/0!</v>
      </c>
      <c r="N1240" s="1777">
        <f>'Part VIII-Bldg Credit Alloc SR'!N109</f>
        <v>0</v>
      </c>
      <c r="O1240" s="1779">
        <f>'Part VIII-Bldg Credit Alloc SR'!O109</f>
        <v>0</v>
      </c>
      <c r="P1240" s="1778" t="e">
        <f t="shared" si="442"/>
        <v>#DIV/0!</v>
      </c>
      <c r="Q1240" s="1778" t="e">
        <f t="shared" si="443"/>
        <v>#DIV/0!</v>
      </c>
      <c r="R1240" s="1778" t="e">
        <f t="shared" si="444"/>
        <v>#DIV/0!</v>
      </c>
    </row>
    <row r="1241" spans="1:18">
      <c r="A1241" s="1658">
        <f>'Part VIII-Bldg Credit Alloc SR'!A110</f>
        <v>0</v>
      </c>
      <c r="B1241" s="1658"/>
      <c r="C1241" s="1658"/>
      <c r="D1241" s="1777">
        <f>'Part VIII-Bldg Credit Alloc SR'!D110</f>
        <v>0</v>
      </c>
      <c r="E1241" s="1778">
        <f>'Part VIII-Bldg Credit Alloc SR'!E110</f>
        <v>0</v>
      </c>
      <c r="F1241" s="1778">
        <f>'Part VIII-Bldg Credit Alloc SR'!F110</f>
        <v>0</v>
      </c>
      <c r="G1241" s="1778">
        <f>'Part VIII-Bldg Credit Alloc SR'!G110</f>
        <v>0</v>
      </c>
      <c r="H1241" s="1778">
        <f>'Part VIII-Bldg Credit Alloc SR'!H110</f>
        <v>0</v>
      </c>
      <c r="I1241" s="1778">
        <f>'Part VIII-Bldg Credit Alloc SR'!I110</f>
        <v>0</v>
      </c>
      <c r="J1241" s="1776">
        <f>'Part VIII-Bldg Credit Alloc SR'!J110</f>
        <v>0</v>
      </c>
      <c r="K1241" s="1778">
        <f>'Part VIII-Bldg Credit Alloc SR'!K110</f>
        <v>0</v>
      </c>
      <c r="L1241" s="1779" t="e">
        <f t="shared" si="440"/>
        <v>#DIV/0!</v>
      </c>
      <c r="M1241" s="1778" t="e">
        <f t="shared" si="441"/>
        <v>#DIV/0!</v>
      </c>
      <c r="N1241" s="1777">
        <f>'Part VIII-Bldg Credit Alloc SR'!N110</f>
        <v>0</v>
      </c>
      <c r="O1241" s="1779">
        <f>'Part VIII-Bldg Credit Alloc SR'!O110</f>
        <v>0</v>
      </c>
      <c r="P1241" s="1778" t="e">
        <f t="shared" si="442"/>
        <v>#DIV/0!</v>
      </c>
      <c r="Q1241" s="1778" t="e">
        <f t="shared" si="443"/>
        <v>#DIV/0!</v>
      </c>
      <c r="R1241" s="1778" t="e">
        <f t="shared" si="444"/>
        <v>#DIV/0!</v>
      </c>
    </row>
    <row r="1242" spans="1:18">
      <c r="A1242" s="1658">
        <f>'Part VIII-Bldg Credit Alloc SR'!A111</f>
        <v>0</v>
      </c>
      <c r="B1242" s="1658"/>
      <c r="C1242" s="1658"/>
      <c r="D1242" s="1777">
        <f>'Part VIII-Bldg Credit Alloc SR'!D111</f>
        <v>0</v>
      </c>
      <c r="E1242" s="1778">
        <f>'Part VIII-Bldg Credit Alloc SR'!E111</f>
        <v>0</v>
      </c>
      <c r="F1242" s="1778">
        <f>'Part VIII-Bldg Credit Alloc SR'!F111</f>
        <v>0</v>
      </c>
      <c r="G1242" s="1778">
        <f>'Part VIII-Bldg Credit Alloc SR'!G111</f>
        <v>0</v>
      </c>
      <c r="H1242" s="1778">
        <f>'Part VIII-Bldg Credit Alloc SR'!H111</f>
        <v>0</v>
      </c>
      <c r="I1242" s="1778">
        <f>'Part VIII-Bldg Credit Alloc SR'!I111</f>
        <v>0</v>
      </c>
      <c r="J1242" s="1776">
        <f>'Part VIII-Bldg Credit Alloc SR'!J111</f>
        <v>0</v>
      </c>
      <c r="K1242" s="1778">
        <f>'Part VIII-Bldg Credit Alloc SR'!K111</f>
        <v>0</v>
      </c>
      <c r="L1242" s="1779" t="e">
        <f t="shared" si="440"/>
        <v>#DIV/0!</v>
      </c>
      <c r="M1242" s="1778" t="e">
        <f t="shared" si="441"/>
        <v>#DIV/0!</v>
      </c>
      <c r="N1242" s="1777">
        <f>'Part VIII-Bldg Credit Alloc SR'!N111</f>
        <v>0</v>
      </c>
      <c r="O1242" s="1779">
        <f>'Part VIII-Bldg Credit Alloc SR'!O111</f>
        <v>0</v>
      </c>
      <c r="P1242" s="1778" t="e">
        <f t="shared" si="442"/>
        <v>#DIV/0!</v>
      </c>
      <c r="Q1242" s="1778" t="e">
        <f t="shared" si="443"/>
        <v>#DIV/0!</v>
      </c>
      <c r="R1242" s="1778" t="e">
        <f t="shared" si="444"/>
        <v>#DIV/0!</v>
      </c>
    </row>
    <row r="1243" spans="1:18">
      <c r="A1243" s="1658">
        <f>'Part VIII-Bldg Credit Alloc SR'!A112</f>
        <v>0</v>
      </c>
      <c r="B1243" s="1658"/>
      <c r="C1243" s="1658"/>
      <c r="D1243" s="1777">
        <f>'Part VIII-Bldg Credit Alloc SR'!D112</f>
        <v>0</v>
      </c>
      <c r="E1243" s="1778">
        <f>'Part VIII-Bldg Credit Alloc SR'!E112</f>
        <v>0</v>
      </c>
      <c r="F1243" s="1778">
        <f>'Part VIII-Bldg Credit Alloc SR'!F112</f>
        <v>0</v>
      </c>
      <c r="G1243" s="1778">
        <f>'Part VIII-Bldg Credit Alloc SR'!G112</f>
        <v>0</v>
      </c>
      <c r="H1243" s="1778">
        <f>'Part VIII-Bldg Credit Alloc SR'!H112</f>
        <v>0</v>
      </c>
      <c r="I1243" s="1778">
        <f>'Part VIII-Bldg Credit Alloc SR'!I112</f>
        <v>0</v>
      </c>
      <c r="J1243" s="1776">
        <f>'Part VIII-Bldg Credit Alloc SR'!J112</f>
        <v>0</v>
      </c>
      <c r="K1243" s="1778">
        <f>'Part VIII-Bldg Credit Alloc SR'!K112</f>
        <v>0</v>
      </c>
      <c r="L1243" s="1779" t="e">
        <f t="shared" si="440"/>
        <v>#DIV/0!</v>
      </c>
      <c r="M1243" s="1778" t="e">
        <f t="shared" si="441"/>
        <v>#DIV/0!</v>
      </c>
      <c r="N1243" s="1777">
        <f>'Part VIII-Bldg Credit Alloc SR'!N112</f>
        <v>0</v>
      </c>
      <c r="O1243" s="1779">
        <f>'Part VIII-Bldg Credit Alloc SR'!O112</f>
        <v>0</v>
      </c>
      <c r="P1243" s="1778" t="e">
        <f t="shared" si="442"/>
        <v>#DIV/0!</v>
      </c>
      <c r="Q1243" s="1778" t="e">
        <f t="shared" si="443"/>
        <v>#DIV/0!</v>
      </c>
      <c r="R1243" s="1778" t="e">
        <f t="shared" si="444"/>
        <v>#DIV/0!</v>
      </c>
    </row>
    <row r="1244" spans="1:18">
      <c r="A1244" s="1658">
        <f>'Part VIII-Bldg Credit Alloc SR'!A113</f>
        <v>0</v>
      </c>
      <c r="B1244" s="1658"/>
      <c r="C1244" s="1658"/>
      <c r="D1244" s="1777">
        <f>'Part VIII-Bldg Credit Alloc SR'!D113</f>
        <v>0</v>
      </c>
      <c r="E1244" s="1778">
        <f>'Part VIII-Bldg Credit Alloc SR'!E113</f>
        <v>0</v>
      </c>
      <c r="F1244" s="1778">
        <f>'Part VIII-Bldg Credit Alloc SR'!F113</f>
        <v>0</v>
      </c>
      <c r="G1244" s="1778">
        <f>'Part VIII-Bldg Credit Alloc SR'!G113</f>
        <v>0</v>
      </c>
      <c r="H1244" s="1778">
        <f>'Part VIII-Bldg Credit Alloc SR'!H113</f>
        <v>0</v>
      </c>
      <c r="I1244" s="1778">
        <f>'Part VIII-Bldg Credit Alloc SR'!I113</f>
        <v>0</v>
      </c>
      <c r="J1244" s="1776">
        <f>'Part VIII-Bldg Credit Alloc SR'!J113</f>
        <v>0</v>
      </c>
      <c r="K1244" s="1778">
        <f>'Part VIII-Bldg Credit Alloc SR'!K113</f>
        <v>0</v>
      </c>
      <c r="L1244" s="1779" t="e">
        <f t="shared" si="440"/>
        <v>#DIV/0!</v>
      </c>
      <c r="M1244" s="1778" t="e">
        <f t="shared" si="441"/>
        <v>#DIV/0!</v>
      </c>
      <c r="N1244" s="1777">
        <f>'Part VIII-Bldg Credit Alloc SR'!N113</f>
        <v>0</v>
      </c>
      <c r="O1244" s="1779">
        <f>'Part VIII-Bldg Credit Alloc SR'!O113</f>
        <v>0</v>
      </c>
      <c r="P1244" s="1778" t="e">
        <f t="shared" si="442"/>
        <v>#DIV/0!</v>
      </c>
      <c r="Q1244" s="1778" t="e">
        <f t="shared" si="443"/>
        <v>#DIV/0!</v>
      </c>
      <c r="R1244" s="1778" t="e">
        <f t="shared" si="444"/>
        <v>#DIV/0!</v>
      </c>
    </row>
    <row r="1245" spans="1:18">
      <c r="A1245" s="1658">
        <f>'Part VIII-Bldg Credit Alloc SR'!A114</f>
        <v>0</v>
      </c>
      <c r="B1245" s="1658"/>
      <c r="C1245" s="1658"/>
      <c r="D1245" s="1777">
        <f>'Part VIII-Bldg Credit Alloc SR'!D114</f>
        <v>0</v>
      </c>
      <c r="E1245" s="1778">
        <f>'Part VIII-Bldg Credit Alloc SR'!E114</f>
        <v>0</v>
      </c>
      <c r="F1245" s="1778">
        <f>'Part VIII-Bldg Credit Alloc SR'!F114</f>
        <v>0</v>
      </c>
      <c r="G1245" s="1778">
        <f>'Part VIII-Bldg Credit Alloc SR'!G114</f>
        <v>0</v>
      </c>
      <c r="H1245" s="1778">
        <f>'Part VIII-Bldg Credit Alloc SR'!H114</f>
        <v>0</v>
      </c>
      <c r="I1245" s="1778">
        <f>'Part VIII-Bldg Credit Alloc SR'!I114</f>
        <v>0</v>
      </c>
      <c r="J1245" s="1776">
        <f>'Part VIII-Bldg Credit Alloc SR'!J114</f>
        <v>0</v>
      </c>
      <c r="K1245" s="1778">
        <f>'Part VIII-Bldg Credit Alloc SR'!K114</f>
        <v>0</v>
      </c>
      <c r="L1245" s="1779" t="e">
        <f t="shared" si="440"/>
        <v>#DIV/0!</v>
      </c>
      <c r="M1245" s="1778" t="e">
        <f t="shared" si="441"/>
        <v>#DIV/0!</v>
      </c>
      <c r="N1245" s="1777">
        <f>'Part VIII-Bldg Credit Alloc SR'!N114</f>
        <v>0</v>
      </c>
      <c r="O1245" s="1779">
        <f>'Part VIII-Bldg Credit Alloc SR'!O114</f>
        <v>0</v>
      </c>
      <c r="P1245" s="1778" t="e">
        <f t="shared" si="442"/>
        <v>#DIV/0!</v>
      </c>
      <c r="Q1245" s="1778" t="e">
        <f t="shared" si="443"/>
        <v>#DIV/0!</v>
      </c>
      <c r="R1245" s="1778" t="e">
        <f t="shared" si="444"/>
        <v>#DIV/0!</v>
      </c>
    </row>
    <row r="1246" spans="1:18">
      <c r="A1246" s="1658">
        <f>'Part VIII-Bldg Credit Alloc SR'!A115</f>
        <v>0</v>
      </c>
      <c r="B1246" s="1658"/>
      <c r="C1246" s="1658"/>
      <c r="D1246" s="1777">
        <f>'Part VIII-Bldg Credit Alloc SR'!D115</f>
        <v>0</v>
      </c>
      <c r="E1246" s="1778">
        <f>'Part VIII-Bldg Credit Alloc SR'!E115</f>
        <v>0</v>
      </c>
      <c r="F1246" s="1778">
        <f>'Part VIII-Bldg Credit Alloc SR'!F115</f>
        <v>0</v>
      </c>
      <c r="G1246" s="1778">
        <f>'Part VIII-Bldg Credit Alloc SR'!G115</f>
        <v>0</v>
      </c>
      <c r="H1246" s="1778">
        <f>'Part VIII-Bldg Credit Alloc SR'!H115</f>
        <v>0</v>
      </c>
      <c r="I1246" s="1778">
        <f>'Part VIII-Bldg Credit Alloc SR'!I115</f>
        <v>0</v>
      </c>
      <c r="J1246" s="1776">
        <f>'Part VIII-Bldg Credit Alloc SR'!J115</f>
        <v>0</v>
      </c>
      <c r="K1246" s="1778">
        <f>'Part VIII-Bldg Credit Alloc SR'!K115</f>
        <v>0</v>
      </c>
      <c r="L1246" s="1779" t="e">
        <f t="shared" si="440"/>
        <v>#DIV/0!</v>
      </c>
      <c r="M1246" s="1778" t="e">
        <f t="shared" si="441"/>
        <v>#DIV/0!</v>
      </c>
      <c r="N1246" s="1777">
        <f>'Part VIII-Bldg Credit Alloc SR'!N115</f>
        <v>0</v>
      </c>
      <c r="O1246" s="1779">
        <f>'Part VIII-Bldg Credit Alloc SR'!O115</f>
        <v>0</v>
      </c>
      <c r="P1246" s="1778" t="e">
        <f t="shared" si="442"/>
        <v>#DIV/0!</v>
      </c>
      <c r="Q1246" s="1778" t="e">
        <f t="shared" si="443"/>
        <v>#DIV/0!</v>
      </c>
      <c r="R1246" s="1778" t="e">
        <f t="shared" si="444"/>
        <v>#DIV/0!</v>
      </c>
    </row>
    <row r="1247" spans="1:18">
      <c r="A1247" s="1658">
        <f>'Part VIII-Bldg Credit Alloc SR'!A116</f>
        <v>0</v>
      </c>
      <c r="B1247" s="1658"/>
      <c r="C1247" s="1658"/>
      <c r="D1247" s="1777">
        <f>'Part VIII-Bldg Credit Alloc SR'!D116</f>
        <v>0</v>
      </c>
      <c r="E1247" s="1778">
        <f>'Part VIII-Bldg Credit Alloc SR'!E116</f>
        <v>0</v>
      </c>
      <c r="F1247" s="1778">
        <f>'Part VIII-Bldg Credit Alloc SR'!F116</f>
        <v>0</v>
      </c>
      <c r="G1247" s="1778">
        <f>'Part VIII-Bldg Credit Alloc SR'!G116</f>
        <v>0</v>
      </c>
      <c r="H1247" s="1778">
        <f>'Part VIII-Bldg Credit Alloc SR'!H116</f>
        <v>0</v>
      </c>
      <c r="I1247" s="1778">
        <f>'Part VIII-Bldg Credit Alloc SR'!I116</f>
        <v>0</v>
      </c>
      <c r="J1247" s="1776">
        <f>'Part VIII-Bldg Credit Alloc SR'!J116</f>
        <v>0</v>
      </c>
      <c r="K1247" s="1778">
        <f>'Part VIII-Bldg Credit Alloc SR'!K116</f>
        <v>0</v>
      </c>
      <c r="L1247" s="1779" t="e">
        <f t="shared" si="440"/>
        <v>#DIV/0!</v>
      </c>
      <c r="M1247" s="1778" t="e">
        <f t="shared" si="441"/>
        <v>#DIV/0!</v>
      </c>
      <c r="N1247" s="1777">
        <f>'Part VIII-Bldg Credit Alloc SR'!N116</f>
        <v>0</v>
      </c>
      <c r="O1247" s="1779">
        <f>'Part VIII-Bldg Credit Alloc SR'!O116</f>
        <v>0</v>
      </c>
      <c r="P1247" s="1778" t="e">
        <f t="shared" si="442"/>
        <v>#DIV/0!</v>
      </c>
      <c r="Q1247" s="1778" t="e">
        <f t="shared" si="443"/>
        <v>#DIV/0!</v>
      </c>
      <c r="R1247" s="1778" t="e">
        <f t="shared" si="444"/>
        <v>#DIV/0!</v>
      </c>
    </row>
    <row r="1248" spans="1:18">
      <c r="A1248" s="1658">
        <f>'Part VIII-Bldg Credit Alloc SR'!A117</f>
        <v>0</v>
      </c>
      <c r="B1248" s="1658"/>
      <c r="C1248" s="1658"/>
      <c r="D1248" s="1777">
        <f>'Part VIII-Bldg Credit Alloc SR'!D117</f>
        <v>0</v>
      </c>
      <c r="E1248" s="1778">
        <f>'Part VIII-Bldg Credit Alloc SR'!E117</f>
        <v>0</v>
      </c>
      <c r="F1248" s="1778">
        <f>'Part VIII-Bldg Credit Alloc SR'!F117</f>
        <v>0</v>
      </c>
      <c r="G1248" s="1778">
        <f>'Part VIII-Bldg Credit Alloc SR'!G117</f>
        <v>0</v>
      </c>
      <c r="H1248" s="1778">
        <f>'Part VIII-Bldg Credit Alloc SR'!H117</f>
        <v>0</v>
      </c>
      <c r="I1248" s="1778">
        <f>'Part VIII-Bldg Credit Alloc SR'!I117</f>
        <v>0</v>
      </c>
      <c r="J1248" s="1776">
        <f>'Part VIII-Bldg Credit Alloc SR'!J117</f>
        <v>0</v>
      </c>
      <c r="K1248" s="1778">
        <f>'Part VIII-Bldg Credit Alloc SR'!K117</f>
        <v>0</v>
      </c>
      <c r="L1248" s="1779" t="e">
        <f t="shared" si="440"/>
        <v>#DIV/0!</v>
      </c>
      <c r="M1248" s="1778" t="e">
        <f t="shared" si="441"/>
        <v>#DIV/0!</v>
      </c>
      <c r="N1248" s="1777">
        <f>'Part VIII-Bldg Credit Alloc SR'!N117</f>
        <v>0</v>
      </c>
      <c r="O1248" s="1779">
        <f>'Part VIII-Bldg Credit Alloc SR'!O117</f>
        <v>0</v>
      </c>
      <c r="P1248" s="1778" t="e">
        <f t="shared" si="442"/>
        <v>#DIV/0!</v>
      </c>
      <c r="Q1248" s="1778" t="e">
        <f t="shared" si="443"/>
        <v>#DIV/0!</v>
      </c>
      <c r="R1248" s="1778" t="e">
        <f t="shared" si="444"/>
        <v>#DIV/0!</v>
      </c>
    </row>
    <row r="1249" spans="1:18">
      <c r="A1249" s="1658">
        <f>'Part VIII-Bldg Credit Alloc SR'!A118</f>
        <v>0</v>
      </c>
      <c r="B1249" s="1658"/>
      <c r="C1249" s="1658"/>
      <c r="D1249" s="1777">
        <f>'Part VIII-Bldg Credit Alloc SR'!D118</f>
        <v>0</v>
      </c>
      <c r="E1249" s="1778">
        <f>'Part VIII-Bldg Credit Alloc SR'!E118</f>
        <v>0</v>
      </c>
      <c r="F1249" s="1778">
        <f>'Part VIII-Bldg Credit Alloc SR'!F118</f>
        <v>0</v>
      </c>
      <c r="G1249" s="1778">
        <f>'Part VIII-Bldg Credit Alloc SR'!G118</f>
        <v>0</v>
      </c>
      <c r="H1249" s="1778">
        <f>'Part VIII-Bldg Credit Alloc SR'!H118</f>
        <v>0</v>
      </c>
      <c r="I1249" s="1778">
        <f>'Part VIII-Bldg Credit Alloc SR'!I118</f>
        <v>0</v>
      </c>
      <c r="J1249" s="1776">
        <f>'Part VIII-Bldg Credit Alloc SR'!J118</f>
        <v>0</v>
      </c>
      <c r="K1249" s="1778">
        <f>'Part VIII-Bldg Credit Alloc SR'!K118</f>
        <v>0</v>
      </c>
      <c r="L1249" s="1779" t="e">
        <f t="shared" si="440"/>
        <v>#DIV/0!</v>
      </c>
      <c r="M1249" s="1778" t="e">
        <f t="shared" si="441"/>
        <v>#DIV/0!</v>
      </c>
      <c r="N1249" s="1777">
        <f>'Part VIII-Bldg Credit Alloc SR'!N118</f>
        <v>0</v>
      </c>
      <c r="O1249" s="1779">
        <f>'Part VIII-Bldg Credit Alloc SR'!O118</f>
        <v>0</v>
      </c>
      <c r="P1249" s="1778" t="e">
        <f t="shared" si="442"/>
        <v>#DIV/0!</v>
      </c>
      <c r="Q1249" s="1778" t="e">
        <f t="shared" si="443"/>
        <v>#DIV/0!</v>
      </c>
      <c r="R1249" s="1778" t="e">
        <f t="shared" si="444"/>
        <v>#DIV/0!</v>
      </c>
    </row>
    <row r="1250" spans="1:18">
      <c r="A1250" s="1658">
        <f>'Part VIII-Bldg Credit Alloc SR'!A119</f>
        <v>0</v>
      </c>
      <c r="B1250" s="1658"/>
      <c r="C1250" s="1658"/>
      <c r="D1250" s="1777">
        <f>'Part VIII-Bldg Credit Alloc SR'!D119</f>
        <v>0</v>
      </c>
      <c r="E1250" s="1778">
        <f>'Part VIII-Bldg Credit Alloc SR'!E119</f>
        <v>0</v>
      </c>
      <c r="F1250" s="1778">
        <f>'Part VIII-Bldg Credit Alloc SR'!F119</f>
        <v>0</v>
      </c>
      <c r="G1250" s="1778">
        <f>'Part VIII-Bldg Credit Alloc SR'!G119</f>
        <v>0</v>
      </c>
      <c r="H1250" s="1778">
        <f>'Part VIII-Bldg Credit Alloc SR'!H119</f>
        <v>0</v>
      </c>
      <c r="I1250" s="1778">
        <f>'Part VIII-Bldg Credit Alloc SR'!I119</f>
        <v>0</v>
      </c>
      <c r="J1250" s="1776">
        <f>'Part VIII-Bldg Credit Alloc SR'!J119</f>
        <v>0</v>
      </c>
      <c r="K1250" s="1778">
        <f>'Part VIII-Bldg Credit Alloc SR'!K119</f>
        <v>0</v>
      </c>
      <c r="L1250" s="1779" t="e">
        <f t="shared" si="440"/>
        <v>#DIV/0!</v>
      </c>
      <c r="M1250" s="1778" t="e">
        <f t="shared" si="441"/>
        <v>#DIV/0!</v>
      </c>
      <c r="N1250" s="1777">
        <f>'Part VIII-Bldg Credit Alloc SR'!N119</f>
        <v>0</v>
      </c>
      <c r="O1250" s="1779">
        <f>'Part VIII-Bldg Credit Alloc SR'!O119</f>
        <v>0</v>
      </c>
      <c r="P1250" s="1778" t="e">
        <f t="shared" si="442"/>
        <v>#DIV/0!</v>
      </c>
      <c r="Q1250" s="1778" t="e">
        <f t="shared" si="443"/>
        <v>#DIV/0!</v>
      </c>
      <c r="R1250" s="1778" t="e">
        <f t="shared" si="444"/>
        <v>#DIV/0!</v>
      </c>
    </row>
    <row r="1251" spans="1:18">
      <c r="A1251" s="1658">
        <f>'Part VIII-Bldg Credit Alloc SR'!A120</f>
        <v>0</v>
      </c>
      <c r="B1251" s="1658"/>
      <c r="C1251" s="1658"/>
      <c r="D1251" s="1777">
        <f>'Part VIII-Bldg Credit Alloc SR'!D120</f>
        <v>0</v>
      </c>
      <c r="E1251" s="1778">
        <f>'Part VIII-Bldg Credit Alloc SR'!E120</f>
        <v>0</v>
      </c>
      <c r="F1251" s="1778">
        <f>'Part VIII-Bldg Credit Alloc SR'!F120</f>
        <v>0</v>
      </c>
      <c r="G1251" s="1778">
        <f>'Part VIII-Bldg Credit Alloc SR'!G120</f>
        <v>0</v>
      </c>
      <c r="H1251" s="1778">
        <f>'Part VIII-Bldg Credit Alloc SR'!H120</f>
        <v>0</v>
      </c>
      <c r="I1251" s="1778">
        <f>'Part VIII-Bldg Credit Alloc SR'!I120</f>
        <v>0</v>
      </c>
      <c r="J1251" s="1776">
        <f>'Part VIII-Bldg Credit Alloc SR'!J120</f>
        <v>0</v>
      </c>
      <c r="K1251" s="1778">
        <f>'Part VIII-Bldg Credit Alloc SR'!K120</f>
        <v>0</v>
      </c>
      <c r="L1251" s="1779" t="e">
        <f t="shared" si="440"/>
        <v>#DIV/0!</v>
      </c>
      <c r="M1251" s="1778" t="e">
        <f t="shared" si="441"/>
        <v>#DIV/0!</v>
      </c>
      <c r="N1251" s="1777">
        <f>'Part VIII-Bldg Credit Alloc SR'!N120</f>
        <v>0</v>
      </c>
      <c r="O1251" s="1779">
        <f>'Part VIII-Bldg Credit Alloc SR'!O120</f>
        <v>0</v>
      </c>
      <c r="P1251" s="1778" t="e">
        <f t="shared" si="442"/>
        <v>#DIV/0!</v>
      </c>
      <c r="Q1251" s="1778" t="e">
        <f t="shared" si="443"/>
        <v>#DIV/0!</v>
      </c>
      <c r="R1251" s="1778" t="e">
        <f t="shared" si="444"/>
        <v>#DIV/0!</v>
      </c>
    </row>
    <row r="1252" spans="1:18">
      <c r="A1252" s="1658">
        <f>'Part VIII-Bldg Credit Alloc SR'!A121</f>
        <v>0</v>
      </c>
      <c r="B1252" s="1658"/>
      <c r="C1252" s="1658"/>
      <c r="D1252" s="1777">
        <f>'Part VIII-Bldg Credit Alloc SR'!D121</f>
        <v>0</v>
      </c>
      <c r="E1252" s="1778">
        <f>'Part VIII-Bldg Credit Alloc SR'!E121</f>
        <v>0</v>
      </c>
      <c r="F1252" s="1778">
        <f>'Part VIII-Bldg Credit Alloc SR'!F121</f>
        <v>0</v>
      </c>
      <c r="G1252" s="1778">
        <f>'Part VIII-Bldg Credit Alloc SR'!G121</f>
        <v>0</v>
      </c>
      <c r="H1252" s="1778">
        <f>'Part VIII-Bldg Credit Alloc SR'!H121</f>
        <v>0</v>
      </c>
      <c r="I1252" s="1778">
        <f>'Part VIII-Bldg Credit Alloc SR'!I121</f>
        <v>0</v>
      </c>
      <c r="J1252" s="1776">
        <f>'Part VIII-Bldg Credit Alloc SR'!J121</f>
        <v>0</v>
      </c>
      <c r="K1252" s="1778">
        <f>'Part VIII-Bldg Credit Alloc SR'!K121</f>
        <v>0</v>
      </c>
      <c r="L1252" s="1779" t="e">
        <f t="shared" si="440"/>
        <v>#DIV/0!</v>
      </c>
      <c r="M1252" s="1778" t="e">
        <f t="shared" si="441"/>
        <v>#DIV/0!</v>
      </c>
      <c r="N1252" s="1777">
        <f>'Part VIII-Bldg Credit Alloc SR'!N121</f>
        <v>0</v>
      </c>
      <c r="O1252" s="1779">
        <f>'Part VIII-Bldg Credit Alloc SR'!O121</f>
        <v>0</v>
      </c>
      <c r="P1252" s="1778" t="e">
        <f t="shared" si="442"/>
        <v>#DIV/0!</v>
      </c>
      <c r="Q1252" s="1778" t="e">
        <f t="shared" si="443"/>
        <v>#DIV/0!</v>
      </c>
      <c r="R1252" s="1778" t="e">
        <f t="shared" si="444"/>
        <v>#DIV/0!</v>
      </c>
    </row>
    <row r="1253" spans="1:18">
      <c r="A1253" s="1658">
        <f>'Part VIII-Bldg Credit Alloc SR'!A122</f>
        <v>0</v>
      </c>
      <c r="B1253" s="1658"/>
      <c r="C1253" s="1658"/>
      <c r="D1253" s="1777">
        <f>'Part VIII-Bldg Credit Alloc SR'!D122</f>
        <v>0</v>
      </c>
      <c r="E1253" s="1778">
        <f>'Part VIII-Bldg Credit Alloc SR'!E122</f>
        <v>0</v>
      </c>
      <c r="F1253" s="1778">
        <f>'Part VIII-Bldg Credit Alloc SR'!F122</f>
        <v>0</v>
      </c>
      <c r="G1253" s="1778">
        <f>'Part VIII-Bldg Credit Alloc SR'!G122</f>
        <v>0</v>
      </c>
      <c r="H1253" s="1778">
        <f>'Part VIII-Bldg Credit Alloc SR'!H122</f>
        <v>0</v>
      </c>
      <c r="I1253" s="1778">
        <f>'Part VIII-Bldg Credit Alloc SR'!I122</f>
        <v>0</v>
      </c>
      <c r="J1253" s="1776">
        <f>'Part VIII-Bldg Credit Alloc SR'!J122</f>
        <v>0</v>
      </c>
      <c r="K1253" s="1778">
        <f>'Part VIII-Bldg Credit Alloc SR'!K122</f>
        <v>0</v>
      </c>
      <c r="L1253" s="1779" t="e">
        <f t="shared" si="440"/>
        <v>#DIV/0!</v>
      </c>
      <c r="M1253" s="1778" t="e">
        <f t="shared" si="441"/>
        <v>#DIV/0!</v>
      </c>
      <c r="N1253" s="1777">
        <f>'Part VIII-Bldg Credit Alloc SR'!N122</f>
        <v>0</v>
      </c>
      <c r="O1253" s="1779">
        <f>'Part VIII-Bldg Credit Alloc SR'!O122</f>
        <v>0</v>
      </c>
      <c r="P1253" s="1778" t="e">
        <f t="shared" si="442"/>
        <v>#DIV/0!</v>
      </c>
      <c r="Q1253" s="1778" t="e">
        <f t="shared" si="443"/>
        <v>#DIV/0!</v>
      </c>
      <c r="R1253" s="1778" t="e">
        <f t="shared" si="444"/>
        <v>#DIV/0!</v>
      </c>
    </row>
    <row r="1254" spans="1:18">
      <c r="A1254" s="1658">
        <f>'Part VIII-Bldg Credit Alloc SR'!A123</f>
        <v>0</v>
      </c>
      <c r="B1254" s="1658"/>
      <c r="C1254" s="1658"/>
      <c r="D1254" s="1777">
        <f>'Part VIII-Bldg Credit Alloc SR'!D123</f>
        <v>0</v>
      </c>
      <c r="E1254" s="1778">
        <f>'Part VIII-Bldg Credit Alloc SR'!E123</f>
        <v>0</v>
      </c>
      <c r="F1254" s="1778">
        <f>'Part VIII-Bldg Credit Alloc SR'!F123</f>
        <v>0</v>
      </c>
      <c r="G1254" s="1778">
        <f>'Part VIII-Bldg Credit Alloc SR'!G123</f>
        <v>0</v>
      </c>
      <c r="H1254" s="1778">
        <f>'Part VIII-Bldg Credit Alloc SR'!H123</f>
        <v>0</v>
      </c>
      <c r="I1254" s="1778">
        <f>'Part VIII-Bldg Credit Alloc SR'!I123</f>
        <v>0</v>
      </c>
      <c r="J1254" s="1776">
        <f>'Part VIII-Bldg Credit Alloc SR'!J123</f>
        <v>0</v>
      </c>
      <c r="K1254" s="1778">
        <f>'Part VIII-Bldg Credit Alloc SR'!K123</f>
        <v>0</v>
      </c>
      <c r="L1254" s="1779" t="e">
        <f t="shared" si="440"/>
        <v>#DIV/0!</v>
      </c>
      <c r="M1254" s="1778" t="e">
        <f t="shared" si="441"/>
        <v>#DIV/0!</v>
      </c>
      <c r="N1254" s="1777">
        <f>'Part VIII-Bldg Credit Alloc SR'!N123</f>
        <v>0</v>
      </c>
      <c r="O1254" s="1779">
        <f>'Part VIII-Bldg Credit Alloc SR'!O123</f>
        <v>0</v>
      </c>
      <c r="P1254" s="1778" t="e">
        <f t="shared" si="442"/>
        <v>#DIV/0!</v>
      </c>
      <c r="Q1254" s="1778" t="e">
        <f t="shared" si="443"/>
        <v>#DIV/0!</v>
      </c>
      <c r="R1254" s="1778" t="e">
        <f t="shared" si="444"/>
        <v>#DIV/0!</v>
      </c>
    </row>
    <row r="1255" spans="1:18">
      <c r="A1255" s="1658">
        <f>'Part VIII-Bldg Credit Alloc SR'!A124</f>
        <v>0</v>
      </c>
      <c r="B1255" s="1658"/>
      <c r="C1255" s="1658"/>
      <c r="D1255" s="1777">
        <f>'Part VIII-Bldg Credit Alloc SR'!D124</f>
        <v>0</v>
      </c>
      <c r="E1255" s="1778">
        <f>'Part VIII-Bldg Credit Alloc SR'!E124</f>
        <v>0</v>
      </c>
      <c r="F1255" s="1778">
        <f>'Part VIII-Bldg Credit Alloc SR'!F124</f>
        <v>0</v>
      </c>
      <c r="G1255" s="1778">
        <f>'Part VIII-Bldg Credit Alloc SR'!G124</f>
        <v>0</v>
      </c>
      <c r="H1255" s="1778">
        <f>'Part VIII-Bldg Credit Alloc SR'!H124</f>
        <v>0</v>
      </c>
      <c r="I1255" s="1778">
        <f>'Part VIII-Bldg Credit Alloc SR'!I124</f>
        <v>0</v>
      </c>
      <c r="J1255" s="1776">
        <f>'Part VIII-Bldg Credit Alloc SR'!J124</f>
        <v>0</v>
      </c>
      <c r="K1255" s="1778">
        <f>'Part VIII-Bldg Credit Alloc SR'!K124</f>
        <v>0</v>
      </c>
      <c r="L1255" s="1779" t="e">
        <f t="shared" si="440"/>
        <v>#DIV/0!</v>
      </c>
      <c r="M1255" s="1778" t="e">
        <f t="shared" si="441"/>
        <v>#DIV/0!</v>
      </c>
      <c r="N1255" s="1777">
        <f>'Part VIII-Bldg Credit Alloc SR'!N124</f>
        <v>0</v>
      </c>
      <c r="O1255" s="1779">
        <f>'Part VIII-Bldg Credit Alloc SR'!O124</f>
        <v>0</v>
      </c>
      <c r="P1255" s="1778" t="e">
        <f t="shared" si="442"/>
        <v>#DIV/0!</v>
      </c>
      <c r="Q1255" s="1778" t="e">
        <f t="shared" si="443"/>
        <v>#DIV/0!</v>
      </c>
      <c r="R1255" s="1778" t="e">
        <f t="shared" si="444"/>
        <v>#DIV/0!</v>
      </c>
    </row>
    <row r="1256" spans="1:18">
      <c r="A1256" s="1658">
        <f>'Part VIII-Bldg Credit Alloc SR'!A125</f>
        <v>0</v>
      </c>
      <c r="B1256" s="1658"/>
      <c r="C1256" s="1658"/>
      <c r="D1256" s="1777">
        <f>'Part VIII-Bldg Credit Alloc SR'!D125</f>
        <v>0</v>
      </c>
      <c r="E1256" s="1778">
        <f>'Part VIII-Bldg Credit Alloc SR'!E125</f>
        <v>0</v>
      </c>
      <c r="F1256" s="1778">
        <f>'Part VIII-Bldg Credit Alloc SR'!F125</f>
        <v>0</v>
      </c>
      <c r="G1256" s="1778">
        <f>'Part VIII-Bldg Credit Alloc SR'!G125</f>
        <v>0</v>
      </c>
      <c r="H1256" s="1778">
        <f>'Part VIII-Bldg Credit Alloc SR'!H125</f>
        <v>0</v>
      </c>
      <c r="I1256" s="1778">
        <f>'Part VIII-Bldg Credit Alloc SR'!I125</f>
        <v>0</v>
      </c>
      <c r="J1256" s="1776">
        <f>'Part VIII-Bldg Credit Alloc SR'!J125</f>
        <v>0</v>
      </c>
      <c r="K1256" s="1778">
        <f>'Part VIII-Bldg Credit Alloc SR'!K125</f>
        <v>0</v>
      </c>
      <c r="L1256" s="1779" t="e">
        <f t="shared" si="440"/>
        <v>#DIV/0!</v>
      </c>
      <c r="M1256" s="1778" t="e">
        <f t="shared" si="441"/>
        <v>#DIV/0!</v>
      </c>
      <c r="N1256" s="1777">
        <f>'Part VIII-Bldg Credit Alloc SR'!N125</f>
        <v>0</v>
      </c>
      <c r="O1256" s="1779">
        <f>'Part VIII-Bldg Credit Alloc SR'!O125</f>
        <v>0</v>
      </c>
      <c r="P1256" s="1778" t="e">
        <f t="shared" si="442"/>
        <v>#DIV/0!</v>
      </c>
      <c r="Q1256" s="1778" t="e">
        <f t="shared" si="443"/>
        <v>#DIV/0!</v>
      </c>
      <c r="R1256" s="1778" t="e">
        <f t="shared" si="444"/>
        <v>#DIV/0!</v>
      </c>
    </row>
    <row r="1257" spans="1:18">
      <c r="A1257" s="1658">
        <f>'Part VIII-Bldg Credit Alloc SR'!A126</f>
        <v>0</v>
      </c>
      <c r="B1257" s="1658"/>
      <c r="C1257" s="1658"/>
      <c r="D1257" s="1777">
        <f>'Part VIII-Bldg Credit Alloc SR'!D126</f>
        <v>0</v>
      </c>
      <c r="E1257" s="1778">
        <f>'Part VIII-Bldg Credit Alloc SR'!E126</f>
        <v>0</v>
      </c>
      <c r="F1257" s="1778">
        <f>'Part VIII-Bldg Credit Alloc SR'!F126</f>
        <v>0</v>
      </c>
      <c r="G1257" s="1778">
        <f>'Part VIII-Bldg Credit Alloc SR'!G126</f>
        <v>0</v>
      </c>
      <c r="H1257" s="1778">
        <f>'Part VIII-Bldg Credit Alloc SR'!H126</f>
        <v>0</v>
      </c>
      <c r="I1257" s="1778">
        <f>'Part VIII-Bldg Credit Alloc SR'!I126</f>
        <v>0</v>
      </c>
      <c r="J1257" s="1776">
        <f>'Part VIII-Bldg Credit Alloc SR'!J126</f>
        <v>0</v>
      </c>
      <c r="K1257" s="1778">
        <f>'Part VIII-Bldg Credit Alloc SR'!K126</f>
        <v>0</v>
      </c>
      <c r="L1257" s="1779" t="e">
        <f t="shared" si="440"/>
        <v>#DIV/0!</v>
      </c>
      <c r="M1257" s="1778" t="e">
        <f t="shared" si="441"/>
        <v>#DIV/0!</v>
      </c>
      <c r="N1257" s="1777">
        <f>'Part VIII-Bldg Credit Alloc SR'!N126</f>
        <v>0</v>
      </c>
      <c r="O1257" s="1779">
        <f>'Part VIII-Bldg Credit Alloc SR'!O126</f>
        <v>0</v>
      </c>
      <c r="P1257" s="1778" t="e">
        <f t="shared" si="442"/>
        <v>#DIV/0!</v>
      </c>
      <c r="Q1257" s="1778" t="e">
        <f t="shared" si="443"/>
        <v>#DIV/0!</v>
      </c>
      <c r="R1257" s="1778" t="e">
        <f t="shared" si="444"/>
        <v>#DIV/0!</v>
      </c>
    </row>
    <row r="1258" spans="1:18">
      <c r="A1258" s="1658">
        <f>'Part VIII-Bldg Credit Alloc SR'!A127</f>
        <v>0</v>
      </c>
      <c r="B1258" s="1658"/>
      <c r="C1258" s="1658"/>
      <c r="D1258" s="1777">
        <f>'Part VIII-Bldg Credit Alloc SR'!D127</f>
        <v>0</v>
      </c>
      <c r="E1258" s="1778">
        <f>'Part VIII-Bldg Credit Alloc SR'!E127</f>
        <v>0</v>
      </c>
      <c r="F1258" s="1778">
        <f>'Part VIII-Bldg Credit Alloc SR'!F127</f>
        <v>0</v>
      </c>
      <c r="G1258" s="1778">
        <f>'Part VIII-Bldg Credit Alloc SR'!G127</f>
        <v>0</v>
      </c>
      <c r="H1258" s="1778">
        <f>'Part VIII-Bldg Credit Alloc SR'!H127</f>
        <v>0</v>
      </c>
      <c r="I1258" s="1778">
        <f>'Part VIII-Bldg Credit Alloc SR'!I127</f>
        <v>0</v>
      </c>
      <c r="J1258" s="1776">
        <f>'Part VIII-Bldg Credit Alloc SR'!J127</f>
        <v>0</v>
      </c>
      <c r="K1258" s="1778">
        <f>'Part VIII-Bldg Credit Alloc SR'!K127</f>
        <v>0</v>
      </c>
      <c r="L1258" s="1779" t="e">
        <f t="shared" si="440"/>
        <v>#DIV/0!</v>
      </c>
      <c r="M1258" s="1778" t="e">
        <f t="shared" si="441"/>
        <v>#DIV/0!</v>
      </c>
      <c r="N1258" s="1777">
        <f>'Part VIII-Bldg Credit Alloc SR'!N127</f>
        <v>0</v>
      </c>
      <c r="O1258" s="1779">
        <f>'Part VIII-Bldg Credit Alloc SR'!O127</f>
        <v>0</v>
      </c>
      <c r="P1258" s="1778" t="e">
        <f t="shared" si="442"/>
        <v>#DIV/0!</v>
      </c>
      <c r="Q1258" s="1778" t="e">
        <f t="shared" si="443"/>
        <v>#DIV/0!</v>
      </c>
      <c r="R1258" s="1778" t="e">
        <f t="shared" si="444"/>
        <v>#DIV/0!</v>
      </c>
    </row>
    <row r="1259" spans="1:18">
      <c r="A1259" s="1658">
        <f>'Part VIII-Bldg Credit Alloc SR'!A128</f>
        <v>0</v>
      </c>
      <c r="B1259" s="1658"/>
      <c r="C1259" s="1658"/>
      <c r="D1259" s="1777">
        <f>'Part VIII-Bldg Credit Alloc SR'!D128</f>
        <v>0</v>
      </c>
      <c r="E1259" s="1778">
        <f>'Part VIII-Bldg Credit Alloc SR'!E128</f>
        <v>0</v>
      </c>
      <c r="F1259" s="1778">
        <f>'Part VIII-Bldg Credit Alloc SR'!F128</f>
        <v>0</v>
      </c>
      <c r="G1259" s="1778">
        <f>'Part VIII-Bldg Credit Alloc SR'!G128</f>
        <v>0</v>
      </c>
      <c r="H1259" s="1778">
        <f>'Part VIII-Bldg Credit Alloc SR'!H128</f>
        <v>0</v>
      </c>
      <c r="I1259" s="1778">
        <f>'Part VIII-Bldg Credit Alloc SR'!I128</f>
        <v>0</v>
      </c>
      <c r="J1259" s="1776">
        <f>'Part VIII-Bldg Credit Alloc SR'!J128</f>
        <v>0</v>
      </c>
      <c r="K1259" s="1778">
        <f>'Part VIII-Bldg Credit Alloc SR'!K128</f>
        <v>0</v>
      </c>
      <c r="L1259" s="1779" t="e">
        <f t="shared" si="440"/>
        <v>#DIV/0!</v>
      </c>
      <c r="M1259" s="1778" t="e">
        <f t="shared" si="441"/>
        <v>#DIV/0!</v>
      </c>
      <c r="N1259" s="1777">
        <f>'Part VIII-Bldg Credit Alloc SR'!N128</f>
        <v>0</v>
      </c>
      <c r="O1259" s="1779">
        <f>'Part VIII-Bldg Credit Alloc SR'!O128</f>
        <v>0</v>
      </c>
      <c r="P1259" s="1778" t="e">
        <f t="shared" si="442"/>
        <v>#DIV/0!</v>
      </c>
      <c r="Q1259" s="1778" t="e">
        <f t="shared" si="443"/>
        <v>#DIV/0!</v>
      </c>
      <c r="R1259" s="1778" t="e">
        <f t="shared" si="444"/>
        <v>#DIV/0!</v>
      </c>
    </row>
    <row r="1260" spans="1:18">
      <c r="A1260" s="1658">
        <f>'Part VIII-Bldg Credit Alloc SR'!A129</f>
        <v>0</v>
      </c>
      <c r="B1260" s="1658"/>
      <c r="C1260" s="1658"/>
      <c r="D1260" s="1777">
        <f>'Part VIII-Bldg Credit Alloc SR'!D129</f>
        <v>0</v>
      </c>
      <c r="E1260" s="1778">
        <f>'Part VIII-Bldg Credit Alloc SR'!E129</f>
        <v>0</v>
      </c>
      <c r="F1260" s="1778">
        <f>'Part VIII-Bldg Credit Alloc SR'!F129</f>
        <v>0</v>
      </c>
      <c r="G1260" s="1778">
        <f>'Part VIII-Bldg Credit Alloc SR'!G129</f>
        <v>0</v>
      </c>
      <c r="H1260" s="1778">
        <f>'Part VIII-Bldg Credit Alloc SR'!H129</f>
        <v>0</v>
      </c>
      <c r="I1260" s="1778">
        <f>'Part VIII-Bldg Credit Alloc SR'!I129</f>
        <v>0</v>
      </c>
      <c r="J1260" s="1776">
        <f>'Part VIII-Bldg Credit Alloc SR'!J129</f>
        <v>0</v>
      </c>
      <c r="K1260" s="1778">
        <f>'Part VIII-Bldg Credit Alloc SR'!K129</f>
        <v>0</v>
      </c>
      <c r="L1260" s="1779" t="e">
        <f t="shared" si="440"/>
        <v>#DIV/0!</v>
      </c>
      <c r="M1260" s="1778" t="e">
        <f t="shared" si="441"/>
        <v>#DIV/0!</v>
      </c>
      <c r="N1260" s="1777">
        <f>'Part VIII-Bldg Credit Alloc SR'!N129</f>
        <v>0</v>
      </c>
      <c r="O1260" s="1779">
        <f>'Part VIII-Bldg Credit Alloc SR'!O129</f>
        <v>0</v>
      </c>
      <c r="P1260" s="1778" t="e">
        <f t="shared" si="442"/>
        <v>#DIV/0!</v>
      </c>
      <c r="Q1260" s="1778" t="e">
        <f t="shared" si="443"/>
        <v>#DIV/0!</v>
      </c>
      <c r="R1260" s="1778" t="e">
        <f t="shared" si="444"/>
        <v>#DIV/0!</v>
      </c>
    </row>
    <row r="1261" spans="1:18">
      <c r="A1261" s="1658">
        <f>'Part VIII-Bldg Credit Alloc SR'!A130</f>
        <v>0</v>
      </c>
      <c r="B1261" s="1658"/>
      <c r="C1261" s="1658"/>
      <c r="D1261" s="1777">
        <f>'Part VIII-Bldg Credit Alloc SR'!D130</f>
        <v>0</v>
      </c>
      <c r="E1261" s="1778">
        <f>'Part VIII-Bldg Credit Alloc SR'!E130</f>
        <v>0</v>
      </c>
      <c r="F1261" s="1778">
        <f>'Part VIII-Bldg Credit Alloc SR'!F130</f>
        <v>0</v>
      </c>
      <c r="G1261" s="1778">
        <f>'Part VIII-Bldg Credit Alloc SR'!G130</f>
        <v>0</v>
      </c>
      <c r="H1261" s="1778">
        <f>'Part VIII-Bldg Credit Alloc SR'!H130</f>
        <v>0</v>
      </c>
      <c r="I1261" s="1778">
        <f>'Part VIII-Bldg Credit Alloc SR'!I130</f>
        <v>0</v>
      </c>
      <c r="J1261" s="1776">
        <f>'Part VIII-Bldg Credit Alloc SR'!J130</f>
        <v>0</v>
      </c>
      <c r="K1261" s="1778">
        <f>'Part VIII-Bldg Credit Alloc SR'!K130</f>
        <v>0</v>
      </c>
      <c r="L1261" s="1779" t="e">
        <f t="shared" si="440"/>
        <v>#DIV/0!</v>
      </c>
      <c r="M1261" s="1778" t="e">
        <f t="shared" si="441"/>
        <v>#DIV/0!</v>
      </c>
      <c r="N1261" s="1777">
        <f>'Part VIII-Bldg Credit Alloc SR'!N130</f>
        <v>0</v>
      </c>
      <c r="O1261" s="1779">
        <f>'Part VIII-Bldg Credit Alloc SR'!O130</f>
        <v>0</v>
      </c>
      <c r="P1261" s="1778" t="e">
        <f t="shared" si="442"/>
        <v>#DIV/0!</v>
      </c>
      <c r="Q1261" s="1778" t="e">
        <f t="shared" si="443"/>
        <v>#DIV/0!</v>
      </c>
      <c r="R1261" s="1778" t="e">
        <f t="shared" si="444"/>
        <v>#DIV/0!</v>
      </c>
    </row>
    <row r="1262" spans="1:18">
      <c r="A1262" s="1715" t="s">
        <v>3692</v>
      </c>
      <c r="B1262" s="1780"/>
      <c r="C1262" s="1780"/>
      <c r="D1262" s="1777"/>
      <c r="E1262" s="1778">
        <f>SUM(E1227:E1261)</f>
        <v>0</v>
      </c>
      <c r="F1262" s="1778">
        <f>SUM(F1227:F1261)</f>
        <v>0</v>
      </c>
      <c r="G1262" s="1778">
        <f>SUM(G1227:G1261)</f>
        <v>0</v>
      </c>
      <c r="H1262" s="1778">
        <f>SUM(H1227:H1261)</f>
        <v>0</v>
      </c>
      <c r="I1262" s="1778">
        <f>SUM(I1227:I1261)</f>
        <v>0</v>
      </c>
      <c r="J1262" s="1658"/>
      <c r="K1262" s="1778">
        <f>SUM(K1227:K1261)</f>
        <v>0</v>
      </c>
      <c r="L1262" s="1779"/>
      <c r="M1262" s="1778" t="e">
        <f>SUM(M1227:M1261)</f>
        <v>#DIV/0!</v>
      </c>
      <c r="N1262" s="1777"/>
      <c r="O1262" s="1779"/>
      <c r="P1262" s="1778" t="e">
        <f>SUM(P1227:P1261)</f>
        <v>#DIV/0!</v>
      </c>
      <c r="Q1262" s="1778" t="e">
        <f>SUM(Q1227:Q1261)</f>
        <v>#DIV/0!</v>
      </c>
      <c r="R1262" s="1778" t="e">
        <f>SUM(R1227:R1261)</f>
        <v>#DIV/0!</v>
      </c>
    </row>
    <row r="1263" spans="1:18">
      <c r="A1263" s="1715" t="s">
        <v>3128</v>
      </c>
      <c r="B1263" s="1656"/>
      <c r="C1263" s="1771" t="str">
        <f>C1135</f>
        <v>Rehabilitation</v>
      </c>
      <c r="D1263" s="1781"/>
      <c r="E1263" s="1781"/>
      <c r="F1263" s="1713"/>
      <c r="G1263" s="1656"/>
      <c r="H1263" s="1656"/>
      <c r="I1263" s="1656"/>
      <c r="J1263" s="1656"/>
      <c r="K1263" s="1656"/>
      <c r="L1263" s="1657"/>
      <c r="M1263" s="1657"/>
      <c r="N1263" s="1657"/>
      <c r="O1263" s="1656"/>
      <c r="P1263" s="1656"/>
      <c r="Q1263" s="1656"/>
      <c r="R1263" s="1656"/>
    </row>
    <row r="1264" spans="1:18">
      <c r="A1264" s="1712" t="s">
        <v>3129</v>
      </c>
      <c r="B1264" s="1712"/>
      <c r="C1264" s="1712"/>
      <c r="D1264" s="1712"/>
      <c r="E1264" s="1712"/>
      <c r="F1264" s="1712"/>
      <c r="G1264" s="1712"/>
      <c r="H1264" s="1712"/>
      <c r="I1264" s="1712"/>
      <c r="J1264" s="1712"/>
      <c r="K1264" s="1712"/>
      <c r="L1264" s="1712"/>
      <c r="M1264" s="1712"/>
      <c r="N1264" s="1712"/>
      <c r="O1264" s="1712"/>
      <c r="P1264" s="1712"/>
      <c r="Q1264" s="1712"/>
      <c r="R1264" s="1712"/>
    </row>
    <row r="1265" spans="1:18" ht="13.5" customHeight="1">
      <c r="A1265" s="1772"/>
      <c r="B1265" s="1658"/>
      <c r="C1265" s="1658"/>
      <c r="D1265" s="1773"/>
      <c r="E1265" s="1773" t="s">
        <v>503</v>
      </c>
      <c r="F1265" s="1773" t="s">
        <v>503</v>
      </c>
      <c r="G1265" s="1773" t="s">
        <v>477</v>
      </c>
      <c r="H1265" s="1773" t="s">
        <v>3130</v>
      </c>
      <c r="I1265" s="1718"/>
      <c r="J1265" s="1773"/>
      <c r="K1265" s="1718"/>
      <c r="L1265" s="1718"/>
      <c r="M1265" s="1746"/>
      <c r="N1265" s="1773" t="s">
        <v>861</v>
      </c>
      <c r="O1265" s="1746"/>
      <c r="P1265" s="1746"/>
      <c r="Q1265" s="1774" t="s">
        <v>3719</v>
      </c>
      <c r="R1265" s="1774"/>
    </row>
    <row r="1266" spans="1:18" ht="13.5">
      <c r="A1266" s="1772"/>
      <c r="B1266" s="1658"/>
      <c r="C1266" s="1658"/>
      <c r="D1266" s="1773" t="s">
        <v>496</v>
      </c>
      <c r="E1266" s="1775" t="s">
        <v>152</v>
      </c>
      <c r="F1266" s="1773" t="s">
        <v>3132</v>
      </c>
      <c r="G1266" s="1773" t="s">
        <v>3133</v>
      </c>
      <c r="H1266" s="1773" t="s">
        <v>3134</v>
      </c>
      <c r="I1266" s="1773" t="s">
        <v>3135</v>
      </c>
      <c r="J1266" s="1692" t="s">
        <v>3136</v>
      </c>
      <c r="K1266" s="1773" t="s">
        <v>3135</v>
      </c>
      <c r="L1266" s="1773" t="s">
        <v>3135</v>
      </c>
      <c r="M1266" s="1773" t="s">
        <v>3135</v>
      </c>
      <c r="N1266" s="1773" t="s">
        <v>3137</v>
      </c>
      <c r="O1266" s="1773" t="s">
        <v>3138</v>
      </c>
      <c r="P1266" s="1773" t="s">
        <v>3139</v>
      </c>
      <c r="Q1266" s="1774"/>
      <c r="R1266" s="1774"/>
    </row>
    <row r="1267" spans="1:18" ht="13.5">
      <c r="A1267" s="1772"/>
      <c r="B1267" s="1658"/>
      <c r="C1267" s="1658"/>
      <c r="D1267" s="1773" t="s">
        <v>3140</v>
      </c>
      <c r="E1267" s="1773" t="s">
        <v>3141</v>
      </c>
      <c r="F1267" s="1773" t="s">
        <v>3110</v>
      </c>
      <c r="G1267" s="1773" t="s">
        <v>3134</v>
      </c>
      <c r="H1267" s="1773" t="s">
        <v>3110</v>
      </c>
      <c r="I1267" s="1773" t="s">
        <v>3142</v>
      </c>
      <c r="J1267" s="1692"/>
      <c r="K1267" s="1773" t="s">
        <v>3143</v>
      </c>
      <c r="L1267" s="1773" t="s">
        <v>3144</v>
      </c>
      <c r="M1267" s="1773" t="s">
        <v>3145</v>
      </c>
      <c r="N1267" s="1773" t="s">
        <v>3146</v>
      </c>
      <c r="O1267" s="1773" t="s">
        <v>3147</v>
      </c>
      <c r="P1267" s="1773" t="s">
        <v>3147</v>
      </c>
      <c r="Q1267" s="1773" t="s">
        <v>3135</v>
      </c>
      <c r="R1267" s="1773" t="s">
        <v>3148</v>
      </c>
    </row>
    <row r="1268" spans="1:18" ht="13.5">
      <c r="A1268" s="1772" t="s">
        <v>3149</v>
      </c>
      <c r="B1268" s="1658"/>
      <c r="C1268" s="1658"/>
      <c r="D1268" s="1773" t="s">
        <v>3150</v>
      </c>
      <c r="E1268" s="1773" t="s">
        <v>3151</v>
      </c>
      <c r="F1268" s="1773" t="s">
        <v>3152</v>
      </c>
      <c r="G1268" s="1773" t="s">
        <v>3151</v>
      </c>
      <c r="H1268" s="1773" t="s">
        <v>3152</v>
      </c>
      <c r="I1268" s="1773" t="s">
        <v>3153</v>
      </c>
      <c r="J1268" s="1776" t="s">
        <v>3154</v>
      </c>
      <c r="K1268" s="1773" t="s">
        <v>3153</v>
      </c>
      <c r="L1268" s="1773" t="s">
        <v>3155</v>
      </c>
      <c r="M1268" s="1773" t="s">
        <v>3153</v>
      </c>
      <c r="N1268" s="1773" t="s">
        <v>3156</v>
      </c>
      <c r="O1268" s="1773" t="s">
        <v>3157</v>
      </c>
      <c r="P1268" s="1773" t="s">
        <v>1793</v>
      </c>
      <c r="Q1268" s="1773" t="s">
        <v>1830</v>
      </c>
      <c r="R1268" s="1773" t="s">
        <v>1793</v>
      </c>
    </row>
    <row r="1269" spans="1:18">
      <c r="A1269" s="1658">
        <f>'Part VIII-Bldg Credit Alloc SR'!A138</f>
        <v>0</v>
      </c>
      <c r="B1269" s="1658"/>
      <c r="C1269" s="1658"/>
      <c r="D1269" s="1777">
        <f>'Part VIII-Bldg Credit Alloc SR'!D138</f>
        <v>0</v>
      </c>
      <c r="E1269" s="1778">
        <f>'Part VIII-Bldg Credit Alloc SR'!E138</f>
        <v>0</v>
      </c>
      <c r="F1269" s="1778">
        <f>'Part VIII-Bldg Credit Alloc SR'!F138</f>
        <v>0</v>
      </c>
      <c r="G1269" s="1778">
        <f>'Part VIII-Bldg Credit Alloc SR'!G138</f>
        <v>0</v>
      </c>
      <c r="H1269" s="1778">
        <f>'Part VIII-Bldg Credit Alloc SR'!H138</f>
        <v>0</v>
      </c>
      <c r="I1269" s="1778">
        <f>'Part VIII-Bldg Credit Alloc SR'!I138</f>
        <v>0</v>
      </c>
      <c r="J1269" s="1776">
        <f>'Part VIII-Bldg Credit Alloc SR'!J138</f>
        <v>0</v>
      </c>
      <c r="K1269" s="1778">
        <f>'Part VIII-Bldg Credit Alloc SR'!K138</f>
        <v>0</v>
      </c>
      <c r="L1269" s="1779" t="e">
        <f>IF(OR(E1269="",F1269=""),"",MIN(G1269/E1269,H1269/F1269))</f>
        <v>#DIV/0!</v>
      </c>
      <c r="M1269" s="1778" t="e">
        <f>IF(OR(E1269="",F1269=""),"",K1269*L1269)</f>
        <v>#DIV/0!</v>
      </c>
      <c r="N1269" s="1777">
        <f>'Part VIII-Bldg Credit Alloc SR'!N138</f>
        <v>0</v>
      </c>
      <c r="O1269" s="1779">
        <f>'Part VIII-Bldg Credit Alloc SR'!O138</f>
        <v>0</v>
      </c>
      <c r="P1269" s="1778" t="e">
        <f>IF(OR(M1269="",O1269=""),"",M1269*O1269)</f>
        <v>#DIV/0!</v>
      </c>
      <c r="Q1269" s="1778" t="e">
        <f>IF(M1269="","",ROUND(M1269,0))</f>
        <v>#DIV/0!</v>
      </c>
      <c r="R1269" s="1778" t="e">
        <f>IF(P1269="","",ROUND(P1269,0))</f>
        <v>#DIV/0!</v>
      </c>
    </row>
    <row r="1270" spans="1:18">
      <c r="A1270" s="1658">
        <f>'Part VIII-Bldg Credit Alloc SR'!A139</f>
        <v>0</v>
      </c>
      <c r="B1270" s="1658"/>
      <c r="C1270" s="1658"/>
      <c r="D1270" s="1777">
        <f>'Part VIII-Bldg Credit Alloc SR'!D139</f>
        <v>0</v>
      </c>
      <c r="E1270" s="1778">
        <f>'Part VIII-Bldg Credit Alloc SR'!E139</f>
        <v>0</v>
      </c>
      <c r="F1270" s="1778">
        <f>'Part VIII-Bldg Credit Alloc SR'!F139</f>
        <v>0</v>
      </c>
      <c r="G1270" s="1778">
        <f>'Part VIII-Bldg Credit Alloc SR'!G139</f>
        <v>0</v>
      </c>
      <c r="H1270" s="1778">
        <f>'Part VIII-Bldg Credit Alloc SR'!H139</f>
        <v>0</v>
      </c>
      <c r="I1270" s="1778">
        <f>'Part VIII-Bldg Credit Alloc SR'!I139</f>
        <v>0</v>
      </c>
      <c r="J1270" s="1776">
        <f>'Part VIII-Bldg Credit Alloc SR'!J139</f>
        <v>0</v>
      </c>
      <c r="K1270" s="1778">
        <f>'Part VIII-Bldg Credit Alloc SR'!K139</f>
        <v>0</v>
      </c>
      <c r="L1270" s="1779" t="e">
        <f t="shared" ref="L1270:L1301" si="445">IF(OR(E1270="",F1270=""),"",MIN(G1270/E1270,H1270/F1270))</f>
        <v>#DIV/0!</v>
      </c>
      <c r="M1270" s="1778" t="e">
        <f t="shared" ref="M1270:M1301" si="446">IF(OR(E1270="",F1270=""),"",K1270*L1270)</f>
        <v>#DIV/0!</v>
      </c>
      <c r="N1270" s="1777">
        <f>'Part VIII-Bldg Credit Alloc SR'!N139</f>
        <v>0</v>
      </c>
      <c r="O1270" s="1779">
        <f>'Part VIII-Bldg Credit Alloc SR'!O139</f>
        <v>0</v>
      </c>
      <c r="P1270" s="1778" t="e">
        <f t="shared" ref="P1270:P1301" si="447">IF(OR(M1270="",O1270=""),"",M1270*O1270)</f>
        <v>#DIV/0!</v>
      </c>
      <c r="Q1270" s="1778" t="e">
        <f t="shared" ref="Q1270:Q1301" si="448">IF(M1270="","",ROUND(M1270,0))</f>
        <v>#DIV/0!</v>
      </c>
      <c r="R1270" s="1778" t="e">
        <f t="shared" ref="R1270:R1301" si="449">IF(P1270="","",ROUND(P1270,0))</f>
        <v>#DIV/0!</v>
      </c>
    </row>
    <row r="1271" spans="1:18">
      <c r="A1271" s="1658">
        <f>'Part VIII-Bldg Credit Alloc SR'!A140</f>
        <v>0</v>
      </c>
      <c r="B1271" s="1658"/>
      <c r="C1271" s="1658"/>
      <c r="D1271" s="1777">
        <f>'Part VIII-Bldg Credit Alloc SR'!D140</f>
        <v>0</v>
      </c>
      <c r="E1271" s="1778">
        <f>'Part VIII-Bldg Credit Alloc SR'!E140</f>
        <v>0</v>
      </c>
      <c r="F1271" s="1778">
        <f>'Part VIII-Bldg Credit Alloc SR'!F140</f>
        <v>0</v>
      </c>
      <c r="G1271" s="1778">
        <f>'Part VIII-Bldg Credit Alloc SR'!G140</f>
        <v>0</v>
      </c>
      <c r="H1271" s="1778">
        <f>'Part VIII-Bldg Credit Alloc SR'!H140</f>
        <v>0</v>
      </c>
      <c r="I1271" s="1778">
        <f>'Part VIII-Bldg Credit Alloc SR'!I140</f>
        <v>0</v>
      </c>
      <c r="J1271" s="1776">
        <f>'Part VIII-Bldg Credit Alloc SR'!J140</f>
        <v>0</v>
      </c>
      <c r="K1271" s="1778">
        <f>'Part VIII-Bldg Credit Alloc SR'!K140</f>
        <v>0</v>
      </c>
      <c r="L1271" s="1779" t="e">
        <f t="shared" si="445"/>
        <v>#DIV/0!</v>
      </c>
      <c r="M1271" s="1778" t="e">
        <f t="shared" si="446"/>
        <v>#DIV/0!</v>
      </c>
      <c r="N1271" s="1777">
        <f>'Part VIII-Bldg Credit Alloc SR'!N140</f>
        <v>0</v>
      </c>
      <c r="O1271" s="1779">
        <f>'Part VIII-Bldg Credit Alloc SR'!O140</f>
        <v>0</v>
      </c>
      <c r="P1271" s="1778" t="e">
        <f t="shared" si="447"/>
        <v>#DIV/0!</v>
      </c>
      <c r="Q1271" s="1778" t="e">
        <f t="shared" si="448"/>
        <v>#DIV/0!</v>
      </c>
      <c r="R1271" s="1778" t="e">
        <f t="shared" si="449"/>
        <v>#DIV/0!</v>
      </c>
    </row>
    <row r="1272" spans="1:18">
      <c r="A1272" s="1658">
        <f>'Part VIII-Bldg Credit Alloc SR'!A141</f>
        <v>0</v>
      </c>
      <c r="B1272" s="1658"/>
      <c r="C1272" s="1658"/>
      <c r="D1272" s="1777">
        <f>'Part VIII-Bldg Credit Alloc SR'!D141</f>
        <v>0</v>
      </c>
      <c r="E1272" s="1778">
        <f>'Part VIII-Bldg Credit Alloc SR'!E141</f>
        <v>0</v>
      </c>
      <c r="F1272" s="1778">
        <f>'Part VIII-Bldg Credit Alloc SR'!F141</f>
        <v>0</v>
      </c>
      <c r="G1272" s="1778">
        <f>'Part VIII-Bldg Credit Alloc SR'!G141</f>
        <v>0</v>
      </c>
      <c r="H1272" s="1778">
        <f>'Part VIII-Bldg Credit Alloc SR'!H141</f>
        <v>0</v>
      </c>
      <c r="I1272" s="1778">
        <f>'Part VIII-Bldg Credit Alloc SR'!I141</f>
        <v>0</v>
      </c>
      <c r="J1272" s="1776">
        <f>'Part VIII-Bldg Credit Alloc SR'!J141</f>
        <v>0</v>
      </c>
      <c r="K1272" s="1778">
        <f>'Part VIII-Bldg Credit Alloc SR'!K141</f>
        <v>0</v>
      </c>
      <c r="L1272" s="1779" t="e">
        <f t="shared" si="445"/>
        <v>#DIV/0!</v>
      </c>
      <c r="M1272" s="1778" t="e">
        <f t="shared" si="446"/>
        <v>#DIV/0!</v>
      </c>
      <c r="N1272" s="1777">
        <f>'Part VIII-Bldg Credit Alloc SR'!N141</f>
        <v>0</v>
      </c>
      <c r="O1272" s="1779">
        <f>'Part VIII-Bldg Credit Alloc SR'!O141</f>
        <v>0</v>
      </c>
      <c r="P1272" s="1778" t="e">
        <f t="shared" si="447"/>
        <v>#DIV/0!</v>
      </c>
      <c r="Q1272" s="1778" t="e">
        <f t="shared" si="448"/>
        <v>#DIV/0!</v>
      </c>
      <c r="R1272" s="1778" t="e">
        <f t="shared" si="449"/>
        <v>#DIV/0!</v>
      </c>
    </row>
    <row r="1273" spans="1:18">
      <c r="A1273" s="1658">
        <f>'Part VIII-Bldg Credit Alloc SR'!A142</f>
        <v>0</v>
      </c>
      <c r="B1273" s="1658"/>
      <c r="C1273" s="1658"/>
      <c r="D1273" s="1777">
        <f>'Part VIII-Bldg Credit Alloc SR'!D142</f>
        <v>0</v>
      </c>
      <c r="E1273" s="1778">
        <f>'Part VIII-Bldg Credit Alloc SR'!E142</f>
        <v>0</v>
      </c>
      <c r="F1273" s="1778">
        <f>'Part VIII-Bldg Credit Alloc SR'!F142</f>
        <v>0</v>
      </c>
      <c r="G1273" s="1778">
        <f>'Part VIII-Bldg Credit Alloc SR'!G142</f>
        <v>0</v>
      </c>
      <c r="H1273" s="1778">
        <f>'Part VIII-Bldg Credit Alloc SR'!H142</f>
        <v>0</v>
      </c>
      <c r="I1273" s="1778">
        <f>'Part VIII-Bldg Credit Alloc SR'!I142</f>
        <v>0</v>
      </c>
      <c r="J1273" s="1776">
        <f>'Part VIII-Bldg Credit Alloc SR'!J142</f>
        <v>0</v>
      </c>
      <c r="K1273" s="1778">
        <f>'Part VIII-Bldg Credit Alloc SR'!K142</f>
        <v>0</v>
      </c>
      <c r="L1273" s="1779" t="e">
        <f t="shared" si="445"/>
        <v>#DIV/0!</v>
      </c>
      <c r="M1273" s="1778" t="e">
        <f t="shared" si="446"/>
        <v>#DIV/0!</v>
      </c>
      <c r="N1273" s="1777">
        <f>'Part VIII-Bldg Credit Alloc SR'!N142</f>
        <v>0</v>
      </c>
      <c r="O1273" s="1779">
        <f>'Part VIII-Bldg Credit Alloc SR'!O142</f>
        <v>0</v>
      </c>
      <c r="P1273" s="1778" t="e">
        <f t="shared" si="447"/>
        <v>#DIV/0!</v>
      </c>
      <c r="Q1273" s="1778" t="e">
        <f t="shared" si="448"/>
        <v>#DIV/0!</v>
      </c>
      <c r="R1273" s="1778" t="e">
        <f t="shared" si="449"/>
        <v>#DIV/0!</v>
      </c>
    </row>
    <row r="1274" spans="1:18">
      <c r="A1274" s="1658">
        <f>'Part VIII-Bldg Credit Alloc SR'!A143</f>
        <v>0</v>
      </c>
      <c r="B1274" s="1658"/>
      <c r="C1274" s="1658"/>
      <c r="D1274" s="1777">
        <f>'Part VIII-Bldg Credit Alloc SR'!D143</f>
        <v>0</v>
      </c>
      <c r="E1274" s="1778">
        <f>'Part VIII-Bldg Credit Alloc SR'!E143</f>
        <v>0</v>
      </c>
      <c r="F1274" s="1778">
        <f>'Part VIII-Bldg Credit Alloc SR'!F143</f>
        <v>0</v>
      </c>
      <c r="G1274" s="1778">
        <f>'Part VIII-Bldg Credit Alloc SR'!G143</f>
        <v>0</v>
      </c>
      <c r="H1274" s="1778">
        <f>'Part VIII-Bldg Credit Alloc SR'!H143</f>
        <v>0</v>
      </c>
      <c r="I1274" s="1778">
        <f>'Part VIII-Bldg Credit Alloc SR'!I143</f>
        <v>0</v>
      </c>
      <c r="J1274" s="1776">
        <f>'Part VIII-Bldg Credit Alloc SR'!J143</f>
        <v>0</v>
      </c>
      <c r="K1274" s="1778">
        <f>'Part VIII-Bldg Credit Alloc SR'!K143</f>
        <v>0</v>
      </c>
      <c r="L1274" s="1779" t="e">
        <f t="shared" si="445"/>
        <v>#DIV/0!</v>
      </c>
      <c r="M1274" s="1778" t="e">
        <f t="shared" si="446"/>
        <v>#DIV/0!</v>
      </c>
      <c r="N1274" s="1777">
        <f>'Part VIII-Bldg Credit Alloc SR'!N143</f>
        <v>0</v>
      </c>
      <c r="O1274" s="1779">
        <f>'Part VIII-Bldg Credit Alloc SR'!O143</f>
        <v>0</v>
      </c>
      <c r="P1274" s="1778" t="e">
        <f t="shared" si="447"/>
        <v>#DIV/0!</v>
      </c>
      <c r="Q1274" s="1778" t="e">
        <f t="shared" si="448"/>
        <v>#DIV/0!</v>
      </c>
      <c r="R1274" s="1778" t="e">
        <f t="shared" si="449"/>
        <v>#DIV/0!</v>
      </c>
    </row>
    <row r="1275" spans="1:18">
      <c r="A1275" s="1658">
        <f>'Part VIII-Bldg Credit Alloc SR'!A144</f>
        <v>0</v>
      </c>
      <c r="B1275" s="1658"/>
      <c r="C1275" s="1658"/>
      <c r="D1275" s="1777">
        <f>'Part VIII-Bldg Credit Alloc SR'!D144</f>
        <v>0</v>
      </c>
      <c r="E1275" s="1778">
        <f>'Part VIII-Bldg Credit Alloc SR'!E144</f>
        <v>0</v>
      </c>
      <c r="F1275" s="1778">
        <f>'Part VIII-Bldg Credit Alloc SR'!F144</f>
        <v>0</v>
      </c>
      <c r="G1275" s="1778">
        <f>'Part VIII-Bldg Credit Alloc SR'!G144</f>
        <v>0</v>
      </c>
      <c r="H1275" s="1778">
        <f>'Part VIII-Bldg Credit Alloc SR'!H144</f>
        <v>0</v>
      </c>
      <c r="I1275" s="1778">
        <f>'Part VIII-Bldg Credit Alloc SR'!I144</f>
        <v>0</v>
      </c>
      <c r="J1275" s="1776">
        <f>'Part VIII-Bldg Credit Alloc SR'!J144</f>
        <v>0</v>
      </c>
      <c r="K1275" s="1778">
        <f>'Part VIII-Bldg Credit Alloc SR'!K144</f>
        <v>0</v>
      </c>
      <c r="L1275" s="1779" t="e">
        <f t="shared" si="445"/>
        <v>#DIV/0!</v>
      </c>
      <c r="M1275" s="1778" t="e">
        <f t="shared" si="446"/>
        <v>#DIV/0!</v>
      </c>
      <c r="N1275" s="1777">
        <f>'Part VIII-Bldg Credit Alloc SR'!N144</f>
        <v>0</v>
      </c>
      <c r="O1275" s="1779">
        <f>'Part VIII-Bldg Credit Alloc SR'!O144</f>
        <v>0</v>
      </c>
      <c r="P1275" s="1778" t="e">
        <f t="shared" si="447"/>
        <v>#DIV/0!</v>
      </c>
      <c r="Q1275" s="1778" t="e">
        <f t="shared" si="448"/>
        <v>#DIV/0!</v>
      </c>
      <c r="R1275" s="1778" t="e">
        <f t="shared" si="449"/>
        <v>#DIV/0!</v>
      </c>
    </row>
    <row r="1276" spans="1:18">
      <c r="A1276" s="1658">
        <f>'Part VIII-Bldg Credit Alloc SR'!A145</f>
        <v>0</v>
      </c>
      <c r="B1276" s="1658"/>
      <c r="C1276" s="1658"/>
      <c r="D1276" s="1777">
        <f>'Part VIII-Bldg Credit Alloc SR'!D145</f>
        <v>0</v>
      </c>
      <c r="E1276" s="1778">
        <f>'Part VIII-Bldg Credit Alloc SR'!E145</f>
        <v>0</v>
      </c>
      <c r="F1276" s="1778">
        <f>'Part VIII-Bldg Credit Alloc SR'!F145</f>
        <v>0</v>
      </c>
      <c r="G1276" s="1778">
        <f>'Part VIII-Bldg Credit Alloc SR'!G145</f>
        <v>0</v>
      </c>
      <c r="H1276" s="1778">
        <f>'Part VIII-Bldg Credit Alloc SR'!H145</f>
        <v>0</v>
      </c>
      <c r="I1276" s="1778">
        <f>'Part VIII-Bldg Credit Alloc SR'!I145</f>
        <v>0</v>
      </c>
      <c r="J1276" s="1776">
        <f>'Part VIII-Bldg Credit Alloc SR'!J145</f>
        <v>0</v>
      </c>
      <c r="K1276" s="1778">
        <f>'Part VIII-Bldg Credit Alloc SR'!K145</f>
        <v>0</v>
      </c>
      <c r="L1276" s="1779" t="e">
        <f t="shared" si="445"/>
        <v>#DIV/0!</v>
      </c>
      <c r="M1276" s="1778" t="e">
        <f t="shared" si="446"/>
        <v>#DIV/0!</v>
      </c>
      <c r="N1276" s="1777">
        <f>'Part VIII-Bldg Credit Alloc SR'!N145</f>
        <v>0</v>
      </c>
      <c r="O1276" s="1779">
        <f>'Part VIII-Bldg Credit Alloc SR'!O145</f>
        <v>0</v>
      </c>
      <c r="P1276" s="1778" t="e">
        <f t="shared" si="447"/>
        <v>#DIV/0!</v>
      </c>
      <c r="Q1276" s="1778" t="e">
        <f t="shared" si="448"/>
        <v>#DIV/0!</v>
      </c>
      <c r="R1276" s="1778" t="e">
        <f t="shared" si="449"/>
        <v>#DIV/0!</v>
      </c>
    </row>
    <row r="1277" spans="1:18">
      <c r="A1277" s="1658">
        <f>'Part VIII-Bldg Credit Alloc SR'!A146</f>
        <v>0</v>
      </c>
      <c r="B1277" s="1658"/>
      <c r="C1277" s="1658"/>
      <c r="D1277" s="1777">
        <f>'Part VIII-Bldg Credit Alloc SR'!D146</f>
        <v>0</v>
      </c>
      <c r="E1277" s="1778">
        <f>'Part VIII-Bldg Credit Alloc SR'!E146</f>
        <v>0</v>
      </c>
      <c r="F1277" s="1778">
        <f>'Part VIII-Bldg Credit Alloc SR'!F146</f>
        <v>0</v>
      </c>
      <c r="G1277" s="1778">
        <f>'Part VIII-Bldg Credit Alloc SR'!G146</f>
        <v>0</v>
      </c>
      <c r="H1277" s="1778">
        <f>'Part VIII-Bldg Credit Alloc SR'!H146</f>
        <v>0</v>
      </c>
      <c r="I1277" s="1778">
        <f>'Part VIII-Bldg Credit Alloc SR'!I146</f>
        <v>0</v>
      </c>
      <c r="J1277" s="1776">
        <f>'Part VIII-Bldg Credit Alloc SR'!J146</f>
        <v>0</v>
      </c>
      <c r="K1277" s="1778">
        <f>'Part VIII-Bldg Credit Alloc SR'!K146</f>
        <v>0</v>
      </c>
      <c r="L1277" s="1779" t="e">
        <f t="shared" si="445"/>
        <v>#DIV/0!</v>
      </c>
      <c r="M1277" s="1778" t="e">
        <f t="shared" si="446"/>
        <v>#DIV/0!</v>
      </c>
      <c r="N1277" s="1777">
        <f>'Part VIII-Bldg Credit Alloc SR'!N146</f>
        <v>0</v>
      </c>
      <c r="O1277" s="1779">
        <f>'Part VIII-Bldg Credit Alloc SR'!O146</f>
        <v>0</v>
      </c>
      <c r="P1277" s="1778" t="e">
        <f t="shared" si="447"/>
        <v>#DIV/0!</v>
      </c>
      <c r="Q1277" s="1778" t="e">
        <f t="shared" si="448"/>
        <v>#DIV/0!</v>
      </c>
      <c r="R1277" s="1778" t="e">
        <f t="shared" si="449"/>
        <v>#DIV/0!</v>
      </c>
    </row>
    <row r="1278" spans="1:18">
      <c r="A1278" s="1658">
        <f>'Part VIII-Bldg Credit Alloc SR'!A147</f>
        <v>0</v>
      </c>
      <c r="B1278" s="1658"/>
      <c r="C1278" s="1658"/>
      <c r="D1278" s="1777">
        <f>'Part VIII-Bldg Credit Alloc SR'!D147</f>
        <v>0</v>
      </c>
      <c r="E1278" s="1778">
        <f>'Part VIII-Bldg Credit Alloc SR'!E147</f>
        <v>0</v>
      </c>
      <c r="F1278" s="1778">
        <f>'Part VIII-Bldg Credit Alloc SR'!F147</f>
        <v>0</v>
      </c>
      <c r="G1278" s="1778">
        <f>'Part VIII-Bldg Credit Alloc SR'!G147</f>
        <v>0</v>
      </c>
      <c r="H1278" s="1778">
        <f>'Part VIII-Bldg Credit Alloc SR'!H147</f>
        <v>0</v>
      </c>
      <c r="I1278" s="1778">
        <f>'Part VIII-Bldg Credit Alloc SR'!I147</f>
        <v>0</v>
      </c>
      <c r="J1278" s="1776">
        <f>'Part VIII-Bldg Credit Alloc SR'!J147</f>
        <v>0</v>
      </c>
      <c r="K1278" s="1778">
        <f>'Part VIII-Bldg Credit Alloc SR'!K147</f>
        <v>0</v>
      </c>
      <c r="L1278" s="1779" t="e">
        <f t="shared" si="445"/>
        <v>#DIV/0!</v>
      </c>
      <c r="M1278" s="1778" t="e">
        <f t="shared" si="446"/>
        <v>#DIV/0!</v>
      </c>
      <c r="N1278" s="1777">
        <f>'Part VIII-Bldg Credit Alloc SR'!N147</f>
        <v>0</v>
      </c>
      <c r="O1278" s="1779">
        <f>'Part VIII-Bldg Credit Alloc SR'!O147</f>
        <v>0</v>
      </c>
      <c r="P1278" s="1778" t="e">
        <f t="shared" si="447"/>
        <v>#DIV/0!</v>
      </c>
      <c r="Q1278" s="1778" t="e">
        <f t="shared" si="448"/>
        <v>#DIV/0!</v>
      </c>
      <c r="R1278" s="1778" t="e">
        <f t="shared" si="449"/>
        <v>#DIV/0!</v>
      </c>
    </row>
    <row r="1279" spans="1:18">
      <c r="A1279" s="1658">
        <f>'Part VIII-Bldg Credit Alloc SR'!A148</f>
        <v>0</v>
      </c>
      <c r="B1279" s="1658"/>
      <c r="C1279" s="1658"/>
      <c r="D1279" s="1777">
        <f>'Part VIII-Bldg Credit Alloc SR'!D148</f>
        <v>0</v>
      </c>
      <c r="E1279" s="1778">
        <f>'Part VIII-Bldg Credit Alloc SR'!E148</f>
        <v>0</v>
      </c>
      <c r="F1279" s="1778">
        <f>'Part VIII-Bldg Credit Alloc SR'!F148</f>
        <v>0</v>
      </c>
      <c r="G1279" s="1778">
        <f>'Part VIII-Bldg Credit Alloc SR'!G148</f>
        <v>0</v>
      </c>
      <c r="H1279" s="1778">
        <f>'Part VIII-Bldg Credit Alloc SR'!H148</f>
        <v>0</v>
      </c>
      <c r="I1279" s="1778">
        <f>'Part VIII-Bldg Credit Alloc SR'!I148</f>
        <v>0</v>
      </c>
      <c r="J1279" s="1776">
        <f>'Part VIII-Bldg Credit Alloc SR'!J148</f>
        <v>0</v>
      </c>
      <c r="K1279" s="1778">
        <f>'Part VIII-Bldg Credit Alloc SR'!K148</f>
        <v>0</v>
      </c>
      <c r="L1279" s="1779" t="e">
        <f t="shared" si="445"/>
        <v>#DIV/0!</v>
      </c>
      <c r="M1279" s="1778" t="e">
        <f t="shared" si="446"/>
        <v>#DIV/0!</v>
      </c>
      <c r="N1279" s="1777">
        <f>'Part VIII-Bldg Credit Alloc SR'!N148</f>
        <v>0</v>
      </c>
      <c r="O1279" s="1779">
        <f>'Part VIII-Bldg Credit Alloc SR'!O148</f>
        <v>0</v>
      </c>
      <c r="P1279" s="1778" t="e">
        <f t="shared" si="447"/>
        <v>#DIV/0!</v>
      </c>
      <c r="Q1279" s="1778" t="e">
        <f t="shared" si="448"/>
        <v>#DIV/0!</v>
      </c>
      <c r="R1279" s="1778" t="e">
        <f t="shared" si="449"/>
        <v>#DIV/0!</v>
      </c>
    </row>
    <row r="1280" spans="1:18">
      <c r="A1280" s="1658">
        <f>'Part VIII-Bldg Credit Alloc SR'!A149</f>
        <v>0</v>
      </c>
      <c r="B1280" s="1658"/>
      <c r="C1280" s="1658"/>
      <c r="D1280" s="1777">
        <f>'Part VIII-Bldg Credit Alloc SR'!D149</f>
        <v>0</v>
      </c>
      <c r="E1280" s="1778">
        <f>'Part VIII-Bldg Credit Alloc SR'!E149</f>
        <v>0</v>
      </c>
      <c r="F1280" s="1778">
        <f>'Part VIII-Bldg Credit Alloc SR'!F149</f>
        <v>0</v>
      </c>
      <c r="G1280" s="1778">
        <f>'Part VIII-Bldg Credit Alloc SR'!G149</f>
        <v>0</v>
      </c>
      <c r="H1280" s="1778">
        <f>'Part VIII-Bldg Credit Alloc SR'!H149</f>
        <v>0</v>
      </c>
      <c r="I1280" s="1778">
        <f>'Part VIII-Bldg Credit Alloc SR'!I149</f>
        <v>0</v>
      </c>
      <c r="J1280" s="1776">
        <f>'Part VIII-Bldg Credit Alloc SR'!J149</f>
        <v>0</v>
      </c>
      <c r="K1280" s="1778">
        <f>'Part VIII-Bldg Credit Alloc SR'!K149</f>
        <v>0</v>
      </c>
      <c r="L1280" s="1779" t="e">
        <f t="shared" si="445"/>
        <v>#DIV/0!</v>
      </c>
      <c r="M1280" s="1778" t="e">
        <f t="shared" si="446"/>
        <v>#DIV/0!</v>
      </c>
      <c r="N1280" s="1777">
        <f>'Part VIII-Bldg Credit Alloc SR'!N149</f>
        <v>0</v>
      </c>
      <c r="O1280" s="1779">
        <f>'Part VIII-Bldg Credit Alloc SR'!O149</f>
        <v>0</v>
      </c>
      <c r="P1280" s="1778" t="e">
        <f t="shared" si="447"/>
        <v>#DIV/0!</v>
      </c>
      <c r="Q1280" s="1778" t="e">
        <f t="shared" si="448"/>
        <v>#DIV/0!</v>
      </c>
      <c r="R1280" s="1778" t="e">
        <f t="shared" si="449"/>
        <v>#DIV/0!</v>
      </c>
    </row>
    <row r="1281" spans="1:18">
      <c r="A1281" s="1658">
        <f>'Part VIII-Bldg Credit Alloc SR'!A150</f>
        <v>0</v>
      </c>
      <c r="B1281" s="1658"/>
      <c r="C1281" s="1658"/>
      <c r="D1281" s="1777">
        <f>'Part VIII-Bldg Credit Alloc SR'!D150</f>
        <v>0</v>
      </c>
      <c r="E1281" s="1778">
        <f>'Part VIII-Bldg Credit Alloc SR'!E150</f>
        <v>0</v>
      </c>
      <c r="F1281" s="1778">
        <f>'Part VIII-Bldg Credit Alloc SR'!F150</f>
        <v>0</v>
      </c>
      <c r="G1281" s="1778">
        <f>'Part VIII-Bldg Credit Alloc SR'!G150</f>
        <v>0</v>
      </c>
      <c r="H1281" s="1778">
        <f>'Part VIII-Bldg Credit Alloc SR'!H150</f>
        <v>0</v>
      </c>
      <c r="I1281" s="1778">
        <f>'Part VIII-Bldg Credit Alloc SR'!I150</f>
        <v>0</v>
      </c>
      <c r="J1281" s="1776">
        <f>'Part VIII-Bldg Credit Alloc SR'!J150</f>
        <v>0</v>
      </c>
      <c r="K1281" s="1778">
        <f>'Part VIII-Bldg Credit Alloc SR'!K150</f>
        <v>0</v>
      </c>
      <c r="L1281" s="1779" t="e">
        <f t="shared" si="445"/>
        <v>#DIV/0!</v>
      </c>
      <c r="M1281" s="1778" t="e">
        <f t="shared" si="446"/>
        <v>#DIV/0!</v>
      </c>
      <c r="N1281" s="1777">
        <f>'Part VIII-Bldg Credit Alloc SR'!N150</f>
        <v>0</v>
      </c>
      <c r="O1281" s="1779">
        <f>'Part VIII-Bldg Credit Alloc SR'!O150</f>
        <v>0</v>
      </c>
      <c r="P1281" s="1778" t="e">
        <f t="shared" si="447"/>
        <v>#DIV/0!</v>
      </c>
      <c r="Q1281" s="1778" t="e">
        <f t="shared" si="448"/>
        <v>#DIV/0!</v>
      </c>
      <c r="R1281" s="1778" t="e">
        <f t="shared" si="449"/>
        <v>#DIV/0!</v>
      </c>
    </row>
    <row r="1282" spans="1:18">
      <c r="A1282" s="1658">
        <f>'Part VIII-Bldg Credit Alloc SR'!A151</f>
        <v>0</v>
      </c>
      <c r="B1282" s="1658"/>
      <c r="C1282" s="1658"/>
      <c r="D1282" s="1777">
        <f>'Part VIII-Bldg Credit Alloc SR'!D151</f>
        <v>0</v>
      </c>
      <c r="E1282" s="1778">
        <f>'Part VIII-Bldg Credit Alloc SR'!E151</f>
        <v>0</v>
      </c>
      <c r="F1282" s="1778">
        <f>'Part VIII-Bldg Credit Alloc SR'!F151</f>
        <v>0</v>
      </c>
      <c r="G1282" s="1778">
        <f>'Part VIII-Bldg Credit Alloc SR'!G151</f>
        <v>0</v>
      </c>
      <c r="H1282" s="1778">
        <f>'Part VIII-Bldg Credit Alloc SR'!H151</f>
        <v>0</v>
      </c>
      <c r="I1282" s="1778">
        <f>'Part VIII-Bldg Credit Alloc SR'!I151</f>
        <v>0</v>
      </c>
      <c r="J1282" s="1776">
        <f>'Part VIII-Bldg Credit Alloc SR'!J151</f>
        <v>0</v>
      </c>
      <c r="K1282" s="1778">
        <f>'Part VIII-Bldg Credit Alloc SR'!K151</f>
        <v>0</v>
      </c>
      <c r="L1282" s="1779" t="e">
        <f t="shared" si="445"/>
        <v>#DIV/0!</v>
      </c>
      <c r="M1282" s="1778" t="e">
        <f t="shared" si="446"/>
        <v>#DIV/0!</v>
      </c>
      <c r="N1282" s="1777">
        <f>'Part VIII-Bldg Credit Alloc SR'!N151</f>
        <v>0</v>
      </c>
      <c r="O1282" s="1779">
        <f>'Part VIII-Bldg Credit Alloc SR'!O151</f>
        <v>0</v>
      </c>
      <c r="P1282" s="1778" t="e">
        <f t="shared" si="447"/>
        <v>#DIV/0!</v>
      </c>
      <c r="Q1282" s="1778" t="e">
        <f t="shared" si="448"/>
        <v>#DIV/0!</v>
      </c>
      <c r="R1282" s="1778" t="e">
        <f t="shared" si="449"/>
        <v>#DIV/0!</v>
      </c>
    </row>
    <row r="1283" spans="1:18">
      <c r="A1283" s="1658">
        <f>'Part VIII-Bldg Credit Alloc SR'!A152</f>
        <v>0</v>
      </c>
      <c r="B1283" s="1658"/>
      <c r="C1283" s="1658"/>
      <c r="D1283" s="1777">
        <f>'Part VIII-Bldg Credit Alloc SR'!D152</f>
        <v>0</v>
      </c>
      <c r="E1283" s="1778">
        <f>'Part VIII-Bldg Credit Alloc SR'!E152</f>
        <v>0</v>
      </c>
      <c r="F1283" s="1778">
        <f>'Part VIII-Bldg Credit Alloc SR'!F152</f>
        <v>0</v>
      </c>
      <c r="G1283" s="1778">
        <f>'Part VIII-Bldg Credit Alloc SR'!G152</f>
        <v>0</v>
      </c>
      <c r="H1283" s="1778">
        <f>'Part VIII-Bldg Credit Alloc SR'!H152</f>
        <v>0</v>
      </c>
      <c r="I1283" s="1778">
        <f>'Part VIII-Bldg Credit Alloc SR'!I152</f>
        <v>0</v>
      </c>
      <c r="J1283" s="1776">
        <f>'Part VIII-Bldg Credit Alloc SR'!J152</f>
        <v>0</v>
      </c>
      <c r="K1283" s="1778">
        <f>'Part VIII-Bldg Credit Alloc SR'!K152</f>
        <v>0</v>
      </c>
      <c r="L1283" s="1779" t="e">
        <f t="shared" si="445"/>
        <v>#DIV/0!</v>
      </c>
      <c r="M1283" s="1778" t="e">
        <f t="shared" si="446"/>
        <v>#DIV/0!</v>
      </c>
      <c r="N1283" s="1777">
        <f>'Part VIII-Bldg Credit Alloc SR'!N152</f>
        <v>0</v>
      </c>
      <c r="O1283" s="1779">
        <f>'Part VIII-Bldg Credit Alloc SR'!O152</f>
        <v>0</v>
      </c>
      <c r="P1283" s="1778" t="e">
        <f t="shared" si="447"/>
        <v>#DIV/0!</v>
      </c>
      <c r="Q1283" s="1778" t="e">
        <f t="shared" si="448"/>
        <v>#DIV/0!</v>
      </c>
      <c r="R1283" s="1778" t="e">
        <f t="shared" si="449"/>
        <v>#DIV/0!</v>
      </c>
    </row>
    <row r="1284" spans="1:18">
      <c r="A1284" s="1658">
        <f>'Part VIII-Bldg Credit Alloc SR'!A153</f>
        <v>0</v>
      </c>
      <c r="B1284" s="1658"/>
      <c r="C1284" s="1658"/>
      <c r="D1284" s="1777">
        <f>'Part VIII-Bldg Credit Alloc SR'!D153</f>
        <v>0</v>
      </c>
      <c r="E1284" s="1778">
        <f>'Part VIII-Bldg Credit Alloc SR'!E153</f>
        <v>0</v>
      </c>
      <c r="F1284" s="1778">
        <f>'Part VIII-Bldg Credit Alloc SR'!F153</f>
        <v>0</v>
      </c>
      <c r="G1284" s="1778">
        <f>'Part VIII-Bldg Credit Alloc SR'!G153</f>
        <v>0</v>
      </c>
      <c r="H1284" s="1778">
        <f>'Part VIII-Bldg Credit Alloc SR'!H153</f>
        <v>0</v>
      </c>
      <c r="I1284" s="1778">
        <f>'Part VIII-Bldg Credit Alloc SR'!I153</f>
        <v>0</v>
      </c>
      <c r="J1284" s="1776">
        <f>'Part VIII-Bldg Credit Alloc SR'!J153</f>
        <v>0</v>
      </c>
      <c r="K1284" s="1778">
        <f>'Part VIII-Bldg Credit Alloc SR'!K153</f>
        <v>0</v>
      </c>
      <c r="L1284" s="1779" t="e">
        <f t="shared" si="445"/>
        <v>#DIV/0!</v>
      </c>
      <c r="M1284" s="1778" t="e">
        <f t="shared" si="446"/>
        <v>#DIV/0!</v>
      </c>
      <c r="N1284" s="1777">
        <f>'Part VIII-Bldg Credit Alloc SR'!N153</f>
        <v>0</v>
      </c>
      <c r="O1284" s="1779">
        <f>'Part VIII-Bldg Credit Alloc SR'!O153</f>
        <v>0</v>
      </c>
      <c r="P1284" s="1778" t="e">
        <f t="shared" si="447"/>
        <v>#DIV/0!</v>
      </c>
      <c r="Q1284" s="1778" t="e">
        <f t="shared" si="448"/>
        <v>#DIV/0!</v>
      </c>
      <c r="R1284" s="1778" t="e">
        <f t="shared" si="449"/>
        <v>#DIV/0!</v>
      </c>
    </row>
    <row r="1285" spans="1:18">
      <c r="A1285" s="1658">
        <f>'Part VIII-Bldg Credit Alloc SR'!A154</f>
        <v>0</v>
      </c>
      <c r="B1285" s="1658"/>
      <c r="C1285" s="1658"/>
      <c r="D1285" s="1777">
        <f>'Part VIII-Bldg Credit Alloc SR'!D154</f>
        <v>0</v>
      </c>
      <c r="E1285" s="1778">
        <f>'Part VIII-Bldg Credit Alloc SR'!E154</f>
        <v>0</v>
      </c>
      <c r="F1285" s="1778">
        <f>'Part VIII-Bldg Credit Alloc SR'!F154</f>
        <v>0</v>
      </c>
      <c r="G1285" s="1778">
        <f>'Part VIII-Bldg Credit Alloc SR'!G154</f>
        <v>0</v>
      </c>
      <c r="H1285" s="1778">
        <f>'Part VIII-Bldg Credit Alloc SR'!H154</f>
        <v>0</v>
      </c>
      <c r="I1285" s="1778">
        <f>'Part VIII-Bldg Credit Alloc SR'!I154</f>
        <v>0</v>
      </c>
      <c r="J1285" s="1776">
        <f>'Part VIII-Bldg Credit Alloc SR'!J154</f>
        <v>0</v>
      </c>
      <c r="K1285" s="1778">
        <f>'Part VIII-Bldg Credit Alloc SR'!K154</f>
        <v>0</v>
      </c>
      <c r="L1285" s="1779" t="e">
        <f t="shared" si="445"/>
        <v>#DIV/0!</v>
      </c>
      <c r="M1285" s="1778" t="e">
        <f t="shared" si="446"/>
        <v>#DIV/0!</v>
      </c>
      <c r="N1285" s="1777">
        <f>'Part VIII-Bldg Credit Alloc SR'!N154</f>
        <v>0</v>
      </c>
      <c r="O1285" s="1779">
        <f>'Part VIII-Bldg Credit Alloc SR'!O154</f>
        <v>0</v>
      </c>
      <c r="P1285" s="1778" t="e">
        <f t="shared" si="447"/>
        <v>#DIV/0!</v>
      </c>
      <c r="Q1285" s="1778" t="e">
        <f t="shared" si="448"/>
        <v>#DIV/0!</v>
      </c>
      <c r="R1285" s="1778" t="e">
        <f t="shared" si="449"/>
        <v>#DIV/0!</v>
      </c>
    </row>
    <row r="1286" spans="1:18">
      <c r="A1286" s="1658">
        <f>'Part VIII-Bldg Credit Alloc SR'!A155</f>
        <v>0</v>
      </c>
      <c r="B1286" s="1658"/>
      <c r="C1286" s="1658"/>
      <c r="D1286" s="1777">
        <f>'Part VIII-Bldg Credit Alloc SR'!D155</f>
        <v>0</v>
      </c>
      <c r="E1286" s="1778">
        <f>'Part VIII-Bldg Credit Alloc SR'!E155</f>
        <v>0</v>
      </c>
      <c r="F1286" s="1778">
        <f>'Part VIII-Bldg Credit Alloc SR'!F155</f>
        <v>0</v>
      </c>
      <c r="G1286" s="1778">
        <f>'Part VIII-Bldg Credit Alloc SR'!G155</f>
        <v>0</v>
      </c>
      <c r="H1286" s="1778">
        <f>'Part VIII-Bldg Credit Alloc SR'!H155</f>
        <v>0</v>
      </c>
      <c r="I1286" s="1778">
        <f>'Part VIII-Bldg Credit Alloc SR'!I155</f>
        <v>0</v>
      </c>
      <c r="J1286" s="1776">
        <f>'Part VIII-Bldg Credit Alloc SR'!J155</f>
        <v>0</v>
      </c>
      <c r="K1286" s="1778">
        <f>'Part VIII-Bldg Credit Alloc SR'!K155</f>
        <v>0</v>
      </c>
      <c r="L1286" s="1779" t="e">
        <f t="shared" si="445"/>
        <v>#DIV/0!</v>
      </c>
      <c r="M1286" s="1778" t="e">
        <f t="shared" si="446"/>
        <v>#DIV/0!</v>
      </c>
      <c r="N1286" s="1777">
        <f>'Part VIII-Bldg Credit Alloc SR'!N155</f>
        <v>0</v>
      </c>
      <c r="O1286" s="1779">
        <f>'Part VIII-Bldg Credit Alloc SR'!O155</f>
        <v>0</v>
      </c>
      <c r="P1286" s="1778" t="e">
        <f t="shared" si="447"/>
        <v>#DIV/0!</v>
      </c>
      <c r="Q1286" s="1778" t="e">
        <f t="shared" si="448"/>
        <v>#DIV/0!</v>
      </c>
      <c r="R1286" s="1778" t="e">
        <f t="shared" si="449"/>
        <v>#DIV/0!</v>
      </c>
    </row>
    <row r="1287" spans="1:18">
      <c r="A1287" s="1658">
        <f>'Part VIII-Bldg Credit Alloc SR'!A156</f>
        <v>0</v>
      </c>
      <c r="B1287" s="1658"/>
      <c r="C1287" s="1658"/>
      <c r="D1287" s="1777">
        <f>'Part VIII-Bldg Credit Alloc SR'!D156</f>
        <v>0</v>
      </c>
      <c r="E1287" s="1778">
        <f>'Part VIII-Bldg Credit Alloc SR'!E156</f>
        <v>0</v>
      </c>
      <c r="F1287" s="1778">
        <f>'Part VIII-Bldg Credit Alloc SR'!F156</f>
        <v>0</v>
      </c>
      <c r="G1287" s="1778">
        <f>'Part VIII-Bldg Credit Alloc SR'!G156</f>
        <v>0</v>
      </c>
      <c r="H1287" s="1778">
        <f>'Part VIII-Bldg Credit Alloc SR'!H156</f>
        <v>0</v>
      </c>
      <c r="I1287" s="1778">
        <f>'Part VIII-Bldg Credit Alloc SR'!I156</f>
        <v>0</v>
      </c>
      <c r="J1287" s="1776">
        <f>'Part VIII-Bldg Credit Alloc SR'!J156</f>
        <v>0</v>
      </c>
      <c r="K1287" s="1778">
        <f>'Part VIII-Bldg Credit Alloc SR'!K156</f>
        <v>0</v>
      </c>
      <c r="L1287" s="1779" t="e">
        <f t="shared" si="445"/>
        <v>#DIV/0!</v>
      </c>
      <c r="M1287" s="1778" t="e">
        <f t="shared" si="446"/>
        <v>#DIV/0!</v>
      </c>
      <c r="N1287" s="1777">
        <f>'Part VIII-Bldg Credit Alloc SR'!N156</f>
        <v>0</v>
      </c>
      <c r="O1287" s="1779">
        <f>'Part VIII-Bldg Credit Alloc SR'!O156</f>
        <v>0</v>
      </c>
      <c r="P1287" s="1778" t="e">
        <f t="shared" si="447"/>
        <v>#DIV/0!</v>
      </c>
      <c r="Q1287" s="1778" t="e">
        <f t="shared" si="448"/>
        <v>#DIV/0!</v>
      </c>
      <c r="R1287" s="1778" t="e">
        <f t="shared" si="449"/>
        <v>#DIV/0!</v>
      </c>
    </row>
    <row r="1288" spans="1:18">
      <c r="A1288" s="1658">
        <f>'Part VIII-Bldg Credit Alloc SR'!A157</f>
        <v>0</v>
      </c>
      <c r="B1288" s="1658"/>
      <c r="C1288" s="1658"/>
      <c r="D1288" s="1777">
        <f>'Part VIII-Bldg Credit Alloc SR'!D157</f>
        <v>0</v>
      </c>
      <c r="E1288" s="1778">
        <f>'Part VIII-Bldg Credit Alloc SR'!E157</f>
        <v>0</v>
      </c>
      <c r="F1288" s="1778">
        <f>'Part VIII-Bldg Credit Alloc SR'!F157</f>
        <v>0</v>
      </c>
      <c r="G1288" s="1778">
        <f>'Part VIII-Bldg Credit Alloc SR'!G157</f>
        <v>0</v>
      </c>
      <c r="H1288" s="1778">
        <f>'Part VIII-Bldg Credit Alloc SR'!H157</f>
        <v>0</v>
      </c>
      <c r="I1288" s="1778">
        <f>'Part VIII-Bldg Credit Alloc SR'!I157</f>
        <v>0</v>
      </c>
      <c r="J1288" s="1776">
        <f>'Part VIII-Bldg Credit Alloc SR'!J157</f>
        <v>0</v>
      </c>
      <c r="K1288" s="1778">
        <f>'Part VIII-Bldg Credit Alloc SR'!K157</f>
        <v>0</v>
      </c>
      <c r="L1288" s="1779" t="e">
        <f t="shared" si="445"/>
        <v>#DIV/0!</v>
      </c>
      <c r="M1288" s="1778" t="e">
        <f t="shared" si="446"/>
        <v>#DIV/0!</v>
      </c>
      <c r="N1288" s="1777">
        <f>'Part VIII-Bldg Credit Alloc SR'!N157</f>
        <v>0</v>
      </c>
      <c r="O1288" s="1779">
        <f>'Part VIII-Bldg Credit Alloc SR'!O157</f>
        <v>0</v>
      </c>
      <c r="P1288" s="1778" t="e">
        <f t="shared" si="447"/>
        <v>#DIV/0!</v>
      </c>
      <c r="Q1288" s="1778" t="e">
        <f t="shared" si="448"/>
        <v>#DIV/0!</v>
      </c>
      <c r="R1288" s="1778" t="e">
        <f t="shared" si="449"/>
        <v>#DIV/0!</v>
      </c>
    </row>
    <row r="1289" spans="1:18">
      <c r="A1289" s="1658">
        <f>'Part VIII-Bldg Credit Alloc SR'!A158</f>
        <v>0</v>
      </c>
      <c r="B1289" s="1658"/>
      <c r="C1289" s="1658"/>
      <c r="D1289" s="1777">
        <f>'Part VIII-Bldg Credit Alloc SR'!D158</f>
        <v>0</v>
      </c>
      <c r="E1289" s="1778">
        <f>'Part VIII-Bldg Credit Alloc SR'!E158</f>
        <v>0</v>
      </c>
      <c r="F1289" s="1778">
        <f>'Part VIII-Bldg Credit Alloc SR'!F158</f>
        <v>0</v>
      </c>
      <c r="G1289" s="1778">
        <f>'Part VIII-Bldg Credit Alloc SR'!G158</f>
        <v>0</v>
      </c>
      <c r="H1289" s="1778">
        <f>'Part VIII-Bldg Credit Alloc SR'!H158</f>
        <v>0</v>
      </c>
      <c r="I1289" s="1778">
        <f>'Part VIII-Bldg Credit Alloc SR'!I158</f>
        <v>0</v>
      </c>
      <c r="J1289" s="1776">
        <f>'Part VIII-Bldg Credit Alloc SR'!J158</f>
        <v>0</v>
      </c>
      <c r="K1289" s="1778">
        <f>'Part VIII-Bldg Credit Alloc SR'!K158</f>
        <v>0</v>
      </c>
      <c r="L1289" s="1779" t="e">
        <f t="shared" si="445"/>
        <v>#DIV/0!</v>
      </c>
      <c r="M1289" s="1778" t="e">
        <f t="shared" si="446"/>
        <v>#DIV/0!</v>
      </c>
      <c r="N1289" s="1777">
        <f>'Part VIII-Bldg Credit Alloc SR'!N158</f>
        <v>0</v>
      </c>
      <c r="O1289" s="1779">
        <f>'Part VIII-Bldg Credit Alloc SR'!O158</f>
        <v>0</v>
      </c>
      <c r="P1289" s="1778" t="e">
        <f t="shared" si="447"/>
        <v>#DIV/0!</v>
      </c>
      <c r="Q1289" s="1778" t="e">
        <f t="shared" si="448"/>
        <v>#DIV/0!</v>
      </c>
      <c r="R1289" s="1778" t="e">
        <f t="shared" si="449"/>
        <v>#DIV/0!</v>
      </c>
    </row>
    <row r="1290" spans="1:18">
      <c r="A1290" s="1658">
        <f>'Part VIII-Bldg Credit Alloc SR'!A159</f>
        <v>0</v>
      </c>
      <c r="B1290" s="1658"/>
      <c r="C1290" s="1658"/>
      <c r="D1290" s="1777">
        <f>'Part VIII-Bldg Credit Alloc SR'!D159</f>
        <v>0</v>
      </c>
      <c r="E1290" s="1778">
        <f>'Part VIII-Bldg Credit Alloc SR'!E159</f>
        <v>0</v>
      </c>
      <c r="F1290" s="1778">
        <f>'Part VIII-Bldg Credit Alloc SR'!F159</f>
        <v>0</v>
      </c>
      <c r="G1290" s="1778">
        <f>'Part VIII-Bldg Credit Alloc SR'!G159</f>
        <v>0</v>
      </c>
      <c r="H1290" s="1778">
        <f>'Part VIII-Bldg Credit Alloc SR'!H159</f>
        <v>0</v>
      </c>
      <c r="I1290" s="1778">
        <f>'Part VIII-Bldg Credit Alloc SR'!I159</f>
        <v>0</v>
      </c>
      <c r="J1290" s="1776">
        <f>'Part VIII-Bldg Credit Alloc SR'!J159</f>
        <v>0</v>
      </c>
      <c r="K1290" s="1778">
        <f>'Part VIII-Bldg Credit Alloc SR'!K159</f>
        <v>0</v>
      </c>
      <c r="L1290" s="1779" t="e">
        <f t="shared" si="445"/>
        <v>#DIV/0!</v>
      </c>
      <c r="M1290" s="1778" t="e">
        <f t="shared" si="446"/>
        <v>#DIV/0!</v>
      </c>
      <c r="N1290" s="1777">
        <f>'Part VIII-Bldg Credit Alloc SR'!N159</f>
        <v>0</v>
      </c>
      <c r="O1290" s="1779">
        <f>'Part VIII-Bldg Credit Alloc SR'!O159</f>
        <v>0</v>
      </c>
      <c r="P1290" s="1778" t="e">
        <f t="shared" si="447"/>
        <v>#DIV/0!</v>
      </c>
      <c r="Q1290" s="1778" t="e">
        <f t="shared" si="448"/>
        <v>#DIV/0!</v>
      </c>
      <c r="R1290" s="1778" t="e">
        <f t="shared" si="449"/>
        <v>#DIV/0!</v>
      </c>
    </row>
    <row r="1291" spans="1:18">
      <c r="A1291" s="1658">
        <f>'Part VIII-Bldg Credit Alloc SR'!A160</f>
        <v>0</v>
      </c>
      <c r="B1291" s="1658"/>
      <c r="C1291" s="1658"/>
      <c r="D1291" s="1777">
        <f>'Part VIII-Bldg Credit Alloc SR'!D160</f>
        <v>0</v>
      </c>
      <c r="E1291" s="1778">
        <f>'Part VIII-Bldg Credit Alloc SR'!E160</f>
        <v>0</v>
      </c>
      <c r="F1291" s="1778">
        <f>'Part VIII-Bldg Credit Alloc SR'!F160</f>
        <v>0</v>
      </c>
      <c r="G1291" s="1778">
        <f>'Part VIII-Bldg Credit Alloc SR'!G160</f>
        <v>0</v>
      </c>
      <c r="H1291" s="1778">
        <f>'Part VIII-Bldg Credit Alloc SR'!H160</f>
        <v>0</v>
      </c>
      <c r="I1291" s="1778">
        <f>'Part VIII-Bldg Credit Alloc SR'!I160</f>
        <v>0</v>
      </c>
      <c r="J1291" s="1776">
        <f>'Part VIII-Bldg Credit Alloc SR'!J160</f>
        <v>0</v>
      </c>
      <c r="K1291" s="1778">
        <f>'Part VIII-Bldg Credit Alloc SR'!K160</f>
        <v>0</v>
      </c>
      <c r="L1291" s="1779" t="e">
        <f t="shared" si="445"/>
        <v>#DIV/0!</v>
      </c>
      <c r="M1291" s="1778" t="e">
        <f t="shared" si="446"/>
        <v>#DIV/0!</v>
      </c>
      <c r="N1291" s="1777">
        <f>'Part VIII-Bldg Credit Alloc SR'!N160</f>
        <v>0</v>
      </c>
      <c r="O1291" s="1779">
        <f>'Part VIII-Bldg Credit Alloc SR'!O160</f>
        <v>0</v>
      </c>
      <c r="P1291" s="1778" t="e">
        <f t="shared" si="447"/>
        <v>#DIV/0!</v>
      </c>
      <c r="Q1291" s="1778" t="e">
        <f t="shared" si="448"/>
        <v>#DIV/0!</v>
      </c>
      <c r="R1291" s="1778" t="e">
        <f t="shared" si="449"/>
        <v>#DIV/0!</v>
      </c>
    </row>
    <row r="1292" spans="1:18">
      <c r="A1292" s="1658">
        <f>'Part VIII-Bldg Credit Alloc SR'!A161</f>
        <v>0</v>
      </c>
      <c r="B1292" s="1658"/>
      <c r="C1292" s="1658"/>
      <c r="D1292" s="1777">
        <f>'Part VIII-Bldg Credit Alloc SR'!D161</f>
        <v>0</v>
      </c>
      <c r="E1292" s="1778">
        <f>'Part VIII-Bldg Credit Alloc SR'!E161</f>
        <v>0</v>
      </c>
      <c r="F1292" s="1778">
        <f>'Part VIII-Bldg Credit Alloc SR'!F161</f>
        <v>0</v>
      </c>
      <c r="G1292" s="1778">
        <f>'Part VIII-Bldg Credit Alloc SR'!G161</f>
        <v>0</v>
      </c>
      <c r="H1292" s="1778">
        <f>'Part VIII-Bldg Credit Alloc SR'!H161</f>
        <v>0</v>
      </c>
      <c r="I1292" s="1778">
        <f>'Part VIII-Bldg Credit Alloc SR'!I161</f>
        <v>0</v>
      </c>
      <c r="J1292" s="1776">
        <f>'Part VIII-Bldg Credit Alloc SR'!J161</f>
        <v>0</v>
      </c>
      <c r="K1292" s="1778">
        <f>'Part VIII-Bldg Credit Alloc SR'!K161</f>
        <v>0</v>
      </c>
      <c r="L1292" s="1779" t="e">
        <f t="shared" si="445"/>
        <v>#DIV/0!</v>
      </c>
      <c r="M1292" s="1778" t="e">
        <f t="shared" si="446"/>
        <v>#DIV/0!</v>
      </c>
      <c r="N1292" s="1777">
        <f>'Part VIII-Bldg Credit Alloc SR'!N161</f>
        <v>0</v>
      </c>
      <c r="O1292" s="1779">
        <f>'Part VIII-Bldg Credit Alloc SR'!O161</f>
        <v>0</v>
      </c>
      <c r="P1292" s="1778" t="e">
        <f t="shared" si="447"/>
        <v>#DIV/0!</v>
      </c>
      <c r="Q1292" s="1778" t="e">
        <f t="shared" si="448"/>
        <v>#DIV/0!</v>
      </c>
      <c r="R1292" s="1778" t="e">
        <f t="shared" si="449"/>
        <v>#DIV/0!</v>
      </c>
    </row>
    <row r="1293" spans="1:18">
      <c r="A1293" s="1658">
        <f>'Part VIII-Bldg Credit Alloc SR'!A162</f>
        <v>0</v>
      </c>
      <c r="B1293" s="1658"/>
      <c r="C1293" s="1658"/>
      <c r="D1293" s="1777">
        <f>'Part VIII-Bldg Credit Alloc SR'!D162</f>
        <v>0</v>
      </c>
      <c r="E1293" s="1778">
        <f>'Part VIII-Bldg Credit Alloc SR'!E162</f>
        <v>0</v>
      </c>
      <c r="F1293" s="1778">
        <f>'Part VIII-Bldg Credit Alloc SR'!F162</f>
        <v>0</v>
      </c>
      <c r="G1293" s="1778">
        <f>'Part VIII-Bldg Credit Alloc SR'!G162</f>
        <v>0</v>
      </c>
      <c r="H1293" s="1778">
        <f>'Part VIII-Bldg Credit Alloc SR'!H162</f>
        <v>0</v>
      </c>
      <c r="I1293" s="1778">
        <f>'Part VIII-Bldg Credit Alloc SR'!I162</f>
        <v>0</v>
      </c>
      <c r="J1293" s="1776">
        <f>'Part VIII-Bldg Credit Alloc SR'!J162</f>
        <v>0</v>
      </c>
      <c r="K1293" s="1778">
        <f>'Part VIII-Bldg Credit Alloc SR'!K162</f>
        <v>0</v>
      </c>
      <c r="L1293" s="1779" t="e">
        <f t="shared" si="445"/>
        <v>#DIV/0!</v>
      </c>
      <c r="M1293" s="1778" t="e">
        <f t="shared" si="446"/>
        <v>#DIV/0!</v>
      </c>
      <c r="N1293" s="1777">
        <f>'Part VIII-Bldg Credit Alloc SR'!N162</f>
        <v>0</v>
      </c>
      <c r="O1293" s="1779">
        <f>'Part VIII-Bldg Credit Alloc SR'!O162</f>
        <v>0</v>
      </c>
      <c r="P1293" s="1778" t="e">
        <f t="shared" si="447"/>
        <v>#DIV/0!</v>
      </c>
      <c r="Q1293" s="1778" t="e">
        <f t="shared" si="448"/>
        <v>#DIV/0!</v>
      </c>
      <c r="R1293" s="1778" t="e">
        <f t="shared" si="449"/>
        <v>#DIV/0!</v>
      </c>
    </row>
    <row r="1294" spans="1:18">
      <c r="A1294" s="1658">
        <f>'Part VIII-Bldg Credit Alloc SR'!A163</f>
        <v>0</v>
      </c>
      <c r="B1294" s="1658"/>
      <c r="C1294" s="1658"/>
      <c r="D1294" s="1777">
        <f>'Part VIII-Bldg Credit Alloc SR'!D163</f>
        <v>0</v>
      </c>
      <c r="E1294" s="1778">
        <f>'Part VIII-Bldg Credit Alloc SR'!E163</f>
        <v>0</v>
      </c>
      <c r="F1294" s="1778">
        <f>'Part VIII-Bldg Credit Alloc SR'!F163</f>
        <v>0</v>
      </c>
      <c r="G1294" s="1778">
        <f>'Part VIII-Bldg Credit Alloc SR'!G163</f>
        <v>0</v>
      </c>
      <c r="H1294" s="1778">
        <f>'Part VIII-Bldg Credit Alloc SR'!H163</f>
        <v>0</v>
      </c>
      <c r="I1294" s="1778">
        <f>'Part VIII-Bldg Credit Alloc SR'!I163</f>
        <v>0</v>
      </c>
      <c r="J1294" s="1776">
        <f>'Part VIII-Bldg Credit Alloc SR'!J163</f>
        <v>0</v>
      </c>
      <c r="K1294" s="1778">
        <f>'Part VIII-Bldg Credit Alloc SR'!K163</f>
        <v>0</v>
      </c>
      <c r="L1294" s="1779" t="e">
        <f t="shared" si="445"/>
        <v>#DIV/0!</v>
      </c>
      <c r="M1294" s="1778" t="e">
        <f t="shared" si="446"/>
        <v>#DIV/0!</v>
      </c>
      <c r="N1294" s="1777">
        <f>'Part VIII-Bldg Credit Alloc SR'!N163</f>
        <v>0</v>
      </c>
      <c r="O1294" s="1779">
        <f>'Part VIII-Bldg Credit Alloc SR'!O163</f>
        <v>0</v>
      </c>
      <c r="P1294" s="1778" t="e">
        <f t="shared" si="447"/>
        <v>#DIV/0!</v>
      </c>
      <c r="Q1294" s="1778" t="e">
        <f t="shared" si="448"/>
        <v>#DIV/0!</v>
      </c>
      <c r="R1294" s="1778" t="e">
        <f t="shared" si="449"/>
        <v>#DIV/0!</v>
      </c>
    </row>
    <row r="1295" spans="1:18">
      <c r="A1295" s="1658">
        <f>'Part VIII-Bldg Credit Alloc SR'!A164</f>
        <v>0</v>
      </c>
      <c r="B1295" s="1658"/>
      <c r="C1295" s="1658"/>
      <c r="D1295" s="1777">
        <f>'Part VIII-Bldg Credit Alloc SR'!D164</f>
        <v>0</v>
      </c>
      <c r="E1295" s="1778">
        <f>'Part VIII-Bldg Credit Alloc SR'!E164</f>
        <v>0</v>
      </c>
      <c r="F1295" s="1778">
        <f>'Part VIII-Bldg Credit Alloc SR'!F164</f>
        <v>0</v>
      </c>
      <c r="G1295" s="1778">
        <f>'Part VIII-Bldg Credit Alloc SR'!G164</f>
        <v>0</v>
      </c>
      <c r="H1295" s="1778">
        <f>'Part VIII-Bldg Credit Alloc SR'!H164</f>
        <v>0</v>
      </c>
      <c r="I1295" s="1778">
        <f>'Part VIII-Bldg Credit Alloc SR'!I164</f>
        <v>0</v>
      </c>
      <c r="J1295" s="1776">
        <f>'Part VIII-Bldg Credit Alloc SR'!J164</f>
        <v>0</v>
      </c>
      <c r="K1295" s="1778">
        <f>'Part VIII-Bldg Credit Alloc SR'!K164</f>
        <v>0</v>
      </c>
      <c r="L1295" s="1779" t="e">
        <f t="shared" si="445"/>
        <v>#DIV/0!</v>
      </c>
      <c r="M1295" s="1778" t="e">
        <f t="shared" si="446"/>
        <v>#DIV/0!</v>
      </c>
      <c r="N1295" s="1777">
        <f>'Part VIII-Bldg Credit Alloc SR'!N164</f>
        <v>0</v>
      </c>
      <c r="O1295" s="1779">
        <f>'Part VIII-Bldg Credit Alloc SR'!O164</f>
        <v>0</v>
      </c>
      <c r="P1295" s="1778" t="e">
        <f t="shared" si="447"/>
        <v>#DIV/0!</v>
      </c>
      <c r="Q1295" s="1778" t="e">
        <f t="shared" si="448"/>
        <v>#DIV/0!</v>
      </c>
      <c r="R1295" s="1778" t="e">
        <f t="shared" si="449"/>
        <v>#DIV/0!</v>
      </c>
    </row>
    <row r="1296" spans="1:18">
      <c r="A1296" s="1658">
        <f>'Part VIII-Bldg Credit Alloc SR'!A165</f>
        <v>0</v>
      </c>
      <c r="B1296" s="1658"/>
      <c r="C1296" s="1658"/>
      <c r="D1296" s="1777">
        <f>'Part VIII-Bldg Credit Alloc SR'!D165</f>
        <v>0</v>
      </c>
      <c r="E1296" s="1778">
        <f>'Part VIII-Bldg Credit Alloc SR'!E165</f>
        <v>0</v>
      </c>
      <c r="F1296" s="1778">
        <f>'Part VIII-Bldg Credit Alloc SR'!F165</f>
        <v>0</v>
      </c>
      <c r="G1296" s="1778">
        <f>'Part VIII-Bldg Credit Alloc SR'!G165</f>
        <v>0</v>
      </c>
      <c r="H1296" s="1778">
        <f>'Part VIII-Bldg Credit Alloc SR'!H165</f>
        <v>0</v>
      </c>
      <c r="I1296" s="1778">
        <f>'Part VIII-Bldg Credit Alloc SR'!I165</f>
        <v>0</v>
      </c>
      <c r="J1296" s="1776">
        <f>'Part VIII-Bldg Credit Alloc SR'!J165</f>
        <v>0</v>
      </c>
      <c r="K1296" s="1778">
        <f>'Part VIII-Bldg Credit Alloc SR'!K165</f>
        <v>0</v>
      </c>
      <c r="L1296" s="1779" t="e">
        <f t="shared" si="445"/>
        <v>#DIV/0!</v>
      </c>
      <c r="M1296" s="1778" t="e">
        <f t="shared" si="446"/>
        <v>#DIV/0!</v>
      </c>
      <c r="N1296" s="1777">
        <f>'Part VIII-Bldg Credit Alloc SR'!N165</f>
        <v>0</v>
      </c>
      <c r="O1296" s="1779">
        <f>'Part VIII-Bldg Credit Alloc SR'!O165</f>
        <v>0</v>
      </c>
      <c r="P1296" s="1778" t="e">
        <f t="shared" si="447"/>
        <v>#DIV/0!</v>
      </c>
      <c r="Q1296" s="1778" t="e">
        <f t="shared" si="448"/>
        <v>#DIV/0!</v>
      </c>
      <c r="R1296" s="1778" t="e">
        <f t="shared" si="449"/>
        <v>#DIV/0!</v>
      </c>
    </row>
    <row r="1297" spans="1:18">
      <c r="A1297" s="1658">
        <f>'Part VIII-Bldg Credit Alloc SR'!A166</f>
        <v>0</v>
      </c>
      <c r="B1297" s="1658"/>
      <c r="C1297" s="1658"/>
      <c r="D1297" s="1777">
        <f>'Part VIII-Bldg Credit Alloc SR'!D166</f>
        <v>0</v>
      </c>
      <c r="E1297" s="1778">
        <f>'Part VIII-Bldg Credit Alloc SR'!E166</f>
        <v>0</v>
      </c>
      <c r="F1297" s="1778">
        <f>'Part VIII-Bldg Credit Alloc SR'!F166</f>
        <v>0</v>
      </c>
      <c r="G1297" s="1778">
        <f>'Part VIII-Bldg Credit Alloc SR'!G166</f>
        <v>0</v>
      </c>
      <c r="H1297" s="1778">
        <f>'Part VIII-Bldg Credit Alloc SR'!H166</f>
        <v>0</v>
      </c>
      <c r="I1297" s="1778">
        <f>'Part VIII-Bldg Credit Alloc SR'!I166</f>
        <v>0</v>
      </c>
      <c r="J1297" s="1776">
        <f>'Part VIII-Bldg Credit Alloc SR'!J166</f>
        <v>0</v>
      </c>
      <c r="K1297" s="1778">
        <f>'Part VIII-Bldg Credit Alloc SR'!K166</f>
        <v>0</v>
      </c>
      <c r="L1297" s="1779" t="e">
        <f t="shared" si="445"/>
        <v>#DIV/0!</v>
      </c>
      <c r="M1297" s="1778" t="e">
        <f t="shared" si="446"/>
        <v>#DIV/0!</v>
      </c>
      <c r="N1297" s="1777">
        <f>'Part VIII-Bldg Credit Alloc SR'!N166</f>
        <v>0</v>
      </c>
      <c r="O1297" s="1779">
        <f>'Part VIII-Bldg Credit Alloc SR'!O166</f>
        <v>0</v>
      </c>
      <c r="P1297" s="1778" t="e">
        <f t="shared" si="447"/>
        <v>#DIV/0!</v>
      </c>
      <c r="Q1297" s="1778" t="e">
        <f t="shared" si="448"/>
        <v>#DIV/0!</v>
      </c>
      <c r="R1297" s="1778" t="e">
        <f>IF(P1297="","",ROUND(P1297,0))</f>
        <v>#DIV/0!</v>
      </c>
    </row>
    <row r="1298" spans="1:18">
      <c r="A1298" s="1658">
        <f>'Part VIII-Bldg Credit Alloc SR'!A167</f>
        <v>0</v>
      </c>
      <c r="B1298" s="1658"/>
      <c r="C1298" s="1658"/>
      <c r="D1298" s="1777">
        <f>'Part VIII-Bldg Credit Alloc SR'!D167</f>
        <v>0</v>
      </c>
      <c r="E1298" s="1778">
        <f>'Part VIII-Bldg Credit Alloc SR'!E167</f>
        <v>0</v>
      </c>
      <c r="F1298" s="1778">
        <f>'Part VIII-Bldg Credit Alloc SR'!F167</f>
        <v>0</v>
      </c>
      <c r="G1298" s="1778">
        <f>'Part VIII-Bldg Credit Alloc SR'!G167</f>
        <v>0</v>
      </c>
      <c r="H1298" s="1778">
        <f>'Part VIII-Bldg Credit Alloc SR'!H167</f>
        <v>0</v>
      </c>
      <c r="I1298" s="1778">
        <f>'Part VIII-Bldg Credit Alloc SR'!I167</f>
        <v>0</v>
      </c>
      <c r="J1298" s="1776">
        <f>'Part VIII-Bldg Credit Alloc SR'!J167</f>
        <v>0</v>
      </c>
      <c r="K1298" s="1778">
        <f>'Part VIII-Bldg Credit Alloc SR'!K167</f>
        <v>0</v>
      </c>
      <c r="L1298" s="1779" t="e">
        <f t="shared" si="445"/>
        <v>#DIV/0!</v>
      </c>
      <c r="M1298" s="1778" t="e">
        <f t="shared" si="446"/>
        <v>#DIV/0!</v>
      </c>
      <c r="N1298" s="1777">
        <f>'Part VIII-Bldg Credit Alloc SR'!N167</f>
        <v>0</v>
      </c>
      <c r="O1298" s="1779">
        <f>'Part VIII-Bldg Credit Alloc SR'!O167</f>
        <v>0</v>
      </c>
      <c r="P1298" s="1778" t="e">
        <f t="shared" si="447"/>
        <v>#DIV/0!</v>
      </c>
      <c r="Q1298" s="1778" t="e">
        <f t="shared" si="448"/>
        <v>#DIV/0!</v>
      </c>
      <c r="R1298" s="1778" t="e">
        <f t="shared" si="449"/>
        <v>#DIV/0!</v>
      </c>
    </row>
    <row r="1299" spans="1:18">
      <c r="A1299" s="1658">
        <f>'Part VIII-Bldg Credit Alloc SR'!A168</f>
        <v>0</v>
      </c>
      <c r="B1299" s="1658"/>
      <c r="C1299" s="1658"/>
      <c r="D1299" s="1777">
        <f>'Part VIII-Bldg Credit Alloc SR'!D168</f>
        <v>0</v>
      </c>
      <c r="E1299" s="1778">
        <f>'Part VIII-Bldg Credit Alloc SR'!E168</f>
        <v>0</v>
      </c>
      <c r="F1299" s="1778">
        <f>'Part VIII-Bldg Credit Alloc SR'!F168</f>
        <v>0</v>
      </c>
      <c r="G1299" s="1778">
        <f>'Part VIII-Bldg Credit Alloc SR'!G168</f>
        <v>0</v>
      </c>
      <c r="H1299" s="1778">
        <f>'Part VIII-Bldg Credit Alloc SR'!H168</f>
        <v>0</v>
      </c>
      <c r="I1299" s="1778">
        <f>'Part VIII-Bldg Credit Alloc SR'!I168</f>
        <v>0</v>
      </c>
      <c r="J1299" s="1776">
        <f>'Part VIII-Bldg Credit Alloc SR'!J168</f>
        <v>0</v>
      </c>
      <c r="K1299" s="1778">
        <f>'Part VIII-Bldg Credit Alloc SR'!K168</f>
        <v>0</v>
      </c>
      <c r="L1299" s="1779" t="e">
        <f t="shared" si="445"/>
        <v>#DIV/0!</v>
      </c>
      <c r="M1299" s="1778" t="e">
        <f t="shared" si="446"/>
        <v>#DIV/0!</v>
      </c>
      <c r="N1299" s="1777">
        <f>'Part VIII-Bldg Credit Alloc SR'!N168</f>
        <v>0</v>
      </c>
      <c r="O1299" s="1779">
        <f>'Part VIII-Bldg Credit Alloc SR'!O168</f>
        <v>0</v>
      </c>
      <c r="P1299" s="1778" t="e">
        <f t="shared" si="447"/>
        <v>#DIV/0!</v>
      </c>
      <c r="Q1299" s="1778" t="e">
        <f t="shared" si="448"/>
        <v>#DIV/0!</v>
      </c>
      <c r="R1299" s="1778" t="e">
        <f t="shared" si="449"/>
        <v>#DIV/0!</v>
      </c>
    </row>
    <row r="1300" spans="1:18">
      <c r="A1300" s="1658">
        <f>'Part VIII-Bldg Credit Alloc SR'!A169</f>
        <v>0</v>
      </c>
      <c r="B1300" s="1658"/>
      <c r="C1300" s="1658"/>
      <c r="D1300" s="1777">
        <f>'Part VIII-Bldg Credit Alloc SR'!D169</f>
        <v>0</v>
      </c>
      <c r="E1300" s="1778">
        <f>'Part VIII-Bldg Credit Alloc SR'!E169</f>
        <v>0</v>
      </c>
      <c r="F1300" s="1778">
        <f>'Part VIII-Bldg Credit Alloc SR'!F169</f>
        <v>0</v>
      </c>
      <c r="G1300" s="1778">
        <f>'Part VIII-Bldg Credit Alloc SR'!G169</f>
        <v>0</v>
      </c>
      <c r="H1300" s="1778">
        <f>'Part VIII-Bldg Credit Alloc SR'!H169</f>
        <v>0</v>
      </c>
      <c r="I1300" s="1778">
        <f>'Part VIII-Bldg Credit Alloc SR'!I169</f>
        <v>0</v>
      </c>
      <c r="J1300" s="1776">
        <f>'Part VIII-Bldg Credit Alloc SR'!J169</f>
        <v>0</v>
      </c>
      <c r="K1300" s="1778">
        <f>'Part VIII-Bldg Credit Alloc SR'!K169</f>
        <v>0</v>
      </c>
      <c r="L1300" s="1779" t="e">
        <f t="shared" si="445"/>
        <v>#DIV/0!</v>
      </c>
      <c r="M1300" s="1778" t="e">
        <f t="shared" si="446"/>
        <v>#DIV/0!</v>
      </c>
      <c r="N1300" s="1777">
        <f>'Part VIII-Bldg Credit Alloc SR'!N169</f>
        <v>0</v>
      </c>
      <c r="O1300" s="1779">
        <f>'Part VIII-Bldg Credit Alloc SR'!O169</f>
        <v>0</v>
      </c>
      <c r="P1300" s="1778" t="e">
        <f t="shared" si="447"/>
        <v>#DIV/0!</v>
      </c>
      <c r="Q1300" s="1778" t="e">
        <f t="shared" si="448"/>
        <v>#DIV/0!</v>
      </c>
      <c r="R1300" s="1778" t="e">
        <f t="shared" si="449"/>
        <v>#DIV/0!</v>
      </c>
    </row>
    <row r="1301" spans="1:18">
      <c r="A1301" s="1658">
        <f>'Part VIII-Bldg Credit Alloc SR'!A170</f>
        <v>0</v>
      </c>
      <c r="B1301" s="1658"/>
      <c r="C1301" s="1658"/>
      <c r="D1301" s="1777">
        <f>'Part VIII-Bldg Credit Alloc SR'!D170</f>
        <v>0</v>
      </c>
      <c r="E1301" s="1778">
        <f>'Part VIII-Bldg Credit Alloc SR'!E170</f>
        <v>0</v>
      </c>
      <c r="F1301" s="1778">
        <f>'Part VIII-Bldg Credit Alloc SR'!F170</f>
        <v>0</v>
      </c>
      <c r="G1301" s="1778">
        <f>'Part VIII-Bldg Credit Alloc SR'!G170</f>
        <v>0</v>
      </c>
      <c r="H1301" s="1778">
        <f>'Part VIII-Bldg Credit Alloc SR'!H170</f>
        <v>0</v>
      </c>
      <c r="I1301" s="1778">
        <f>'Part VIII-Bldg Credit Alloc SR'!I170</f>
        <v>0</v>
      </c>
      <c r="J1301" s="1776">
        <f>'Part VIII-Bldg Credit Alloc SR'!J170</f>
        <v>0</v>
      </c>
      <c r="K1301" s="1778">
        <f>'Part VIII-Bldg Credit Alloc SR'!K170</f>
        <v>0</v>
      </c>
      <c r="L1301" s="1779" t="e">
        <f t="shared" si="445"/>
        <v>#DIV/0!</v>
      </c>
      <c r="M1301" s="1778" t="e">
        <f t="shared" si="446"/>
        <v>#DIV/0!</v>
      </c>
      <c r="N1301" s="1777">
        <f>'Part VIII-Bldg Credit Alloc SR'!N170</f>
        <v>0</v>
      </c>
      <c r="O1301" s="1779">
        <f>'Part VIII-Bldg Credit Alloc SR'!O170</f>
        <v>0</v>
      </c>
      <c r="P1301" s="1778" t="e">
        <f t="shared" si="447"/>
        <v>#DIV/0!</v>
      </c>
      <c r="Q1301" s="1778" t="e">
        <f t="shared" si="448"/>
        <v>#DIV/0!</v>
      </c>
      <c r="R1301" s="1778" t="e">
        <f t="shared" si="449"/>
        <v>#DIV/0!</v>
      </c>
    </row>
    <row r="1302" spans="1:18">
      <c r="A1302" s="1715" t="s">
        <v>3693</v>
      </c>
      <c r="B1302" s="1780"/>
      <c r="C1302" s="1780"/>
      <c r="D1302" s="1777"/>
      <c r="E1302" s="1778">
        <f>SUM(E1269:E1301)</f>
        <v>0</v>
      </c>
      <c r="F1302" s="1778">
        <f>SUM(F1269:F1301)</f>
        <v>0</v>
      </c>
      <c r="G1302" s="1778">
        <f>SUM(G1269:G1301)</f>
        <v>0</v>
      </c>
      <c r="H1302" s="1778">
        <f>SUM(H1269:H1301)</f>
        <v>0</v>
      </c>
      <c r="I1302" s="1778">
        <f>SUM(I1269:I1301)</f>
        <v>0</v>
      </c>
      <c r="J1302" s="1658"/>
      <c r="K1302" s="1778">
        <f>SUM(K1269:K1301)</f>
        <v>0</v>
      </c>
      <c r="L1302" s="1779"/>
      <c r="M1302" s="1778" t="e">
        <f>SUM(M1269:M1301)</f>
        <v>#DIV/0!</v>
      </c>
      <c r="N1302" s="1777"/>
      <c r="O1302" s="1779"/>
      <c r="P1302" s="1778" t="e">
        <f>SUM(P1269:P1301)</f>
        <v>#DIV/0!</v>
      </c>
      <c r="Q1302" s="1778" t="e">
        <f>SUM(Q1269:Q1301)</f>
        <v>#DIV/0!</v>
      </c>
      <c r="R1302" s="1778" t="e">
        <f>SUM(R1269:R1301)</f>
        <v>#DIV/0!</v>
      </c>
    </row>
    <row r="1303" spans="1:18">
      <c r="A1303" s="1186"/>
      <c r="B1303" s="1780"/>
      <c r="C1303" s="1780"/>
      <c r="D1303" s="1777"/>
      <c r="E1303" s="1778"/>
      <c r="F1303" s="1778"/>
      <c r="G1303" s="1778"/>
      <c r="H1303" s="1778"/>
      <c r="I1303" s="1778"/>
      <c r="J1303" s="1658"/>
      <c r="K1303" s="1778"/>
      <c r="L1303" s="1779"/>
      <c r="M1303" s="1778"/>
      <c r="N1303" s="1777"/>
      <c r="O1303" s="1779"/>
      <c r="P1303" s="1778"/>
      <c r="Q1303" s="1778"/>
      <c r="R1303" s="1778"/>
    </row>
    <row r="1304" spans="1:18">
      <c r="A1304" s="1523" t="str">
        <f>"GRAND TOTALS - "&amp;C1135</f>
        <v>GRAND TOTALS - Rehabilitation</v>
      </c>
      <c r="B1304" s="1780"/>
      <c r="C1304" s="1781"/>
      <c r="D1304" s="1777"/>
      <c r="E1304" s="1778">
        <f>E1176+E1220+E1262+E1302</f>
        <v>0</v>
      </c>
      <c r="F1304" s="1778">
        <f t="shared" ref="F1304:M1304" si="450">F1176+F1220+F1262+F1302</f>
        <v>0</v>
      </c>
      <c r="G1304" s="1778">
        <f t="shared" si="450"/>
        <v>0</v>
      </c>
      <c r="H1304" s="1778">
        <f t="shared" si="450"/>
        <v>0</v>
      </c>
      <c r="I1304" s="1778">
        <f t="shared" si="450"/>
        <v>0</v>
      </c>
      <c r="J1304" s="1658"/>
      <c r="K1304" s="1778">
        <f t="shared" si="450"/>
        <v>0</v>
      </c>
      <c r="L1304" s="1779"/>
      <c r="M1304" s="1778" t="e">
        <f t="shared" si="450"/>
        <v>#DIV/0!</v>
      </c>
      <c r="N1304" s="1777"/>
      <c r="O1304" s="1779"/>
      <c r="P1304" s="1778" t="e">
        <f t="shared" ref="P1304:R1304" si="451">P1176+P1220+P1262+P1302</f>
        <v>#DIV/0!</v>
      </c>
      <c r="Q1304" s="1778" t="e">
        <f t="shared" si="451"/>
        <v>#DIV/0!</v>
      </c>
      <c r="R1304" s="1778" t="e">
        <f t="shared" si="451"/>
        <v>#DIV/0!</v>
      </c>
    </row>
    <row r="1305" spans="1:18">
      <c r="A1305" s="1780"/>
      <c r="B1305" s="1780"/>
      <c r="C1305" s="1780"/>
      <c r="D1305" s="1777"/>
      <c r="E1305" s="1778"/>
      <c r="F1305" s="1778"/>
      <c r="G1305" s="1778"/>
      <c r="H1305" s="1778"/>
      <c r="I1305" s="1778"/>
      <c r="J1305" s="1658"/>
      <c r="K1305" s="1778"/>
      <c r="L1305" s="1779"/>
      <c r="M1305" s="1778"/>
      <c r="N1305" s="1777"/>
      <c r="O1305" s="1779"/>
      <c r="P1305" s="1778"/>
      <c r="Q1305" s="1778"/>
      <c r="R1305" s="1778"/>
    </row>
    <row r="1306" spans="1:18">
      <c r="A1306" s="1154" t="s">
        <v>687</v>
      </c>
      <c r="B1306" s="1154" t="s">
        <v>3158</v>
      </c>
      <c r="C1306" s="1154"/>
      <c r="D1306" s="1154"/>
      <c r="E1306" s="1154"/>
      <c r="F1306" s="1154"/>
      <c r="G1306" s="1154"/>
      <c r="H1306" s="1715" t="s">
        <v>3128</v>
      </c>
      <c r="I1306" s="1656"/>
      <c r="J1306" s="1771" t="str">
        <f>C1135</f>
        <v>Rehabilitation</v>
      </c>
      <c r="K1306" s="1781"/>
      <c r="L1306" s="1781"/>
      <c r="M1306" s="1186"/>
      <c r="N1306" s="1186"/>
      <c r="O1306" s="1186"/>
      <c r="P1306" s="1186"/>
      <c r="Q1306" s="1186"/>
      <c r="R1306" s="1186"/>
    </row>
    <row r="1307" spans="1:18">
      <c r="A1307" s="1154"/>
      <c r="B1307" s="1518"/>
      <c r="C1307" s="1154"/>
      <c r="D1307" s="1154"/>
      <c r="E1307" s="1154"/>
      <c r="F1307" s="1154"/>
      <c r="G1307" s="1154"/>
      <c r="H1307" s="1154"/>
      <c r="I1307" s="1154"/>
      <c r="J1307" s="1154"/>
      <c r="K1307" s="1154"/>
      <c r="L1307" s="1186"/>
      <c r="M1307" s="1186"/>
      <c r="N1307" s="1186"/>
      <c r="O1307" s="1186"/>
      <c r="P1307" s="1186"/>
      <c r="Q1307" s="1186"/>
      <c r="R1307" s="1186"/>
    </row>
    <row r="1308" spans="1:18">
      <c r="A1308" s="1782">
        <f>'Part VIII-Bldg Credit Alloc SR'!A177</f>
        <v>0</v>
      </c>
      <c r="B1308" s="1782"/>
      <c r="C1308" s="1782"/>
      <c r="D1308" s="1782"/>
      <c r="E1308" s="1782"/>
      <c r="F1308" s="1782"/>
      <c r="G1308" s="1782"/>
      <c r="H1308" s="1782"/>
      <c r="I1308" s="1782"/>
      <c r="J1308" s="1782"/>
      <c r="K1308" s="1782"/>
      <c r="L1308" s="1782"/>
      <c r="M1308" s="1782"/>
      <c r="N1308" s="1782"/>
      <c r="O1308" s="1782"/>
      <c r="P1308" s="1782"/>
      <c r="Q1308" s="1782"/>
      <c r="R1308" s="1782"/>
    </row>
    <row r="1309" spans="1:18">
      <c r="A1309" s="1782"/>
      <c r="B1309" s="1782"/>
      <c r="C1309" s="1782"/>
      <c r="D1309" s="1782"/>
      <c r="E1309" s="1782"/>
      <c r="F1309" s="1782"/>
      <c r="G1309" s="1782"/>
      <c r="H1309" s="1782"/>
      <c r="I1309" s="1782"/>
      <c r="J1309" s="1782"/>
      <c r="K1309" s="1782"/>
      <c r="L1309" s="1782"/>
      <c r="M1309" s="1782"/>
      <c r="N1309" s="1782"/>
      <c r="O1309" s="1782"/>
      <c r="P1309" s="1782"/>
      <c r="Q1309" s="1782"/>
      <c r="R1309" s="1782"/>
    </row>
    <row r="1310" spans="1:18">
      <c r="A1310" s="1782"/>
      <c r="B1310" s="1782"/>
      <c r="C1310" s="1782"/>
      <c r="D1310" s="1782"/>
      <c r="E1310" s="1782"/>
      <c r="F1310" s="1782"/>
      <c r="G1310" s="1782"/>
      <c r="H1310" s="1782"/>
      <c r="I1310" s="1782"/>
      <c r="J1310" s="1782"/>
      <c r="K1310" s="1782"/>
      <c r="L1310" s="1782"/>
      <c r="M1310" s="1782"/>
      <c r="N1310" s="1782"/>
      <c r="O1310" s="1782"/>
      <c r="P1310" s="1782"/>
      <c r="Q1310" s="1782"/>
      <c r="R1310" s="1782"/>
    </row>
    <row r="1311" spans="1:18">
      <c r="A1311" s="1782"/>
      <c r="B1311" s="1782"/>
      <c r="C1311" s="1782"/>
      <c r="D1311" s="1782"/>
      <c r="E1311" s="1782"/>
      <c r="F1311" s="1782"/>
      <c r="G1311" s="1782"/>
      <c r="H1311" s="1782"/>
      <c r="I1311" s="1782"/>
      <c r="J1311" s="1782"/>
      <c r="K1311" s="1782"/>
      <c r="L1311" s="1782"/>
      <c r="M1311" s="1782"/>
      <c r="N1311" s="1782"/>
      <c r="O1311" s="1782"/>
      <c r="P1311" s="1782"/>
      <c r="Q1311" s="1782"/>
      <c r="R1311" s="1782"/>
    </row>
    <row r="1313" spans="1:18">
      <c r="A1313" s="1167" t="str">
        <f>CONCATENATE("PART EIGHT - BUILDING BY BUILDING CREDIT ALLOCATION - ",$C$4,"  -  ",'Part I-Project Information'!$D$4," - ",'Part I-Project Information'!$O$4)</f>
        <v>PART EIGHT - BUILDING BY BUILDING CREDIT ALLOCATION -   -   - 20##-###</v>
      </c>
      <c r="B1313" s="1167"/>
      <c r="C1313" s="1167"/>
      <c r="D1313" s="1167"/>
      <c r="E1313" s="1167"/>
      <c r="F1313" s="1167"/>
      <c r="G1313" s="1167"/>
      <c r="H1313" s="1167"/>
      <c r="I1313" s="1167"/>
      <c r="J1313" s="1167"/>
      <c r="K1313" s="1167"/>
      <c r="L1313" s="1167"/>
      <c r="M1313" s="1167"/>
      <c r="N1313" s="1167"/>
      <c r="O1313" s="1167"/>
      <c r="P1313" s="1167"/>
      <c r="Q1313" s="1167"/>
      <c r="R1313" s="1167"/>
    </row>
    <row r="1314" spans="1:18">
      <c r="A1314" s="1524"/>
      <c r="B1314" s="1524"/>
      <c r="C1314" s="1524"/>
      <c r="D1314" s="1524"/>
      <c r="E1314" s="1524"/>
      <c r="F1314" s="1524"/>
      <c r="G1314" s="1524"/>
      <c r="H1314" s="1524"/>
      <c r="I1314" s="1524"/>
      <c r="J1314" s="1524"/>
      <c r="K1314" s="1524"/>
      <c r="L1314" s="1524"/>
      <c r="M1314" s="1657"/>
      <c r="N1314" s="1657"/>
      <c r="O1314" s="1656"/>
      <c r="P1314" s="1656"/>
      <c r="Q1314" s="1656"/>
      <c r="R1314" s="1656"/>
    </row>
    <row r="1315" spans="1:18">
      <c r="A1315" s="1715" t="s">
        <v>3125</v>
      </c>
      <c r="B1315" s="1167"/>
      <c r="C1315" s="1769">
        <f>'Part VIII-Bldg Credit Alloc AR'!C3</f>
        <v>0</v>
      </c>
      <c r="D1315" s="1769"/>
      <c r="E1315" s="1656"/>
      <c r="F1315" s="1715" t="s">
        <v>3126</v>
      </c>
      <c r="G1315" s="1656"/>
      <c r="H1315" s="1656"/>
      <c r="I1315" s="1769">
        <f>'Part VIII-Bldg Credit Alloc AR'!I3</f>
        <v>0</v>
      </c>
      <c r="J1315" s="1769"/>
      <c r="K1315" s="1656"/>
      <c r="L1315" s="1770" t="s">
        <v>3127</v>
      </c>
      <c r="M1315" s="1168" t="str">
        <f>'Part VIII-Bldg Credit Alloc AR'!M3</f>
        <v>Peachtree Corners, GA, Gwinnett County</v>
      </c>
      <c r="N1315" s="1168"/>
      <c r="O1315" s="1168"/>
      <c r="P1315" s="1168"/>
      <c r="Q1315" s="1168"/>
      <c r="R1315" s="1168"/>
    </row>
    <row r="1316" spans="1:18">
      <c r="A1316" s="1715" t="s">
        <v>3128</v>
      </c>
      <c r="B1316" s="1154"/>
      <c r="C1316" s="1771" t="str">
        <f>'Part VIII-Bldg Credit Alloc AR'!C4</f>
        <v>Acquisition</v>
      </c>
      <c r="D1316" s="1771"/>
      <c r="E1316" s="1771"/>
      <c r="F1316" s="1713" t="str">
        <f>IF(NOT(OR(C1316="New Construction",C1316="Rehabilitation",C1316="Acquisition")),"   &lt;-- PLEASE SELECT TYPE OF ACTIVITY FOR THIS PAGE BEFORE PROCEEDING!","")</f>
        <v/>
      </c>
      <c r="G1316" s="1656"/>
      <c r="H1316" s="1656"/>
      <c r="I1316" s="1656"/>
      <c r="J1316" s="1656"/>
      <c r="K1316" s="1656"/>
      <c r="L1316" s="1657"/>
      <c r="M1316" s="1657"/>
      <c r="N1316" s="1657"/>
      <c r="O1316" s="1656"/>
      <c r="P1316" s="1656"/>
      <c r="Q1316" s="1656"/>
      <c r="R1316" s="1656"/>
    </row>
    <row r="1317" spans="1:18">
      <c r="A1317" s="1712" t="s">
        <v>3129</v>
      </c>
      <c r="B1317" s="1712"/>
      <c r="C1317" s="1712"/>
      <c r="D1317" s="1712"/>
      <c r="E1317" s="1712"/>
      <c r="F1317" s="1712"/>
      <c r="G1317" s="1712"/>
      <c r="H1317" s="1712"/>
      <c r="I1317" s="1712"/>
      <c r="J1317" s="1712"/>
      <c r="K1317" s="1712"/>
      <c r="L1317" s="1712"/>
      <c r="M1317" s="1712"/>
      <c r="N1317" s="1712"/>
      <c r="O1317" s="1712"/>
      <c r="P1317" s="1712"/>
      <c r="Q1317" s="1712"/>
      <c r="R1317" s="1712"/>
    </row>
    <row r="1318" spans="1:18" ht="13.5" customHeight="1">
      <c r="A1318" s="1772"/>
      <c r="B1318" s="1658"/>
      <c r="C1318" s="1658"/>
      <c r="D1318" s="1773"/>
      <c r="E1318" s="1773" t="s">
        <v>503</v>
      </c>
      <c r="F1318" s="1773" t="s">
        <v>503</v>
      </c>
      <c r="G1318" s="1773" t="s">
        <v>477</v>
      </c>
      <c r="H1318" s="1773" t="s">
        <v>3130</v>
      </c>
      <c r="I1318" s="1718"/>
      <c r="J1318" s="1773"/>
      <c r="K1318" s="1718"/>
      <c r="L1318" s="1718"/>
      <c r="M1318" s="1746"/>
      <c r="N1318" s="1773" t="s">
        <v>861</v>
      </c>
      <c r="O1318" s="1746"/>
      <c r="P1318" s="1746"/>
      <c r="Q1318" s="1774" t="s">
        <v>3719</v>
      </c>
      <c r="R1318" s="1774"/>
    </row>
    <row r="1319" spans="1:18" ht="13.5">
      <c r="A1319" s="1772"/>
      <c r="B1319" s="1658"/>
      <c r="C1319" s="1658"/>
      <c r="D1319" s="1773" t="s">
        <v>496</v>
      </c>
      <c r="E1319" s="1775" t="s">
        <v>152</v>
      </c>
      <c r="F1319" s="1773" t="s">
        <v>3132</v>
      </c>
      <c r="G1319" s="1773" t="s">
        <v>3133</v>
      </c>
      <c r="H1319" s="1773" t="s">
        <v>3134</v>
      </c>
      <c r="I1319" s="1773" t="s">
        <v>3135</v>
      </c>
      <c r="J1319" s="1692" t="s">
        <v>3136</v>
      </c>
      <c r="K1319" s="1773" t="s">
        <v>3135</v>
      </c>
      <c r="L1319" s="1773" t="s">
        <v>3135</v>
      </c>
      <c r="M1319" s="1773" t="s">
        <v>3135</v>
      </c>
      <c r="N1319" s="1773" t="s">
        <v>3137</v>
      </c>
      <c r="O1319" s="1773" t="s">
        <v>3138</v>
      </c>
      <c r="P1319" s="1773" t="s">
        <v>3139</v>
      </c>
      <c r="Q1319" s="1774"/>
      <c r="R1319" s="1774"/>
    </row>
    <row r="1320" spans="1:18" ht="13.5">
      <c r="A1320" s="1772"/>
      <c r="B1320" s="1658"/>
      <c r="C1320" s="1658"/>
      <c r="D1320" s="1773" t="s">
        <v>3140</v>
      </c>
      <c r="E1320" s="1773" t="s">
        <v>3141</v>
      </c>
      <c r="F1320" s="1773" t="s">
        <v>3110</v>
      </c>
      <c r="G1320" s="1773" t="s">
        <v>3134</v>
      </c>
      <c r="H1320" s="1773" t="s">
        <v>3110</v>
      </c>
      <c r="I1320" s="1773" t="s">
        <v>3142</v>
      </c>
      <c r="J1320" s="1692"/>
      <c r="K1320" s="1773" t="s">
        <v>3143</v>
      </c>
      <c r="L1320" s="1773" t="s">
        <v>3144</v>
      </c>
      <c r="M1320" s="1773" t="s">
        <v>3145</v>
      </c>
      <c r="N1320" s="1773" t="s">
        <v>3146</v>
      </c>
      <c r="O1320" s="1773" t="s">
        <v>3147</v>
      </c>
      <c r="P1320" s="1773" t="s">
        <v>3147</v>
      </c>
      <c r="Q1320" s="1773" t="s">
        <v>3135</v>
      </c>
      <c r="R1320" s="1773" t="s">
        <v>3148</v>
      </c>
    </row>
    <row r="1321" spans="1:18" ht="13.5">
      <c r="A1321" s="1772" t="s">
        <v>3149</v>
      </c>
      <c r="B1321" s="1658"/>
      <c r="C1321" s="1658"/>
      <c r="D1321" s="1773" t="s">
        <v>3150</v>
      </c>
      <c r="E1321" s="1773" t="s">
        <v>3151</v>
      </c>
      <c r="F1321" s="1773" t="s">
        <v>3152</v>
      </c>
      <c r="G1321" s="1773" t="s">
        <v>3151</v>
      </c>
      <c r="H1321" s="1773" t="s">
        <v>3152</v>
      </c>
      <c r="I1321" s="1773" t="s">
        <v>3153</v>
      </c>
      <c r="J1321" s="1776" t="s">
        <v>3154</v>
      </c>
      <c r="K1321" s="1773" t="s">
        <v>3153</v>
      </c>
      <c r="L1321" s="1773" t="s">
        <v>3155</v>
      </c>
      <c r="M1321" s="1773" t="s">
        <v>3153</v>
      </c>
      <c r="N1321" s="1773" t="s">
        <v>3156</v>
      </c>
      <c r="O1321" s="1773" t="s">
        <v>3157</v>
      </c>
      <c r="P1321" s="1773" t="s">
        <v>1793</v>
      </c>
      <c r="Q1321" s="1773" t="s">
        <v>1830</v>
      </c>
      <c r="R1321" s="1773" t="s">
        <v>1793</v>
      </c>
    </row>
    <row r="1322" spans="1:18">
      <c r="A1322" s="1658">
        <f>'Part VIII-Bldg Credit Alloc AR'!A10</f>
        <v>0</v>
      </c>
      <c r="B1322" s="1658"/>
      <c r="C1322" s="1658"/>
      <c r="D1322" s="1777">
        <f>'Part VIII-Bldg Credit Alloc AR'!D10</f>
        <v>0</v>
      </c>
      <c r="E1322" s="1778">
        <f>'Part VIII-Bldg Credit Alloc AR'!E10</f>
        <v>0</v>
      </c>
      <c r="F1322" s="1778">
        <f>'Part VIII-Bldg Credit Alloc AR'!F10</f>
        <v>0</v>
      </c>
      <c r="G1322" s="1778">
        <f>'Part VIII-Bldg Credit Alloc AR'!G10</f>
        <v>0</v>
      </c>
      <c r="H1322" s="1778">
        <f>'Part VIII-Bldg Credit Alloc AR'!H10</f>
        <v>0</v>
      </c>
      <c r="I1322" s="1778">
        <f>'Part VIII-Bldg Credit Alloc AR'!I10</f>
        <v>0</v>
      </c>
      <c r="J1322" s="1776">
        <f>'Part VIII-Bldg Credit Alloc AR'!J10</f>
        <v>0</v>
      </c>
      <c r="K1322" s="1778">
        <f>'Part VIII-Bldg Credit Alloc AR'!K10</f>
        <v>0</v>
      </c>
      <c r="L1322" s="1779" t="e">
        <f>IF(OR(E1322="",F1322=""),"",MIN(G1322/E1322,H1322/F1322))</f>
        <v>#DIV/0!</v>
      </c>
      <c r="M1322" s="1778" t="e">
        <f>IF(OR(E1322="",F1322=""),"",K1322*L1322)</f>
        <v>#DIV/0!</v>
      </c>
      <c r="N1322" s="1777">
        <f>'Part VIII-Bldg Credit Alloc AR'!N10</f>
        <v>0</v>
      </c>
      <c r="O1322" s="1779">
        <f>'Part VIII-Bldg Credit Alloc AR'!O10</f>
        <v>0</v>
      </c>
      <c r="P1322" s="1778" t="e">
        <f>IF(OR(M1322="",O1322=""),"",M1322*O1322)</f>
        <v>#DIV/0!</v>
      </c>
      <c r="Q1322" s="1778" t="e">
        <f>IF(M1322="","",ROUND(M1322,0))</f>
        <v>#DIV/0!</v>
      </c>
      <c r="R1322" s="1778" t="e">
        <f>IF(P1322="","",ROUND(P1322,0))</f>
        <v>#DIV/0!</v>
      </c>
    </row>
    <row r="1323" spans="1:18">
      <c r="A1323" s="1658">
        <f>'Part VIII-Bldg Credit Alloc AR'!A11</f>
        <v>0</v>
      </c>
      <c r="B1323" s="1658"/>
      <c r="C1323" s="1658"/>
      <c r="D1323" s="1777">
        <f>'Part VIII-Bldg Credit Alloc AR'!D11</f>
        <v>0</v>
      </c>
      <c r="E1323" s="1778">
        <f>'Part VIII-Bldg Credit Alloc AR'!E11</f>
        <v>0</v>
      </c>
      <c r="F1323" s="1778">
        <f>'Part VIII-Bldg Credit Alloc AR'!F11</f>
        <v>0</v>
      </c>
      <c r="G1323" s="1778">
        <f>'Part VIII-Bldg Credit Alloc AR'!G11</f>
        <v>0</v>
      </c>
      <c r="H1323" s="1778">
        <f>'Part VIII-Bldg Credit Alloc AR'!H11</f>
        <v>0</v>
      </c>
      <c r="I1323" s="1778">
        <f>'Part VIII-Bldg Credit Alloc AR'!I11</f>
        <v>0</v>
      </c>
      <c r="J1323" s="1776">
        <f>'Part VIII-Bldg Credit Alloc AR'!J11</f>
        <v>0</v>
      </c>
      <c r="K1323" s="1778">
        <f>'Part VIII-Bldg Credit Alloc AR'!K11</f>
        <v>0</v>
      </c>
      <c r="L1323" s="1779" t="e">
        <f t="shared" ref="L1323:L1356" si="452">IF(OR(E1323="",F1323=""),"",MIN(G1323/E1323,H1323/F1323))</f>
        <v>#DIV/0!</v>
      </c>
      <c r="M1323" s="1778" t="e">
        <f t="shared" ref="M1323:M1356" si="453">IF(OR(E1323="",F1323=""),"",K1323*L1323)</f>
        <v>#DIV/0!</v>
      </c>
      <c r="N1323" s="1777">
        <f>'Part VIII-Bldg Credit Alloc AR'!N11</f>
        <v>0</v>
      </c>
      <c r="O1323" s="1779">
        <f>'Part VIII-Bldg Credit Alloc AR'!O11</f>
        <v>0</v>
      </c>
      <c r="P1323" s="1778" t="e">
        <f t="shared" ref="P1323:P1356" si="454">IF(OR(M1323="",O1323=""),"",M1323*O1323)</f>
        <v>#DIV/0!</v>
      </c>
      <c r="Q1323" s="1778" t="e">
        <f t="shared" ref="Q1323:Q1356" si="455">IF(M1323="","",ROUND(M1323,0))</f>
        <v>#DIV/0!</v>
      </c>
      <c r="R1323" s="1778" t="e">
        <f t="shared" ref="R1323:R1356" si="456">IF(P1323="","",ROUND(P1323,0))</f>
        <v>#DIV/0!</v>
      </c>
    </row>
    <row r="1324" spans="1:18">
      <c r="A1324" s="1658">
        <f>'Part VIII-Bldg Credit Alloc AR'!A12</f>
        <v>0</v>
      </c>
      <c r="B1324" s="1658"/>
      <c r="C1324" s="1658"/>
      <c r="D1324" s="1777">
        <f>'Part VIII-Bldg Credit Alloc AR'!D12</f>
        <v>0</v>
      </c>
      <c r="E1324" s="1778">
        <f>'Part VIII-Bldg Credit Alloc AR'!E12</f>
        <v>0</v>
      </c>
      <c r="F1324" s="1778">
        <f>'Part VIII-Bldg Credit Alloc AR'!F12</f>
        <v>0</v>
      </c>
      <c r="G1324" s="1778">
        <f>'Part VIII-Bldg Credit Alloc AR'!G12</f>
        <v>0</v>
      </c>
      <c r="H1324" s="1778">
        <f>'Part VIII-Bldg Credit Alloc AR'!H12</f>
        <v>0</v>
      </c>
      <c r="I1324" s="1778">
        <f>'Part VIII-Bldg Credit Alloc AR'!I12</f>
        <v>0</v>
      </c>
      <c r="J1324" s="1776">
        <f>'Part VIII-Bldg Credit Alloc AR'!J12</f>
        <v>0</v>
      </c>
      <c r="K1324" s="1778">
        <f>'Part VIII-Bldg Credit Alloc AR'!K12</f>
        <v>0</v>
      </c>
      <c r="L1324" s="1779" t="e">
        <f t="shared" si="452"/>
        <v>#DIV/0!</v>
      </c>
      <c r="M1324" s="1778" t="e">
        <f t="shared" si="453"/>
        <v>#DIV/0!</v>
      </c>
      <c r="N1324" s="1777">
        <f>'Part VIII-Bldg Credit Alloc AR'!N12</f>
        <v>0</v>
      </c>
      <c r="O1324" s="1779">
        <f>'Part VIII-Bldg Credit Alloc AR'!O12</f>
        <v>0</v>
      </c>
      <c r="P1324" s="1778" t="e">
        <f t="shared" si="454"/>
        <v>#DIV/0!</v>
      </c>
      <c r="Q1324" s="1778" t="e">
        <f t="shared" si="455"/>
        <v>#DIV/0!</v>
      </c>
      <c r="R1324" s="1778" t="e">
        <f t="shared" si="456"/>
        <v>#DIV/0!</v>
      </c>
    </row>
    <row r="1325" spans="1:18">
      <c r="A1325" s="1658">
        <f>'Part VIII-Bldg Credit Alloc AR'!A13</f>
        <v>0</v>
      </c>
      <c r="B1325" s="1658"/>
      <c r="C1325" s="1658"/>
      <c r="D1325" s="1777">
        <f>'Part VIII-Bldg Credit Alloc AR'!D13</f>
        <v>0</v>
      </c>
      <c r="E1325" s="1778">
        <f>'Part VIII-Bldg Credit Alloc AR'!E13</f>
        <v>0</v>
      </c>
      <c r="F1325" s="1778">
        <f>'Part VIII-Bldg Credit Alloc AR'!F13</f>
        <v>0</v>
      </c>
      <c r="G1325" s="1778">
        <f>'Part VIII-Bldg Credit Alloc AR'!G13</f>
        <v>0</v>
      </c>
      <c r="H1325" s="1778">
        <f>'Part VIII-Bldg Credit Alloc AR'!H13</f>
        <v>0</v>
      </c>
      <c r="I1325" s="1778">
        <f>'Part VIII-Bldg Credit Alloc AR'!I13</f>
        <v>0</v>
      </c>
      <c r="J1325" s="1776">
        <f>'Part VIII-Bldg Credit Alloc AR'!J13</f>
        <v>0</v>
      </c>
      <c r="K1325" s="1778">
        <f>'Part VIII-Bldg Credit Alloc AR'!K13</f>
        <v>0</v>
      </c>
      <c r="L1325" s="1779" t="e">
        <f t="shared" si="452"/>
        <v>#DIV/0!</v>
      </c>
      <c r="M1325" s="1778" t="e">
        <f t="shared" si="453"/>
        <v>#DIV/0!</v>
      </c>
      <c r="N1325" s="1777">
        <f>'Part VIII-Bldg Credit Alloc AR'!N13</f>
        <v>0</v>
      </c>
      <c r="O1325" s="1779">
        <f>'Part VIII-Bldg Credit Alloc AR'!O13</f>
        <v>0</v>
      </c>
      <c r="P1325" s="1778" t="e">
        <f t="shared" si="454"/>
        <v>#DIV/0!</v>
      </c>
      <c r="Q1325" s="1778" t="e">
        <f t="shared" si="455"/>
        <v>#DIV/0!</v>
      </c>
      <c r="R1325" s="1778" t="e">
        <f t="shared" si="456"/>
        <v>#DIV/0!</v>
      </c>
    </row>
    <row r="1326" spans="1:18">
      <c r="A1326" s="1658">
        <f>'Part VIII-Bldg Credit Alloc AR'!A14</f>
        <v>0</v>
      </c>
      <c r="B1326" s="1658"/>
      <c r="C1326" s="1658"/>
      <c r="D1326" s="1777">
        <f>'Part VIII-Bldg Credit Alloc AR'!D14</f>
        <v>0</v>
      </c>
      <c r="E1326" s="1778">
        <f>'Part VIII-Bldg Credit Alloc AR'!E14</f>
        <v>0</v>
      </c>
      <c r="F1326" s="1778">
        <f>'Part VIII-Bldg Credit Alloc AR'!F14</f>
        <v>0</v>
      </c>
      <c r="G1326" s="1778">
        <f>'Part VIII-Bldg Credit Alloc AR'!G14</f>
        <v>0</v>
      </c>
      <c r="H1326" s="1778">
        <f>'Part VIII-Bldg Credit Alloc AR'!H14</f>
        <v>0</v>
      </c>
      <c r="I1326" s="1778">
        <f>'Part VIII-Bldg Credit Alloc AR'!I14</f>
        <v>0</v>
      </c>
      <c r="J1326" s="1776">
        <f>'Part VIII-Bldg Credit Alloc AR'!J14</f>
        <v>0</v>
      </c>
      <c r="K1326" s="1778">
        <f>'Part VIII-Bldg Credit Alloc AR'!K14</f>
        <v>0</v>
      </c>
      <c r="L1326" s="1779" t="e">
        <f t="shared" si="452"/>
        <v>#DIV/0!</v>
      </c>
      <c r="M1326" s="1778" t="e">
        <f t="shared" si="453"/>
        <v>#DIV/0!</v>
      </c>
      <c r="N1326" s="1777">
        <f>'Part VIII-Bldg Credit Alloc AR'!N14</f>
        <v>0</v>
      </c>
      <c r="O1326" s="1779">
        <f>'Part VIII-Bldg Credit Alloc AR'!O14</f>
        <v>0</v>
      </c>
      <c r="P1326" s="1778" t="e">
        <f t="shared" si="454"/>
        <v>#DIV/0!</v>
      </c>
      <c r="Q1326" s="1778" t="e">
        <f t="shared" si="455"/>
        <v>#DIV/0!</v>
      </c>
      <c r="R1326" s="1778" t="e">
        <f t="shared" si="456"/>
        <v>#DIV/0!</v>
      </c>
    </row>
    <row r="1327" spans="1:18">
      <c r="A1327" s="1658">
        <f>'Part VIII-Bldg Credit Alloc AR'!A15</f>
        <v>0</v>
      </c>
      <c r="B1327" s="1658"/>
      <c r="C1327" s="1658"/>
      <c r="D1327" s="1777">
        <f>'Part VIII-Bldg Credit Alloc AR'!D15</f>
        <v>0</v>
      </c>
      <c r="E1327" s="1778">
        <f>'Part VIII-Bldg Credit Alloc AR'!E15</f>
        <v>0</v>
      </c>
      <c r="F1327" s="1778">
        <f>'Part VIII-Bldg Credit Alloc AR'!F15</f>
        <v>0</v>
      </c>
      <c r="G1327" s="1778">
        <f>'Part VIII-Bldg Credit Alloc AR'!G15</f>
        <v>0</v>
      </c>
      <c r="H1327" s="1778">
        <f>'Part VIII-Bldg Credit Alloc AR'!H15</f>
        <v>0</v>
      </c>
      <c r="I1327" s="1778">
        <f>'Part VIII-Bldg Credit Alloc AR'!I15</f>
        <v>0</v>
      </c>
      <c r="J1327" s="1776">
        <f>'Part VIII-Bldg Credit Alloc AR'!J15</f>
        <v>0</v>
      </c>
      <c r="K1327" s="1778">
        <f>'Part VIII-Bldg Credit Alloc AR'!K15</f>
        <v>0</v>
      </c>
      <c r="L1327" s="1779" t="e">
        <f t="shared" si="452"/>
        <v>#DIV/0!</v>
      </c>
      <c r="M1327" s="1778" t="e">
        <f t="shared" si="453"/>
        <v>#DIV/0!</v>
      </c>
      <c r="N1327" s="1777">
        <f>'Part VIII-Bldg Credit Alloc AR'!N15</f>
        <v>0</v>
      </c>
      <c r="O1327" s="1779">
        <f>'Part VIII-Bldg Credit Alloc AR'!O15</f>
        <v>0</v>
      </c>
      <c r="P1327" s="1778" t="e">
        <f t="shared" si="454"/>
        <v>#DIV/0!</v>
      </c>
      <c r="Q1327" s="1778" t="e">
        <f t="shared" si="455"/>
        <v>#DIV/0!</v>
      </c>
      <c r="R1327" s="1778" t="e">
        <f t="shared" si="456"/>
        <v>#DIV/0!</v>
      </c>
    </row>
    <row r="1328" spans="1:18">
      <c r="A1328" s="1658">
        <f>'Part VIII-Bldg Credit Alloc AR'!A16</f>
        <v>0</v>
      </c>
      <c r="B1328" s="1658"/>
      <c r="C1328" s="1658"/>
      <c r="D1328" s="1777">
        <f>'Part VIII-Bldg Credit Alloc AR'!D16</f>
        <v>0</v>
      </c>
      <c r="E1328" s="1778">
        <f>'Part VIII-Bldg Credit Alloc AR'!E16</f>
        <v>0</v>
      </c>
      <c r="F1328" s="1778">
        <f>'Part VIII-Bldg Credit Alloc AR'!F16</f>
        <v>0</v>
      </c>
      <c r="G1328" s="1778">
        <f>'Part VIII-Bldg Credit Alloc AR'!G16</f>
        <v>0</v>
      </c>
      <c r="H1328" s="1778">
        <f>'Part VIII-Bldg Credit Alloc AR'!H16</f>
        <v>0</v>
      </c>
      <c r="I1328" s="1778">
        <f>'Part VIII-Bldg Credit Alloc AR'!I16</f>
        <v>0</v>
      </c>
      <c r="J1328" s="1776">
        <f>'Part VIII-Bldg Credit Alloc AR'!J16</f>
        <v>0</v>
      </c>
      <c r="K1328" s="1778">
        <f>'Part VIII-Bldg Credit Alloc AR'!K16</f>
        <v>0</v>
      </c>
      <c r="L1328" s="1779" t="e">
        <f t="shared" si="452"/>
        <v>#DIV/0!</v>
      </c>
      <c r="M1328" s="1778" t="e">
        <f t="shared" si="453"/>
        <v>#DIV/0!</v>
      </c>
      <c r="N1328" s="1777">
        <f>'Part VIII-Bldg Credit Alloc AR'!N16</f>
        <v>0</v>
      </c>
      <c r="O1328" s="1779">
        <f>'Part VIII-Bldg Credit Alloc AR'!O16</f>
        <v>0</v>
      </c>
      <c r="P1328" s="1778" t="e">
        <f t="shared" si="454"/>
        <v>#DIV/0!</v>
      </c>
      <c r="Q1328" s="1778" t="e">
        <f t="shared" si="455"/>
        <v>#DIV/0!</v>
      </c>
      <c r="R1328" s="1778" t="e">
        <f t="shared" si="456"/>
        <v>#DIV/0!</v>
      </c>
    </row>
    <row r="1329" spans="1:18">
      <c r="A1329" s="1658">
        <f>'Part VIII-Bldg Credit Alloc AR'!A17</f>
        <v>0</v>
      </c>
      <c r="B1329" s="1658"/>
      <c r="C1329" s="1658"/>
      <c r="D1329" s="1777">
        <f>'Part VIII-Bldg Credit Alloc AR'!D17</f>
        <v>0</v>
      </c>
      <c r="E1329" s="1778">
        <f>'Part VIII-Bldg Credit Alloc AR'!E17</f>
        <v>0</v>
      </c>
      <c r="F1329" s="1778">
        <f>'Part VIII-Bldg Credit Alloc AR'!F17</f>
        <v>0</v>
      </c>
      <c r="G1329" s="1778">
        <f>'Part VIII-Bldg Credit Alloc AR'!G17</f>
        <v>0</v>
      </c>
      <c r="H1329" s="1778">
        <f>'Part VIII-Bldg Credit Alloc AR'!H17</f>
        <v>0</v>
      </c>
      <c r="I1329" s="1778">
        <f>'Part VIII-Bldg Credit Alloc AR'!I17</f>
        <v>0</v>
      </c>
      <c r="J1329" s="1776">
        <f>'Part VIII-Bldg Credit Alloc AR'!J17</f>
        <v>0</v>
      </c>
      <c r="K1329" s="1778">
        <f>'Part VIII-Bldg Credit Alloc AR'!K17</f>
        <v>0</v>
      </c>
      <c r="L1329" s="1779" t="e">
        <f t="shared" si="452"/>
        <v>#DIV/0!</v>
      </c>
      <c r="M1329" s="1778" t="e">
        <f t="shared" si="453"/>
        <v>#DIV/0!</v>
      </c>
      <c r="N1329" s="1777">
        <f>'Part VIII-Bldg Credit Alloc AR'!N17</f>
        <v>0</v>
      </c>
      <c r="O1329" s="1779">
        <f>'Part VIII-Bldg Credit Alloc AR'!O17</f>
        <v>0</v>
      </c>
      <c r="P1329" s="1778" t="e">
        <f t="shared" si="454"/>
        <v>#DIV/0!</v>
      </c>
      <c r="Q1329" s="1778" t="e">
        <f t="shared" si="455"/>
        <v>#DIV/0!</v>
      </c>
      <c r="R1329" s="1778" t="e">
        <f t="shared" si="456"/>
        <v>#DIV/0!</v>
      </c>
    </row>
    <row r="1330" spans="1:18">
      <c r="A1330" s="1658">
        <f>'Part VIII-Bldg Credit Alloc AR'!A18</f>
        <v>0</v>
      </c>
      <c r="B1330" s="1658"/>
      <c r="C1330" s="1658"/>
      <c r="D1330" s="1777">
        <f>'Part VIII-Bldg Credit Alloc AR'!D18</f>
        <v>0</v>
      </c>
      <c r="E1330" s="1778">
        <f>'Part VIII-Bldg Credit Alloc AR'!E18</f>
        <v>0</v>
      </c>
      <c r="F1330" s="1778">
        <f>'Part VIII-Bldg Credit Alloc AR'!F18</f>
        <v>0</v>
      </c>
      <c r="G1330" s="1778">
        <f>'Part VIII-Bldg Credit Alloc AR'!G18</f>
        <v>0</v>
      </c>
      <c r="H1330" s="1778">
        <f>'Part VIII-Bldg Credit Alloc AR'!H18</f>
        <v>0</v>
      </c>
      <c r="I1330" s="1778">
        <f>'Part VIII-Bldg Credit Alloc AR'!I18</f>
        <v>0</v>
      </c>
      <c r="J1330" s="1776">
        <f>'Part VIII-Bldg Credit Alloc AR'!J18</f>
        <v>0</v>
      </c>
      <c r="K1330" s="1778">
        <f>'Part VIII-Bldg Credit Alloc AR'!K18</f>
        <v>0</v>
      </c>
      <c r="L1330" s="1779" t="e">
        <f t="shared" si="452"/>
        <v>#DIV/0!</v>
      </c>
      <c r="M1330" s="1778" t="e">
        <f t="shared" si="453"/>
        <v>#DIV/0!</v>
      </c>
      <c r="N1330" s="1777">
        <f>'Part VIII-Bldg Credit Alloc AR'!N18</f>
        <v>0</v>
      </c>
      <c r="O1330" s="1779">
        <f>'Part VIII-Bldg Credit Alloc AR'!O18</f>
        <v>0</v>
      </c>
      <c r="P1330" s="1778" t="e">
        <f t="shared" si="454"/>
        <v>#DIV/0!</v>
      </c>
      <c r="Q1330" s="1778" t="e">
        <f t="shared" si="455"/>
        <v>#DIV/0!</v>
      </c>
      <c r="R1330" s="1778" t="e">
        <f t="shared" si="456"/>
        <v>#DIV/0!</v>
      </c>
    </row>
    <row r="1331" spans="1:18">
      <c r="A1331" s="1658">
        <f>'Part VIII-Bldg Credit Alloc AR'!A19</f>
        <v>0</v>
      </c>
      <c r="B1331" s="1658"/>
      <c r="C1331" s="1658"/>
      <c r="D1331" s="1777">
        <f>'Part VIII-Bldg Credit Alloc AR'!D19</f>
        <v>0</v>
      </c>
      <c r="E1331" s="1778">
        <f>'Part VIII-Bldg Credit Alloc AR'!E19</f>
        <v>0</v>
      </c>
      <c r="F1331" s="1778">
        <f>'Part VIII-Bldg Credit Alloc AR'!F19</f>
        <v>0</v>
      </c>
      <c r="G1331" s="1778">
        <f>'Part VIII-Bldg Credit Alloc AR'!G19</f>
        <v>0</v>
      </c>
      <c r="H1331" s="1778">
        <f>'Part VIII-Bldg Credit Alloc AR'!H19</f>
        <v>0</v>
      </c>
      <c r="I1331" s="1778">
        <f>'Part VIII-Bldg Credit Alloc AR'!I19</f>
        <v>0</v>
      </c>
      <c r="J1331" s="1776">
        <f>'Part VIII-Bldg Credit Alloc AR'!J19</f>
        <v>0</v>
      </c>
      <c r="K1331" s="1778">
        <f>'Part VIII-Bldg Credit Alloc AR'!K19</f>
        <v>0</v>
      </c>
      <c r="L1331" s="1779" t="e">
        <f t="shared" si="452"/>
        <v>#DIV/0!</v>
      </c>
      <c r="M1331" s="1778" t="e">
        <f t="shared" si="453"/>
        <v>#DIV/0!</v>
      </c>
      <c r="N1331" s="1777">
        <f>'Part VIII-Bldg Credit Alloc AR'!N19</f>
        <v>0</v>
      </c>
      <c r="O1331" s="1779">
        <f>'Part VIII-Bldg Credit Alloc AR'!O19</f>
        <v>0</v>
      </c>
      <c r="P1331" s="1778" t="e">
        <f t="shared" si="454"/>
        <v>#DIV/0!</v>
      </c>
      <c r="Q1331" s="1778" t="e">
        <f t="shared" si="455"/>
        <v>#DIV/0!</v>
      </c>
      <c r="R1331" s="1778" t="e">
        <f t="shared" si="456"/>
        <v>#DIV/0!</v>
      </c>
    </row>
    <row r="1332" spans="1:18">
      <c r="A1332" s="1658">
        <f>'Part VIII-Bldg Credit Alloc AR'!A20</f>
        <v>0</v>
      </c>
      <c r="B1332" s="1658"/>
      <c r="C1332" s="1658"/>
      <c r="D1332" s="1777">
        <f>'Part VIII-Bldg Credit Alloc AR'!D20</f>
        <v>0</v>
      </c>
      <c r="E1332" s="1778">
        <f>'Part VIII-Bldg Credit Alloc AR'!E20</f>
        <v>0</v>
      </c>
      <c r="F1332" s="1778">
        <f>'Part VIII-Bldg Credit Alloc AR'!F20</f>
        <v>0</v>
      </c>
      <c r="G1332" s="1778">
        <f>'Part VIII-Bldg Credit Alloc AR'!G20</f>
        <v>0</v>
      </c>
      <c r="H1332" s="1778">
        <f>'Part VIII-Bldg Credit Alloc AR'!H20</f>
        <v>0</v>
      </c>
      <c r="I1332" s="1778">
        <f>'Part VIII-Bldg Credit Alloc AR'!I20</f>
        <v>0</v>
      </c>
      <c r="J1332" s="1776">
        <f>'Part VIII-Bldg Credit Alloc AR'!J20</f>
        <v>0</v>
      </c>
      <c r="K1332" s="1778">
        <f>'Part VIII-Bldg Credit Alloc AR'!K20</f>
        <v>0</v>
      </c>
      <c r="L1332" s="1779" t="e">
        <f t="shared" si="452"/>
        <v>#DIV/0!</v>
      </c>
      <c r="M1332" s="1778" t="e">
        <f t="shared" si="453"/>
        <v>#DIV/0!</v>
      </c>
      <c r="N1332" s="1777">
        <f>'Part VIII-Bldg Credit Alloc AR'!N20</f>
        <v>0</v>
      </c>
      <c r="O1332" s="1779">
        <f>'Part VIII-Bldg Credit Alloc AR'!O20</f>
        <v>0</v>
      </c>
      <c r="P1332" s="1778" t="e">
        <f t="shared" si="454"/>
        <v>#DIV/0!</v>
      </c>
      <c r="Q1332" s="1778" t="e">
        <f t="shared" si="455"/>
        <v>#DIV/0!</v>
      </c>
      <c r="R1332" s="1778" t="e">
        <f t="shared" si="456"/>
        <v>#DIV/0!</v>
      </c>
    </row>
    <row r="1333" spans="1:18">
      <c r="A1333" s="1658">
        <f>'Part VIII-Bldg Credit Alloc AR'!A21</f>
        <v>0</v>
      </c>
      <c r="B1333" s="1658"/>
      <c r="C1333" s="1658"/>
      <c r="D1333" s="1777">
        <f>'Part VIII-Bldg Credit Alloc AR'!D21</f>
        <v>0</v>
      </c>
      <c r="E1333" s="1778">
        <f>'Part VIII-Bldg Credit Alloc AR'!E21</f>
        <v>0</v>
      </c>
      <c r="F1333" s="1778">
        <f>'Part VIII-Bldg Credit Alloc AR'!F21</f>
        <v>0</v>
      </c>
      <c r="G1333" s="1778">
        <f>'Part VIII-Bldg Credit Alloc AR'!G21</f>
        <v>0</v>
      </c>
      <c r="H1333" s="1778">
        <f>'Part VIII-Bldg Credit Alloc AR'!H21</f>
        <v>0</v>
      </c>
      <c r="I1333" s="1778">
        <f>'Part VIII-Bldg Credit Alloc AR'!I21</f>
        <v>0</v>
      </c>
      <c r="J1333" s="1776">
        <f>'Part VIII-Bldg Credit Alloc AR'!J21</f>
        <v>0</v>
      </c>
      <c r="K1333" s="1778">
        <f>'Part VIII-Bldg Credit Alloc AR'!K21</f>
        <v>0</v>
      </c>
      <c r="L1333" s="1779" t="e">
        <f t="shared" si="452"/>
        <v>#DIV/0!</v>
      </c>
      <c r="M1333" s="1778" t="e">
        <f t="shared" si="453"/>
        <v>#DIV/0!</v>
      </c>
      <c r="N1333" s="1777">
        <f>'Part VIII-Bldg Credit Alloc AR'!N21</f>
        <v>0</v>
      </c>
      <c r="O1333" s="1779">
        <f>'Part VIII-Bldg Credit Alloc AR'!O21</f>
        <v>0</v>
      </c>
      <c r="P1333" s="1778" t="e">
        <f t="shared" si="454"/>
        <v>#DIV/0!</v>
      </c>
      <c r="Q1333" s="1778" t="e">
        <f t="shared" si="455"/>
        <v>#DIV/0!</v>
      </c>
      <c r="R1333" s="1778" t="e">
        <f t="shared" si="456"/>
        <v>#DIV/0!</v>
      </c>
    </row>
    <row r="1334" spans="1:18">
      <c r="A1334" s="1658">
        <f>'Part VIII-Bldg Credit Alloc AR'!A22</f>
        <v>0</v>
      </c>
      <c r="B1334" s="1658"/>
      <c r="C1334" s="1658"/>
      <c r="D1334" s="1777">
        <f>'Part VIII-Bldg Credit Alloc AR'!D22</f>
        <v>0</v>
      </c>
      <c r="E1334" s="1778">
        <f>'Part VIII-Bldg Credit Alloc AR'!E22</f>
        <v>0</v>
      </c>
      <c r="F1334" s="1778">
        <f>'Part VIII-Bldg Credit Alloc AR'!F22</f>
        <v>0</v>
      </c>
      <c r="G1334" s="1778">
        <f>'Part VIII-Bldg Credit Alloc AR'!G22</f>
        <v>0</v>
      </c>
      <c r="H1334" s="1778">
        <f>'Part VIII-Bldg Credit Alloc AR'!H22</f>
        <v>0</v>
      </c>
      <c r="I1334" s="1778">
        <f>'Part VIII-Bldg Credit Alloc AR'!I22</f>
        <v>0</v>
      </c>
      <c r="J1334" s="1776">
        <f>'Part VIII-Bldg Credit Alloc AR'!J22</f>
        <v>0</v>
      </c>
      <c r="K1334" s="1778">
        <f>'Part VIII-Bldg Credit Alloc AR'!K22</f>
        <v>0</v>
      </c>
      <c r="L1334" s="1779" t="e">
        <f t="shared" si="452"/>
        <v>#DIV/0!</v>
      </c>
      <c r="M1334" s="1778" t="e">
        <f t="shared" si="453"/>
        <v>#DIV/0!</v>
      </c>
      <c r="N1334" s="1777">
        <f>'Part VIII-Bldg Credit Alloc AR'!N22</f>
        <v>0</v>
      </c>
      <c r="O1334" s="1779">
        <f>'Part VIII-Bldg Credit Alloc AR'!O22</f>
        <v>0</v>
      </c>
      <c r="P1334" s="1778" t="e">
        <f t="shared" si="454"/>
        <v>#DIV/0!</v>
      </c>
      <c r="Q1334" s="1778" t="e">
        <f t="shared" si="455"/>
        <v>#DIV/0!</v>
      </c>
      <c r="R1334" s="1778" t="e">
        <f t="shared" si="456"/>
        <v>#DIV/0!</v>
      </c>
    </row>
    <row r="1335" spans="1:18">
      <c r="A1335" s="1658">
        <f>'Part VIII-Bldg Credit Alloc AR'!A23</f>
        <v>0</v>
      </c>
      <c r="B1335" s="1658"/>
      <c r="C1335" s="1658"/>
      <c r="D1335" s="1777">
        <f>'Part VIII-Bldg Credit Alloc AR'!D23</f>
        <v>0</v>
      </c>
      <c r="E1335" s="1778">
        <f>'Part VIII-Bldg Credit Alloc AR'!E23</f>
        <v>0</v>
      </c>
      <c r="F1335" s="1778">
        <f>'Part VIII-Bldg Credit Alloc AR'!F23</f>
        <v>0</v>
      </c>
      <c r="G1335" s="1778">
        <f>'Part VIII-Bldg Credit Alloc AR'!G23</f>
        <v>0</v>
      </c>
      <c r="H1335" s="1778">
        <f>'Part VIII-Bldg Credit Alloc AR'!H23</f>
        <v>0</v>
      </c>
      <c r="I1335" s="1778">
        <f>'Part VIII-Bldg Credit Alloc AR'!I23</f>
        <v>0</v>
      </c>
      <c r="J1335" s="1776">
        <f>'Part VIII-Bldg Credit Alloc AR'!J23</f>
        <v>0</v>
      </c>
      <c r="K1335" s="1778">
        <f>'Part VIII-Bldg Credit Alloc AR'!K23</f>
        <v>0</v>
      </c>
      <c r="L1335" s="1779" t="e">
        <f t="shared" si="452"/>
        <v>#DIV/0!</v>
      </c>
      <c r="M1335" s="1778" t="e">
        <f t="shared" si="453"/>
        <v>#DIV/0!</v>
      </c>
      <c r="N1335" s="1777">
        <f>'Part VIII-Bldg Credit Alloc AR'!N23</f>
        <v>0</v>
      </c>
      <c r="O1335" s="1779">
        <f>'Part VIII-Bldg Credit Alloc AR'!O23</f>
        <v>0</v>
      </c>
      <c r="P1335" s="1778" t="e">
        <f t="shared" si="454"/>
        <v>#DIV/0!</v>
      </c>
      <c r="Q1335" s="1778" t="e">
        <f t="shared" si="455"/>
        <v>#DIV/0!</v>
      </c>
      <c r="R1335" s="1778" t="e">
        <f t="shared" si="456"/>
        <v>#DIV/0!</v>
      </c>
    </row>
    <row r="1336" spans="1:18">
      <c r="A1336" s="1658">
        <f>'Part VIII-Bldg Credit Alloc AR'!A24</f>
        <v>0</v>
      </c>
      <c r="B1336" s="1658"/>
      <c r="C1336" s="1658"/>
      <c r="D1336" s="1777">
        <f>'Part VIII-Bldg Credit Alloc AR'!D24</f>
        <v>0</v>
      </c>
      <c r="E1336" s="1778">
        <f>'Part VIII-Bldg Credit Alloc AR'!E24</f>
        <v>0</v>
      </c>
      <c r="F1336" s="1778">
        <f>'Part VIII-Bldg Credit Alloc AR'!F24</f>
        <v>0</v>
      </c>
      <c r="G1336" s="1778">
        <f>'Part VIII-Bldg Credit Alloc AR'!G24</f>
        <v>0</v>
      </c>
      <c r="H1336" s="1778">
        <f>'Part VIII-Bldg Credit Alloc AR'!H24</f>
        <v>0</v>
      </c>
      <c r="I1336" s="1778">
        <f>'Part VIII-Bldg Credit Alloc AR'!I24</f>
        <v>0</v>
      </c>
      <c r="J1336" s="1776">
        <f>'Part VIII-Bldg Credit Alloc AR'!J24</f>
        <v>0</v>
      </c>
      <c r="K1336" s="1778">
        <f>'Part VIII-Bldg Credit Alloc AR'!K24</f>
        <v>0</v>
      </c>
      <c r="L1336" s="1779" t="e">
        <f t="shared" si="452"/>
        <v>#DIV/0!</v>
      </c>
      <c r="M1336" s="1778" t="e">
        <f t="shared" si="453"/>
        <v>#DIV/0!</v>
      </c>
      <c r="N1336" s="1777">
        <f>'Part VIII-Bldg Credit Alloc AR'!N24</f>
        <v>0</v>
      </c>
      <c r="O1336" s="1779">
        <f>'Part VIII-Bldg Credit Alloc AR'!O24</f>
        <v>0</v>
      </c>
      <c r="P1336" s="1778" t="e">
        <f t="shared" si="454"/>
        <v>#DIV/0!</v>
      </c>
      <c r="Q1336" s="1778" t="e">
        <f t="shared" si="455"/>
        <v>#DIV/0!</v>
      </c>
      <c r="R1336" s="1778" t="e">
        <f t="shared" si="456"/>
        <v>#DIV/0!</v>
      </c>
    </row>
    <row r="1337" spans="1:18">
      <c r="A1337" s="1658">
        <f>'Part VIII-Bldg Credit Alloc AR'!A25</f>
        <v>0</v>
      </c>
      <c r="B1337" s="1658"/>
      <c r="C1337" s="1658"/>
      <c r="D1337" s="1777">
        <f>'Part VIII-Bldg Credit Alloc AR'!D25</f>
        <v>0</v>
      </c>
      <c r="E1337" s="1778">
        <f>'Part VIII-Bldg Credit Alloc AR'!E25</f>
        <v>0</v>
      </c>
      <c r="F1337" s="1778">
        <f>'Part VIII-Bldg Credit Alloc AR'!F25</f>
        <v>0</v>
      </c>
      <c r="G1337" s="1778">
        <f>'Part VIII-Bldg Credit Alloc AR'!G25</f>
        <v>0</v>
      </c>
      <c r="H1337" s="1778">
        <f>'Part VIII-Bldg Credit Alloc AR'!H25</f>
        <v>0</v>
      </c>
      <c r="I1337" s="1778">
        <f>'Part VIII-Bldg Credit Alloc AR'!I25</f>
        <v>0</v>
      </c>
      <c r="J1337" s="1776">
        <f>'Part VIII-Bldg Credit Alloc AR'!J25</f>
        <v>0</v>
      </c>
      <c r="K1337" s="1778">
        <f>'Part VIII-Bldg Credit Alloc AR'!K25</f>
        <v>0</v>
      </c>
      <c r="L1337" s="1779" t="e">
        <f t="shared" si="452"/>
        <v>#DIV/0!</v>
      </c>
      <c r="M1337" s="1778" t="e">
        <f t="shared" si="453"/>
        <v>#DIV/0!</v>
      </c>
      <c r="N1337" s="1777">
        <f>'Part VIII-Bldg Credit Alloc AR'!N25</f>
        <v>0</v>
      </c>
      <c r="O1337" s="1779">
        <f>'Part VIII-Bldg Credit Alloc AR'!O25</f>
        <v>0</v>
      </c>
      <c r="P1337" s="1778" t="e">
        <f t="shared" si="454"/>
        <v>#DIV/0!</v>
      </c>
      <c r="Q1337" s="1778" t="e">
        <f t="shared" si="455"/>
        <v>#DIV/0!</v>
      </c>
      <c r="R1337" s="1778" t="e">
        <f t="shared" si="456"/>
        <v>#DIV/0!</v>
      </c>
    </row>
    <row r="1338" spans="1:18">
      <c r="A1338" s="1658">
        <f>'Part VIII-Bldg Credit Alloc AR'!A26</f>
        <v>0</v>
      </c>
      <c r="B1338" s="1658"/>
      <c r="C1338" s="1658"/>
      <c r="D1338" s="1777">
        <f>'Part VIII-Bldg Credit Alloc AR'!D26</f>
        <v>0</v>
      </c>
      <c r="E1338" s="1778">
        <f>'Part VIII-Bldg Credit Alloc AR'!E26</f>
        <v>0</v>
      </c>
      <c r="F1338" s="1778">
        <f>'Part VIII-Bldg Credit Alloc AR'!F26</f>
        <v>0</v>
      </c>
      <c r="G1338" s="1778">
        <f>'Part VIII-Bldg Credit Alloc AR'!G26</f>
        <v>0</v>
      </c>
      <c r="H1338" s="1778">
        <f>'Part VIII-Bldg Credit Alloc AR'!H26</f>
        <v>0</v>
      </c>
      <c r="I1338" s="1778">
        <f>'Part VIII-Bldg Credit Alloc AR'!I26</f>
        <v>0</v>
      </c>
      <c r="J1338" s="1776">
        <f>'Part VIII-Bldg Credit Alloc AR'!J26</f>
        <v>0</v>
      </c>
      <c r="K1338" s="1778">
        <f>'Part VIII-Bldg Credit Alloc AR'!K26</f>
        <v>0</v>
      </c>
      <c r="L1338" s="1779" t="e">
        <f t="shared" si="452"/>
        <v>#DIV/0!</v>
      </c>
      <c r="M1338" s="1778" t="e">
        <f t="shared" si="453"/>
        <v>#DIV/0!</v>
      </c>
      <c r="N1338" s="1777">
        <f>'Part VIII-Bldg Credit Alloc AR'!N26</f>
        <v>0</v>
      </c>
      <c r="O1338" s="1779">
        <f>'Part VIII-Bldg Credit Alloc AR'!O26</f>
        <v>0</v>
      </c>
      <c r="P1338" s="1778" t="e">
        <f t="shared" si="454"/>
        <v>#DIV/0!</v>
      </c>
      <c r="Q1338" s="1778" t="e">
        <f t="shared" si="455"/>
        <v>#DIV/0!</v>
      </c>
      <c r="R1338" s="1778" t="e">
        <f t="shared" si="456"/>
        <v>#DIV/0!</v>
      </c>
    </row>
    <row r="1339" spans="1:18">
      <c r="A1339" s="1658">
        <f>'Part VIII-Bldg Credit Alloc AR'!A27</f>
        <v>0</v>
      </c>
      <c r="B1339" s="1658"/>
      <c r="C1339" s="1658"/>
      <c r="D1339" s="1777">
        <f>'Part VIII-Bldg Credit Alloc AR'!D27</f>
        <v>0</v>
      </c>
      <c r="E1339" s="1778">
        <f>'Part VIII-Bldg Credit Alloc AR'!E27</f>
        <v>0</v>
      </c>
      <c r="F1339" s="1778">
        <f>'Part VIII-Bldg Credit Alloc AR'!F27</f>
        <v>0</v>
      </c>
      <c r="G1339" s="1778">
        <f>'Part VIII-Bldg Credit Alloc AR'!G27</f>
        <v>0</v>
      </c>
      <c r="H1339" s="1778">
        <f>'Part VIII-Bldg Credit Alloc AR'!H27</f>
        <v>0</v>
      </c>
      <c r="I1339" s="1778">
        <f>'Part VIII-Bldg Credit Alloc AR'!I27</f>
        <v>0</v>
      </c>
      <c r="J1339" s="1776">
        <f>'Part VIII-Bldg Credit Alloc AR'!J27</f>
        <v>0</v>
      </c>
      <c r="K1339" s="1778">
        <f>'Part VIII-Bldg Credit Alloc AR'!K27</f>
        <v>0</v>
      </c>
      <c r="L1339" s="1779" t="e">
        <f t="shared" si="452"/>
        <v>#DIV/0!</v>
      </c>
      <c r="M1339" s="1778" t="e">
        <f t="shared" si="453"/>
        <v>#DIV/0!</v>
      </c>
      <c r="N1339" s="1777">
        <f>'Part VIII-Bldg Credit Alloc AR'!N27</f>
        <v>0</v>
      </c>
      <c r="O1339" s="1779">
        <f>'Part VIII-Bldg Credit Alloc AR'!O27</f>
        <v>0</v>
      </c>
      <c r="P1339" s="1778" t="e">
        <f t="shared" si="454"/>
        <v>#DIV/0!</v>
      </c>
      <c r="Q1339" s="1778" t="e">
        <f t="shared" si="455"/>
        <v>#DIV/0!</v>
      </c>
      <c r="R1339" s="1778" t="e">
        <f t="shared" si="456"/>
        <v>#DIV/0!</v>
      </c>
    </row>
    <row r="1340" spans="1:18">
      <c r="A1340" s="1658">
        <f>'Part VIII-Bldg Credit Alloc AR'!A28</f>
        <v>0</v>
      </c>
      <c r="B1340" s="1658"/>
      <c r="C1340" s="1658"/>
      <c r="D1340" s="1777">
        <f>'Part VIII-Bldg Credit Alloc AR'!D28</f>
        <v>0</v>
      </c>
      <c r="E1340" s="1778">
        <f>'Part VIII-Bldg Credit Alloc AR'!E28</f>
        <v>0</v>
      </c>
      <c r="F1340" s="1778">
        <f>'Part VIII-Bldg Credit Alloc AR'!F28</f>
        <v>0</v>
      </c>
      <c r="G1340" s="1778">
        <f>'Part VIII-Bldg Credit Alloc AR'!G28</f>
        <v>0</v>
      </c>
      <c r="H1340" s="1778">
        <f>'Part VIII-Bldg Credit Alloc AR'!H28</f>
        <v>0</v>
      </c>
      <c r="I1340" s="1778">
        <f>'Part VIII-Bldg Credit Alloc AR'!I28</f>
        <v>0</v>
      </c>
      <c r="J1340" s="1776">
        <f>'Part VIII-Bldg Credit Alloc AR'!J28</f>
        <v>0</v>
      </c>
      <c r="K1340" s="1778">
        <f>'Part VIII-Bldg Credit Alloc AR'!K28</f>
        <v>0</v>
      </c>
      <c r="L1340" s="1779" t="e">
        <f t="shared" si="452"/>
        <v>#DIV/0!</v>
      </c>
      <c r="M1340" s="1778" t="e">
        <f t="shared" si="453"/>
        <v>#DIV/0!</v>
      </c>
      <c r="N1340" s="1777">
        <f>'Part VIII-Bldg Credit Alloc AR'!N28</f>
        <v>0</v>
      </c>
      <c r="O1340" s="1779">
        <f>'Part VIII-Bldg Credit Alloc AR'!O28</f>
        <v>0</v>
      </c>
      <c r="P1340" s="1778" t="e">
        <f t="shared" si="454"/>
        <v>#DIV/0!</v>
      </c>
      <c r="Q1340" s="1778" t="e">
        <f t="shared" si="455"/>
        <v>#DIV/0!</v>
      </c>
      <c r="R1340" s="1778" t="e">
        <f t="shared" si="456"/>
        <v>#DIV/0!</v>
      </c>
    </row>
    <row r="1341" spans="1:18">
      <c r="A1341" s="1658">
        <f>'Part VIII-Bldg Credit Alloc AR'!A29</f>
        <v>0</v>
      </c>
      <c r="B1341" s="1658"/>
      <c r="C1341" s="1658"/>
      <c r="D1341" s="1777">
        <f>'Part VIII-Bldg Credit Alloc AR'!D29</f>
        <v>0</v>
      </c>
      <c r="E1341" s="1778">
        <f>'Part VIII-Bldg Credit Alloc AR'!E29</f>
        <v>0</v>
      </c>
      <c r="F1341" s="1778">
        <f>'Part VIII-Bldg Credit Alloc AR'!F29</f>
        <v>0</v>
      </c>
      <c r="G1341" s="1778">
        <f>'Part VIII-Bldg Credit Alloc AR'!G29</f>
        <v>0</v>
      </c>
      <c r="H1341" s="1778">
        <f>'Part VIII-Bldg Credit Alloc AR'!H29</f>
        <v>0</v>
      </c>
      <c r="I1341" s="1778">
        <f>'Part VIII-Bldg Credit Alloc AR'!I29</f>
        <v>0</v>
      </c>
      <c r="J1341" s="1776">
        <f>'Part VIII-Bldg Credit Alloc AR'!J29</f>
        <v>0</v>
      </c>
      <c r="K1341" s="1778">
        <f>'Part VIII-Bldg Credit Alloc AR'!K29</f>
        <v>0</v>
      </c>
      <c r="L1341" s="1779" t="e">
        <f t="shared" si="452"/>
        <v>#DIV/0!</v>
      </c>
      <c r="M1341" s="1778" t="e">
        <f t="shared" si="453"/>
        <v>#DIV/0!</v>
      </c>
      <c r="N1341" s="1777">
        <f>'Part VIII-Bldg Credit Alloc AR'!N29</f>
        <v>0</v>
      </c>
      <c r="O1341" s="1779">
        <f>'Part VIII-Bldg Credit Alloc AR'!O29</f>
        <v>0</v>
      </c>
      <c r="P1341" s="1778" t="e">
        <f t="shared" si="454"/>
        <v>#DIV/0!</v>
      </c>
      <c r="Q1341" s="1778" t="e">
        <f t="shared" si="455"/>
        <v>#DIV/0!</v>
      </c>
      <c r="R1341" s="1778" t="e">
        <f t="shared" si="456"/>
        <v>#DIV/0!</v>
      </c>
    </row>
    <row r="1342" spans="1:18">
      <c r="A1342" s="1658">
        <f>'Part VIII-Bldg Credit Alloc AR'!A30</f>
        <v>0</v>
      </c>
      <c r="B1342" s="1658"/>
      <c r="C1342" s="1658"/>
      <c r="D1342" s="1777">
        <f>'Part VIII-Bldg Credit Alloc AR'!D30</f>
        <v>0</v>
      </c>
      <c r="E1342" s="1778">
        <f>'Part VIII-Bldg Credit Alloc AR'!E30</f>
        <v>0</v>
      </c>
      <c r="F1342" s="1778">
        <f>'Part VIII-Bldg Credit Alloc AR'!F30</f>
        <v>0</v>
      </c>
      <c r="G1342" s="1778">
        <f>'Part VIII-Bldg Credit Alloc AR'!G30</f>
        <v>0</v>
      </c>
      <c r="H1342" s="1778">
        <f>'Part VIII-Bldg Credit Alloc AR'!H30</f>
        <v>0</v>
      </c>
      <c r="I1342" s="1778">
        <f>'Part VIII-Bldg Credit Alloc AR'!I30</f>
        <v>0</v>
      </c>
      <c r="J1342" s="1776">
        <f>'Part VIII-Bldg Credit Alloc AR'!J30</f>
        <v>0</v>
      </c>
      <c r="K1342" s="1778">
        <f>'Part VIII-Bldg Credit Alloc AR'!K30</f>
        <v>0</v>
      </c>
      <c r="L1342" s="1779" t="e">
        <f t="shared" si="452"/>
        <v>#DIV/0!</v>
      </c>
      <c r="M1342" s="1778" t="e">
        <f t="shared" si="453"/>
        <v>#DIV/0!</v>
      </c>
      <c r="N1342" s="1777">
        <f>'Part VIII-Bldg Credit Alloc AR'!N30</f>
        <v>0</v>
      </c>
      <c r="O1342" s="1779">
        <f>'Part VIII-Bldg Credit Alloc AR'!O30</f>
        <v>0</v>
      </c>
      <c r="P1342" s="1778" t="e">
        <f t="shared" si="454"/>
        <v>#DIV/0!</v>
      </c>
      <c r="Q1342" s="1778" t="e">
        <f t="shared" si="455"/>
        <v>#DIV/0!</v>
      </c>
      <c r="R1342" s="1778" t="e">
        <f t="shared" si="456"/>
        <v>#DIV/0!</v>
      </c>
    </row>
    <row r="1343" spans="1:18">
      <c r="A1343" s="1658">
        <f>'Part VIII-Bldg Credit Alloc AR'!A31</f>
        <v>0</v>
      </c>
      <c r="B1343" s="1658"/>
      <c r="C1343" s="1658"/>
      <c r="D1343" s="1777">
        <f>'Part VIII-Bldg Credit Alloc AR'!D31</f>
        <v>0</v>
      </c>
      <c r="E1343" s="1778">
        <f>'Part VIII-Bldg Credit Alloc AR'!E31</f>
        <v>0</v>
      </c>
      <c r="F1343" s="1778">
        <f>'Part VIII-Bldg Credit Alloc AR'!F31</f>
        <v>0</v>
      </c>
      <c r="G1343" s="1778">
        <f>'Part VIII-Bldg Credit Alloc AR'!G31</f>
        <v>0</v>
      </c>
      <c r="H1343" s="1778">
        <f>'Part VIII-Bldg Credit Alloc AR'!H31</f>
        <v>0</v>
      </c>
      <c r="I1343" s="1778">
        <f>'Part VIII-Bldg Credit Alloc AR'!I31</f>
        <v>0</v>
      </c>
      <c r="J1343" s="1776">
        <f>'Part VIII-Bldg Credit Alloc AR'!J31</f>
        <v>0</v>
      </c>
      <c r="K1343" s="1778">
        <f>'Part VIII-Bldg Credit Alloc AR'!K31</f>
        <v>0</v>
      </c>
      <c r="L1343" s="1779" t="e">
        <f t="shared" si="452"/>
        <v>#DIV/0!</v>
      </c>
      <c r="M1343" s="1778" t="e">
        <f t="shared" si="453"/>
        <v>#DIV/0!</v>
      </c>
      <c r="N1343" s="1777">
        <f>'Part VIII-Bldg Credit Alloc AR'!N31</f>
        <v>0</v>
      </c>
      <c r="O1343" s="1779">
        <f>'Part VIII-Bldg Credit Alloc AR'!O31</f>
        <v>0</v>
      </c>
      <c r="P1343" s="1778" t="e">
        <f t="shared" si="454"/>
        <v>#DIV/0!</v>
      </c>
      <c r="Q1343" s="1778" t="e">
        <f t="shared" si="455"/>
        <v>#DIV/0!</v>
      </c>
      <c r="R1343" s="1778" t="e">
        <f t="shared" si="456"/>
        <v>#DIV/0!</v>
      </c>
    </row>
    <row r="1344" spans="1:18">
      <c r="A1344" s="1658">
        <f>'Part VIII-Bldg Credit Alloc AR'!A32</f>
        <v>0</v>
      </c>
      <c r="B1344" s="1658"/>
      <c r="C1344" s="1658"/>
      <c r="D1344" s="1777">
        <f>'Part VIII-Bldg Credit Alloc AR'!D32</f>
        <v>0</v>
      </c>
      <c r="E1344" s="1778">
        <f>'Part VIII-Bldg Credit Alloc AR'!E32</f>
        <v>0</v>
      </c>
      <c r="F1344" s="1778">
        <f>'Part VIII-Bldg Credit Alloc AR'!F32</f>
        <v>0</v>
      </c>
      <c r="G1344" s="1778">
        <f>'Part VIII-Bldg Credit Alloc AR'!G32</f>
        <v>0</v>
      </c>
      <c r="H1344" s="1778">
        <f>'Part VIII-Bldg Credit Alloc AR'!H32</f>
        <v>0</v>
      </c>
      <c r="I1344" s="1778">
        <f>'Part VIII-Bldg Credit Alloc AR'!I32</f>
        <v>0</v>
      </c>
      <c r="J1344" s="1776">
        <f>'Part VIII-Bldg Credit Alloc AR'!J32</f>
        <v>0</v>
      </c>
      <c r="K1344" s="1778">
        <f>'Part VIII-Bldg Credit Alloc AR'!K32</f>
        <v>0</v>
      </c>
      <c r="L1344" s="1779" t="e">
        <f t="shared" si="452"/>
        <v>#DIV/0!</v>
      </c>
      <c r="M1344" s="1778" t="e">
        <f t="shared" si="453"/>
        <v>#DIV/0!</v>
      </c>
      <c r="N1344" s="1777">
        <f>'Part VIII-Bldg Credit Alloc AR'!N32</f>
        <v>0</v>
      </c>
      <c r="O1344" s="1779">
        <f>'Part VIII-Bldg Credit Alloc AR'!O32</f>
        <v>0</v>
      </c>
      <c r="P1344" s="1778" t="e">
        <f t="shared" si="454"/>
        <v>#DIV/0!</v>
      </c>
      <c r="Q1344" s="1778" t="e">
        <f t="shared" si="455"/>
        <v>#DIV/0!</v>
      </c>
      <c r="R1344" s="1778" t="e">
        <f t="shared" si="456"/>
        <v>#DIV/0!</v>
      </c>
    </row>
    <row r="1345" spans="1:18">
      <c r="A1345" s="1658">
        <f>'Part VIII-Bldg Credit Alloc AR'!A33</f>
        <v>0</v>
      </c>
      <c r="B1345" s="1658"/>
      <c r="C1345" s="1658"/>
      <c r="D1345" s="1777">
        <f>'Part VIII-Bldg Credit Alloc AR'!D33</f>
        <v>0</v>
      </c>
      <c r="E1345" s="1778">
        <f>'Part VIII-Bldg Credit Alloc AR'!E33</f>
        <v>0</v>
      </c>
      <c r="F1345" s="1778">
        <f>'Part VIII-Bldg Credit Alloc AR'!F33</f>
        <v>0</v>
      </c>
      <c r="G1345" s="1778">
        <f>'Part VIII-Bldg Credit Alloc AR'!G33</f>
        <v>0</v>
      </c>
      <c r="H1345" s="1778">
        <f>'Part VIII-Bldg Credit Alloc AR'!H33</f>
        <v>0</v>
      </c>
      <c r="I1345" s="1778">
        <f>'Part VIII-Bldg Credit Alloc AR'!I33</f>
        <v>0</v>
      </c>
      <c r="J1345" s="1776">
        <f>'Part VIII-Bldg Credit Alloc AR'!J33</f>
        <v>0</v>
      </c>
      <c r="K1345" s="1778">
        <f>'Part VIII-Bldg Credit Alloc AR'!K33</f>
        <v>0</v>
      </c>
      <c r="L1345" s="1779" t="e">
        <f t="shared" si="452"/>
        <v>#DIV/0!</v>
      </c>
      <c r="M1345" s="1778" t="e">
        <f t="shared" si="453"/>
        <v>#DIV/0!</v>
      </c>
      <c r="N1345" s="1777">
        <f>'Part VIII-Bldg Credit Alloc AR'!N33</f>
        <v>0</v>
      </c>
      <c r="O1345" s="1779">
        <f>'Part VIII-Bldg Credit Alloc AR'!O33</f>
        <v>0</v>
      </c>
      <c r="P1345" s="1778" t="e">
        <f t="shared" si="454"/>
        <v>#DIV/0!</v>
      </c>
      <c r="Q1345" s="1778" t="e">
        <f t="shared" si="455"/>
        <v>#DIV/0!</v>
      </c>
      <c r="R1345" s="1778" t="e">
        <f t="shared" si="456"/>
        <v>#DIV/0!</v>
      </c>
    </row>
    <row r="1346" spans="1:18">
      <c r="A1346" s="1658">
        <f>'Part VIII-Bldg Credit Alloc AR'!A34</f>
        <v>0</v>
      </c>
      <c r="B1346" s="1658"/>
      <c r="C1346" s="1658"/>
      <c r="D1346" s="1777">
        <f>'Part VIII-Bldg Credit Alloc AR'!D34</f>
        <v>0</v>
      </c>
      <c r="E1346" s="1778">
        <f>'Part VIII-Bldg Credit Alloc AR'!E34</f>
        <v>0</v>
      </c>
      <c r="F1346" s="1778">
        <f>'Part VIII-Bldg Credit Alloc AR'!F34</f>
        <v>0</v>
      </c>
      <c r="G1346" s="1778">
        <f>'Part VIII-Bldg Credit Alloc AR'!G34</f>
        <v>0</v>
      </c>
      <c r="H1346" s="1778">
        <f>'Part VIII-Bldg Credit Alloc AR'!H34</f>
        <v>0</v>
      </c>
      <c r="I1346" s="1778">
        <f>'Part VIII-Bldg Credit Alloc AR'!I34</f>
        <v>0</v>
      </c>
      <c r="J1346" s="1776">
        <f>'Part VIII-Bldg Credit Alloc AR'!J34</f>
        <v>0</v>
      </c>
      <c r="K1346" s="1778">
        <f>'Part VIII-Bldg Credit Alloc AR'!K34</f>
        <v>0</v>
      </c>
      <c r="L1346" s="1779" t="e">
        <f t="shared" si="452"/>
        <v>#DIV/0!</v>
      </c>
      <c r="M1346" s="1778" t="e">
        <f t="shared" si="453"/>
        <v>#DIV/0!</v>
      </c>
      <c r="N1346" s="1777">
        <f>'Part VIII-Bldg Credit Alloc AR'!N34</f>
        <v>0</v>
      </c>
      <c r="O1346" s="1779">
        <f>'Part VIII-Bldg Credit Alloc AR'!O34</f>
        <v>0</v>
      </c>
      <c r="P1346" s="1778" t="e">
        <f t="shared" si="454"/>
        <v>#DIV/0!</v>
      </c>
      <c r="Q1346" s="1778" t="e">
        <f t="shared" si="455"/>
        <v>#DIV/0!</v>
      </c>
      <c r="R1346" s="1778" t="e">
        <f t="shared" si="456"/>
        <v>#DIV/0!</v>
      </c>
    </row>
    <row r="1347" spans="1:18">
      <c r="A1347" s="1658">
        <f>'Part VIII-Bldg Credit Alloc AR'!A35</f>
        <v>0</v>
      </c>
      <c r="B1347" s="1658"/>
      <c r="C1347" s="1658"/>
      <c r="D1347" s="1777">
        <f>'Part VIII-Bldg Credit Alloc AR'!D35</f>
        <v>0</v>
      </c>
      <c r="E1347" s="1778">
        <f>'Part VIII-Bldg Credit Alloc AR'!E35</f>
        <v>0</v>
      </c>
      <c r="F1347" s="1778">
        <f>'Part VIII-Bldg Credit Alloc AR'!F35</f>
        <v>0</v>
      </c>
      <c r="G1347" s="1778">
        <f>'Part VIII-Bldg Credit Alloc AR'!G35</f>
        <v>0</v>
      </c>
      <c r="H1347" s="1778">
        <f>'Part VIII-Bldg Credit Alloc AR'!H35</f>
        <v>0</v>
      </c>
      <c r="I1347" s="1778">
        <f>'Part VIII-Bldg Credit Alloc AR'!I35</f>
        <v>0</v>
      </c>
      <c r="J1347" s="1776">
        <f>'Part VIII-Bldg Credit Alloc AR'!J35</f>
        <v>0</v>
      </c>
      <c r="K1347" s="1778">
        <f>'Part VIII-Bldg Credit Alloc AR'!K35</f>
        <v>0</v>
      </c>
      <c r="L1347" s="1779" t="e">
        <f t="shared" si="452"/>
        <v>#DIV/0!</v>
      </c>
      <c r="M1347" s="1778" t="e">
        <f t="shared" si="453"/>
        <v>#DIV/0!</v>
      </c>
      <c r="N1347" s="1777">
        <f>'Part VIII-Bldg Credit Alloc AR'!N35</f>
        <v>0</v>
      </c>
      <c r="O1347" s="1779">
        <f>'Part VIII-Bldg Credit Alloc AR'!O35</f>
        <v>0</v>
      </c>
      <c r="P1347" s="1778" t="e">
        <f t="shared" si="454"/>
        <v>#DIV/0!</v>
      </c>
      <c r="Q1347" s="1778" t="e">
        <f t="shared" si="455"/>
        <v>#DIV/0!</v>
      </c>
      <c r="R1347" s="1778" t="e">
        <f t="shared" si="456"/>
        <v>#DIV/0!</v>
      </c>
    </row>
    <row r="1348" spans="1:18">
      <c r="A1348" s="1658">
        <f>'Part VIII-Bldg Credit Alloc AR'!A36</f>
        <v>0</v>
      </c>
      <c r="B1348" s="1658"/>
      <c r="C1348" s="1658"/>
      <c r="D1348" s="1777">
        <f>'Part VIII-Bldg Credit Alloc AR'!D36</f>
        <v>0</v>
      </c>
      <c r="E1348" s="1778">
        <f>'Part VIII-Bldg Credit Alloc AR'!E36</f>
        <v>0</v>
      </c>
      <c r="F1348" s="1778">
        <f>'Part VIII-Bldg Credit Alloc AR'!F36</f>
        <v>0</v>
      </c>
      <c r="G1348" s="1778">
        <f>'Part VIII-Bldg Credit Alloc AR'!G36</f>
        <v>0</v>
      </c>
      <c r="H1348" s="1778">
        <f>'Part VIII-Bldg Credit Alloc AR'!H36</f>
        <v>0</v>
      </c>
      <c r="I1348" s="1778">
        <f>'Part VIII-Bldg Credit Alloc AR'!I36</f>
        <v>0</v>
      </c>
      <c r="J1348" s="1776">
        <f>'Part VIII-Bldg Credit Alloc AR'!J36</f>
        <v>0</v>
      </c>
      <c r="K1348" s="1778">
        <f>'Part VIII-Bldg Credit Alloc AR'!K36</f>
        <v>0</v>
      </c>
      <c r="L1348" s="1779" t="e">
        <f t="shared" si="452"/>
        <v>#DIV/0!</v>
      </c>
      <c r="M1348" s="1778" t="e">
        <f t="shared" si="453"/>
        <v>#DIV/0!</v>
      </c>
      <c r="N1348" s="1777">
        <f>'Part VIII-Bldg Credit Alloc AR'!N36</f>
        <v>0</v>
      </c>
      <c r="O1348" s="1779">
        <f>'Part VIII-Bldg Credit Alloc AR'!O36</f>
        <v>0</v>
      </c>
      <c r="P1348" s="1778" t="e">
        <f t="shared" si="454"/>
        <v>#DIV/0!</v>
      </c>
      <c r="Q1348" s="1778" t="e">
        <f t="shared" si="455"/>
        <v>#DIV/0!</v>
      </c>
      <c r="R1348" s="1778" t="e">
        <f t="shared" si="456"/>
        <v>#DIV/0!</v>
      </c>
    </row>
    <row r="1349" spans="1:18">
      <c r="A1349" s="1658">
        <f>'Part VIII-Bldg Credit Alloc AR'!A37</f>
        <v>0</v>
      </c>
      <c r="B1349" s="1658"/>
      <c r="C1349" s="1658"/>
      <c r="D1349" s="1777">
        <f>'Part VIII-Bldg Credit Alloc AR'!D37</f>
        <v>0</v>
      </c>
      <c r="E1349" s="1778">
        <f>'Part VIII-Bldg Credit Alloc AR'!E37</f>
        <v>0</v>
      </c>
      <c r="F1349" s="1778">
        <f>'Part VIII-Bldg Credit Alloc AR'!F37</f>
        <v>0</v>
      </c>
      <c r="G1349" s="1778">
        <f>'Part VIII-Bldg Credit Alloc AR'!G37</f>
        <v>0</v>
      </c>
      <c r="H1349" s="1778">
        <f>'Part VIII-Bldg Credit Alloc AR'!H37</f>
        <v>0</v>
      </c>
      <c r="I1349" s="1778">
        <f>'Part VIII-Bldg Credit Alloc AR'!I37</f>
        <v>0</v>
      </c>
      <c r="J1349" s="1776">
        <f>'Part VIII-Bldg Credit Alloc AR'!J37</f>
        <v>0</v>
      </c>
      <c r="K1349" s="1778">
        <f>'Part VIII-Bldg Credit Alloc AR'!K37</f>
        <v>0</v>
      </c>
      <c r="L1349" s="1779" t="e">
        <f t="shared" si="452"/>
        <v>#DIV/0!</v>
      </c>
      <c r="M1349" s="1778" t="e">
        <f t="shared" si="453"/>
        <v>#DIV/0!</v>
      </c>
      <c r="N1349" s="1777">
        <f>'Part VIII-Bldg Credit Alloc AR'!N37</f>
        <v>0</v>
      </c>
      <c r="O1349" s="1779">
        <f>'Part VIII-Bldg Credit Alloc AR'!O37</f>
        <v>0</v>
      </c>
      <c r="P1349" s="1778" t="e">
        <f t="shared" si="454"/>
        <v>#DIV/0!</v>
      </c>
      <c r="Q1349" s="1778" t="e">
        <f t="shared" si="455"/>
        <v>#DIV/0!</v>
      </c>
      <c r="R1349" s="1778" t="e">
        <f t="shared" si="456"/>
        <v>#DIV/0!</v>
      </c>
    </row>
    <row r="1350" spans="1:18">
      <c r="A1350" s="1658">
        <f>'Part VIII-Bldg Credit Alloc AR'!A38</f>
        <v>0</v>
      </c>
      <c r="B1350" s="1658"/>
      <c r="C1350" s="1658"/>
      <c r="D1350" s="1777">
        <f>'Part VIII-Bldg Credit Alloc AR'!D38</f>
        <v>0</v>
      </c>
      <c r="E1350" s="1778">
        <f>'Part VIII-Bldg Credit Alloc AR'!E38</f>
        <v>0</v>
      </c>
      <c r="F1350" s="1778">
        <f>'Part VIII-Bldg Credit Alloc AR'!F38</f>
        <v>0</v>
      </c>
      <c r="G1350" s="1778">
        <f>'Part VIII-Bldg Credit Alloc AR'!G38</f>
        <v>0</v>
      </c>
      <c r="H1350" s="1778">
        <f>'Part VIII-Bldg Credit Alloc AR'!H38</f>
        <v>0</v>
      </c>
      <c r="I1350" s="1778">
        <f>'Part VIII-Bldg Credit Alloc AR'!I38</f>
        <v>0</v>
      </c>
      <c r="J1350" s="1776">
        <f>'Part VIII-Bldg Credit Alloc AR'!J38</f>
        <v>0</v>
      </c>
      <c r="K1350" s="1778">
        <f>'Part VIII-Bldg Credit Alloc AR'!K38</f>
        <v>0</v>
      </c>
      <c r="L1350" s="1779" t="e">
        <f t="shared" si="452"/>
        <v>#DIV/0!</v>
      </c>
      <c r="M1350" s="1778" t="e">
        <f t="shared" si="453"/>
        <v>#DIV/0!</v>
      </c>
      <c r="N1350" s="1777">
        <f>'Part VIII-Bldg Credit Alloc AR'!N38</f>
        <v>0</v>
      </c>
      <c r="O1350" s="1779">
        <f>'Part VIII-Bldg Credit Alloc AR'!O38</f>
        <v>0</v>
      </c>
      <c r="P1350" s="1778" t="e">
        <f t="shared" si="454"/>
        <v>#DIV/0!</v>
      </c>
      <c r="Q1350" s="1778" t="e">
        <f t="shared" si="455"/>
        <v>#DIV/0!</v>
      </c>
      <c r="R1350" s="1778" t="e">
        <f t="shared" si="456"/>
        <v>#DIV/0!</v>
      </c>
    </row>
    <row r="1351" spans="1:18">
      <c r="A1351" s="1658">
        <f>'Part VIII-Bldg Credit Alloc AR'!A39</f>
        <v>0</v>
      </c>
      <c r="B1351" s="1658"/>
      <c r="C1351" s="1658"/>
      <c r="D1351" s="1777">
        <f>'Part VIII-Bldg Credit Alloc AR'!D39</f>
        <v>0</v>
      </c>
      <c r="E1351" s="1778">
        <f>'Part VIII-Bldg Credit Alloc AR'!E39</f>
        <v>0</v>
      </c>
      <c r="F1351" s="1778">
        <f>'Part VIII-Bldg Credit Alloc AR'!F39</f>
        <v>0</v>
      </c>
      <c r="G1351" s="1778">
        <f>'Part VIII-Bldg Credit Alloc AR'!G39</f>
        <v>0</v>
      </c>
      <c r="H1351" s="1778">
        <f>'Part VIII-Bldg Credit Alloc AR'!H39</f>
        <v>0</v>
      </c>
      <c r="I1351" s="1778">
        <f>'Part VIII-Bldg Credit Alloc AR'!I39</f>
        <v>0</v>
      </c>
      <c r="J1351" s="1776">
        <f>'Part VIII-Bldg Credit Alloc AR'!J39</f>
        <v>0</v>
      </c>
      <c r="K1351" s="1778">
        <f>'Part VIII-Bldg Credit Alloc AR'!K39</f>
        <v>0</v>
      </c>
      <c r="L1351" s="1779" t="e">
        <f t="shared" si="452"/>
        <v>#DIV/0!</v>
      </c>
      <c r="M1351" s="1778" t="e">
        <f t="shared" si="453"/>
        <v>#DIV/0!</v>
      </c>
      <c r="N1351" s="1777">
        <f>'Part VIII-Bldg Credit Alloc AR'!N39</f>
        <v>0</v>
      </c>
      <c r="O1351" s="1779">
        <f>'Part VIII-Bldg Credit Alloc AR'!O39</f>
        <v>0</v>
      </c>
      <c r="P1351" s="1778" t="e">
        <f t="shared" si="454"/>
        <v>#DIV/0!</v>
      </c>
      <c r="Q1351" s="1778" t="e">
        <f t="shared" si="455"/>
        <v>#DIV/0!</v>
      </c>
      <c r="R1351" s="1778" t="e">
        <f t="shared" si="456"/>
        <v>#DIV/0!</v>
      </c>
    </row>
    <row r="1352" spans="1:18">
      <c r="A1352" s="1658">
        <f>'Part VIII-Bldg Credit Alloc AR'!A40</f>
        <v>0</v>
      </c>
      <c r="B1352" s="1658"/>
      <c r="C1352" s="1658"/>
      <c r="D1352" s="1777">
        <f>'Part VIII-Bldg Credit Alloc AR'!D40</f>
        <v>0</v>
      </c>
      <c r="E1352" s="1778">
        <f>'Part VIII-Bldg Credit Alloc AR'!E40</f>
        <v>0</v>
      </c>
      <c r="F1352" s="1778">
        <f>'Part VIII-Bldg Credit Alloc AR'!F40</f>
        <v>0</v>
      </c>
      <c r="G1352" s="1778">
        <f>'Part VIII-Bldg Credit Alloc AR'!G40</f>
        <v>0</v>
      </c>
      <c r="H1352" s="1778">
        <f>'Part VIII-Bldg Credit Alloc AR'!H40</f>
        <v>0</v>
      </c>
      <c r="I1352" s="1778">
        <f>'Part VIII-Bldg Credit Alloc AR'!I40</f>
        <v>0</v>
      </c>
      <c r="J1352" s="1776">
        <f>'Part VIII-Bldg Credit Alloc AR'!J40</f>
        <v>0</v>
      </c>
      <c r="K1352" s="1778">
        <f>'Part VIII-Bldg Credit Alloc AR'!K40</f>
        <v>0</v>
      </c>
      <c r="L1352" s="1779" t="e">
        <f t="shared" si="452"/>
        <v>#DIV/0!</v>
      </c>
      <c r="M1352" s="1778" t="e">
        <f t="shared" si="453"/>
        <v>#DIV/0!</v>
      </c>
      <c r="N1352" s="1777">
        <f>'Part VIII-Bldg Credit Alloc AR'!N40</f>
        <v>0</v>
      </c>
      <c r="O1352" s="1779">
        <f>'Part VIII-Bldg Credit Alloc AR'!O40</f>
        <v>0</v>
      </c>
      <c r="P1352" s="1778" t="e">
        <f t="shared" si="454"/>
        <v>#DIV/0!</v>
      </c>
      <c r="Q1352" s="1778" t="e">
        <f t="shared" si="455"/>
        <v>#DIV/0!</v>
      </c>
      <c r="R1352" s="1778" t="e">
        <f>IF(P1352="","",ROUND(P1352,0))</f>
        <v>#DIV/0!</v>
      </c>
    </row>
    <row r="1353" spans="1:18">
      <c r="A1353" s="1658">
        <f>'Part VIII-Bldg Credit Alloc AR'!A41</f>
        <v>0</v>
      </c>
      <c r="B1353" s="1658"/>
      <c r="C1353" s="1658"/>
      <c r="D1353" s="1777">
        <f>'Part VIII-Bldg Credit Alloc AR'!D41</f>
        <v>0</v>
      </c>
      <c r="E1353" s="1778">
        <f>'Part VIII-Bldg Credit Alloc AR'!E41</f>
        <v>0</v>
      </c>
      <c r="F1353" s="1778">
        <f>'Part VIII-Bldg Credit Alloc AR'!F41</f>
        <v>0</v>
      </c>
      <c r="G1353" s="1778">
        <f>'Part VIII-Bldg Credit Alloc AR'!G41</f>
        <v>0</v>
      </c>
      <c r="H1353" s="1778">
        <f>'Part VIII-Bldg Credit Alloc AR'!H41</f>
        <v>0</v>
      </c>
      <c r="I1353" s="1778">
        <f>'Part VIII-Bldg Credit Alloc AR'!I41</f>
        <v>0</v>
      </c>
      <c r="J1353" s="1776">
        <f>'Part VIII-Bldg Credit Alloc AR'!J41</f>
        <v>0</v>
      </c>
      <c r="K1353" s="1778">
        <f>'Part VIII-Bldg Credit Alloc AR'!K41</f>
        <v>0</v>
      </c>
      <c r="L1353" s="1779" t="e">
        <f t="shared" si="452"/>
        <v>#DIV/0!</v>
      </c>
      <c r="M1353" s="1778" t="e">
        <f t="shared" si="453"/>
        <v>#DIV/0!</v>
      </c>
      <c r="N1353" s="1777">
        <f>'Part VIII-Bldg Credit Alloc AR'!N41</f>
        <v>0</v>
      </c>
      <c r="O1353" s="1779">
        <f>'Part VIII-Bldg Credit Alloc AR'!O41</f>
        <v>0</v>
      </c>
      <c r="P1353" s="1778" t="e">
        <f t="shared" si="454"/>
        <v>#DIV/0!</v>
      </c>
      <c r="Q1353" s="1778" t="e">
        <f t="shared" si="455"/>
        <v>#DIV/0!</v>
      </c>
      <c r="R1353" s="1778" t="e">
        <f t="shared" si="456"/>
        <v>#DIV/0!</v>
      </c>
    </row>
    <row r="1354" spans="1:18">
      <c r="A1354" s="1658">
        <f>'Part VIII-Bldg Credit Alloc AR'!A42</f>
        <v>0</v>
      </c>
      <c r="B1354" s="1658"/>
      <c r="C1354" s="1658"/>
      <c r="D1354" s="1777">
        <f>'Part VIII-Bldg Credit Alloc AR'!D42</f>
        <v>0</v>
      </c>
      <c r="E1354" s="1778">
        <f>'Part VIII-Bldg Credit Alloc AR'!E42</f>
        <v>0</v>
      </c>
      <c r="F1354" s="1778">
        <f>'Part VIII-Bldg Credit Alloc AR'!F42</f>
        <v>0</v>
      </c>
      <c r="G1354" s="1778">
        <f>'Part VIII-Bldg Credit Alloc AR'!G42</f>
        <v>0</v>
      </c>
      <c r="H1354" s="1778">
        <f>'Part VIII-Bldg Credit Alloc AR'!H42</f>
        <v>0</v>
      </c>
      <c r="I1354" s="1778">
        <f>'Part VIII-Bldg Credit Alloc AR'!I42</f>
        <v>0</v>
      </c>
      <c r="J1354" s="1776">
        <f>'Part VIII-Bldg Credit Alloc AR'!J42</f>
        <v>0</v>
      </c>
      <c r="K1354" s="1778">
        <f>'Part VIII-Bldg Credit Alloc AR'!K42</f>
        <v>0</v>
      </c>
      <c r="L1354" s="1779" t="e">
        <f t="shared" si="452"/>
        <v>#DIV/0!</v>
      </c>
      <c r="M1354" s="1778" t="e">
        <f t="shared" si="453"/>
        <v>#DIV/0!</v>
      </c>
      <c r="N1354" s="1777">
        <f>'Part VIII-Bldg Credit Alloc AR'!N42</f>
        <v>0</v>
      </c>
      <c r="O1354" s="1779">
        <f>'Part VIII-Bldg Credit Alloc AR'!O42</f>
        <v>0</v>
      </c>
      <c r="P1354" s="1778" t="e">
        <f t="shared" si="454"/>
        <v>#DIV/0!</v>
      </c>
      <c r="Q1354" s="1778" t="e">
        <f t="shared" si="455"/>
        <v>#DIV/0!</v>
      </c>
      <c r="R1354" s="1778" t="e">
        <f t="shared" si="456"/>
        <v>#DIV/0!</v>
      </c>
    </row>
    <row r="1355" spans="1:18">
      <c r="A1355" s="1658">
        <f>'Part VIII-Bldg Credit Alloc AR'!A43</f>
        <v>0</v>
      </c>
      <c r="B1355" s="1658"/>
      <c r="C1355" s="1658"/>
      <c r="D1355" s="1777">
        <f>'Part VIII-Bldg Credit Alloc AR'!D43</f>
        <v>0</v>
      </c>
      <c r="E1355" s="1778">
        <f>'Part VIII-Bldg Credit Alloc AR'!E43</f>
        <v>0</v>
      </c>
      <c r="F1355" s="1778">
        <f>'Part VIII-Bldg Credit Alloc AR'!F43</f>
        <v>0</v>
      </c>
      <c r="G1355" s="1778">
        <f>'Part VIII-Bldg Credit Alloc AR'!G43</f>
        <v>0</v>
      </c>
      <c r="H1355" s="1778">
        <f>'Part VIII-Bldg Credit Alloc AR'!H43</f>
        <v>0</v>
      </c>
      <c r="I1355" s="1778">
        <f>'Part VIII-Bldg Credit Alloc AR'!I43</f>
        <v>0</v>
      </c>
      <c r="J1355" s="1776">
        <f>'Part VIII-Bldg Credit Alloc AR'!J43</f>
        <v>0</v>
      </c>
      <c r="K1355" s="1778">
        <f>'Part VIII-Bldg Credit Alloc AR'!K43</f>
        <v>0</v>
      </c>
      <c r="L1355" s="1779" t="e">
        <f t="shared" si="452"/>
        <v>#DIV/0!</v>
      </c>
      <c r="M1355" s="1778" t="e">
        <f t="shared" si="453"/>
        <v>#DIV/0!</v>
      </c>
      <c r="N1355" s="1777">
        <f>'Part VIII-Bldg Credit Alloc AR'!N43</f>
        <v>0</v>
      </c>
      <c r="O1355" s="1779">
        <f>'Part VIII-Bldg Credit Alloc AR'!O43</f>
        <v>0</v>
      </c>
      <c r="P1355" s="1778" t="e">
        <f t="shared" si="454"/>
        <v>#DIV/0!</v>
      </c>
      <c r="Q1355" s="1778" t="e">
        <f t="shared" si="455"/>
        <v>#DIV/0!</v>
      </c>
      <c r="R1355" s="1778" t="e">
        <f t="shared" si="456"/>
        <v>#DIV/0!</v>
      </c>
    </row>
    <row r="1356" spans="1:18">
      <c r="A1356" s="1658">
        <f>'Part VIII-Bldg Credit Alloc AR'!A44</f>
        <v>0</v>
      </c>
      <c r="B1356" s="1658"/>
      <c r="C1356" s="1658"/>
      <c r="D1356" s="1777">
        <f>'Part VIII-Bldg Credit Alloc AR'!D44</f>
        <v>0</v>
      </c>
      <c r="E1356" s="1778">
        <f>'Part VIII-Bldg Credit Alloc AR'!E44</f>
        <v>0</v>
      </c>
      <c r="F1356" s="1778">
        <f>'Part VIII-Bldg Credit Alloc AR'!F44</f>
        <v>0</v>
      </c>
      <c r="G1356" s="1778">
        <f>'Part VIII-Bldg Credit Alloc AR'!G44</f>
        <v>0</v>
      </c>
      <c r="H1356" s="1778">
        <f>'Part VIII-Bldg Credit Alloc AR'!H44</f>
        <v>0</v>
      </c>
      <c r="I1356" s="1778">
        <f>'Part VIII-Bldg Credit Alloc AR'!I44</f>
        <v>0</v>
      </c>
      <c r="J1356" s="1776">
        <f>'Part VIII-Bldg Credit Alloc AR'!J44</f>
        <v>0</v>
      </c>
      <c r="K1356" s="1778">
        <f>'Part VIII-Bldg Credit Alloc AR'!K44</f>
        <v>0</v>
      </c>
      <c r="L1356" s="1779" t="e">
        <f t="shared" si="452"/>
        <v>#DIV/0!</v>
      </c>
      <c r="M1356" s="1778" t="e">
        <f t="shared" si="453"/>
        <v>#DIV/0!</v>
      </c>
      <c r="N1356" s="1777">
        <f>'Part VIII-Bldg Credit Alloc AR'!N44</f>
        <v>0</v>
      </c>
      <c r="O1356" s="1779">
        <f>'Part VIII-Bldg Credit Alloc AR'!O44</f>
        <v>0</v>
      </c>
      <c r="P1356" s="1778" t="e">
        <f t="shared" si="454"/>
        <v>#DIV/0!</v>
      </c>
      <c r="Q1356" s="1778" t="e">
        <f t="shared" si="455"/>
        <v>#DIV/0!</v>
      </c>
      <c r="R1356" s="1778" t="e">
        <f t="shared" si="456"/>
        <v>#DIV/0!</v>
      </c>
    </row>
    <row r="1357" spans="1:18">
      <c r="A1357" s="1715" t="s">
        <v>3690</v>
      </c>
      <c r="B1357" s="1780"/>
      <c r="C1357" s="1780"/>
      <c r="D1357" s="1777"/>
      <c r="E1357" s="1778">
        <f>SUM(E1322:E1356)</f>
        <v>0</v>
      </c>
      <c r="F1357" s="1778">
        <f>SUM(F1322:F1356)</f>
        <v>0</v>
      </c>
      <c r="G1357" s="1778">
        <f>SUM(G1322:G1356)</f>
        <v>0</v>
      </c>
      <c r="H1357" s="1778">
        <f>SUM(H1322:H1356)</f>
        <v>0</v>
      </c>
      <c r="I1357" s="1778">
        <f>SUM(I1322:I1356)</f>
        <v>0</v>
      </c>
      <c r="J1357" s="1658"/>
      <c r="K1357" s="1778">
        <f>SUM(K1322:K1356)</f>
        <v>0</v>
      </c>
      <c r="L1357" s="1779"/>
      <c r="M1357" s="1778" t="e">
        <f>SUM(M1322:M1356)</f>
        <v>#DIV/0!</v>
      </c>
      <c r="N1357" s="1777"/>
      <c r="O1357" s="1779"/>
      <c r="P1357" s="1778" t="e">
        <f>SUM(P1322:P1356)</f>
        <v>#DIV/0!</v>
      </c>
      <c r="Q1357" s="1778" t="e">
        <f>SUM(Q1322:Q1356)</f>
        <v>#DIV/0!</v>
      </c>
      <c r="R1357" s="1778" t="e">
        <f>SUM(R1322:R1356)</f>
        <v>#DIV/0!</v>
      </c>
    </row>
    <row r="1358" spans="1:18">
      <c r="A1358" s="1780"/>
      <c r="B1358" s="1780"/>
      <c r="C1358" s="1780"/>
      <c r="D1358" s="1777"/>
      <c r="E1358" s="1778"/>
      <c r="F1358" s="1778"/>
      <c r="G1358" s="1778"/>
      <c r="H1358" s="1778"/>
      <c r="I1358" s="1778"/>
      <c r="J1358" s="1658"/>
      <c r="K1358" s="1778"/>
      <c r="L1358" s="1779"/>
      <c r="M1358" s="1778"/>
      <c r="N1358" s="1779"/>
      <c r="O1358" s="1777"/>
      <c r="P1358" s="1778"/>
      <c r="Q1358" s="1778"/>
      <c r="R1358" s="1778"/>
    </row>
    <row r="1359" spans="1:18">
      <c r="A1359" s="1186"/>
      <c r="B1359" s="1186"/>
      <c r="C1359" s="1186"/>
      <c r="D1359" s="1186"/>
      <c r="E1359" s="1186"/>
      <c r="F1359" s="1186"/>
      <c r="G1359" s="1186"/>
      <c r="H1359" s="1186"/>
      <c r="I1359" s="1186"/>
      <c r="J1359" s="1186"/>
      <c r="K1359" s="1186"/>
      <c r="L1359" s="1186"/>
      <c r="M1359" s="1186"/>
      <c r="N1359" s="1186"/>
      <c r="O1359" s="1186"/>
      <c r="P1359" s="1186"/>
      <c r="Q1359" s="1186"/>
      <c r="R1359" s="1186"/>
    </row>
    <row r="1360" spans="1:18">
      <c r="A1360" s="1715" t="s">
        <v>3128</v>
      </c>
      <c r="B1360" s="1656"/>
      <c r="C1360" s="1771" t="str">
        <f>C1316</f>
        <v>Acquisition</v>
      </c>
      <c r="D1360" s="1781"/>
      <c r="E1360" s="1781"/>
      <c r="F1360" s="1713"/>
      <c r="G1360" s="1656"/>
      <c r="H1360" s="1656"/>
      <c r="I1360" s="1656"/>
      <c r="J1360" s="1656"/>
      <c r="K1360" s="1656"/>
      <c r="L1360" s="1657"/>
      <c r="M1360" s="1657"/>
      <c r="N1360" s="1657"/>
      <c r="O1360" s="1656"/>
      <c r="P1360" s="1656"/>
      <c r="Q1360" s="1656"/>
      <c r="R1360" s="1656"/>
    </row>
    <row r="1361" spans="1:18">
      <c r="A1361" s="1712" t="s">
        <v>3129</v>
      </c>
      <c r="B1361" s="1712"/>
      <c r="C1361" s="1712"/>
      <c r="D1361" s="1712"/>
      <c r="E1361" s="1712"/>
      <c r="F1361" s="1712"/>
      <c r="G1361" s="1712"/>
      <c r="H1361" s="1712"/>
      <c r="I1361" s="1712"/>
      <c r="J1361" s="1712"/>
      <c r="K1361" s="1712"/>
      <c r="L1361" s="1712"/>
      <c r="M1361" s="1712"/>
      <c r="N1361" s="1712"/>
      <c r="O1361" s="1712"/>
      <c r="P1361" s="1712"/>
      <c r="Q1361" s="1712"/>
      <c r="R1361" s="1712"/>
    </row>
    <row r="1362" spans="1:18" ht="13.5" customHeight="1">
      <c r="A1362" s="1772"/>
      <c r="B1362" s="1658"/>
      <c r="C1362" s="1658"/>
      <c r="D1362" s="1773"/>
      <c r="E1362" s="1773" t="s">
        <v>503</v>
      </c>
      <c r="F1362" s="1773" t="s">
        <v>503</v>
      </c>
      <c r="G1362" s="1773" t="s">
        <v>477</v>
      </c>
      <c r="H1362" s="1773" t="s">
        <v>3130</v>
      </c>
      <c r="I1362" s="1718"/>
      <c r="J1362" s="1773"/>
      <c r="K1362" s="1718"/>
      <c r="L1362" s="1718"/>
      <c r="M1362" s="1746"/>
      <c r="N1362" s="1773" t="s">
        <v>861</v>
      </c>
      <c r="O1362" s="1746"/>
      <c r="P1362" s="1746"/>
      <c r="Q1362" s="1774" t="s">
        <v>3719</v>
      </c>
      <c r="R1362" s="1774"/>
    </row>
    <row r="1363" spans="1:18" ht="13.5">
      <c r="A1363" s="1772"/>
      <c r="B1363" s="1658"/>
      <c r="C1363" s="1658"/>
      <c r="D1363" s="1773" t="s">
        <v>496</v>
      </c>
      <c r="E1363" s="1775" t="s">
        <v>152</v>
      </c>
      <c r="F1363" s="1773" t="s">
        <v>3132</v>
      </c>
      <c r="G1363" s="1773" t="s">
        <v>3133</v>
      </c>
      <c r="H1363" s="1773" t="s">
        <v>3134</v>
      </c>
      <c r="I1363" s="1773" t="s">
        <v>3135</v>
      </c>
      <c r="J1363" s="1692" t="s">
        <v>3136</v>
      </c>
      <c r="K1363" s="1773" t="s">
        <v>3135</v>
      </c>
      <c r="L1363" s="1773" t="s">
        <v>3135</v>
      </c>
      <c r="M1363" s="1773" t="s">
        <v>3135</v>
      </c>
      <c r="N1363" s="1773" t="s">
        <v>3137</v>
      </c>
      <c r="O1363" s="1773" t="s">
        <v>3138</v>
      </c>
      <c r="P1363" s="1773" t="s">
        <v>3139</v>
      </c>
      <c r="Q1363" s="1774"/>
      <c r="R1363" s="1774"/>
    </row>
    <row r="1364" spans="1:18" ht="13.5">
      <c r="A1364" s="1772"/>
      <c r="B1364" s="1658"/>
      <c r="C1364" s="1658"/>
      <c r="D1364" s="1773" t="s">
        <v>3140</v>
      </c>
      <c r="E1364" s="1773" t="s">
        <v>3141</v>
      </c>
      <c r="F1364" s="1773" t="s">
        <v>3110</v>
      </c>
      <c r="G1364" s="1773" t="s">
        <v>3134</v>
      </c>
      <c r="H1364" s="1773" t="s">
        <v>3110</v>
      </c>
      <c r="I1364" s="1773" t="s">
        <v>3142</v>
      </c>
      <c r="J1364" s="1692"/>
      <c r="K1364" s="1773" t="s">
        <v>3143</v>
      </c>
      <c r="L1364" s="1773" t="s">
        <v>3144</v>
      </c>
      <c r="M1364" s="1773" t="s">
        <v>3145</v>
      </c>
      <c r="N1364" s="1773" t="s">
        <v>3146</v>
      </c>
      <c r="O1364" s="1773" t="s">
        <v>3147</v>
      </c>
      <c r="P1364" s="1773" t="s">
        <v>3147</v>
      </c>
      <c r="Q1364" s="1773" t="s">
        <v>3135</v>
      </c>
      <c r="R1364" s="1773" t="s">
        <v>3148</v>
      </c>
    </row>
    <row r="1365" spans="1:18" ht="13.5">
      <c r="A1365" s="1772" t="s">
        <v>3149</v>
      </c>
      <c r="B1365" s="1658"/>
      <c r="C1365" s="1658"/>
      <c r="D1365" s="1773" t="s">
        <v>3150</v>
      </c>
      <c r="E1365" s="1773" t="s">
        <v>3151</v>
      </c>
      <c r="F1365" s="1773" t="s">
        <v>3152</v>
      </c>
      <c r="G1365" s="1773" t="s">
        <v>3151</v>
      </c>
      <c r="H1365" s="1773" t="s">
        <v>3152</v>
      </c>
      <c r="I1365" s="1773" t="s">
        <v>3153</v>
      </c>
      <c r="J1365" s="1776" t="s">
        <v>3154</v>
      </c>
      <c r="K1365" s="1773" t="s">
        <v>3153</v>
      </c>
      <c r="L1365" s="1773" t="s">
        <v>3155</v>
      </c>
      <c r="M1365" s="1773" t="s">
        <v>3153</v>
      </c>
      <c r="N1365" s="1773" t="s">
        <v>3156</v>
      </c>
      <c r="O1365" s="1773" t="s">
        <v>3157</v>
      </c>
      <c r="P1365" s="1773" t="s">
        <v>1793</v>
      </c>
      <c r="Q1365" s="1773" t="s">
        <v>1830</v>
      </c>
      <c r="R1365" s="1773" t="s">
        <v>1793</v>
      </c>
    </row>
    <row r="1366" spans="1:18">
      <c r="A1366" s="1658">
        <f>'Part VIII-Bldg Credit Alloc AR'!A54</f>
        <v>0</v>
      </c>
      <c r="B1366" s="1658"/>
      <c r="C1366" s="1658"/>
      <c r="D1366" s="1777">
        <f>'Part VIII-Bldg Credit Alloc AR'!D54</f>
        <v>0</v>
      </c>
      <c r="E1366" s="1778">
        <f>'Part VIII-Bldg Credit Alloc AR'!E54</f>
        <v>0</v>
      </c>
      <c r="F1366" s="1778">
        <f>'Part VIII-Bldg Credit Alloc AR'!F54</f>
        <v>0</v>
      </c>
      <c r="G1366" s="1778">
        <f>'Part VIII-Bldg Credit Alloc AR'!G54</f>
        <v>0</v>
      </c>
      <c r="H1366" s="1778">
        <f>'Part VIII-Bldg Credit Alloc AR'!H54</f>
        <v>0</v>
      </c>
      <c r="I1366" s="1778">
        <f>'Part VIII-Bldg Credit Alloc AR'!I54</f>
        <v>0</v>
      </c>
      <c r="J1366" s="1776">
        <f>'Part VIII-Bldg Credit Alloc AR'!J54</f>
        <v>0</v>
      </c>
      <c r="K1366" s="1778">
        <f>'Part VIII-Bldg Credit Alloc AR'!K54</f>
        <v>0</v>
      </c>
      <c r="L1366" s="1779" t="e">
        <f>IF(OR(E1366="",F1366=""),"",MIN(G1366/E1366,H1366/F1366))</f>
        <v>#DIV/0!</v>
      </c>
      <c r="M1366" s="1778" t="e">
        <f>IF(OR(E1366="",F1366=""),"",K1366*L1366)</f>
        <v>#DIV/0!</v>
      </c>
      <c r="N1366" s="1777">
        <f>'Part VIII-Bldg Credit Alloc AR'!N54</f>
        <v>0</v>
      </c>
      <c r="O1366" s="1779">
        <f>'Part VIII-Bldg Credit Alloc AR'!O54</f>
        <v>0</v>
      </c>
      <c r="P1366" s="1778" t="e">
        <f>IF(OR(M1366="",O1366=""),"",M1366*O1366)</f>
        <v>#DIV/0!</v>
      </c>
      <c r="Q1366" s="1778" t="e">
        <f>IF(M1366="","",ROUND(M1366,0))</f>
        <v>#DIV/0!</v>
      </c>
      <c r="R1366" s="1778" t="e">
        <f>IF(P1366="","",ROUND(P1366,0))</f>
        <v>#DIV/0!</v>
      </c>
    </row>
    <row r="1367" spans="1:18">
      <c r="A1367" s="1658">
        <f>'Part VIII-Bldg Credit Alloc AR'!A55</f>
        <v>0</v>
      </c>
      <c r="B1367" s="1658"/>
      <c r="C1367" s="1658"/>
      <c r="D1367" s="1777">
        <f>'Part VIII-Bldg Credit Alloc AR'!D55</f>
        <v>0</v>
      </c>
      <c r="E1367" s="1778">
        <f>'Part VIII-Bldg Credit Alloc AR'!E55</f>
        <v>0</v>
      </c>
      <c r="F1367" s="1778">
        <f>'Part VIII-Bldg Credit Alloc AR'!F55</f>
        <v>0</v>
      </c>
      <c r="G1367" s="1778">
        <f>'Part VIII-Bldg Credit Alloc AR'!G55</f>
        <v>0</v>
      </c>
      <c r="H1367" s="1778">
        <f>'Part VIII-Bldg Credit Alloc AR'!H55</f>
        <v>0</v>
      </c>
      <c r="I1367" s="1778">
        <f>'Part VIII-Bldg Credit Alloc AR'!I55</f>
        <v>0</v>
      </c>
      <c r="J1367" s="1776">
        <f>'Part VIII-Bldg Credit Alloc AR'!J55</f>
        <v>0</v>
      </c>
      <c r="K1367" s="1778">
        <f>'Part VIII-Bldg Credit Alloc AR'!K55</f>
        <v>0</v>
      </c>
      <c r="L1367" s="1779" t="e">
        <f t="shared" ref="L1367:L1400" si="457">IF(OR(E1367="",F1367=""),"",MIN(G1367/E1367,H1367/F1367))</f>
        <v>#DIV/0!</v>
      </c>
      <c r="M1367" s="1778" t="e">
        <f t="shared" ref="M1367:M1400" si="458">IF(OR(E1367="",F1367=""),"",K1367*L1367)</f>
        <v>#DIV/0!</v>
      </c>
      <c r="N1367" s="1777">
        <f>'Part VIII-Bldg Credit Alloc AR'!N55</f>
        <v>0</v>
      </c>
      <c r="O1367" s="1779">
        <f>'Part VIII-Bldg Credit Alloc AR'!O55</f>
        <v>0</v>
      </c>
      <c r="P1367" s="1778" t="e">
        <f t="shared" ref="P1367:P1400" si="459">IF(OR(M1367="",O1367=""),"",M1367*O1367)</f>
        <v>#DIV/0!</v>
      </c>
      <c r="Q1367" s="1778" t="e">
        <f t="shared" ref="Q1367:Q1400" si="460">IF(M1367="","",ROUND(M1367,0))</f>
        <v>#DIV/0!</v>
      </c>
      <c r="R1367" s="1778" t="e">
        <f t="shared" ref="R1367:R1400" si="461">IF(P1367="","",ROUND(P1367,0))</f>
        <v>#DIV/0!</v>
      </c>
    </row>
    <row r="1368" spans="1:18">
      <c r="A1368" s="1658">
        <f>'Part VIII-Bldg Credit Alloc AR'!A56</f>
        <v>0</v>
      </c>
      <c r="B1368" s="1658"/>
      <c r="C1368" s="1658"/>
      <c r="D1368" s="1777">
        <f>'Part VIII-Bldg Credit Alloc AR'!D56</f>
        <v>0</v>
      </c>
      <c r="E1368" s="1778">
        <f>'Part VIII-Bldg Credit Alloc AR'!E56</f>
        <v>0</v>
      </c>
      <c r="F1368" s="1778">
        <f>'Part VIII-Bldg Credit Alloc AR'!F56</f>
        <v>0</v>
      </c>
      <c r="G1368" s="1778">
        <f>'Part VIII-Bldg Credit Alloc AR'!G56</f>
        <v>0</v>
      </c>
      <c r="H1368" s="1778">
        <f>'Part VIII-Bldg Credit Alloc AR'!H56</f>
        <v>0</v>
      </c>
      <c r="I1368" s="1778">
        <f>'Part VIII-Bldg Credit Alloc AR'!I56</f>
        <v>0</v>
      </c>
      <c r="J1368" s="1776">
        <f>'Part VIII-Bldg Credit Alloc AR'!J56</f>
        <v>0</v>
      </c>
      <c r="K1368" s="1778">
        <f>'Part VIII-Bldg Credit Alloc AR'!K56</f>
        <v>0</v>
      </c>
      <c r="L1368" s="1779" t="e">
        <f t="shared" si="457"/>
        <v>#DIV/0!</v>
      </c>
      <c r="M1368" s="1778" t="e">
        <f t="shared" si="458"/>
        <v>#DIV/0!</v>
      </c>
      <c r="N1368" s="1777">
        <f>'Part VIII-Bldg Credit Alloc AR'!N56</f>
        <v>0</v>
      </c>
      <c r="O1368" s="1779">
        <f>'Part VIII-Bldg Credit Alloc AR'!O56</f>
        <v>0</v>
      </c>
      <c r="P1368" s="1778" t="e">
        <f t="shared" si="459"/>
        <v>#DIV/0!</v>
      </c>
      <c r="Q1368" s="1778" t="e">
        <f t="shared" si="460"/>
        <v>#DIV/0!</v>
      </c>
      <c r="R1368" s="1778" t="e">
        <f t="shared" si="461"/>
        <v>#DIV/0!</v>
      </c>
    </row>
    <row r="1369" spans="1:18">
      <c r="A1369" s="1658">
        <f>'Part VIII-Bldg Credit Alloc AR'!A57</f>
        <v>0</v>
      </c>
      <c r="B1369" s="1658"/>
      <c r="C1369" s="1658"/>
      <c r="D1369" s="1777">
        <f>'Part VIII-Bldg Credit Alloc AR'!D57</f>
        <v>0</v>
      </c>
      <c r="E1369" s="1778">
        <f>'Part VIII-Bldg Credit Alloc AR'!E57</f>
        <v>0</v>
      </c>
      <c r="F1369" s="1778">
        <f>'Part VIII-Bldg Credit Alloc AR'!F57</f>
        <v>0</v>
      </c>
      <c r="G1369" s="1778">
        <f>'Part VIII-Bldg Credit Alloc AR'!G57</f>
        <v>0</v>
      </c>
      <c r="H1369" s="1778">
        <f>'Part VIII-Bldg Credit Alloc AR'!H57</f>
        <v>0</v>
      </c>
      <c r="I1369" s="1778">
        <f>'Part VIII-Bldg Credit Alloc AR'!I57</f>
        <v>0</v>
      </c>
      <c r="J1369" s="1776">
        <f>'Part VIII-Bldg Credit Alloc AR'!J57</f>
        <v>0</v>
      </c>
      <c r="K1369" s="1778">
        <f>'Part VIII-Bldg Credit Alloc AR'!K57</f>
        <v>0</v>
      </c>
      <c r="L1369" s="1779" t="e">
        <f t="shared" si="457"/>
        <v>#DIV/0!</v>
      </c>
      <c r="M1369" s="1778" t="e">
        <f t="shared" si="458"/>
        <v>#DIV/0!</v>
      </c>
      <c r="N1369" s="1777">
        <f>'Part VIII-Bldg Credit Alloc AR'!N57</f>
        <v>0</v>
      </c>
      <c r="O1369" s="1779">
        <f>'Part VIII-Bldg Credit Alloc AR'!O57</f>
        <v>0</v>
      </c>
      <c r="P1369" s="1778" t="e">
        <f t="shared" si="459"/>
        <v>#DIV/0!</v>
      </c>
      <c r="Q1369" s="1778" t="e">
        <f t="shared" si="460"/>
        <v>#DIV/0!</v>
      </c>
      <c r="R1369" s="1778" t="e">
        <f t="shared" si="461"/>
        <v>#DIV/0!</v>
      </c>
    </row>
    <row r="1370" spans="1:18">
      <c r="A1370" s="1658">
        <f>'Part VIII-Bldg Credit Alloc AR'!A58</f>
        <v>0</v>
      </c>
      <c r="B1370" s="1658"/>
      <c r="C1370" s="1658"/>
      <c r="D1370" s="1777">
        <f>'Part VIII-Bldg Credit Alloc AR'!D58</f>
        <v>0</v>
      </c>
      <c r="E1370" s="1778">
        <f>'Part VIII-Bldg Credit Alloc AR'!E58</f>
        <v>0</v>
      </c>
      <c r="F1370" s="1778">
        <f>'Part VIII-Bldg Credit Alloc AR'!F58</f>
        <v>0</v>
      </c>
      <c r="G1370" s="1778">
        <f>'Part VIII-Bldg Credit Alloc AR'!G58</f>
        <v>0</v>
      </c>
      <c r="H1370" s="1778">
        <f>'Part VIII-Bldg Credit Alloc AR'!H58</f>
        <v>0</v>
      </c>
      <c r="I1370" s="1778">
        <f>'Part VIII-Bldg Credit Alloc AR'!I58</f>
        <v>0</v>
      </c>
      <c r="J1370" s="1776">
        <f>'Part VIII-Bldg Credit Alloc AR'!J58</f>
        <v>0</v>
      </c>
      <c r="K1370" s="1778">
        <f>'Part VIII-Bldg Credit Alloc AR'!K58</f>
        <v>0</v>
      </c>
      <c r="L1370" s="1779" t="e">
        <f t="shared" si="457"/>
        <v>#DIV/0!</v>
      </c>
      <c r="M1370" s="1778" t="e">
        <f t="shared" si="458"/>
        <v>#DIV/0!</v>
      </c>
      <c r="N1370" s="1777">
        <f>'Part VIII-Bldg Credit Alloc AR'!N58</f>
        <v>0</v>
      </c>
      <c r="O1370" s="1779">
        <f>'Part VIII-Bldg Credit Alloc AR'!O58</f>
        <v>0</v>
      </c>
      <c r="P1370" s="1778" t="e">
        <f t="shared" si="459"/>
        <v>#DIV/0!</v>
      </c>
      <c r="Q1370" s="1778" t="e">
        <f t="shared" si="460"/>
        <v>#DIV/0!</v>
      </c>
      <c r="R1370" s="1778" t="e">
        <f t="shared" si="461"/>
        <v>#DIV/0!</v>
      </c>
    </row>
    <row r="1371" spans="1:18">
      <c r="A1371" s="1658">
        <f>'Part VIII-Bldg Credit Alloc AR'!A59</f>
        <v>0</v>
      </c>
      <c r="B1371" s="1658"/>
      <c r="C1371" s="1658"/>
      <c r="D1371" s="1777">
        <f>'Part VIII-Bldg Credit Alloc AR'!D59</f>
        <v>0</v>
      </c>
      <c r="E1371" s="1778">
        <f>'Part VIII-Bldg Credit Alloc AR'!E59</f>
        <v>0</v>
      </c>
      <c r="F1371" s="1778">
        <f>'Part VIII-Bldg Credit Alloc AR'!F59</f>
        <v>0</v>
      </c>
      <c r="G1371" s="1778">
        <f>'Part VIII-Bldg Credit Alloc AR'!G59</f>
        <v>0</v>
      </c>
      <c r="H1371" s="1778">
        <f>'Part VIII-Bldg Credit Alloc AR'!H59</f>
        <v>0</v>
      </c>
      <c r="I1371" s="1778">
        <f>'Part VIII-Bldg Credit Alloc AR'!I59</f>
        <v>0</v>
      </c>
      <c r="J1371" s="1776">
        <f>'Part VIII-Bldg Credit Alloc AR'!J59</f>
        <v>0</v>
      </c>
      <c r="K1371" s="1778">
        <f>'Part VIII-Bldg Credit Alloc AR'!K59</f>
        <v>0</v>
      </c>
      <c r="L1371" s="1779" t="e">
        <f t="shared" si="457"/>
        <v>#DIV/0!</v>
      </c>
      <c r="M1371" s="1778" t="e">
        <f t="shared" si="458"/>
        <v>#DIV/0!</v>
      </c>
      <c r="N1371" s="1777">
        <f>'Part VIII-Bldg Credit Alloc AR'!N59</f>
        <v>0</v>
      </c>
      <c r="O1371" s="1779">
        <f>'Part VIII-Bldg Credit Alloc AR'!O59</f>
        <v>0</v>
      </c>
      <c r="P1371" s="1778" t="e">
        <f t="shared" si="459"/>
        <v>#DIV/0!</v>
      </c>
      <c r="Q1371" s="1778" t="e">
        <f t="shared" si="460"/>
        <v>#DIV/0!</v>
      </c>
      <c r="R1371" s="1778" t="e">
        <f t="shared" si="461"/>
        <v>#DIV/0!</v>
      </c>
    </row>
    <row r="1372" spans="1:18">
      <c r="A1372" s="1658">
        <f>'Part VIII-Bldg Credit Alloc AR'!A60</f>
        <v>0</v>
      </c>
      <c r="B1372" s="1658"/>
      <c r="C1372" s="1658"/>
      <c r="D1372" s="1777">
        <f>'Part VIII-Bldg Credit Alloc AR'!D60</f>
        <v>0</v>
      </c>
      <c r="E1372" s="1778">
        <f>'Part VIII-Bldg Credit Alloc AR'!E60</f>
        <v>0</v>
      </c>
      <c r="F1372" s="1778">
        <f>'Part VIII-Bldg Credit Alloc AR'!F60</f>
        <v>0</v>
      </c>
      <c r="G1372" s="1778">
        <f>'Part VIII-Bldg Credit Alloc AR'!G60</f>
        <v>0</v>
      </c>
      <c r="H1372" s="1778">
        <f>'Part VIII-Bldg Credit Alloc AR'!H60</f>
        <v>0</v>
      </c>
      <c r="I1372" s="1778">
        <f>'Part VIII-Bldg Credit Alloc AR'!I60</f>
        <v>0</v>
      </c>
      <c r="J1372" s="1776">
        <f>'Part VIII-Bldg Credit Alloc AR'!J60</f>
        <v>0</v>
      </c>
      <c r="K1372" s="1778">
        <f>'Part VIII-Bldg Credit Alloc AR'!K60</f>
        <v>0</v>
      </c>
      <c r="L1372" s="1779" t="e">
        <f t="shared" si="457"/>
        <v>#DIV/0!</v>
      </c>
      <c r="M1372" s="1778" t="e">
        <f t="shared" si="458"/>
        <v>#DIV/0!</v>
      </c>
      <c r="N1372" s="1777">
        <f>'Part VIII-Bldg Credit Alloc AR'!N60</f>
        <v>0</v>
      </c>
      <c r="O1372" s="1779">
        <f>'Part VIII-Bldg Credit Alloc AR'!O60</f>
        <v>0</v>
      </c>
      <c r="P1372" s="1778" t="e">
        <f t="shared" si="459"/>
        <v>#DIV/0!</v>
      </c>
      <c r="Q1372" s="1778" t="e">
        <f t="shared" si="460"/>
        <v>#DIV/0!</v>
      </c>
      <c r="R1372" s="1778" t="e">
        <f t="shared" si="461"/>
        <v>#DIV/0!</v>
      </c>
    </row>
    <row r="1373" spans="1:18">
      <c r="A1373" s="1658">
        <f>'Part VIII-Bldg Credit Alloc AR'!A61</f>
        <v>0</v>
      </c>
      <c r="B1373" s="1658"/>
      <c r="C1373" s="1658"/>
      <c r="D1373" s="1777">
        <f>'Part VIII-Bldg Credit Alloc AR'!D61</f>
        <v>0</v>
      </c>
      <c r="E1373" s="1778">
        <f>'Part VIII-Bldg Credit Alloc AR'!E61</f>
        <v>0</v>
      </c>
      <c r="F1373" s="1778">
        <f>'Part VIII-Bldg Credit Alloc AR'!F61</f>
        <v>0</v>
      </c>
      <c r="G1373" s="1778">
        <f>'Part VIII-Bldg Credit Alloc AR'!G61</f>
        <v>0</v>
      </c>
      <c r="H1373" s="1778">
        <f>'Part VIII-Bldg Credit Alloc AR'!H61</f>
        <v>0</v>
      </c>
      <c r="I1373" s="1778">
        <f>'Part VIII-Bldg Credit Alloc AR'!I61</f>
        <v>0</v>
      </c>
      <c r="J1373" s="1776">
        <f>'Part VIII-Bldg Credit Alloc AR'!J61</f>
        <v>0</v>
      </c>
      <c r="K1373" s="1778">
        <f>'Part VIII-Bldg Credit Alloc AR'!K61</f>
        <v>0</v>
      </c>
      <c r="L1373" s="1779" t="e">
        <f t="shared" si="457"/>
        <v>#DIV/0!</v>
      </c>
      <c r="M1373" s="1778" t="e">
        <f t="shared" si="458"/>
        <v>#DIV/0!</v>
      </c>
      <c r="N1373" s="1777">
        <f>'Part VIII-Bldg Credit Alloc AR'!N61</f>
        <v>0</v>
      </c>
      <c r="O1373" s="1779">
        <f>'Part VIII-Bldg Credit Alloc AR'!O61</f>
        <v>0</v>
      </c>
      <c r="P1373" s="1778" t="e">
        <f t="shared" si="459"/>
        <v>#DIV/0!</v>
      </c>
      <c r="Q1373" s="1778" t="e">
        <f t="shared" si="460"/>
        <v>#DIV/0!</v>
      </c>
      <c r="R1373" s="1778" t="e">
        <f t="shared" si="461"/>
        <v>#DIV/0!</v>
      </c>
    </row>
    <row r="1374" spans="1:18">
      <c r="A1374" s="1658">
        <f>'Part VIII-Bldg Credit Alloc AR'!A62</f>
        <v>0</v>
      </c>
      <c r="B1374" s="1658"/>
      <c r="C1374" s="1658"/>
      <c r="D1374" s="1777">
        <f>'Part VIII-Bldg Credit Alloc AR'!D62</f>
        <v>0</v>
      </c>
      <c r="E1374" s="1778">
        <f>'Part VIII-Bldg Credit Alloc AR'!E62</f>
        <v>0</v>
      </c>
      <c r="F1374" s="1778">
        <f>'Part VIII-Bldg Credit Alloc AR'!F62</f>
        <v>0</v>
      </c>
      <c r="G1374" s="1778">
        <f>'Part VIII-Bldg Credit Alloc AR'!G62</f>
        <v>0</v>
      </c>
      <c r="H1374" s="1778">
        <f>'Part VIII-Bldg Credit Alloc AR'!H62</f>
        <v>0</v>
      </c>
      <c r="I1374" s="1778">
        <f>'Part VIII-Bldg Credit Alloc AR'!I62</f>
        <v>0</v>
      </c>
      <c r="J1374" s="1776">
        <f>'Part VIII-Bldg Credit Alloc AR'!J62</f>
        <v>0</v>
      </c>
      <c r="K1374" s="1778">
        <f>'Part VIII-Bldg Credit Alloc AR'!K62</f>
        <v>0</v>
      </c>
      <c r="L1374" s="1779" t="e">
        <f t="shared" si="457"/>
        <v>#DIV/0!</v>
      </c>
      <c r="M1374" s="1778" t="e">
        <f t="shared" si="458"/>
        <v>#DIV/0!</v>
      </c>
      <c r="N1374" s="1777">
        <f>'Part VIII-Bldg Credit Alloc AR'!N62</f>
        <v>0</v>
      </c>
      <c r="O1374" s="1779">
        <f>'Part VIII-Bldg Credit Alloc AR'!O62</f>
        <v>0</v>
      </c>
      <c r="P1374" s="1778" t="e">
        <f t="shared" si="459"/>
        <v>#DIV/0!</v>
      </c>
      <c r="Q1374" s="1778" t="e">
        <f t="shared" si="460"/>
        <v>#DIV/0!</v>
      </c>
      <c r="R1374" s="1778" t="e">
        <f t="shared" si="461"/>
        <v>#DIV/0!</v>
      </c>
    </row>
    <row r="1375" spans="1:18">
      <c r="A1375" s="1658">
        <f>'Part VIII-Bldg Credit Alloc AR'!A63</f>
        <v>0</v>
      </c>
      <c r="B1375" s="1658"/>
      <c r="C1375" s="1658"/>
      <c r="D1375" s="1777">
        <f>'Part VIII-Bldg Credit Alloc AR'!D63</f>
        <v>0</v>
      </c>
      <c r="E1375" s="1778">
        <f>'Part VIII-Bldg Credit Alloc AR'!E63</f>
        <v>0</v>
      </c>
      <c r="F1375" s="1778">
        <f>'Part VIII-Bldg Credit Alloc AR'!F63</f>
        <v>0</v>
      </c>
      <c r="G1375" s="1778">
        <f>'Part VIII-Bldg Credit Alloc AR'!G63</f>
        <v>0</v>
      </c>
      <c r="H1375" s="1778">
        <f>'Part VIII-Bldg Credit Alloc AR'!H63</f>
        <v>0</v>
      </c>
      <c r="I1375" s="1778">
        <f>'Part VIII-Bldg Credit Alloc AR'!I63</f>
        <v>0</v>
      </c>
      <c r="J1375" s="1776">
        <f>'Part VIII-Bldg Credit Alloc AR'!J63</f>
        <v>0</v>
      </c>
      <c r="K1375" s="1778">
        <f>'Part VIII-Bldg Credit Alloc AR'!K63</f>
        <v>0</v>
      </c>
      <c r="L1375" s="1779" t="e">
        <f t="shared" si="457"/>
        <v>#DIV/0!</v>
      </c>
      <c r="M1375" s="1778" t="e">
        <f t="shared" si="458"/>
        <v>#DIV/0!</v>
      </c>
      <c r="N1375" s="1777">
        <f>'Part VIII-Bldg Credit Alloc AR'!N63</f>
        <v>0</v>
      </c>
      <c r="O1375" s="1779">
        <f>'Part VIII-Bldg Credit Alloc AR'!O63</f>
        <v>0</v>
      </c>
      <c r="P1375" s="1778" t="e">
        <f t="shared" si="459"/>
        <v>#DIV/0!</v>
      </c>
      <c r="Q1375" s="1778" t="e">
        <f t="shared" si="460"/>
        <v>#DIV/0!</v>
      </c>
      <c r="R1375" s="1778" t="e">
        <f t="shared" si="461"/>
        <v>#DIV/0!</v>
      </c>
    </row>
    <row r="1376" spans="1:18">
      <c r="A1376" s="1658">
        <f>'Part VIII-Bldg Credit Alloc AR'!A64</f>
        <v>0</v>
      </c>
      <c r="B1376" s="1658"/>
      <c r="C1376" s="1658"/>
      <c r="D1376" s="1777">
        <f>'Part VIII-Bldg Credit Alloc AR'!D64</f>
        <v>0</v>
      </c>
      <c r="E1376" s="1778">
        <f>'Part VIII-Bldg Credit Alloc AR'!E64</f>
        <v>0</v>
      </c>
      <c r="F1376" s="1778">
        <f>'Part VIII-Bldg Credit Alloc AR'!F64</f>
        <v>0</v>
      </c>
      <c r="G1376" s="1778">
        <f>'Part VIII-Bldg Credit Alloc AR'!G64</f>
        <v>0</v>
      </c>
      <c r="H1376" s="1778">
        <f>'Part VIII-Bldg Credit Alloc AR'!H64</f>
        <v>0</v>
      </c>
      <c r="I1376" s="1778">
        <f>'Part VIII-Bldg Credit Alloc AR'!I64</f>
        <v>0</v>
      </c>
      <c r="J1376" s="1776">
        <f>'Part VIII-Bldg Credit Alloc AR'!J64</f>
        <v>0</v>
      </c>
      <c r="K1376" s="1778">
        <f>'Part VIII-Bldg Credit Alloc AR'!K64</f>
        <v>0</v>
      </c>
      <c r="L1376" s="1779" t="e">
        <f t="shared" si="457"/>
        <v>#DIV/0!</v>
      </c>
      <c r="M1376" s="1778" t="e">
        <f t="shared" si="458"/>
        <v>#DIV/0!</v>
      </c>
      <c r="N1376" s="1777">
        <f>'Part VIII-Bldg Credit Alloc AR'!N64</f>
        <v>0</v>
      </c>
      <c r="O1376" s="1779">
        <f>'Part VIII-Bldg Credit Alloc AR'!O64</f>
        <v>0</v>
      </c>
      <c r="P1376" s="1778" t="e">
        <f t="shared" si="459"/>
        <v>#DIV/0!</v>
      </c>
      <c r="Q1376" s="1778" t="e">
        <f t="shared" si="460"/>
        <v>#DIV/0!</v>
      </c>
      <c r="R1376" s="1778" t="e">
        <f t="shared" si="461"/>
        <v>#DIV/0!</v>
      </c>
    </row>
    <row r="1377" spans="1:18">
      <c r="A1377" s="1658">
        <f>'Part VIII-Bldg Credit Alloc AR'!A65</f>
        <v>0</v>
      </c>
      <c r="B1377" s="1658"/>
      <c r="C1377" s="1658"/>
      <c r="D1377" s="1777">
        <f>'Part VIII-Bldg Credit Alloc AR'!D65</f>
        <v>0</v>
      </c>
      <c r="E1377" s="1778">
        <f>'Part VIII-Bldg Credit Alloc AR'!E65</f>
        <v>0</v>
      </c>
      <c r="F1377" s="1778">
        <f>'Part VIII-Bldg Credit Alloc AR'!F65</f>
        <v>0</v>
      </c>
      <c r="G1377" s="1778">
        <f>'Part VIII-Bldg Credit Alloc AR'!G65</f>
        <v>0</v>
      </c>
      <c r="H1377" s="1778">
        <f>'Part VIII-Bldg Credit Alloc AR'!H65</f>
        <v>0</v>
      </c>
      <c r="I1377" s="1778">
        <f>'Part VIII-Bldg Credit Alloc AR'!I65</f>
        <v>0</v>
      </c>
      <c r="J1377" s="1776">
        <f>'Part VIII-Bldg Credit Alloc AR'!J65</f>
        <v>0</v>
      </c>
      <c r="K1377" s="1778">
        <f>'Part VIII-Bldg Credit Alloc AR'!K65</f>
        <v>0</v>
      </c>
      <c r="L1377" s="1779" t="e">
        <f t="shared" si="457"/>
        <v>#DIV/0!</v>
      </c>
      <c r="M1377" s="1778" t="e">
        <f t="shared" si="458"/>
        <v>#DIV/0!</v>
      </c>
      <c r="N1377" s="1777">
        <f>'Part VIII-Bldg Credit Alloc AR'!N65</f>
        <v>0</v>
      </c>
      <c r="O1377" s="1779">
        <f>'Part VIII-Bldg Credit Alloc AR'!O65</f>
        <v>0</v>
      </c>
      <c r="P1377" s="1778" t="e">
        <f t="shared" si="459"/>
        <v>#DIV/0!</v>
      </c>
      <c r="Q1377" s="1778" t="e">
        <f t="shared" si="460"/>
        <v>#DIV/0!</v>
      </c>
      <c r="R1377" s="1778" t="e">
        <f t="shared" si="461"/>
        <v>#DIV/0!</v>
      </c>
    </row>
    <row r="1378" spans="1:18">
      <c r="A1378" s="1658">
        <f>'Part VIII-Bldg Credit Alloc AR'!A66</f>
        <v>0</v>
      </c>
      <c r="B1378" s="1658"/>
      <c r="C1378" s="1658"/>
      <c r="D1378" s="1777">
        <f>'Part VIII-Bldg Credit Alloc AR'!D66</f>
        <v>0</v>
      </c>
      <c r="E1378" s="1778">
        <f>'Part VIII-Bldg Credit Alloc AR'!E66</f>
        <v>0</v>
      </c>
      <c r="F1378" s="1778">
        <f>'Part VIII-Bldg Credit Alloc AR'!F66</f>
        <v>0</v>
      </c>
      <c r="G1378" s="1778">
        <f>'Part VIII-Bldg Credit Alloc AR'!G66</f>
        <v>0</v>
      </c>
      <c r="H1378" s="1778">
        <f>'Part VIII-Bldg Credit Alloc AR'!H66</f>
        <v>0</v>
      </c>
      <c r="I1378" s="1778">
        <f>'Part VIII-Bldg Credit Alloc AR'!I66</f>
        <v>0</v>
      </c>
      <c r="J1378" s="1776">
        <f>'Part VIII-Bldg Credit Alloc AR'!J66</f>
        <v>0</v>
      </c>
      <c r="K1378" s="1778">
        <f>'Part VIII-Bldg Credit Alloc AR'!K66</f>
        <v>0</v>
      </c>
      <c r="L1378" s="1779" t="e">
        <f t="shared" si="457"/>
        <v>#DIV/0!</v>
      </c>
      <c r="M1378" s="1778" t="e">
        <f t="shared" si="458"/>
        <v>#DIV/0!</v>
      </c>
      <c r="N1378" s="1777">
        <f>'Part VIII-Bldg Credit Alloc AR'!N66</f>
        <v>0</v>
      </c>
      <c r="O1378" s="1779">
        <f>'Part VIII-Bldg Credit Alloc AR'!O66</f>
        <v>0</v>
      </c>
      <c r="P1378" s="1778" t="e">
        <f t="shared" si="459"/>
        <v>#DIV/0!</v>
      </c>
      <c r="Q1378" s="1778" t="e">
        <f t="shared" si="460"/>
        <v>#DIV/0!</v>
      </c>
      <c r="R1378" s="1778" t="e">
        <f t="shared" si="461"/>
        <v>#DIV/0!</v>
      </c>
    </row>
    <row r="1379" spans="1:18">
      <c r="A1379" s="1658">
        <f>'Part VIII-Bldg Credit Alloc AR'!A67</f>
        <v>0</v>
      </c>
      <c r="B1379" s="1658"/>
      <c r="C1379" s="1658"/>
      <c r="D1379" s="1777">
        <f>'Part VIII-Bldg Credit Alloc AR'!D67</f>
        <v>0</v>
      </c>
      <c r="E1379" s="1778">
        <f>'Part VIII-Bldg Credit Alloc AR'!E67</f>
        <v>0</v>
      </c>
      <c r="F1379" s="1778">
        <f>'Part VIII-Bldg Credit Alloc AR'!F67</f>
        <v>0</v>
      </c>
      <c r="G1379" s="1778">
        <f>'Part VIII-Bldg Credit Alloc AR'!G67</f>
        <v>0</v>
      </c>
      <c r="H1379" s="1778">
        <f>'Part VIII-Bldg Credit Alloc AR'!H67</f>
        <v>0</v>
      </c>
      <c r="I1379" s="1778">
        <f>'Part VIII-Bldg Credit Alloc AR'!I67</f>
        <v>0</v>
      </c>
      <c r="J1379" s="1776">
        <f>'Part VIII-Bldg Credit Alloc AR'!J67</f>
        <v>0</v>
      </c>
      <c r="K1379" s="1778">
        <f>'Part VIII-Bldg Credit Alloc AR'!K67</f>
        <v>0</v>
      </c>
      <c r="L1379" s="1779" t="e">
        <f t="shared" si="457"/>
        <v>#DIV/0!</v>
      </c>
      <c r="M1379" s="1778" t="e">
        <f t="shared" si="458"/>
        <v>#DIV/0!</v>
      </c>
      <c r="N1379" s="1777">
        <f>'Part VIII-Bldg Credit Alloc AR'!N67</f>
        <v>0</v>
      </c>
      <c r="O1379" s="1779">
        <f>'Part VIII-Bldg Credit Alloc AR'!O67</f>
        <v>0</v>
      </c>
      <c r="P1379" s="1778" t="e">
        <f t="shared" si="459"/>
        <v>#DIV/0!</v>
      </c>
      <c r="Q1379" s="1778" t="e">
        <f t="shared" si="460"/>
        <v>#DIV/0!</v>
      </c>
      <c r="R1379" s="1778" t="e">
        <f t="shared" si="461"/>
        <v>#DIV/0!</v>
      </c>
    </row>
    <row r="1380" spans="1:18">
      <c r="A1380" s="1658">
        <f>'Part VIII-Bldg Credit Alloc AR'!A68</f>
        <v>0</v>
      </c>
      <c r="B1380" s="1658"/>
      <c r="C1380" s="1658"/>
      <c r="D1380" s="1777">
        <f>'Part VIII-Bldg Credit Alloc AR'!D68</f>
        <v>0</v>
      </c>
      <c r="E1380" s="1778">
        <f>'Part VIII-Bldg Credit Alloc AR'!E68</f>
        <v>0</v>
      </c>
      <c r="F1380" s="1778">
        <f>'Part VIII-Bldg Credit Alloc AR'!F68</f>
        <v>0</v>
      </c>
      <c r="G1380" s="1778">
        <f>'Part VIII-Bldg Credit Alloc AR'!G68</f>
        <v>0</v>
      </c>
      <c r="H1380" s="1778">
        <f>'Part VIII-Bldg Credit Alloc AR'!H68</f>
        <v>0</v>
      </c>
      <c r="I1380" s="1778">
        <f>'Part VIII-Bldg Credit Alloc AR'!I68</f>
        <v>0</v>
      </c>
      <c r="J1380" s="1776">
        <f>'Part VIII-Bldg Credit Alloc AR'!J68</f>
        <v>0</v>
      </c>
      <c r="K1380" s="1778">
        <f>'Part VIII-Bldg Credit Alloc AR'!K68</f>
        <v>0</v>
      </c>
      <c r="L1380" s="1779" t="e">
        <f t="shared" si="457"/>
        <v>#DIV/0!</v>
      </c>
      <c r="M1380" s="1778" t="e">
        <f t="shared" si="458"/>
        <v>#DIV/0!</v>
      </c>
      <c r="N1380" s="1777">
        <f>'Part VIII-Bldg Credit Alloc AR'!N68</f>
        <v>0</v>
      </c>
      <c r="O1380" s="1779">
        <f>'Part VIII-Bldg Credit Alloc AR'!O68</f>
        <v>0</v>
      </c>
      <c r="P1380" s="1778" t="e">
        <f t="shared" si="459"/>
        <v>#DIV/0!</v>
      </c>
      <c r="Q1380" s="1778" t="e">
        <f t="shared" si="460"/>
        <v>#DIV/0!</v>
      </c>
      <c r="R1380" s="1778" t="e">
        <f t="shared" si="461"/>
        <v>#DIV/0!</v>
      </c>
    </row>
    <row r="1381" spans="1:18">
      <c r="A1381" s="1658">
        <f>'Part VIII-Bldg Credit Alloc AR'!A69</f>
        <v>0</v>
      </c>
      <c r="B1381" s="1658"/>
      <c r="C1381" s="1658"/>
      <c r="D1381" s="1777">
        <f>'Part VIII-Bldg Credit Alloc AR'!D69</f>
        <v>0</v>
      </c>
      <c r="E1381" s="1778">
        <f>'Part VIII-Bldg Credit Alloc AR'!E69</f>
        <v>0</v>
      </c>
      <c r="F1381" s="1778">
        <f>'Part VIII-Bldg Credit Alloc AR'!F69</f>
        <v>0</v>
      </c>
      <c r="G1381" s="1778">
        <f>'Part VIII-Bldg Credit Alloc AR'!G69</f>
        <v>0</v>
      </c>
      <c r="H1381" s="1778">
        <f>'Part VIII-Bldg Credit Alloc AR'!H69</f>
        <v>0</v>
      </c>
      <c r="I1381" s="1778">
        <f>'Part VIII-Bldg Credit Alloc AR'!I69</f>
        <v>0</v>
      </c>
      <c r="J1381" s="1776">
        <f>'Part VIII-Bldg Credit Alloc AR'!J69</f>
        <v>0</v>
      </c>
      <c r="K1381" s="1778">
        <f>'Part VIII-Bldg Credit Alloc AR'!K69</f>
        <v>0</v>
      </c>
      <c r="L1381" s="1779" t="e">
        <f t="shared" si="457"/>
        <v>#DIV/0!</v>
      </c>
      <c r="M1381" s="1778" t="e">
        <f t="shared" si="458"/>
        <v>#DIV/0!</v>
      </c>
      <c r="N1381" s="1777">
        <f>'Part VIII-Bldg Credit Alloc AR'!N69</f>
        <v>0</v>
      </c>
      <c r="O1381" s="1779">
        <f>'Part VIII-Bldg Credit Alloc AR'!O69</f>
        <v>0</v>
      </c>
      <c r="P1381" s="1778" t="e">
        <f t="shared" si="459"/>
        <v>#DIV/0!</v>
      </c>
      <c r="Q1381" s="1778" t="e">
        <f t="shared" si="460"/>
        <v>#DIV/0!</v>
      </c>
      <c r="R1381" s="1778" t="e">
        <f t="shared" si="461"/>
        <v>#DIV/0!</v>
      </c>
    </row>
    <row r="1382" spans="1:18">
      <c r="A1382" s="1658">
        <f>'Part VIII-Bldg Credit Alloc AR'!A70</f>
        <v>0</v>
      </c>
      <c r="B1382" s="1658"/>
      <c r="C1382" s="1658"/>
      <c r="D1382" s="1777">
        <f>'Part VIII-Bldg Credit Alloc AR'!D70</f>
        <v>0</v>
      </c>
      <c r="E1382" s="1778">
        <f>'Part VIII-Bldg Credit Alloc AR'!E70</f>
        <v>0</v>
      </c>
      <c r="F1382" s="1778">
        <f>'Part VIII-Bldg Credit Alloc AR'!F70</f>
        <v>0</v>
      </c>
      <c r="G1382" s="1778">
        <f>'Part VIII-Bldg Credit Alloc AR'!G70</f>
        <v>0</v>
      </c>
      <c r="H1382" s="1778">
        <f>'Part VIII-Bldg Credit Alloc AR'!H70</f>
        <v>0</v>
      </c>
      <c r="I1382" s="1778">
        <f>'Part VIII-Bldg Credit Alloc AR'!I70</f>
        <v>0</v>
      </c>
      <c r="J1382" s="1776">
        <f>'Part VIII-Bldg Credit Alloc AR'!J70</f>
        <v>0</v>
      </c>
      <c r="K1382" s="1778">
        <f>'Part VIII-Bldg Credit Alloc AR'!K70</f>
        <v>0</v>
      </c>
      <c r="L1382" s="1779" t="e">
        <f t="shared" si="457"/>
        <v>#DIV/0!</v>
      </c>
      <c r="M1382" s="1778" t="e">
        <f t="shared" si="458"/>
        <v>#DIV/0!</v>
      </c>
      <c r="N1382" s="1777">
        <f>'Part VIII-Bldg Credit Alloc AR'!N70</f>
        <v>0</v>
      </c>
      <c r="O1382" s="1779">
        <f>'Part VIII-Bldg Credit Alloc AR'!O70</f>
        <v>0</v>
      </c>
      <c r="P1382" s="1778" t="e">
        <f t="shared" si="459"/>
        <v>#DIV/0!</v>
      </c>
      <c r="Q1382" s="1778" t="e">
        <f t="shared" si="460"/>
        <v>#DIV/0!</v>
      </c>
      <c r="R1382" s="1778" t="e">
        <f t="shared" si="461"/>
        <v>#DIV/0!</v>
      </c>
    </row>
    <row r="1383" spans="1:18">
      <c r="A1383" s="1658">
        <f>'Part VIII-Bldg Credit Alloc AR'!A71</f>
        <v>0</v>
      </c>
      <c r="B1383" s="1658"/>
      <c r="C1383" s="1658"/>
      <c r="D1383" s="1777">
        <f>'Part VIII-Bldg Credit Alloc AR'!D71</f>
        <v>0</v>
      </c>
      <c r="E1383" s="1778">
        <f>'Part VIII-Bldg Credit Alloc AR'!E71</f>
        <v>0</v>
      </c>
      <c r="F1383" s="1778">
        <f>'Part VIII-Bldg Credit Alloc AR'!F71</f>
        <v>0</v>
      </c>
      <c r="G1383" s="1778">
        <f>'Part VIII-Bldg Credit Alloc AR'!G71</f>
        <v>0</v>
      </c>
      <c r="H1383" s="1778">
        <f>'Part VIII-Bldg Credit Alloc AR'!H71</f>
        <v>0</v>
      </c>
      <c r="I1383" s="1778">
        <f>'Part VIII-Bldg Credit Alloc AR'!I71</f>
        <v>0</v>
      </c>
      <c r="J1383" s="1776">
        <f>'Part VIII-Bldg Credit Alloc AR'!J71</f>
        <v>0</v>
      </c>
      <c r="K1383" s="1778">
        <f>'Part VIII-Bldg Credit Alloc AR'!K71</f>
        <v>0</v>
      </c>
      <c r="L1383" s="1779" t="e">
        <f t="shared" si="457"/>
        <v>#DIV/0!</v>
      </c>
      <c r="M1383" s="1778" t="e">
        <f t="shared" si="458"/>
        <v>#DIV/0!</v>
      </c>
      <c r="N1383" s="1777">
        <f>'Part VIII-Bldg Credit Alloc AR'!N71</f>
        <v>0</v>
      </c>
      <c r="O1383" s="1779">
        <f>'Part VIII-Bldg Credit Alloc AR'!O71</f>
        <v>0</v>
      </c>
      <c r="P1383" s="1778" t="e">
        <f t="shared" si="459"/>
        <v>#DIV/0!</v>
      </c>
      <c r="Q1383" s="1778" t="e">
        <f t="shared" si="460"/>
        <v>#DIV/0!</v>
      </c>
      <c r="R1383" s="1778" t="e">
        <f t="shared" si="461"/>
        <v>#DIV/0!</v>
      </c>
    </row>
    <row r="1384" spans="1:18">
      <c r="A1384" s="1658">
        <f>'Part VIII-Bldg Credit Alloc AR'!A72</f>
        <v>0</v>
      </c>
      <c r="B1384" s="1658"/>
      <c r="C1384" s="1658"/>
      <c r="D1384" s="1777">
        <f>'Part VIII-Bldg Credit Alloc AR'!D72</f>
        <v>0</v>
      </c>
      <c r="E1384" s="1778">
        <f>'Part VIII-Bldg Credit Alloc AR'!E72</f>
        <v>0</v>
      </c>
      <c r="F1384" s="1778">
        <f>'Part VIII-Bldg Credit Alloc AR'!F72</f>
        <v>0</v>
      </c>
      <c r="G1384" s="1778">
        <f>'Part VIII-Bldg Credit Alloc AR'!G72</f>
        <v>0</v>
      </c>
      <c r="H1384" s="1778">
        <f>'Part VIII-Bldg Credit Alloc AR'!H72</f>
        <v>0</v>
      </c>
      <c r="I1384" s="1778">
        <f>'Part VIII-Bldg Credit Alloc AR'!I72</f>
        <v>0</v>
      </c>
      <c r="J1384" s="1776">
        <f>'Part VIII-Bldg Credit Alloc AR'!J72</f>
        <v>0</v>
      </c>
      <c r="K1384" s="1778">
        <f>'Part VIII-Bldg Credit Alloc AR'!K72</f>
        <v>0</v>
      </c>
      <c r="L1384" s="1779" t="e">
        <f t="shared" si="457"/>
        <v>#DIV/0!</v>
      </c>
      <c r="M1384" s="1778" t="e">
        <f t="shared" si="458"/>
        <v>#DIV/0!</v>
      </c>
      <c r="N1384" s="1777">
        <f>'Part VIII-Bldg Credit Alloc AR'!N72</f>
        <v>0</v>
      </c>
      <c r="O1384" s="1779">
        <f>'Part VIII-Bldg Credit Alloc AR'!O72</f>
        <v>0</v>
      </c>
      <c r="P1384" s="1778" t="e">
        <f t="shared" si="459"/>
        <v>#DIV/0!</v>
      </c>
      <c r="Q1384" s="1778" t="e">
        <f t="shared" si="460"/>
        <v>#DIV/0!</v>
      </c>
      <c r="R1384" s="1778" t="e">
        <f t="shared" si="461"/>
        <v>#DIV/0!</v>
      </c>
    </row>
    <row r="1385" spans="1:18">
      <c r="A1385" s="1658">
        <f>'Part VIII-Bldg Credit Alloc AR'!A73</f>
        <v>0</v>
      </c>
      <c r="B1385" s="1658"/>
      <c r="C1385" s="1658"/>
      <c r="D1385" s="1777">
        <f>'Part VIII-Bldg Credit Alloc AR'!D73</f>
        <v>0</v>
      </c>
      <c r="E1385" s="1778">
        <f>'Part VIII-Bldg Credit Alloc AR'!E73</f>
        <v>0</v>
      </c>
      <c r="F1385" s="1778">
        <f>'Part VIII-Bldg Credit Alloc AR'!F73</f>
        <v>0</v>
      </c>
      <c r="G1385" s="1778">
        <f>'Part VIII-Bldg Credit Alloc AR'!G73</f>
        <v>0</v>
      </c>
      <c r="H1385" s="1778">
        <f>'Part VIII-Bldg Credit Alloc AR'!H73</f>
        <v>0</v>
      </c>
      <c r="I1385" s="1778">
        <f>'Part VIII-Bldg Credit Alloc AR'!I73</f>
        <v>0</v>
      </c>
      <c r="J1385" s="1776">
        <f>'Part VIII-Bldg Credit Alloc AR'!J73</f>
        <v>0</v>
      </c>
      <c r="K1385" s="1778">
        <f>'Part VIII-Bldg Credit Alloc AR'!K73</f>
        <v>0</v>
      </c>
      <c r="L1385" s="1779" t="e">
        <f t="shared" si="457"/>
        <v>#DIV/0!</v>
      </c>
      <c r="M1385" s="1778" t="e">
        <f t="shared" si="458"/>
        <v>#DIV/0!</v>
      </c>
      <c r="N1385" s="1777">
        <f>'Part VIII-Bldg Credit Alloc AR'!N73</f>
        <v>0</v>
      </c>
      <c r="O1385" s="1779">
        <f>'Part VIII-Bldg Credit Alloc AR'!O73</f>
        <v>0</v>
      </c>
      <c r="P1385" s="1778" t="e">
        <f t="shared" si="459"/>
        <v>#DIV/0!</v>
      </c>
      <c r="Q1385" s="1778" t="e">
        <f t="shared" si="460"/>
        <v>#DIV/0!</v>
      </c>
      <c r="R1385" s="1778" t="e">
        <f t="shared" si="461"/>
        <v>#DIV/0!</v>
      </c>
    </row>
    <row r="1386" spans="1:18">
      <c r="A1386" s="1658">
        <f>'Part VIII-Bldg Credit Alloc AR'!A74</f>
        <v>0</v>
      </c>
      <c r="B1386" s="1658"/>
      <c r="C1386" s="1658"/>
      <c r="D1386" s="1777">
        <f>'Part VIII-Bldg Credit Alloc AR'!D74</f>
        <v>0</v>
      </c>
      <c r="E1386" s="1778">
        <f>'Part VIII-Bldg Credit Alloc AR'!E74</f>
        <v>0</v>
      </c>
      <c r="F1386" s="1778">
        <f>'Part VIII-Bldg Credit Alloc AR'!F74</f>
        <v>0</v>
      </c>
      <c r="G1386" s="1778">
        <f>'Part VIII-Bldg Credit Alloc AR'!G74</f>
        <v>0</v>
      </c>
      <c r="H1386" s="1778">
        <f>'Part VIII-Bldg Credit Alloc AR'!H74</f>
        <v>0</v>
      </c>
      <c r="I1386" s="1778">
        <f>'Part VIII-Bldg Credit Alloc AR'!I74</f>
        <v>0</v>
      </c>
      <c r="J1386" s="1776">
        <f>'Part VIII-Bldg Credit Alloc AR'!J74</f>
        <v>0</v>
      </c>
      <c r="K1386" s="1778">
        <f>'Part VIII-Bldg Credit Alloc AR'!K74</f>
        <v>0</v>
      </c>
      <c r="L1386" s="1779" t="e">
        <f t="shared" si="457"/>
        <v>#DIV/0!</v>
      </c>
      <c r="M1386" s="1778" t="e">
        <f t="shared" si="458"/>
        <v>#DIV/0!</v>
      </c>
      <c r="N1386" s="1777">
        <f>'Part VIII-Bldg Credit Alloc AR'!N74</f>
        <v>0</v>
      </c>
      <c r="O1386" s="1779">
        <f>'Part VIII-Bldg Credit Alloc AR'!O74</f>
        <v>0</v>
      </c>
      <c r="P1386" s="1778" t="e">
        <f t="shared" si="459"/>
        <v>#DIV/0!</v>
      </c>
      <c r="Q1386" s="1778" t="e">
        <f t="shared" si="460"/>
        <v>#DIV/0!</v>
      </c>
      <c r="R1386" s="1778" t="e">
        <f t="shared" si="461"/>
        <v>#DIV/0!</v>
      </c>
    </row>
    <row r="1387" spans="1:18">
      <c r="A1387" s="1658">
        <f>'Part VIII-Bldg Credit Alloc AR'!A75</f>
        <v>0</v>
      </c>
      <c r="B1387" s="1658"/>
      <c r="C1387" s="1658"/>
      <c r="D1387" s="1777">
        <f>'Part VIII-Bldg Credit Alloc AR'!D75</f>
        <v>0</v>
      </c>
      <c r="E1387" s="1778">
        <f>'Part VIII-Bldg Credit Alloc AR'!E75</f>
        <v>0</v>
      </c>
      <c r="F1387" s="1778">
        <f>'Part VIII-Bldg Credit Alloc AR'!F75</f>
        <v>0</v>
      </c>
      <c r="G1387" s="1778">
        <f>'Part VIII-Bldg Credit Alloc AR'!G75</f>
        <v>0</v>
      </c>
      <c r="H1387" s="1778">
        <f>'Part VIII-Bldg Credit Alloc AR'!H75</f>
        <v>0</v>
      </c>
      <c r="I1387" s="1778">
        <f>'Part VIII-Bldg Credit Alloc AR'!I75</f>
        <v>0</v>
      </c>
      <c r="J1387" s="1776">
        <f>'Part VIII-Bldg Credit Alloc AR'!J75</f>
        <v>0</v>
      </c>
      <c r="K1387" s="1778">
        <f>'Part VIII-Bldg Credit Alloc AR'!K75</f>
        <v>0</v>
      </c>
      <c r="L1387" s="1779" t="e">
        <f t="shared" si="457"/>
        <v>#DIV/0!</v>
      </c>
      <c r="M1387" s="1778" t="e">
        <f t="shared" si="458"/>
        <v>#DIV/0!</v>
      </c>
      <c r="N1387" s="1777">
        <f>'Part VIII-Bldg Credit Alloc AR'!N75</f>
        <v>0</v>
      </c>
      <c r="O1387" s="1779">
        <f>'Part VIII-Bldg Credit Alloc AR'!O75</f>
        <v>0</v>
      </c>
      <c r="P1387" s="1778" t="e">
        <f t="shared" si="459"/>
        <v>#DIV/0!</v>
      </c>
      <c r="Q1387" s="1778" t="e">
        <f t="shared" si="460"/>
        <v>#DIV/0!</v>
      </c>
      <c r="R1387" s="1778" t="e">
        <f t="shared" si="461"/>
        <v>#DIV/0!</v>
      </c>
    </row>
    <row r="1388" spans="1:18">
      <c r="A1388" s="1658">
        <f>'Part VIII-Bldg Credit Alloc AR'!A76</f>
        <v>0</v>
      </c>
      <c r="B1388" s="1658"/>
      <c r="C1388" s="1658"/>
      <c r="D1388" s="1777">
        <f>'Part VIII-Bldg Credit Alloc AR'!D76</f>
        <v>0</v>
      </c>
      <c r="E1388" s="1778">
        <f>'Part VIII-Bldg Credit Alloc AR'!E76</f>
        <v>0</v>
      </c>
      <c r="F1388" s="1778">
        <f>'Part VIII-Bldg Credit Alloc AR'!F76</f>
        <v>0</v>
      </c>
      <c r="G1388" s="1778">
        <f>'Part VIII-Bldg Credit Alloc AR'!G76</f>
        <v>0</v>
      </c>
      <c r="H1388" s="1778">
        <f>'Part VIII-Bldg Credit Alloc AR'!H76</f>
        <v>0</v>
      </c>
      <c r="I1388" s="1778">
        <f>'Part VIII-Bldg Credit Alloc AR'!I76</f>
        <v>0</v>
      </c>
      <c r="J1388" s="1776">
        <f>'Part VIII-Bldg Credit Alloc AR'!J76</f>
        <v>0</v>
      </c>
      <c r="K1388" s="1778">
        <f>'Part VIII-Bldg Credit Alloc AR'!K76</f>
        <v>0</v>
      </c>
      <c r="L1388" s="1779" t="e">
        <f t="shared" si="457"/>
        <v>#DIV/0!</v>
      </c>
      <c r="M1388" s="1778" t="e">
        <f t="shared" si="458"/>
        <v>#DIV/0!</v>
      </c>
      <c r="N1388" s="1777">
        <f>'Part VIII-Bldg Credit Alloc AR'!N76</f>
        <v>0</v>
      </c>
      <c r="O1388" s="1779">
        <f>'Part VIII-Bldg Credit Alloc AR'!O76</f>
        <v>0</v>
      </c>
      <c r="P1388" s="1778" t="e">
        <f t="shared" si="459"/>
        <v>#DIV/0!</v>
      </c>
      <c r="Q1388" s="1778" t="e">
        <f t="shared" si="460"/>
        <v>#DIV/0!</v>
      </c>
      <c r="R1388" s="1778" t="e">
        <f t="shared" si="461"/>
        <v>#DIV/0!</v>
      </c>
    </row>
    <row r="1389" spans="1:18">
      <c r="A1389" s="1658">
        <f>'Part VIII-Bldg Credit Alloc AR'!A77</f>
        <v>0</v>
      </c>
      <c r="B1389" s="1658"/>
      <c r="C1389" s="1658"/>
      <c r="D1389" s="1777">
        <f>'Part VIII-Bldg Credit Alloc AR'!D77</f>
        <v>0</v>
      </c>
      <c r="E1389" s="1778">
        <f>'Part VIII-Bldg Credit Alloc AR'!E77</f>
        <v>0</v>
      </c>
      <c r="F1389" s="1778">
        <f>'Part VIII-Bldg Credit Alloc AR'!F77</f>
        <v>0</v>
      </c>
      <c r="G1389" s="1778">
        <f>'Part VIII-Bldg Credit Alloc AR'!G77</f>
        <v>0</v>
      </c>
      <c r="H1389" s="1778">
        <f>'Part VIII-Bldg Credit Alloc AR'!H77</f>
        <v>0</v>
      </c>
      <c r="I1389" s="1778">
        <f>'Part VIII-Bldg Credit Alloc AR'!I77</f>
        <v>0</v>
      </c>
      <c r="J1389" s="1776">
        <f>'Part VIII-Bldg Credit Alloc AR'!J77</f>
        <v>0</v>
      </c>
      <c r="K1389" s="1778">
        <f>'Part VIII-Bldg Credit Alloc AR'!K77</f>
        <v>0</v>
      </c>
      <c r="L1389" s="1779" t="e">
        <f t="shared" si="457"/>
        <v>#DIV/0!</v>
      </c>
      <c r="M1389" s="1778" t="e">
        <f t="shared" si="458"/>
        <v>#DIV/0!</v>
      </c>
      <c r="N1389" s="1777">
        <f>'Part VIII-Bldg Credit Alloc AR'!N77</f>
        <v>0</v>
      </c>
      <c r="O1389" s="1779">
        <f>'Part VIII-Bldg Credit Alloc AR'!O77</f>
        <v>0</v>
      </c>
      <c r="P1389" s="1778" t="e">
        <f t="shared" si="459"/>
        <v>#DIV/0!</v>
      </c>
      <c r="Q1389" s="1778" t="e">
        <f t="shared" si="460"/>
        <v>#DIV/0!</v>
      </c>
      <c r="R1389" s="1778" t="e">
        <f t="shared" si="461"/>
        <v>#DIV/0!</v>
      </c>
    </row>
    <row r="1390" spans="1:18">
      <c r="A1390" s="1658">
        <f>'Part VIII-Bldg Credit Alloc AR'!A78</f>
        <v>0</v>
      </c>
      <c r="B1390" s="1658"/>
      <c r="C1390" s="1658"/>
      <c r="D1390" s="1777">
        <f>'Part VIII-Bldg Credit Alloc AR'!D78</f>
        <v>0</v>
      </c>
      <c r="E1390" s="1778">
        <f>'Part VIII-Bldg Credit Alloc AR'!E78</f>
        <v>0</v>
      </c>
      <c r="F1390" s="1778">
        <f>'Part VIII-Bldg Credit Alloc AR'!F78</f>
        <v>0</v>
      </c>
      <c r="G1390" s="1778">
        <f>'Part VIII-Bldg Credit Alloc AR'!G78</f>
        <v>0</v>
      </c>
      <c r="H1390" s="1778">
        <f>'Part VIII-Bldg Credit Alloc AR'!H78</f>
        <v>0</v>
      </c>
      <c r="I1390" s="1778">
        <f>'Part VIII-Bldg Credit Alloc AR'!I78</f>
        <v>0</v>
      </c>
      <c r="J1390" s="1776">
        <f>'Part VIII-Bldg Credit Alloc AR'!J78</f>
        <v>0</v>
      </c>
      <c r="K1390" s="1778">
        <f>'Part VIII-Bldg Credit Alloc AR'!K78</f>
        <v>0</v>
      </c>
      <c r="L1390" s="1779" t="e">
        <f t="shared" si="457"/>
        <v>#DIV/0!</v>
      </c>
      <c r="M1390" s="1778" t="e">
        <f t="shared" si="458"/>
        <v>#DIV/0!</v>
      </c>
      <c r="N1390" s="1777">
        <f>'Part VIII-Bldg Credit Alloc AR'!N78</f>
        <v>0</v>
      </c>
      <c r="O1390" s="1779">
        <f>'Part VIII-Bldg Credit Alloc AR'!O78</f>
        <v>0</v>
      </c>
      <c r="P1390" s="1778" t="e">
        <f t="shared" si="459"/>
        <v>#DIV/0!</v>
      </c>
      <c r="Q1390" s="1778" t="e">
        <f t="shared" si="460"/>
        <v>#DIV/0!</v>
      </c>
      <c r="R1390" s="1778" t="e">
        <f t="shared" si="461"/>
        <v>#DIV/0!</v>
      </c>
    </row>
    <row r="1391" spans="1:18">
      <c r="A1391" s="1658">
        <f>'Part VIII-Bldg Credit Alloc AR'!A79</f>
        <v>0</v>
      </c>
      <c r="B1391" s="1658"/>
      <c r="C1391" s="1658"/>
      <c r="D1391" s="1777">
        <f>'Part VIII-Bldg Credit Alloc AR'!D79</f>
        <v>0</v>
      </c>
      <c r="E1391" s="1778">
        <f>'Part VIII-Bldg Credit Alloc AR'!E79</f>
        <v>0</v>
      </c>
      <c r="F1391" s="1778">
        <f>'Part VIII-Bldg Credit Alloc AR'!F79</f>
        <v>0</v>
      </c>
      <c r="G1391" s="1778">
        <f>'Part VIII-Bldg Credit Alloc AR'!G79</f>
        <v>0</v>
      </c>
      <c r="H1391" s="1778">
        <f>'Part VIII-Bldg Credit Alloc AR'!H79</f>
        <v>0</v>
      </c>
      <c r="I1391" s="1778">
        <f>'Part VIII-Bldg Credit Alloc AR'!I79</f>
        <v>0</v>
      </c>
      <c r="J1391" s="1776">
        <f>'Part VIII-Bldg Credit Alloc AR'!J79</f>
        <v>0</v>
      </c>
      <c r="K1391" s="1778">
        <f>'Part VIII-Bldg Credit Alloc AR'!K79</f>
        <v>0</v>
      </c>
      <c r="L1391" s="1779" t="e">
        <f t="shared" si="457"/>
        <v>#DIV/0!</v>
      </c>
      <c r="M1391" s="1778" t="e">
        <f t="shared" si="458"/>
        <v>#DIV/0!</v>
      </c>
      <c r="N1391" s="1777">
        <f>'Part VIII-Bldg Credit Alloc AR'!N79</f>
        <v>0</v>
      </c>
      <c r="O1391" s="1779">
        <f>'Part VIII-Bldg Credit Alloc AR'!O79</f>
        <v>0</v>
      </c>
      <c r="P1391" s="1778" t="e">
        <f t="shared" si="459"/>
        <v>#DIV/0!</v>
      </c>
      <c r="Q1391" s="1778" t="e">
        <f t="shared" si="460"/>
        <v>#DIV/0!</v>
      </c>
      <c r="R1391" s="1778" t="e">
        <f t="shared" si="461"/>
        <v>#DIV/0!</v>
      </c>
    </row>
    <row r="1392" spans="1:18">
      <c r="A1392" s="1658">
        <f>'Part VIII-Bldg Credit Alloc AR'!A80</f>
        <v>0</v>
      </c>
      <c r="B1392" s="1658"/>
      <c r="C1392" s="1658"/>
      <c r="D1392" s="1777">
        <f>'Part VIII-Bldg Credit Alloc AR'!D80</f>
        <v>0</v>
      </c>
      <c r="E1392" s="1778">
        <f>'Part VIII-Bldg Credit Alloc AR'!E80</f>
        <v>0</v>
      </c>
      <c r="F1392" s="1778">
        <f>'Part VIII-Bldg Credit Alloc AR'!F80</f>
        <v>0</v>
      </c>
      <c r="G1392" s="1778">
        <f>'Part VIII-Bldg Credit Alloc AR'!G80</f>
        <v>0</v>
      </c>
      <c r="H1392" s="1778">
        <f>'Part VIII-Bldg Credit Alloc AR'!H80</f>
        <v>0</v>
      </c>
      <c r="I1392" s="1778">
        <f>'Part VIII-Bldg Credit Alloc AR'!I80</f>
        <v>0</v>
      </c>
      <c r="J1392" s="1776">
        <f>'Part VIII-Bldg Credit Alloc AR'!J80</f>
        <v>0</v>
      </c>
      <c r="K1392" s="1778">
        <f>'Part VIII-Bldg Credit Alloc AR'!K80</f>
        <v>0</v>
      </c>
      <c r="L1392" s="1779" t="e">
        <f t="shared" si="457"/>
        <v>#DIV/0!</v>
      </c>
      <c r="M1392" s="1778" t="e">
        <f t="shared" si="458"/>
        <v>#DIV/0!</v>
      </c>
      <c r="N1392" s="1777">
        <f>'Part VIII-Bldg Credit Alloc AR'!N80</f>
        <v>0</v>
      </c>
      <c r="O1392" s="1779">
        <f>'Part VIII-Bldg Credit Alloc AR'!O80</f>
        <v>0</v>
      </c>
      <c r="P1392" s="1778" t="e">
        <f t="shared" si="459"/>
        <v>#DIV/0!</v>
      </c>
      <c r="Q1392" s="1778" t="e">
        <f t="shared" si="460"/>
        <v>#DIV/0!</v>
      </c>
      <c r="R1392" s="1778" t="e">
        <f t="shared" si="461"/>
        <v>#DIV/0!</v>
      </c>
    </row>
    <row r="1393" spans="1:18">
      <c r="A1393" s="1658">
        <f>'Part VIII-Bldg Credit Alloc AR'!A81</f>
        <v>0</v>
      </c>
      <c r="B1393" s="1658"/>
      <c r="C1393" s="1658"/>
      <c r="D1393" s="1777">
        <f>'Part VIII-Bldg Credit Alloc AR'!D81</f>
        <v>0</v>
      </c>
      <c r="E1393" s="1778">
        <f>'Part VIII-Bldg Credit Alloc AR'!E81</f>
        <v>0</v>
      </c>
      <c r="F1393" s="1778">
        <f>'Part VIII-Bldg Credit Alloc AR'!F81</f>
        <v>0</v>
      </c>
      <c r="G1393" s="1778">
        <f>'Part VIII-Bldg Credit Alloc AR'!G81</f>
        <v>0</v>
      </c>
      <c r="H1393" s="1778">
        <f>'Part VIII-Bldg Credit Alloc AR'!H81</f>
        <v>0</v>
      </c>
      <c r="I1393" s="1778">
        <f>'Part VIII-Bldg Credit Alloc AR'!I81</f>
        <v>0</v>
      </c>
      <c r="J1393" s="1776">
        <f>'Part VIII-Bldg Credit Alloc AR'!J81</f>
        <v>0</v>
      </c>
      <c r="K1393" s="1778">
        <f>'Part VIII-Bldg Credit Alloc AR'!K81</f>
        <v>0</v>
      </c>
      <c r="L1393" s="1779" t="e">
        <f t="shared" si="457"/>
        <v>#DIV/0!</v>
      </c>
      <c r="M1393" s="1778" t="e">
        <f t="shared" si="458"/>
        <v>#DIV/0!</v>
      </c>
      <c r="N1393" s="1777">
        <f>'Part VIII-Bldg Credit Alloc AR'!N81</f>
        <v>0</v>
      </c>
      <c r="O1393" s="1779">
        <f>'Part VIII-Bldg Credit Alloc AR'!O81</f>
        <v>0</v>
      </c>
      <c r="P1393" s="1778" t="e">
        <f t="shared" si="459"/>
        <v>#DIV/0!</v>
      </c>
      <c r="Q1393" s="1778" t="e">
        <f t="shared" si="460"/>
        <v>#DIV/0!</v>
      </c>
      <c r="R1393" s="1778" t="e">
        <f t="shared" si="461"/>
        <v>#DIV/0!</v>
      </c>
    </row>
    <row r="1394" spans="1:18">
      <c r="A1394" s="1658">
        <f>'Part VIII-Bldg Credit Alloc AR'!A82</f>
        <v>0</v>
      </c>
      <c r="B1394" s="1658"/>
      <c r="C1394" s="1658"/>
      <c r="D1394" s="1777">
        <f>'Part VIII-Bldg Credit Alloc AR'!D82</f>
        <v>0</v>
      </c>
      <c r="E1394" s="1778">
        <f>'Part VIII-Bldg Credit Alloc AR'!E82</f>
        <v>0</v>
      </c>
      <c r="F1394" s="1778">
        <f>'Part VIII-Bldg Credit Alloc AR'!F82</f>
        <v>0</v>
      </c>
      <c r="G1394" s="1778">
        <f>'Part VIII-Bldg Credit Alloc AR'!G82</f>
        <v>0</v>
      </c>
      <c r="H1394" s="1778">
        <f>'Part VIII-Bldg Credit Alloc AR'!H82</f>
        <v>0</v>
      </c>
      <c r="I1394" s="1778">
        <f>'Part VIII-Bldg Credit Alloc AR'!I82</f>
        <v>0</v>
      </c>
      <c r="J1394" s="1776">
        <f>'Part VIII-Bldg Credit Alloc AR'!J82</f>
        <v>0</v>
      </c>
      <c r="K1394" s="1778">
        <f>'Part VIII-Bldg Credit Alloc AR'!K82</f>
        <v>0</v>
      </c>
      <c r="L1394" s="1779" t="e">
        <f t="shared" si="457"/>
        <v>#DIV/0!</v>
      </c>
      <c r="M1394" s="1778" t="e">
        <f t="shared" si="458"/>
        <v>#DIV/0!</v>
      </c>
      <c r="N1394" s="1777">
        <f>'Part VIII-Bldg Credit Alloc AR'!N82</f>
        <v>0</v>
      </c>
      <c r="O1394" s="1779">
        <f>'Part VIII-Bldg Credit Alloc AR'!O82</f>
        <v>0</v>
      </c>
      <c r="P1394" s="1778" t="e">
        <f t="shared" si="459"/>
        <v>#DIV/0!</v>
      </c>
      <c r="Q1394" s="1778" t="e">
        <f t="shared" si="460"/>
        <v>#DIV/0!</v>
      </c>
      <c r="R1394" s="1778" t="e">
        <f t="shared" si="461"/>
        <v>#DIV/0!</v>
      </c>
    </row>
    <row r="1395" spans="1:18">
      <c r="A1395" s="1658">
        <f>'Part VIII-Bldg Credit Alloc AR'!A83</f>
        <v>0</v>
      </c>
      <c r="B1395" s="1658"/>
      <c r="C1395" s="1658"/>
      <c r="D1395" s="1777">
        <f>'Part VIII-Bldg Credit Alloc AR'!D83</f>
        <v>0</v>
      </c>
      <c r="E1395" s="1778">
        <f>'Part VIII-Bldg Credit Alloc AR'!E83</f>
        <v>0</v>
      </c>
      <c r="F1395" s="1778">
        <f>'Part VIII-Bldg Credit Alloc AR'!F83</f>
        <v>0</v>
      </c>
      <c r="G1395" s="1778">
        <f>'Part VIII-Bldg Credit Alloc AR'!G83</f>
        <v>0</v>
      </c>
      <c r="H1395" s="1778">
        <f>'Part VIII-Bldg Credit Alloc AR'!H83</f>
        <v>0</v>
      </c>
      <c r="I1395" s="1778">
        <f>'Part VIII-Bldg Credit Alloc AR'!I83</f>
        <v>0</v>
      </c>
      <c r="J1395" s="1776">
        <f>'Part VIII-Bldg Credit Alloc AR'!J83</f>
        <v>0</v>
      </c>
      <c r="K1395" s="1778">
        <f>'Part VIII-Bldg Credit Alloc AR'!K83</f>
        <v>0</v>
      </c>
      <c r="L1395" s="1779" t="e">
        <f t="shared" si="457"/>
        <v>#DIV/0!</v>
      </c>
      <c r="M1395" s="1778" t="e">
        <f t="shared" si="458"/>
        <v>#DIV/0!</v>
      </c>
      <c r="N1395" s="1777">
        <f>'Part VIII-Bldg Credit Alloc AR'!N83</f>
        <v>0</v>
      </c>
      <c r="O1395" s="1779">
        <f>'Part VIII-Bldg Credit Alloc AR'!O83</f>
        <v>0</v>
      </c>
      <c r="P1395" s="1778" t="e">
        <f t="shared" si="459"/>
        <v>#DIV/0!</v>
      </c>
      <c r="Q1395" s="1778" t="e">
        <f t="shared" si="460"/>
        <v>#DIV/0!</v>
      </c>
      <c r="R1395" s="1778" t="e">
        <f t="shared" si="461"/>
        <v>#DIV/0!</v>
      </c>
    </row>
    <row r="1396" spans="1:18">
      <c r="A1396" s="1658">
        <f>'Part VIII-Bldg Credit Alloc AR'!A84</f>
        <v>0</v>
      </c>
      <c r="B1396" s="1658"/>
      <c r="C1396" s="1658"/>
      <c r="D1396" s="1777">
        <f>'Part VIII-Bldg Credit Alloc AR'!D84</f>
        <v>0</v>
      </c>
      <c r="E1396" s="1778">
        <f>'Part VIII-Bldg Credit Alloc AR'!E84</f>
        <v>0</v>
      </c>
      <c r="F1396" s="1778">
        <f>'Part VIII-Bldg Credit Alloc AR'!F84</f>
        <v>0</v>
      </c>
      <c r="G1396" s="1778">
        <f>'Part VIII-Bldg Credit Alloc AR'!G84</f>
        <v>0</v>
      </c>
      <c r="H1396" s="1778">
        <f>'Part VIII-Bldg Credit Alloc AR'!H84</f>
        <v>0</v>
      </c>
      <c r="I1396" s="1778">
        <f>'Part VIII-Bldg Credit Alloc AR'!I84</f>
        <v>0</v>
      </c>
      <c r="J1396" s="1776">
        <f>'Part VIII-Bldg Credit Alloc AR'!J84</f>
        <v>0</v>
      </c>
      <c r="K1396" s="1778">
        <f>'Part VIII-Bldg Credit Alloc AR'!K84</f>
        <v>0</v>
      </c>
      <c r="L1396" s="1779" t="e">
        <f t="shared" si="457"/>
        <v>#DIV/0!</v>
      </c>
      <c r="M1396" s="1778" t="e">
        <f t="shared" si="458"/>
        <v>#DIV/0!</v>
      </c>
      <c r="N1396" s="1777">
        <f>'Part VIII-Bldg Credit Alloc AR'!N84</f>
        <v>0</v>
      </c>
      <c r="O1396" s="1779">
        <f>'Part VIII-Bldg Credit Alloc AR'!O84</f>
        <v>0</v>
      </c>
      <c r="P1396" s="1778" t="e">
        <f t="shared" si="459"/>
        <v>#DIV/0!</v>
      </c>
      <c r="Q1396" s="1778" t="e">
        <f t="shared" si="460"/>
        <v>#DIV/0!</v>
      </c>
      <c r="R1396" s="1778" t="e">
        <f t="shared" si="461"/>
        <v>#DIV/0!</v>
      </c>
    </row>
    <row r="1397" spans="1:18">
      <c r="A1397" s="1658">
        <f>'Part VIII-Bldg Credit Alloc AR'!A85</f>
        <v>0</v>
      </c>
      <c r="B1397" s="1658"/>
      <c r="C1397" s="1658"/>
      <c r="D1397" s="1777">
        <f>'Part VIII-Bldg Credit Alloc AR'!D85</f>
        <v>0</v>
      </c>
      <c r="E1397" s="1778">
        <f>'Part VIII-Bldg Credit Alloc AR'!E85</f>
        <v>0</v>
      </c>
      <c r="F1397" s="1778">
        <f>'Part VIII-Bldg Credit Alloc AR'!F85</f>
        <v>0</v>
      </c>
      <c r="G1397" s="1778">
        <f>'Part VIII-Bldg Credit Alloc AR'!G85</f>
        <v>0</v>
      </c>
      <c r="H1397" s="1778">
        <f>'Part VIII-Bldg Credit Alloc AR'!H85</f>
        <v>0</v>
      </c>
      <c r="I1397" s="1778">
        <f>'Part VIII-Bldg Credit Alloc AR'!I85</f>
        <v>0</v>
      </c>
      <c r="J1397" s="1776">
        <f>'Part VIII-Bldg Credit Alloc AR'!J85</f>
        <v>0</v>
      </c>
      <c r="K1397" s="1778">
        <f>'Part VIII-Bldg Credit Alloc AR'!K85</f>
        <v>0</v>
      </c>
      <c r="L1397" s="1779" t="e">
        <f t="shared" si="457"/>
        <v>#DIV/0!</v>
      </c>
      <c r="M1397" s="1778" t="e">
        <f t="shared" si="458"/>
        <v>#DIV/0!</v>
      </c>
      <c r="N1397" s="1777">
        <f>'Part VIII-Bldg Credit Alloc AR'!N85</f>
        <v>0</v>
      </c>
      <c r="O1397" s="1779">
        <f>'Part VIII-Bldg Credit Alloc AR'!O85</f>
        <v>0</v>
      </c>
      <c r="P1397" s="1778" t="e">
        <f t="shared" si="459"/>
        <v>#DIV/0!</v>
      </c>
      <c r="Q1397" s="1778" t="e">
        <f t="shared" si="460"/>
        <v>#DIV/0!</v>
      </c>
      <c r="R1397" s="1778" t="e">
        <f t="shared" si="461"/>
        <v>#DIV/0!</v>
      </c>
    </row>
    <row r="1398" spans="1:18">
      <c r="A1398" s="1658">
        <f>'Part VIII-Bldg Credit Alloc AR'!A86</f>
        <v>0</v>
      </c>
      <c r="B1398" s="1658"/>
      <c r="C1398" s="1658"/>
      <c r="D1398" s="1777">
        <f>'Part VIII-Bldg Credit Alloc AR'!D86</f>
        <v>0</v>
      </c>
      <c r="E1398" s="1778">
        <f>'Part VIII-Bldg Credit Alloc AR'!E86</f>
        <v>0</v>
      </c>
      <c r="F1398" s="1778">
        <f>'Part VIII-Bldg Credit Alloc AR'!F86</f>
        <v>0</v>
      </c>
      <c r="G1398" s="1778">
        <f>'Part VIII-Bldg Credit Alloc AR'!G86</f>
        <v>0</v>
      </c>
      <c r="H1398" s="1778">
        <f>'Part VIII-Bldg Credit Alloc AR'!H86</f>
        <v>0</v>
      </c>
      <c r="I1398" s="1778">
        <f>'Part VIII-Bldg Credit Alloc AR'!I86</f>
        <v>0</v>
      </c>
      <c r="J1398" s="1776">
        <f>'Part VIII-Bldg Credit Alloc AR'!J86</f>
        <v>0</v>
      </c>
      <c r="K1398" s="1778">
        <f>'Part VIII-Bldg Credit Alloc AR'!K86</f>
        <v>0</v>
      </c>
      <c r="L1398" s="1779" t="e">
        <f t="shared" si="457"/>
        <v>#DIV/0!</v>
      </c>
      <c r="M1398" s="1778" t="e">
        <f t="shared" si="458"/>
        <v>#DIV/0!</v>
      </c>
      <c r="N1398" s="1777">
        <f>'Part VIII-Bldg Credit Alloc AR'!N86</f>
        <v>0</v>
      </c>
      <c r="O1398" s="1779">
        <f>'Part VIII-Bldg Credit Alloc AR'!O86</f>
        <v>0</v>
      </c>
      <c r="P1398" s="1778" t="e">
        <f t="shared" si="459"/>
        <v>#DIV/0!</v>
      </c>
      <c r="Q1398" s="1778" t="e">
        <f t="shared" si="460"/>
        <v>#DIV/0!</v>
      </c>
      <c r="R1398" s="1778" t="e">
        <f t="shared" si="461"/>
        <v>#DIV/0!</v>
      </c>
    </row>
    <row r="1399" spans="1:18">
      <c r="A1399" s="1658">
        <f>'Part VIII-Bldg Credit Alloc AR'!A87</f>
        <v>0</v>
      </c>
      <c r="B1399" s="1658"/>
      <c r="C1399" s="1658"/>
      <c r="D1399" s="1777">
        <f>'Part VIII-Bldg Credit Alloc AR'!D87</f>
        <v>0</v>
      </c>
      <c r="E1399" s="1778">
        <f>'Part VIII-Bldg Credit Alloc AR'!E87</f>
        <v>0</v>
      </c>
      <c r="F1399" s="1778">
        <f>'Part VIII-Bldg Credit Alloc AR'!F87</f>
        <v>0</v>
      </c>
      <c r="G1399" s="1778">
        <f>'Part VIII-Bldg Credit Alloc AR'!G87</f>
        <v>0</v>
      </c>
      <c r="H1399" s="1778">
        <f>'Part VIII-Bldg Credit Alloc AR'!H87</f>
        <v>0</v>
      </c>
      <c r="I1399" s="1778">
        <f>'Part VIII-Bldg Credit Alloc AR'!I87</f>
        <v>0</v>
      </c>
      <c r="J1399" s="1776">
        <f>'Part VIII-Bldg Credit Alloc AR'!J87</f>
        <v>0</v>
      </c>
      <c r="K1399" s="1778">
        <f>'Part VIII-Bldg Credit Alloc AR'!K87</f>
        <v>0</v>
      </c>
      <c r="L1399" s="1779" t="e">
        <f t="shared" si="457"/>
        <v>#DIV/0!</v>
      </c>
      <c r="M1399" s="1778" t="e">
        <f t="shared" si="458"/>
        <v>#DIV/0!</v>
      </c>
      <c r="N1399" s="1777">
        <f>'Part VIII-Bldg Credit Alloc AR'!N87</f>
        <v>0</v>
      </c>
      <c r="O1399" s="1779">
        <f>'Part VIII-Bldg Credit Alloc AR'!O87</f>
        <v>0</v>
      </c>
      <c r="P1399" s="1778" t="e">
        <f t="shared" si="459"/>
        <v>#DIV/0!</v>
      </c>
      <c r="Q1399" s="1778" t="e">
        <f t="shared" si="460"/>
        <v>#DIV/0!</v>
      </c>
      <c r="R1399" s="1778" t="e">
        <f t="shared" si="461"/>
        <v>#DIV/0!</v>
      </c>
    </row>
    <row r="1400" spans="1:18">
      <c r="A1400" s="1658">
        <f>'Part VIII-Bldg Credit Alloc AR'!A88</f>
        <v>0</v>
      </c>
      <c r="B1400" s="1658"/>
      <c r="C1400" s="1658"/>
      <c r="D1400" s="1777">
        <f>'Part VIII-Bldg Credit Alloc AR'!D88</f>
        <v>0</v>
      </c>
      <c r="E1400" s="1778">
        <f>'Part VIII-Bldg Credit Alloc AR'!E88</f>
        <v>0</v>
      </c>
      <c r="F1400" s="1778">
        <f>'Part VIII-Bldg Credit Alloc AR'!F88</f>
        <v>0</v>
      </c>
      <c r="G1400" s="1778">
        <f>'Part VIII-Bldg Credit Alloc AR'!G88</f>
        <v>0</v>
      </c>
      <c r="H1400" s="1778">
        <f>'Part VIII-Bldg Credit Alloc AR'!H88</f>
        <v>0</v>
      </c>
      <c r="I1400" s="1778">
        <f>'Part VIII-Bldg Credit Alloc AR'!I88</f>
        <v>0</v>
      </c>
      <c r="J1400" s="1776">
        <f>'Part VIII-Bldg Credit Alloc AR'!J88</f>
        <v>0</v>
      </c>
      <c r="K1400" s="1778">
        <f>'Part VIII-Bldg Credit Alloc AR'!K88</f>
        <v>0</v>
      </c>
      <c r="L1400" s="1779" t="e">
        <f t="shared" si="457"/>
        <v>#DIV/0!</v>
      </c>
      <c r="M1400" s="1778" t="e">
        <f t="shared" si="458"/>
        <v>#DIV/0!</v>
      </c>
      <c r="N1400" s="1777">
        <f>'Part VIII-Bldg Credit Alloc AR'!N88</f>
        <v>0</v>
      </c>
      <c r="O1400" s="1779">
        <f>'Part VIII-Bldg Credit Alloc AR'!O88</f>
        <v>0</v>
      </c>
      <c r="P1400" s="1778" t="e">
        <f t="shared" si="459"/>
        <v>#DIV/0!</v>
      </c>
      <c r="Q1400" s="1778" t="e">
        <f t="shared" si="460"/>
        <v>#DIV/0!</v>
      </c>
      <c r="R1400" s="1778" t="e">
        <f t="shared" si="461"/>
        <v>#DIV/0!</v>
      </c>
    </row>
    <row r="1401" spans="1:18">
      <c r="A1401" s="1715" t="s">
        <v>3691</v>
      </c>
      <c r="B1401" s="1780"/>
      <c r="C1401" s="1780"/>
      <c r="D1401" s="1777"/>
      <c r="E1401" s="1778">
        <f>SUM(E1366:E1400)</f>
        <v>0</v>
      </c>
      <c r="F1401" s="1778">
        <f>SUM(F1366:F1400)</f>
        <v>0</v>
      </c>
      <c r="G1401" s="1778">
        <f>SUM(G1366:G1400)</f>
        <v>0</v>
      </c>
      <c r="H1401" s="1778">
        <f>SUM(H1366:H1400)</f>
        <v>0</v>
      </c>
      <c r="I1401" s="1778">
        <f>SUM(I1366:I1400)</f>
        <v>0</v>
      </c>
      <c r="J1401" s="1658"/>
      <c r="K1401" s="1778">
        <f>SUM(K1366:K1400)</f>
        <v>0</v>
      </c>
      <c r="L1401" s="1779"/>
      <c r="M1401" s="1778" t="e">
        <f>SUM(M1366:M1400)</f>
        <v>#DIV/0!</v>
      </c>
      <c r="N1401" s="1777"/>
      <c r="O1401" s="1779"/>
      <c r="P1401" s="1778" t="e">
        <f>SUM(P1366:P1400)</f>
        <v>#DIV/0!</v>
      </c>
      <c r="Q1401" s="1778" t="e">
        <f>SUM(Q1366:Q1400)</f>
        <v>#DIV/0!</v>
      </c>
      <c r="R1401" s="1778" t="e">
        <f>SUM(R1366:R1400)</f>
        <v>#DIV/0!</v>
      </c>
    </row>
    <row r="1402" spans="1:18">
      <c r="A1402" s="1715" t="s">
        <v>3128</v>
      </c>
      <c r="B1402" s="1656"/>
      <c r="C1402" s="1771" t="str">
        <f>C1316</f>
        <v>Acquisition</v>
      </c>
      <c r="D1402" s="1781"/>
      <c r="E1402" s="1781"/>
      <c r="F1402" s="1713"/>
      <c r="G1402" s="1656"/>
      <c r="H1402" s="1656"/>
      <c r="I1402" s="1656"/>
      <c r="J1402" s="1656"/>
      <c r="K1402" s="1656"/>
      <c r="L1402" s="1657"/>
      <c r="M1402" s="1657"/>
      <c r="N1402" s="1657"/>
      <c r="O1402" s="1656"/>
      <c r="P1402" s="1656"/>
      <c r="Q1402" s="1656"/>
      <c r="R1402" s="1656"/>
    </row>
    <row r="1403" spans="1:18">
      <c r="A1403" s="1712" t="s">
        <v>3129</v>
      </c>
      <c r="B1403" s="1712"/>
      <c r="C1403" s="1712"/>
      <c r="D1403" s="1712"/>
      <c r="E1403" s="1712"/>
      <c r="F1403" s="1712"/>
      <c r="G1403" s="1712"/>
      <c r="H1403" s="1712"/>
      <c r="I1403" s="1712"/>
      <c r="J1403" s="1712"/>
      <c r="K1403" s="1712"/>
      <c r="L1403" s="1712"/>
      <c r="M1403" s="1712"/>
      <c r="N1403" s="1712"/>
      <c r="O1403" s="1712"/>
      <c r="P1403" s="1712"/>
      <c r="Q1403" s="1712"/>
      <c r="R1403" s="1712"/>
    </row>
    <row r="1404" spans="1:18" ht="13.5" customHeight="1">
      <c r="A1404" s="1772"/>
      <c r="B1404" s="1658"/>
      <c r="C1404" s="1658"/>
      <c r="D1404" s="1773"/>
      <c r="E1404" s="1773" t="s">
        <v>503</v>
      </c>
      <c r="F1404" s="1773" t="s">
        <v>503</v>
      </c>
      <c r="G1404" s="1773" t="s">
        <v>477</v>
      </c>
      <c r="H1404" s="1773" t="s">
        <v>3130</v>
      </c>
      <c r="I1404" s="1718"/>
      <c r="J1404" s="1773"/>
      <c r="K1404" s="1718"/>
      <c r="L1404" s="1718"/>
      <c r="M1404" s="1746"/>
      <c r="N1404" s="1773" t="s">
        <v>861</v>
      </c>
      <c r="O1404" s="1746"/>
      <c r="P1404" s="1746"/>
      <c r="Q1404" s="1774" t="s">
        <v>3719</v>
      </c>
      <c r="R1404" s="1774"/>
    </row>
    <row r="1405" spans="1:18" ht="13.5">
      <c r="A1405" s="1772"/>
      <c r="B1405" s="1658"/>
      <c r="C1405" s="1658"/>
      <c r="D1405" s="1773" t="s">
        <v>496</v>
      </c>
      <c r="E1405" s="1775" t="s">
        <v>152</v>
      </c>
      <c r="F1405" s="1773" t="s">
        <v>3132</v>
      </c>
      <c r="G1405" s="1773" t="s">
        <v>3133</v>
      </c>
      <c r="H1405" s="1773" t="s">
        <v>3134</v>
      </c>
      <c r="I1405" s="1773" t="s">
        <v>3135</v>
      </c>
      <c r="J1405" s="1692" t="s">
        <v>3136</v>
      </c>
      <c r="K1405" s="1773" t="s">
        <v>3135</v>
      </c>
      <c r="L1405" s="1773" t="s">
        <v>3135</v>
      </c>
      <c r="M1405" s="1773" t="s">
        <v>3135</v>
      </c>
      <c r="N1405" s="1773" t="s">
        <v>3137</v>
      </c>
      <c r="O1405" s="1773" t="s">
        <v>3138</v>
      </c>
      <c r="P1405" s="1773" t="s">
        <v>3139</v>
      </c>
      <c r="Q1405" s="1774"/>
      <c r="R1405" s="1774"/>
    </row>
    <row r="1406" spans="1:18" ht="13.5">
      <c r="A1406" s="1772"/>
      <c r="B1406" s="1658"/>
      <c r="C1406" s="1658"/>
      <c r="D1406" s="1773" t="s">
        <v>3140</v>
      </c>
      <c r="E1406" s="1773" t="s">
        <v>3141</v>
      </c>
      <c r="F1406" s="1773" t="s">
        <v>3110</v>
      </c>
      <c r="G1406" s="1773" t="s">
        <v>3134</v>
      </c>
      <c r="H1406" s="1773" t="s">
        <v>3110</v>
      </c>
      <c r="I1406" s="1773" t="s">
        <v>3142</v>
      </c>
      <c r="J1406" s="1692"/>
      <c r="K1406" s="1773" t="s">
        <v>3143</v>
      </c>
      <c r="L1406" s="1773" t="s">
        <v>3144</v>
      </c>
      <c r="M1406" s="1773" t="s">
        <v>3145</v>
      </c>
      <c r="N1406" s="1773" t="s">
        <v>3146</v>
      </c>
      <c r="O1406" s="1773" t="s">
        <v>3147</v>
      </c>
      <c r="P1406" s="1773" t="s">
        <v>3147</v>
      </c>
      <c r="Q1406" s="1773" t="s">
        <v>3135</v>
      </c>
      <c r="R1406" s="1773" t="s">
        <v>3148</v>
      </c>
    </row>
    <row r="1407" spans="1:18" ht="13.5">
      <c r="A1407" s="1772" t="s">
        <v>3149</v>
      </c>
      <c r="B1407" s="1658"/>
      <c r="C1407" s="1658"/>
      <c r="D1407" s="1773" t="s">
        <v>3150</v>
      </c>
      <c r="E1407" s="1773" t="s">
        <v>3151</v>
      </c>
      <c r="F1407" s="1773" t="s">
        <v>3152</v>
      </c>
      <c r="G1407" s="1773" t="s">
        <v>3151</v>
      </c>
      <c r="H1407" s="1773" t="s">
        <v>3152</v>
      </c>
      <c r="I1407" s="1773" t="s">
        <v>3153</v>
      </c>
      <c r="J1407" s="1776" t="s">
        <v>3154</v>
      </c>
      <c r="K1407" s="1773" t="s">
        <v>3153</v>
      </c>
      <c r="L1407" s="1773" t="s">
        <v>3155</v>
      </c>
      <c r="M1407" s="1773" t="s">
        <v>3153</v>
      </c>
      <c r="N1407" s="1773" t="s">
        <v>3156</v>
      </c>
      <c r="O1407" s="1773" t="s">
        <v>3157</v>
      </c>
      <c r="P1407" s="1773" t="s">
        <v>1793</v>
      </c>
      <c r="Q1407" s="1773" t="s">
        <v>1830</v>
      </c>
      <c r="R1407" s="1773" t="s">
        <v>1793</v>
      </c>
    </row>
    <row r="1408" spans="1:18">
      <c r="A1408" s="1658">
        <f>'Part VIII-Bldg Credit Alloc AR'!A96</f>
        <v>0</v>
      </c>
      <c r="B1408" s="1658"/>
      <c r="C1408" s="1658"/>
      <c r="D1408" s="1777">
        <f>'Part VIII-Bldg Credit Alloc AR'!D96</f>
        <v>0</v>
      </c>
      <c r="E1408" s="1778">
        <f>'Part VIII-Bldg Credit Alloc AR'!E96</f>
        <v>0</v>
      </c>
      <c r="F1408" s="1778">
        <f>'Part VIII-Bldg Credit Alloc AR'!F96</f>
        <v>0</v>
      </c>
      <c r="G1408" s="1778">
        <f>'Part VIII-Bldg Credit Alloc AR'!G96</f>
        <v>0</v>
      </c>
      <c r="H1408" s="1778">
        <f>'Part VIII-Bldg Credit Alloc AR'!H96</f>
        <v>0</v>
      </c>
      <c r="I1408" s="1778">
        <f>'Part VIII-Bldg Credit Alloc AR'!I96</f>
        <v>0</v>
      </c>
      <c r="J1408" s="1776">
        <f>'Part VIII-Bldg Credit Alloc AR'!J96</f>
        <v>0</v>
      </c>
      <c r="K1408" s="1778">
        <f>'Part VIII-Bldg Credit Alloc AR'!K96</f>
        <v>0</v>
      </c>
      <c r="L1408" s="1779" t="e">
        <f>IF(OR(E1408="",F1408=""),"",MIN(G1408/E1408,H1408/F1408))</f>
        <v>#DIV/0!</v>
      </c>
      <c r="M1408" s="1778" t="e">
        <f>IF(OR(E1408="",F1408=""),"",K1408*L1408)</f>
        <v>#DIV/0!</v>
      </c>
      <c r="N1408" s="1777">
        <f>'Part VIII-Bldg Credit Alloc AR'!N96</f>
        <v>0</v>
      </c>
      <c r="O1408" s="1779">
        <f>'Part VIII-Bldg Credit Alloc AR'!O96</f>
        <v>0</v>
      </c>
      <c r="P1408" s="1778" t="e">
        <f>IF(OR(M1408="",O1408=""),"",M1408*O1408)</f>
        <v>#DIV/0!</v>
      </c>
      <c r="Q1408" s="1778" t="e">
        <f>IF(M1408="","",ROUND(M1408,0))</f>
        <v>#DIV/0!</v>
      </c>
      <c r="R1408" s="1778" t="e">
        <f>IF(P1408="","",ROUND(P1408,0))</f>
        <v>#DIV/0!</v>
      </c>
    </row>
    <row r="1409" spans="1:18">
      <c r="A1409" s="1658">
        <f>'Part VIII-Bldg Credit Alloc AR'!A97</f>
        <v>0</v>
      </c>
      <c r="B1409" s="1658"/>
      <c r="C1409" s="1658"/>
      <c r="D1409" s="1777">
        <f>'Part VIII-Bldg Credit Alloc AR'!D97</f>
        <v>0</v>
      </c>
      <c r="E1409" s="1778">
        <f>'Part VIII-Bldg Credit Alloc AR'!E97</f>
        <v>0</v>
      </c>
      <c r="F1409" s="1778">
        <f>'Part VIII-Bldg Credit Alloc AR'!F97</f>
        <v>0</v>
      </c>
      <c r="G1409" s="1778">
        <f>'Part VIII-Bldg Credit Alloc AR'!G97</f>
        <v>0</v>
      </c>
      <c r="H1409" s="1778">
        <f>'Part VIII-Bldg Credit Alloc AR'!H97</f>
        <v>0</v>
      </c>
      <c r="I1409" s="1778">
        <f>'Part VIII-Bldg Credit Alloc AR'!I97</f>
        <v>0</v>
      </c>
      <c r="J1409" s="1776">
        <f>'Part VIII-Bldg Credit Alloc AR'!J97</f>
        <v>0</v>
      </c>
      <c r="K1409" s="1778">
        <f>'Part VIII-Bldg Credit Alloc AR'!K97</f>
        <v>0</v>
      </c>
      <c r="L1409" s="1779" t="e">
        <f t="shared" ref="L1409:L1442" si="462">IF(OR(E1409="",F1409=""),"",MIN(G1409/E1409,H1409/F1409))</f>
        <v>#DIV/0!</v>
      </c>
      <c r="M1409" s="1778" t="e">
        <f t="shared" ref="M1409:M1442" si="463">IF(OR(E1409="",F1409=""),"",K1409*L1409)</f>
        <v>#DIV/0!</v>
      </c>
      <c r="N1409" s="1777">
        <f>'Part VIII-Bldg Credit Alloc AR'!N97</f>
        <v>0</v>
      </c>
      <c r="O1409" s="1779">
        <f>'Part VIII-Bldg Credit Alloc AR'!O97</f>
        <v>0</v>
      </c>
      <c r="P1409" s="1778" t="e">
        <f t="shared" ref="P1409:P1442" si="464">IF(OR(M1409="",O1409=""),"",M1409*O1409)</f>
        <v>#DIV/0!</v>
      </c>
      <c r="Q1409" s="1778" t="e">
        <f t="shared" ref="Q1409:Q1442" si="465">IF(M1409="","",ROUND(M1409,0))</f>
        <v>#DIV/0!</v>
      </c>
      <c r="R1409" s="1778" t="e">
        <f t="shared" ref="R1409:R1442" si="466">IF(P1409="","",ROUND(P1409,0))</f>
        <v>#DIV/0!</v>
      </c>
    </row>
    <row r="1410" spans="1:18">
      <c r="A1410" s="1658">
        <f>'Part VIII-Bldg Credit Alloc AR'!A98</f>
        <v>0</v>
      </c>
      <c r="B1410" s="1658"/>
      <c r="C1410" s="1658"/>
      <c r="D1410" s="1777">
        <f>'Part VIII-Bldg Credit Alloc AR'!D98</f>
        <v>0</v>
      </c>
      <c r="E1410" s="1778">
        <f>'Part VIII-Bldg Credit Alloc AR'!E98</f>
        <v>0</v>
      </c>
      <c r="F1410" s="1778">
        <f>'Part VIII-Bldg Credit Alloc AR'!F98</f>
        <v>0</v>
      </c>
      <c r="G1410" s="1778">
        <f>'Part VIII-Bldg Credit Alloc AR'!G98</f>
        <v>0</v>
      </c>
      <c r="H1410" s="1778">
        <f>'Part VIII-Bldg Credit Alloc AR'!H98</f>
        <v>0</v>
      </c>
      <c r="I1410" s="1778">
        <f>'Part VIII-Bldg Credit Alloc AR'!I98</f>
        <v>0</v>
      </c>
      <c r="J1410" s="1776">
        <f>'Part VIII-Bldg Credit Alloc AR'!J98</f>
        <v>0</v>
      </c>
      <c r="K1410" s="1778">
        <f>'Part VIII-Bldg Credit Alloc AR'!K98</f>
        <v>0</v>
      </c>
      <c r="L1410" s="1779" t="e">
        <f t="shared" si="462"/>
        <v>#DIV/0!</v>
      </c>
      <c r="M1410" s="1778" t="e">
        <f t="shared" si="463"/>
        <v>#DIV/0!</v>
      </c>
      <c r="N1410" s="1777">
        <f>'Part VIII-Bldg Credit Alloc AR'!N98</f>
        <v>0</v>
      </c>
      <c r="O1410" s="1779">
        <f>'Part VIII-Bldg Credit Alloc AR'!O98</f>
        <v>0</v>
      </c>
      <c r="P1410" s="1778" t="e">
        <f t="shared" si="464"/>
        <v>#DIV/0!</v>
      </c>
      <c r="Q1410" s="1778" t="e">
        <f t="shared" si="465"/>
        <v>#DIV/0!</v>
      </c>
      <c r="R1410" s="1778" t="e">
        <f t="shared" si="466"/>
        <v>#DIV/0!</v>
      </c>
    </row>
    <row r="1411" spans="1:18">
      <c r="A1411" s="1658">
        <f>'Part VIII-Bldg Credit Alloc AR'!A99</f>
        <v>0</v>
      </c>
      <c r="B1411" s="1658"/>
      <c r="C1411" s="1658"/>
      <c r="D1411" s="1777">
        <f>'Part VIII-Bldg Credit Alloc AR'!D99</f>
        <v>0</v>
      </c>
      <c r="E1411" s="1778">
        <f>'Part VIII-Bldg Credit Alloc AR'!E99</f>
        <v>0</v>
      </c>
      <c r="F1411" s="1778">
        <f>'Part VIII-Bldg Credit Alloc AR'!F99</f>
        <v>0</v>
      </c>
      <c r="G1411" s="1778">
        <f>'Part VIII-Bldg Credit Alloc AR'!G99</f>
        <v>0</v>
      </c>
      <c r="H1411" s="1778">
        <f>'Part VIII-Bldg Credit Alloc AR'!H99</f>
        <v>0</v>
      </c>
      <c r="I1411" s="1778">
        <f>'Part VIII-Bldg Credit Alloc AR'!I99</f>
        <v>0</v>
      </c>
      <c r="J1411" s="1776">
        <f>'Part VIII-Bldg Credit Alloc AR'!J99</f>
        <v>0</v>
      </c>
      <c r="K1411" s="1778">
        <f>'Part VIII-Bldg Credit Alloc AR'!K99</f>
        <v>0</v>
      </c>
      <c r="L1411" s="1779" t="e">
        <f t="shared" si="462"/>
        <v>#DIV/0!</v>
      </c>
      <c r="M1411" s="1778" t="e">
        <f t="shared" si="463"/>
        <v>#DIV/0!</v>
      </c>
      <c r="N1411" s="1777">
        <f>'Part VIII-Bldg Credit Alloc AR'!N99</f>
        <v>0</v>
      </c>
      <c r="O1411" s="1779">
        <f>'Part VIII-Bldg Credit Alloc AR'!O99</f>
        <v>0</v>
      </c>
      <c r="P1411" s="1778" t="e">
        <f t="shared" si="464"/>
        <v>#DIV/0!</v>
      </c>
      <c r="Q1411" s="1778" t="e">
        <f t="shared" si="465"/>
        <v>#DIV/0!</v>
      </c>
      <c r="R1411" s="1778" t="e">
        <f t="shared" si="466"/>
        <v>#DIV/0!</v>
      </c>
    </row>
    <row r="1412" spans="1:18">
      <c r="A1412" s="1658">
        <f>'Part VIII-Bldg Credit Alloc AR'!A100</f>
        <v>0</v>
      </c>
      <c r="B1412" s="1658"/>
      <c r="C1412" s="1658"/>
      <c r="D1412" s="1777">
        <f>'Part VIII-Bldg Credit Alloc AR'!D100</f>
        <v>0</v>
      </c>
      <c r="E1412" s="1778">
        <f>'Part VIII-Bldg Credit Alloc AR'!E100</f>
        <v>0</v>
      </c>
      <c r="F1412" s="1778">
        <f>'Part VIII-Bldg Credit Alloc AR'!F100</f>
        <v>0</v>
      </c>
      <c r="G1412" s="1778">
        <f>'Part VIII-Bldg Credit Alloc AR'!G100</f>
        <v>0</v>
      </c>
      <c r="H1412" s="1778">
        <f>'Part VIII-Bldg Credit Alloc AR'!H100</f>
        <v>0</v>
      </c>
      <c r="I1412" s="1778">
        <f>'Part VIII-Bldg Credit Alloc AR'!I100</f>
        <v>0</v>
      </c>
      <c r="J1412" s="1776">
        <f>'Part VIII-Bldg Credit Alloc AR'!J100</f>
        <v>0</v>
      </c>
      <c r="K1412" s="1778">
        <f>'Part VIII-Bldg Credit Alloc AR'!K100</f>
        <v>0</v>
      </c>
      <c r="L1412" s="1779" t="e">
        <f t="shared" si="462"/>
        <v>#DIV/0!</v>
      </c>
      <c r="M1412" s="1778" t="e">
        <f t="shared" si="463"/>
        <v>#DIV/0!</v>
      </c>
      <c r="N1412" s="1777">
        <f>'Part VIII-Bldg Credit Alloc AR'!N100</f>
        <v>0</v>
      </c>
      <c r="O1412" s="1779">
        <f>'Part VIII-Bldg Credit Alloc AR'!O100</f>
        <v>0</v>
      </c>
      <c r="P1412" s="1778" t="e">
        <f t="shared" si="464"/>
        <v>#DIV/0!</v>
      </c>
      <c r="Q1412" s="1778" t="e">
        <f t="shared" si="465"/>
        <v>#DIV/0!</v>
      </c>
      <c r="R1412" s="1778" t="e">
        <f t="shared" si="466"/>
        <v>#DIV/0!</v>
      </c>
    </row>
    <row r="1413" spans="1:18">
      <c r="A1413" s="1658">
        <f>'Part VIII-Bldg Credit Alloc AR'!A101</f>
        <v>0</v>
      </c>
      <c r="B1413" s="1658"/>
      <c r="C1413" s="1658"/>
      <c r="D1413" s="1777">
        <f>'Part VIII-Bldg Credit Alloc AR'!D101</f>
        <v>0</v>
      </c>
      <c r="E1413" s="1778">
        <f>'Part VIII-Bldg Credit Alloc AR'!E101</f>
        <v>0</v>
      </c>
      <c r="F1413" s="1778">
        <f>'Part VIII-Bldg Credit Alloc AR'!F101</f>
        <v>0</v>
      </c>
      <c r="G1413" s="1778">
        <f>'Part VIII-Bldg Credit Alloc AR'!G101</f>
        <v>0</v>
      </c>
      <c r="H1413" s="1778">
        <f>'Part VIII-Bldg Credit Alloc AR'!H101</f>
        <v>0</v>
      </c>
      <c r="I1413" s="1778">
        <f>'Part VIII-Bldg Credit Alloc AR'!I101</f>
        <v>0</v>
      </c>
      <c r="J1413" s="1776">
        <f>'Part VIII-Bldg Credit Alloc AR'!J101</f>
        <v>0</v>
      </c>
      <c r="K1413" s="1778">
        <f>'Part VIII-Bldg Credit Alloc AR'!K101</f>
        <v>0</v>
      </c>
      <c r="L1413" s="1779" t="e">
        <f t="shared" si="462"/>
        <v>#DIV/0!</v>
      </c>
      <c r="M1413" s="1778" t="e">
        <f t="shared" si="463"/>
        <v>#DIV/0!</v>
      </c>
      <c r="N1413" s="1777">
        <f>'Part VIII-Bldg Credit Alloc AR'!N101</f>
        <v>0</v>
      </c>
      <c r="O1413" s="1779">
        <f>'Part VIII-Bldg Credit Alloc AR'!O101</f>
        <v>0</v>
      </c>
      <c r="P1413" s="1778" t="e">
        <f t="shared" si="464"/>
        <v>#DIV/0!</v>
      </c>
      <c r="Q1413" s="1778" t="e">
        <f t="shared" si="465"/>
        <v>#DIV/0!</v>
      </c>
      <c r="R1413" s="1778" t="e">
        <f t="shared" si="466"/>
        <v>#DIV/0!</v>
      </c>
    </row>
    <row r="1414" spans="1:18">
      <c r="A1414" s="1658">
        <f>'Part VIII-Bldg Credit Alloc AR'!A102</f>
        <v>0</v>
      </c>
      <c r="B1414" s="1658"/>
      <c r="C1414" s="1658"/>
      <c r="D1414" s="1777">
        <f>'Part VIII-Bldg Credit Alloc AR'!D102</f>
        <v>0</v>
      </c>
      <c r="E1414" s="1778">
        <f>'Part VIII-Bldg Credit Alloc AR'!E102</f>
        <v>0</v>
      </c>
      <c r="F1414" s="1778">
        <f>'Part VIII-Bldg Credit Alloc AR'!F102</f>
        <v>0</v>
      </c>
      <c r="G1414" s="1778">
        <f>'Part VIII-Bldg Credit Alloc AR'!G102</f>
        <v>0</v>
      </c>
      <c r="H1414" s="1778">
        <f>'Part VIII-Bldg Credit Alloc AR'!H102</f>
        <v>0</v>
      </c>
      <c r="I1414" s="1778">
        <f>'Part VIII-Bldg Credit Alloc AR'!I102</f>
        <v>0</v>
      </c>
      <c r="J1414" s="1776">
        <f>'Part VIII-Bldg Credit Alloc AR'!J102</f>
        <v>0</v>
      </c>
      <c r="K1414" s="1778">
        <f>'Part VIII-Bldg Credit Alloc AR'!K102</f>
        <v>0</v>
      </c>
      <c r="L1414" s="1779" t="e">
        <f t="shared" si="462"/>
        <v>#DIV/0!</v>
      </c>
      <c r="M1414" s="1778" t="e">
        <f t="shared" si="463"/>
        <v>#DIV/0!</v>
      </c>
      <c r="N1414" s="1777">
        <f>'Part VIII-Bldg Credit Alloc AR'!N102</f>
        <v>0</v>
      </c>
      <c r="O1414" s="1779">
        <f>'Part VIII-Bldg Credit Alloc AR'!O102</f>
        <v>0</v>
      </c>
      <c r="P1414" s="1778" t="e">
        <f t="shared" si="464"/>
        <v>#DIV/0!</v>
      </c>
      <c r="Q1414" s="1778" t="e">
        <f t="shared" si="465"/>
        <v>#DIV/0!</v>
      </c>
      <c r="R1414" s="1778" t="e">
        <f t="shared" si="466"/>
        <v>#DIV/0!</v>
      </c>
    </row>
    <row r="1415" spans="1:18">
      <c r="A1415" s="1658">
        <f>'Part VIII-Bldg Credit Alloc AR'!A103</f>
        <v>0</v>
      </c>
      <c r="B1415" s="1658"/>
      <c r="C1415" s="1658"/>
      <c r="D1415" s="1777">
        <f>'Part VIII-Bldg Credit Alloc AR'!D103</f>
        <v>0</v>
      </c>
      <c r="E1415" s="1778">
        <f>'Part VIII-Bldg Credit Alloc AR'!E103</f>
        <v>0</v>
      </c>
      <c r="F1415" s="1778">
        <f>'Part VIII-Bldg Credit Alloc AR'!F103</f>
        <v>0</v>
      </c>
      <c r="G1415" s="1778">
        <f>'Part VIII-Bldg Credit Alloc AR'!G103</f>
        <v>0</v>
      </c>
      <c r="H1415" s="1778">
        <f>'Part VIII-Bldg Credit Alloc AR'!H103</f>
        <v>0</v>
      </c>
      <c r="I1415" s="1778">
        <f>'Part VIII-Bldg Credit Alloc AR'!I103</f>
        <v>0</v>
      </c>
      <c r="J1415" s="1776">
        <f>'Part VIII-Bldg Credit Alloc AR'!J103</f>
        <v>0</v>
      </c>
      <c r="K1415" s="1778">
        <f>'Part VIII-Bldg Credit Alloc AR'!K103</f>
        <v>0</v>
      </c>
      <c r="L1415" s="1779" t="e">
        <f t="shared" si="462"/>
        <v>#DIV/0!</v>
      </c>
      <c r="M1415" s="1778" t="e">
        <f t="shared" si="463"/>
        <v>#DIV/0!</v>
      </c>
      <c r="N1415" s="1777">
        <f>'Part VIII-Bldg Credit Alloc AR'!N103</f>
        <v>0</v>
      </c>
      <c r="O1415" s="1779">
        <f>'Part VIII-Bldg Credit Alloc AR'!O103</f>
        <v>0</v>
      </c>
      <c r="P1415" s="1778" t="e">
        <f t="shared" si="464"/>
        <v>#DIV/0!</v>
      </c>
      <c r="Q1415" s="1778" t="e">
        <f t="shared" si="465"/>
        <v>#DIV/0!</v>
      </c>
      <c r="R1415" s="1778" t="e">
        <f t="shared" si="466"/>
        <v>#DIV/0!</v>
      </c>
    </row>
    <row r="1416" spans="1:18">
      <c r="A1416" s="1658">
        <f>'Part VIII-Bldg Credit Alloc AR'!A104</f>
        <v>0</v>
      </c>
      <c r="B1416" s="1658"/>
      <c r="C1416" s="1658"/>
      <c r="D1416" s="1777">
        <f>'Part VIII-Bldg Credit Alloc AR'!D104</f>
        <v>0</v>
      </c>
      <c r="E1416" s="1778">
        <f>'Part VIII-Bldg Credit Alloc AR'!E104</f>
        <v>0</v>
      </c>
      <c r="F1416" s="1778">
        <f>'Part VIII-Bldg Credit Alloc AR'!F104</f>
        <v>0</v>
      </c>
      <c r="G1416" s="1778">
        <f>'Part VIII-Bldg Credit Alloc AR'!G104</f>
        <v>0</v>
      </c>
      <c r="H1416" s="1778">
        <f>'Part VIII-Bldg Credit Alloc AR'!H104</f>
        <v>0</v>
      </c>
      <c r="I1416" s="1778">
        <f>'Part VIII-Bldg Credit Alloc AR'!I104</f>
        <v>0</v>
      </c>
      <c r="J1416" s="1776">
        <f>'Part VIII-Bldg Credit Alloc AR'!J104</f>
        <v>0</v>
      </c>
      <c r="K1416" s="1778">
        <f>'Part VIII-Bldg Credit Alloc AR'!K104</f>
        <v>0</v>
      </c>
      <c r="L1416" s="1779" t="e">
        <f t="shared" si="462"/>
        <v>#DIV/0!</v>
      </c>
      <c r="M1416" s="1778" t="e">
        <f t="shared" si="463"/>
        <v>#DIV/0!</v>
      </c>
      <c r="N1416" s="1777">
        <f>'Part VIII-Bldg Credit Alloc AR'!N104</f>
        <v>0</v>
      </c>
      <c r="O1416" s="1779">
        <f>'Part VIII-Bldg Credit Alloc AR'!O104</f>
        <v>0</v>
      </c>
      <c r="P1416" s="1778" t="e">
        <f t="shared" si="464"/>
        <v>#DIV/0!</v>
      </c>
      <c r="Q1416" s="1778" t="e">
        <f t="shared" si="465"/>
        <v>#DIV/0!</v>
      </c>
      <c r="R1416" s="1778" t="e">
        <f t="shared" si="466"/>
        <v>#DIV/0!</v>
      </c>
    </row>
    <row r="1417" spans="1:18">
      <c r="A1417" s="1658">
        <f>'Part VIII-Bldg Credit Alloc AR'!A105</f>
        <v>0</v>
      </c>
      <c r="B1417" s="1658"/>
      <c r="C1417" s="1658"/>
      <c r="D1417" s="1777">
        <f>'Part VIII-Bldg Credit Alloc AR'!D105</f>
        <v>0</v>
      </c>
      <c r="E1417" s="1778">
        <f>'Part VIII-Bldg Credit Alloc AR'!E105</f>
        <v>0</v>
      </c>
      <c r="F1417" s="1778">
        <f>'Part VIII-Bldg Credit Alloc AR'!F105</f>
        <v>0</v>
      </c>
      <c r="G1417" s="1778">
        <f>'Part VIII-Bldg Credit Alloc AR'!G105</f>
        <v>0</v>
      </c>
      <c r="H1417" s="1778">
        <f>'Part VIII-Bldg Credit Alloc AR'!H105</f>
        <v>0</v>
      </c>
      <c r="I1417" s="1778">
        <f>'Part VIII-Bldg Credit Alloc AR'!I105</f>
        <v>0</v>
      </c>
      <c r="J1417" s="1776">
        <f>'Part VIII-Bldg Credit Alloc AR'!J105</f>
        <v>0</v>
      </c>
      <c r="K1417" s="1778">
        <f>'Part VIII-Bldg Credit Alloc AR'!K105</f>
        <v>0</v>
      </c>
      <c r="L1417" s="1779" t="e">
        <f t="shared" si="462"/>
        <v>#DIV/0!</v>
      </c>
      <c r="M1417" s="1778" t="e">
        <f t="shared" si="463"/>
        <v>#DIV/0!</v>
      </c>
      <c r="N1417" s="1777">
        <f>'Part VIII-Bldg Credit Alloc AR'!N105</f>
        <v>0</v>
      </c>
      <c r="O1417" s="1779">
        <f>'Part VIII-Bldg Credit Alloc AR'!O105</f>
        <v>0</v>
      </c>
      <c r="P1417" s="1778" t="e">
        <f t="shared" si="464"/>
        <v>#DIV/0!</v>
      </c>
      <c r="Q1417" s="1778" t="e">
        <f t="shared" si="465"/>
        <v>#DIV/0!</v>
      </c>
      <c r="R1417" s="1778" t="e">
        <f t="shared" si="466"/>
        <v>#DIV/0!</v>
      </c>
    </row>
    <row r="1418" spans="1:18">
      <c r="A1418" s="1658">
        <f>'Part VIII-Bldg Credit Alloc AR'!A106</f>
        <v>0</v>
      </c>
      <c r="B1418" s="1658"/>
      <c r="C1418" s="1658"/>
      <c r="D1418" s="1777">
        <f>'Part VIII-Bldg Credit Alloc AR'!D106</f>
        <v>0</v>
      </c>
      <c r="E1418" s="1778">
        <f>'Part VIII-Bldg Credit Alloc AR'!E106</f>
        <v>0</v>
      </c>
      <c r="F1418" s="1778">
        <f>'Part VIII-Bldg Credit Alloc AR'!F106</f>
        <v>0</v>
      </c>
      <c r="G1418" s="1778">
        <f>'Part VIII-Bldg Credit Alloc AR'!G106</f>
        <v>0</v>
      </c>
      <c r="H1418" s="1778">
        <f>'Part VIII-Bldg Credit Alloc AR'!H106</f>
        <v>0</v>
      </c>
      <c r="I1418" s="1778">
        <f>'Part VIII-Bldg Credit Alloc AR'!I106</f>
        <v>0</v>
      </c>
      <c r="J1418" s="1776">
        <f>'Part VIII-Bldg Credit Alloc AR'!J106</f>
        <v>0</v>
      </c>
      <c r="K1418" s="1778">
        <f>'Part VIII-Bldg Credit Alloc AR'!K106</f>
        <v>0</v>
      </c>
      <c r="L1418" s="1779" t="e">
        <f t="shared" si="462"/>
        <v>#DIV/0!</v>
      </c>
      <c r="M1418" s="1778" t="e">
        <f t="shared" si="463"/>
        <v>#DIV/0!</v>
      </c>
      <c r="N1418" s="1777">
        <f>'Part VIII-Bldg Credit Alloc AR'!N106</f>
        <v>0</v>
      </c>
      <c r="O1418" s="1779">
        <f>'Part VIII-Bldg Credit Alloc AR'!O106</f>
        <v>0</v>
      </c>
      <c r="P1418" s="1778" t="e">
        <f t="shared" si="464"/>
        <v>#DIV/0!</v>
      </c>
      <c r="Q1418" s="1778" t="e">
        <f t="shared" si="465"/>
        <v>#DIV/0!</v>
      </c>
      <c r="R1418" s="1778" t="e">
        <f t="shared" si="466"/>
        <v>#DIV/0!</v>
      </c>
    </row>
    <row r="1419" spans="1:18">
      <c r="A1419" s="1658">
        <f>'Part VIII-Bldg Credit Alloc AR'!A107</f>
        <v>0</v>
      </c>
      <c r="B1419" s="1658"/>
      <c r="C1419" s="1658"/>
      <c r="D1419" s="1777">
        <f>'Part VIII-Bldg Credit Alloc AR'!D107</f>
        <v>0</v>
      </c>
      <c r="E1419" s="1778">
        <f>'Part VIII-Bldg Credit Alloc AR'!E107</f>
        <v>0</v>
      </c>
      <c r="F1419" s="1778">
        <f>'Part VIII-Bldg Credit Alloc AR'!F107</f>
        <v>0</v>
      </c>
      <c r="G1419" s="1778">
        <f>'Part VIII-Bldg Credit Alloc AR'!G107</f>
        <v>0</v>
      </c>
      <c r="H1419" s="1778">
        <f>'Part VIII-Bldg Credit Alloc AR'!H107</f>
        <v>0</v>
      </c>
      <c r="I1419" s="1778">
        <f>'Part VIII-Bldg Credit Alloc AR'!I107</f>
        <v>0</v>
      </c>
      <c r="J1419" s="1776">
        <f>'Part VIII-Bldg Credit Alloc AR'!J107</f>
        <v>0</v>
      </c>
      <c r="K1419" s="1778">
        <f>'Part VIII-Bldg Credit Alloc AR'!K107</f>
        <v>0</v>
      </c>
      <c r="L1419" s="1779" t="e">
        <f t="shared" si="462"/>
        <v>#DIV/0!</v>
      </c>
      <c r="M1419" s="1778" t="e">
        <f t="shared" si="463"/>
        <v>#DIV/0!</v>
      </c>
      <c r="N1419" s="1777">
        <f>'Part VIII-Bldg Credit Alloc AR'!N107</f>
        <v>0</v>
      </c>
      <c r="O1419" s="1779">
        <f>'Part VIII-Bldg Credit Alloc AR'!O107</f>
        <v>0</v>
      </c>
      <c r="P1419" s="1778" t="e">
        <f t="shared" si="464"/>
        <v>#DIV/0!</v>
      </c>
      <c r="Q1419" s="1778" t="e">
        <f t="shared" si="465"/>
        <v>#DIV/0!</v>
      </c>
      <c r="R1419" s="1778" t="e">
        <f t="shared" si="466"/>
        <v>#DIV/0!</v>
      </c>
    </row>
    <row r="1420" spans="1:18">
      <c r="A1420" s="1658">
        <f>'Part VIII-Bldg Credit Alloc AR'!A108</f>
        <v>0</v>
      </c>
      <c r="B1420" s="1658"/>
      <c r="C1420" s="1658"/>
      <c r="D1420" s="1777">
        <f>'Part VIII-Bldg Credit Alloc AR'!D108</f>
        <v>0</v>
      </c>
      <c r="E1420" s="1778">
        <f>'Part VIII-Bldg Credit Alloc AR'!E108</f>
        <v>0</v>
      </c>
      <c r="F1420" s="1778">
        <f>'Part VIII-Bldg Credit Alloc AR'!F108</f>
        <v>0</v>
      </c>
      <c r="G1420" s="1778">
        <f>'Part VIII-Bldg Credit Alloc AR'!G108</f>
        <v>0</v>
      </c>
      <c r="H1420" s="1778">
        <f>'Part VIII-Bldg Credit Alloc AR'!H108</f>
        <v>0</v>
      </c>
      <c r="I1420" s="1778">
        <f>'Part VIII-Bldg Credit Alloc AR'!I108</f>
        <v>0</v>
      </c>
      <c r="J1420" s="1776">
        <f>'Part VIII-Bldg Credit Alloc AR'!J108</f>
        <v>0</v>
      </c>
      <c r="K1420" s="1778">
        <f>'Part VIII-Bldg Credit Alloc AR'!K108</f>
        <v>0</v>
      </c>
      <c r="L1420" s="1779" t="e">
        <f t="shared" si="462"/>
        <v>#DIV/0!</v>
      </c>
      <c r="M1420" s="1778" t="e">
        <f t="shared" si="463"/>
        <v>#DIV/0!</v>
      </c>
      <c r="N1420" s="1777">
        <f>'Part VIII-Bldg Credit Alloc AR'!N108</f>
        <v>0</v>
      </c>
      <c r="O1420" s="1779">
        <f>'Part VIII-Bldg Credit Alloc AR'!O108</f>
        <v>0</v>
      </c>
      <c r="P1420" s="1778" t="e">
        <f t="shared" si="464"/>
        <v>#DIV/0!</v>
      </c>
      <c r="Q1420" s="1778" t="e">
        <f t="shared" si="465"/>
        <v>#DIV/0!</v>
      </c>
      <c r="R1420" s="1778" t="e">
        <f t="shared" si="466"/>
        <v>#DIV/0!</v>
      </c>
    </row>
    <row r="1421" spans="1:18">
      <c r="A1421" s="1658">
        <f>'Part VIII-Bldg Credit Alloc AR'!A109</f>
        <v>0</v>
      </c>
      <c r="B1421" s="1658"/>
      <c r="C1421" s="1658"/>
      <c r="D1421" s="1777">
        <f>'Part VIII-Bldg Credit Alloc AR'!D109</f>
        <v>0</v>
      </c>
      <c r="E1421" s="1778">
        <f>'Part VIII-Bldg Credit Alloc AR'!E109</f>
        <v>0</v>
      </c>
      <c r="F1421" s="1778">
        <f>'Part VIII-Bldg Credit Alloc AR'!F109</f>
        <v>0</v>
      </c>
      <c r="G1421" s="1778">
        <f>'Part VIII-Bldg Credit Alloc AR'!G109</f>
        <v>0</v>
      </c>
      <c r="H1421" s="1778">
        <f>'Part VIII-Bldg Credit Alloc AR'!H109</f>
        <v>0</v>
      </c>
      <c r="I1421" s="1778">
        <f>'Part VIII-Bldg Credit Alloc AR'!I109</f>
        <v>0</v>
      </c>
      <c r="J1421" s="1776">
        <f>'Part VIII-Bldg Credit Alloc AR'!J109</f>
        <v>0</v>
      </c>
      <c r="K1421" s="1778">
        <f>'Part VIII-Bldg Credit Alloc AR'!K109</f>
        <v>0</v>
      </c>
      <c r="L1421" s="1779" t="e">
        <f t="shared" si="462"/>
        <v>#DIV/0!</v>
      </c>
      <c r="M1421" s="1778" t="e">
        <f t="shared" si="463"/>
        <v>#DIV/0!</v>
      </c>
      <c r="N1421" s="1777">
        <f>'Part VIII-Bldg Credit Alloc AR'!N109</f>
        <v>0</v>
      </c>
      <c r="O1421" s="1779">
        <f>'Part VIII-Bldg Credit Alloc AR'!O109</f>
        <v>0</v>
      </c>
      <c r="P1421" s="1778" t="e">
        <f t="shared" si="464"/>
        <v>#DIV/0!</v>
      </c>
      <c r="Q1421" s="1778" t="e">
        <f t="shared" si="465"/>
        <v>#DIV/0!</v>
      </c>
      <c r="R1421" s="1778" t="e">
        <f t="shared" si="466"/>
        <v>#DIV/0!</v>
      </c>
    </row>
    <row r="1422" spans="1:18">
      <c r="A1422" s="1658">
        <f>'Part VIII-Bldg Credit Alloc AR'!A110</f>
        <v>0</v>
      </c>
      <c r="B1422" s="1658"/>
      <c r="C1422" s="1658"/>
      <c r="D1422" s="1777">
        <f>'Part VIII-Bldg Credit Alloc AR'!D110</f>
        <v>0</v>
      </c>
      <c r="E1422" s="1778">
        <f>'Part VIII-Bldg Credit Alloc AR'!E110</f>
        <v>0</v>
      </c>
      <c r="F1422" s="1778">
        <f>'Part VIII-Bldg Credit Alloc AR'!F110</f>
        <v>0</v>
      </c>
      <c r="G1422" s="1778">
        <f>'Part VIII-Bldg Credit Alloc AR'!G110</f>
        <v>0</v>
      </c>
      <c r="H1422" s="1778">
        <f>'Part VIII-Bldg Credit Alloc AR'!H110</f>
        <v>0</v>
      </c>
      <c r="I1422" s="1778">
        <f>'Part VIII-Bldg Credit Alloc AR'!I110</f>
        <v>0</v>
      </c>
      <c r="J1422" s="1776">
        <f>'Part VIII-Bldg Credit Alloc AR'!J110</f>
        <v>0</v>
      </c>
      <c r="K1422" s="1778">
        <f>'Part VIII-Bldg Credit Alloc AR'!K110</f>
        <v>0</v>
      </c>
      <c r="L1422" s="1779" t="e">
        <f t="shared" si="462"/>
        <v>#DIV/0!</v>
      </c>
      <c r="M1422" s="1778" t="e">
        <f t="shared" si="463"/>
        <v>#DIV/0!</v>
      </c>
      <c r="N1422" s="1777">
        <f>'Part VIII-Bldg Credit Alloc AR'!N110</f>
        <v>0</v>
      </c>
      <c r="O1422" s="1779">
        <f>'Part VIII-Bldg Credit Alloc AR'!O110</f>
        <v>0</v>
      </c>
      <c r="P1422" s="1778" t="e">
        <f t="shared" si="464"/>
        <v>#DIV/0!</v>
      </c>
      <c r="Q1422" s="1778" t="e">
        <f t="shared" si="465"/>
        <v>#DIV/0!</v>
      </c>
      <c r="R1422" s="1778" t="e">
        <f t="shared" si="466"/>
        <v>#DIV/0!</v>
      </c>
    </row>
    <row r="1423" spans="1:18">
      <c r="A1423" s="1658">
        <f>'Part VIII-Bldg Credit Alloc AR'!A111</f>
        <v>0</v>
      </c>
      <c r="B1423" s="1658"/>
      <c r="C1423" s="1658"/>
      <c r="D1423" s="1777">
        <f>'Part VIII-Bldg Credit Alloc AR'!D111</f>
        <v>0</v>
      </c>
      <c r="E1423" s="1778">
        <f>'Part VIII-Bldg Credit Alloc AR'!E111</f>
        <v>0</v>
      </c>
      <c r="F1423" s="1778">
        <f>'Part VIII-Bldg Credit Alloc AR'!F111</f>
        <v>0</v>
      </c>
      <c r="G1423" s="1778">
        <f>'Part VIII-Bldg Credit Alloc AR'!G111</f>
        <v>0</v>
      </c>
      <c r="H1423" s="1778">
        <f>'Part VIII-Bldg Credit Alloc AR'!H111</f>
        <v>0</v>
      </c>
      <c r="I1423" s="1778">
        <f>'Part VIII-Bldg Credit Alloc AR'!I111</f>
        <v>0</v>
      </c>
      <c r="J1423" s="1776">
        <f>'Part VIII-Bldg Credit Alloc AR'!J111</f>
        <v>0</v>
      </c>
      <c r="K1423" s="1778">
        <f>'Part VIII-Bldg Credit Alloc AR'!K111</f>
        <v>0</v>
      </c>
      <c r="L1423" s="1779" t="e">
        <f t="shared" si="462"/>
        <v>#DIV/0!</v>
      </c>
      <c r="M1423" s="1778" t="e">
        <f t="shared" si="463"/>
        <v>#DIV/0!</v>
      </c>
      <c r="N1423" s="1777">
        <f>'Part VIII-Bldg Credit Alloc AR'!N111</f>
        <v>0</v>
      </c>
      <c r="O1423" s="1779">
        <f>'Part VIII-Bldg Credit Alloc AR'!O111</f>
        <v>0</v>
      </c>
      <c r="P1423" s="1778" t="e">
        <f t="shared" si="464"/>
        <v>#DIV/0!</v>
      </c>
      <c r="Q1423" s="1778" t="e">
        <f t="shared" si="465"/>
        <v>#DIV/0!</v>
      </c>
      <c r="R1423" s="1778" t="e">
        <f t="shared" si="466"/>
        <v>#DIV/0!</v>
      </c>
    </row>
    <row r="1424" spans="1:18">
      <c r="A1424" s="1658">
        <f>'Part VIII-Bldg Credit Alloc AR'!A112</f>
        <v>0</v>
      </c>
      <c r="B1424" s="1658"/>
      <c r="C1424" s="1658"/>
      <c r="D1424" s="1777">
        <f>'Part VIII-Bldg Credit Alloc AR'!D112</f>
        <v>0</v>
      </c>
      <c r="E1424" s="1778">
        <f>'Part VIII-Bldg Credit Alloc AR'!E112</f>
        <v>0</v>
      </c>
      <c r="F1424" s="1778">
        <f>'Part VIII-Bldg Credit Alloc AR'!F112</f>
        <v>0</v>
      </c>
      <c r="G1424" s="1778">
        <f>'Part VIII-Bldg Credit Alloc AR'!G112</f>
        <v>0</v>
      </c>
      <c r="H1424" s="1778">
        <f>'Part VIII-Bldg Credit Alloc AR'!H112</f>
        <v>0</v>
      </c>
      <c r="I1424" s="1778">
        <f>'Part VIII-Bldg Credit Alloc AR'!I112</f>
        <v>0</v>
      </c>
      <c r="J1424" s="1776">
        <f>'Part VIII-Bldg Credit Alloc AR'!J112</f>
        <v>0</v>
      </c>
      <c r="K1424" s="1778">
        <f>'Part VIII-Bldg Credit Alloc AR'!K112</f>
        <v>0</v>
      </c>
      <c r="L1424" s="1779" t="e">
        <f t="shared" si="462"/>
        <v>#DIV/0!</v>
      </c>
      <c r="M1424" s="1778" t="e">
        <f t="shared" si="463"/>
        <v>#DIV/0!</v>
      </c>
      <c r="N1424" s="1777">
        <f>'Part VIII-Bldg Credit Alloc AR'!N112</f>
        <v>0</v>
      </c>
      <c r="O1424" s="1779">
        <f>'Part VIII-Bldg Credit Alloc AR'!O112</f>
        <v>0</v>
      </c>
      <c r="P1424" s="1778" t="e">
        <f t="shared" si="464"/>
        <v>#DIV/0!</v>
      </c>
      <c r="Q1424" s="1778" t="e">
        <f t="shared" si="465"/>
        <v>#DIV/0!</v>
      </c>
      <c r="R1424" s="1778" t="e">
        <f t="shared" si="466"/>
        <v>#DIV/0!</v>
      </c>
    </row>
    <row r="1425" spans="1:18">
      <c r="A1425" s="1658">
        <f>'Part VIII-Bldg Credit Alloc AR'!A113</f>
        <v>0</v>
      </c>
      <c r="B1425" s="1658"/>
      <c r="C1425" s="1658"/>
      <c r="D1425" s="1777">
        <f>'Part VIII-Bldg Credit Alloc AR'!D113</f>
        <v>0</v>
      </c>
      <c r="E1425" s="1778">
        <f>'Part VIII-Bldg Credit Alloc AR'!E113</f>
        <v>0</v>
      </c>
      <c r="F1425" s="1778">
        <f>'Part VIII-Bldg Credit Alloc AR'!F113</f>
        <v>0</v>
      </c>
      <c r="G1425" s="1778">
        <f>'Part VIII-Bldg Credit Alloc AR'!G113</f>
        <v>0</v>
      </c>
      <c r="H1425" s="1778">
        <f>'Part VIII-Bldg Credit Alloc AR'!H113</f>
        <v>0</v>
      </c>
      <c r="I1425" s="1778">
        <f>'Part VIII-Bldg Credit Alloc AR'!I113</f>
        <v>0</v>
      </c>
      <c r="J1425" s="1776">
        <f>'Part VIII-Bldg Credit Alloc AR'!J113</f>
        <v>0</v>
      </c>
      <c r="K1425" s="1778">
        <f>'Part VIII-Bldg Credit Alloc AR'!K113</f>
        <v>0</v>
      </c>
      <c r="L1425" s="1779" t="e">
        <f t="shared" si="462"/>
        <v>#DIV/0!</v>
      </c>
      <c r="M1425" s="1778" t="e">
        <f t="shared" si="463"/>
        <v>#DIV/0!</v>
      </c>
      <c r="N1425" s="1777">
        <f>'Part VIII-Bldg Credit Alloc AR'!N113</f>
        <v>0</v>
      </c>
      <c r="O1425" s="1779">
        <f>'Part VIII-Bldg Credit Alloc AR'!O113</f>
        <v>0</v>
      </c>
      <c r="P1425" s="1778" t="e">
        <f t="shared" si="464"/>
        <v>#DIV/0!</v>
      </c>
      <c r="Q1425" s="1778" t="e">
        <f t="shared" si="465"/>
        <v>#DIV/0!</v>
      </c>
      <c r="R1425" s="1778" t="e">
        <f t="shared" si="466"/>
        <v>#DIV/0!</v>
      </c>
    </row>
    <row r="1426" spans="1:18">
      <c r="A1426" s="1658">
        <f>'Part VIII-Bldg Credit Alloc AR'!A114</f>
        <v>0</v>
      </c>
      <c r="B1426" s="1658"/>
      <c r="C1426" s="1658"/>
      <c r="D1426" s="1777">
        <f>'Part VIII-Bldg Credit Alloc AR'!D114</f>
        <v>0</v>
      </c>
      <c r="E1426" s="1778">
        <f>'Part VIII-Bldg Credit Alloc AR'!E114</f>
        <v>0</v>
      </c>
      <c r="F1426" s="1778">
        <f>'Part VIII-Bldg Credit Alloc AR'!F114</f>
        <v>0</v>
      </c>
      <c r="G1426" s="1778">
        <f>'Part VIII-Bldg Credit Alloc AR'!G114</f>
        <v>0</v>
      </c>
      <c r="H1426" s="1778">
        <f>'Part VIII-Bldg Credit Alloc AR'!H114</f>
        <v>0</v>
      </c>
      <c r="I1426" s="1778">
        <f>'Part VIII-Bldg Credit Alloc AR'!I114</f>
        <v>0</v>
      </c>
      <c r="J1426" s="1776">
        <f>'Part VIII-Bldg Credit Alloc AR'!J114</f>
        <v>0</v>
      </c>
      <c r="K1426" s="1778">
        <f>'Part VIII-Bldg Credit Alloc AR'!K114</f>
        <v>0</v>
      </c>
      <c r="L1426" s="1779" t="e">
        <f t="shared" si="462"/>
        <v>#DIV/0!</v>
      </c>
      <c r="M1426" s="1778" t="e">
        <f t="shared" si="463"/>
        <v>#DIV/0!</v>
      </c>
      <c r="N1426" s="1777">
        <f>'Part VIII-Bldg Credit Alloc AR'!N114</f>
        <v>0</v>
      </c>
      <c r="O1426" s="1779">
        <f>'Part VIII-Bldg Credit Alloc AR'!O114</f>
        <v>0</v>
      </c>
      <c r="P1426" s="1778" t="e">
        <f t="shared" si="464"/>
        <v>#DIV/0!</v>
      </c>
      <c r="Q1426" s="1778" t="e">
        <f t="shared" si="465"/>
        <v>#DIV/0!</v>
      </c>
      <c r="R1426" s="1778" t="e">
        <f t="shared" si="466"/>
        <v>#DIV/0!</v>
      </c>
    </row>
    <row r="1427" spans="1:18">
      <c r="A1427" s="1658">
        <f>'Part VIII-Bldg Credit Alloc AR'!A115</f>
        <v>0</v>
      </c>
      <c r="B1427" s="1658"/>
      <c r="C1427" s="1658"/>
      <c r="D1427" s="1777">
        <f>'Part VIII-Bldg Credit Alloc AR'!D115</f>
        <v>0</v>
      </c>
      <c r="E1427" s="1778">
        <f>'Part VIII-Bldg Credit Alloc AR'!E115</f>
        <v>0</v>
      </c>
      <c r="F1427" s="1778">
        <f>'Part VIII-Bldg Credit Alloc AR'!F115</f>
        <v>0</v>
      </c>
      <c r="G1427" s="1778">
        <f>'Part VIII-Bldg Credit Alloc AR'!G115</f>
        <v>0</v>
      </c>
      <c r="H1427" s="1778">
        <f>'Part VIII-Bldg Credit Alloc AR'!H115</f>
        <v>0</v>
      </c>
      <c r="I1427" s="1778">
        <f>'Part VIII-Bldg Credit Alloc AR'!I115</f>
        <v>0</v>
      </c>
      <c r="J1427" s="1776">
        <f>'Part VIII-Bldg Credit Alloc AR'!J115</f>
        <v>0</v>
      </c>
      <c r="K1427" s="1778">
        <f>'Part VIII-Bldg Credit Alloc AR'!K115</f>
        <v>0</v>
      </c>
      <c r="L1427" s="1779" t="e">
        <f t="shared" si="462"/>
        <v>#DIV/0!</v>
      </c>
      <c r="M1427" s="1778" t="e">
        <f t="shared" si="463"/>
        <v>#DIV/0!</v>
      </c>
      <c r="N1427" s="1777">
        <f>'Part VIII-Bldg Credit Alloc AR'!N115</f>
        <v>0</v>
      </c>
      <c r="O1427" s="1779">
        <f>'Part VIII-Bldg Credit Alloc AR'!O115</f>
        <v>0</v>
      </c>
      <c r="P1427" s="1778" t="e">
        <f t="shared" si="464"/>
        <v>#DIV/0!</v>
      </c>
      <c r="Q1427" s="1778" t="e">
        <f t="shared" si="465"/>
        <v>#DIV/0!</v>
      </c>
      <c r="R1427" s="1778" t="e">
        <f t="shared" si="466"/>
        <v>#DIV/0!</v>
      </c>
    </row>
    <row r="1428" spans="1:18">
      <c r="A1428" s="1658">
        <f>'Part VIII-Bldg Credit Alloc AR'!A116</f>
        <v>0</v>
      </c>
      <c r="B1428" s="1658"/>
      <c r="C1428" s="1658"/>
      <c r="D1428" s="1777">
        <f>'Part VIII-Bldg Credit Alloc AR'!D116</f>
        <v>0</v>
      </c>
      <c r="E1428" s="1778">
        <f>'Part VIII-Bldg Credit Alloc AR'!E116</f>
        <v>0</v>
      </c>
      <c r="F1428" s="1778">
        <f>'Part VIII-Bldg Credit Alloc AR'!F116</f>
        <v>0</v>
      </c>
      <c r="G1428" s="1778">
        <f>'Part VIII-Bldg Credit Alloc AR'!G116</f>
        <v>0</v>
      </c>
      <c r="H1428" s="1778">
        <f>'Part VIII-Bldg Credit Alloc AR'!H116</f>
        <v>0</v>
      </c>
      <c r="I1428" s="1778">
        <f>'Part VIII-Bldg Credit Alloc AR'!I116</f>
        <v>0</v>
      </c>
      <c r="J1428" s="1776">
        <f>'Part VIII-Bldg Credit Alloc AR'!J116</f>
        <v>0</v>
      </c>
      <c r="K1428" s="1778">
        <f>'Part VIII-Bldg Credit Alloc AR'!K116</f>
        <v>0</v>
      </c>
      <c r="L1428" s="1779" t="e">
        <f t="shared" si="462"/>
        <v>#DIV/0!</v>
      </c>
      <c r="M1428" s="1778" t="e">
        <f t="shared" si="463"/>
        <v>#DIV/0!</v>
      </c>
      <c r="N1428" s="1777">
        <f>'Part VIII-Bldg Credit Alloc AR'!N116</f>
        <v>0</v>
      </c>
      <c r="O1428" s="1779">
        <f>'Part VIII-Bldg Credit Alloc AR'!O116</f>
        <v>0</v>
      </c>
      <c r="P1428" s="1778" t="e">
        <f t="shared" si="464"/>
        <v>#DIV/0!</v>
      </c>
      <c r="Q1428" s="1778" t="e">
        <f t="shared" si="465"/>
        <v>#DIV/0!</v>
      </c>
      <c r="R1428" s="1778" t="e">
        <f t="shared" si="466"/>
        <v>#DIV/0!</v>
      </c>
    </row>
    <row r="1429" spans="1:18">
      <c r="A1429" s="1658">
        <f>'Part VIII-Bldg Credit Alloc AR'!A117</f>
        <v>0</v>
      </c>
      <c r="B1429" s="1658"/>
      <c r="C1429" s="1658"/>
      <c r="D1429" s="1777">
        <f>'Part VIII-Bldg Credit Alloc AR'!D117</f>
        <v>0</v>
      </c>
      <c r="E1429" s="1778">
        <f>'Part VIII-Bldg Credit Alloc AR'!E117</f>
        <v>0</v>
      </c>
      <c r="F1429" s="1778">
        <f>'Part VIII-Bldg Credit Alloc AR'!F117</f>
        <v>0</v>
      </c>
      <c r="G1429" s="1778">
        <f>'Part VIII-Bldg Credit Alloc AR'!G117</f>
        <v>0</v>
      </c>
      <c r="H1429" s="1778">
        <f>'Part VIII-Bldg Credit Alloc AR'!H117</f>
        <v>0</v>
      </c>
      <c r="I1429" s="1778">
        <f>'Part VIII-Bldg Credit Alloc AR'!I117</f>
        <v>0</v>
      </c>
      <c r="J1429" s="1776">
        <f>'Part VIII-Bldg Credit Alloc AR'!J117</f>
        <v>0</v>
      </c>
      <c r="K1429" s="1778">
        <f>'Part VIII-Bldg Credit Alloc AR'!K117</f>
        <v>0</v>
      </c>
      <c r="L1429" s="1779" t="e">
        <f t="shared" si="462"/>
        <v>#DIV/0!</v>
      </c>
      <c r="M1429" s="1778" t="e">
        <f t="shared" si="463"/>
        <v>#DIV/0!</v>
      </c>
      <c r="N1429" s="1777">
        <f>'Part VIII-Bldg Credit Alloc AR'!N117</f>
        <v>0</v>
      </c>
      <c r="O1429" s="1779">
        <f>'Part VIII-Bldg Credit Alloc AR'!O117</f>
        <v>0</v>
      </c>
      <c r="P1429" s="1778" t="e">
        <f t="shared" si="464"/>
        <v>#DIV/0!</v>
      </c>
      <c r="Q1429" s="1778" t="e">
        <f t="shared" si="465"/>
        <v>#DIV/0!</v>
      </c>
      <c r="R1429" s="1778" t="e">
        <f t="shared" si="466"/>
        <v>#DIV/0!</v>
      </c>
    </row>
    <row r="1430" spans="1:18">
      <c r="A1430" s="1658">
        <f>'Part VIII-Bldg Credit Alloc AR'!A118</f>
        <v>0</v>
      </c>
      <c r="B1430" s="1658"/>
      <c r="C1430" s="1658"/>
      <c r="D1430" s="1777">
        <f>'Part VIII-Bldg Credit Alloc AR'!D118</f>
        <v>0</v>
      </c>
      <c r="E1430" s="1778">
        <f>'Part VIII-Bldg Credit Alloc AR'!E118</f>
        <v>0</v>
      </c>
      <c r="F1430" s="1778">
        <f>'Part VIII-Bldg Credit Alloc AR'!F118</f>
        <v>0</v>
      </c>
      <c r="G1430" s="1778">
        <f>'Part VIII-Bldg Credit Alloc AR'!G118</f>
        <v>0</v>
      </c>
      <c r="H1430" s="1778">
        <f>'Part VIII-Bldg Credit Alloc AR'!H118</f>
        <v>0</v>
      </c>
      <c r="I1430" s="1778">
        <f>'Part VIII-Bldg Credit Alloc AR'!I118</f>
        <v>0</v>
      </c>
      <c r="J1430" s="1776">
        <f>'Part VIII-Bldg Credit Alloc AR'!J118</f>
        <v>0</v>
      </c>
      <c r="K1430" s="1778">
        <f>'Part VIII-Bldg Credit Alloc AR'!K118</f>
        <v>0</v>
      </c>
      <c r="L1430" s="1779" t="e">
        <f t="shared" si="462"/>
        <v>#DIV/0!</v>
      </c>
      <c r="M1430" s="1778" t="e">
        <f t="shared" si="463"/>
        <v>#DIV/0!</v>
      </c>
      <c r="N1430" s="1777">
        <f>'Part VIII-Bldg Credit Alloc AR'!N118</f>
        <v>0</v>
      </c>
      <c r="O1430" s="1779">
        <f>'Part VIII-Bldg Credit Alloc AR'!O118</f>
        <v>0</v>
      </c>
      <c r="P1430" s="1778" t="e">
        <f t="shared" si="464"/>
        <v>#DIV/0!</v>
      </c>
      <c r="Q1430" s="1778" t="e">
        <f t="shared" si="465"/>
        <v>#DIV/0!</v>
      </c>
      <c r="R1430" s="1778" t="e">
        <f t="shared" si="466"/>
        <v>#DIV/0!</v>
      </c>
    </row>
    <row r="1431" spans="1:18">
      <c r="A1431" s="1658">
        <f>'Part VIII-Bldg Credit Alloc AR'!A119</f>
        <v>0</v>
      </c>
      <c r="B1431" s="1658"/>
      <c r="C1431" s="1658"/>
      <c r="D1431" s="1777">
        <f>'Part VIII-Bldg Credit Alloc AR'!D119</f>
        <v>0</v>
      </c>
      <c r="E1431" s="1778">
        <f>'Part VIII-Bldg Credit Alloc AR'!E119</f>
        <v>0</v>
      </c>
      <c r="F1431" s="1778">
        <f>'Part VIII-Bldg Credit Alloc AR'!F119</f>
        <v>0</v>
      </c>
      <c r="G1431" s="1778">
        <f>'Part VIII-Bldg Credit Alloc AR'!G119</f>
        <v>0</v>
      </c>
      <c r="H1431" s="1778">
        <f>'Part VIII-Bldg Credit Alloc AR'!H119</f>
        <v>0</v>
      </c>
      <c r="I1431" s="1778">
        <f>'Part VIII-Bldg Credit Alloc AR'!I119</f>
        <v>0</v>
      </c>
      <c r="J1431" s="1776">
        <f>'Part VIII-Bldg Credit Alloc AR'!J119</f>
        <v>0</v>
      </c>
      <c r="K1431" s="1778">
        <f>'Part VIII-Bldg Credit Alloc AR'!K119</f>
        <v>0</v>
      </c>
      <c r="L1431" s="1779" t="e">
        <f t="shared" si="462"/>
        <v>#DIV/0!</v>
      </c>
      <c r="M1431" s="1778" t="e">
        <f t="shared" si="463"/>
        <v>#DIV/0!</v>
      </c>
      <c r="N1431" s="1777">
        <f>'Part VIII-Bldg Credit Alloc AR'!N119</f>
        <v>0</v>
      </c>
      <c r="O1431" s="1779">
        <f>'Part VIII-Bldg Credit Alloc AR'!O119</f>
        <v>0</v>
      </c>
      <c r="P1431" s="1778" t="e">
        <f t="shared" si="464"/>
        <v>#DIV/0!</v>
      </c>
      <c r="Q1431" s="1778" t="e">
        <f t="shared" si="465"/>
        <v>#DIV/0!</v>
      </c>
      <c r="R1431" s="1778" t="e">
        <f t="shared" si="466"/>
        <v>#DIV/0!</v>
      </c>
    </row>
    <row r="1432" spans="1:18">
      <c r="A1432" s="1658">
        <f>'Part VIII-Bldg Credit Alloc AR'!A120</f>
        <v>0</v>
      </c>
      <c r="B1432" s="1658"/>
      <c r="C1432" s="1658"/>
      <c r="D1432" s="1777">
        <f>'Part VIII-Bldg Credit Alloc AR'!D120</f>
        <v>0</v>
      </c>
      <c r="E1432" s="1778">
        <f>'Part VIII-Bldg Credit Alloc AR'!E120</f>
        <v>0</v>
      </c>
      <c r="F1432" s="1778">
        <f>'Part VIII-Bldg Credit Alloc AR'!F120</f>
        <v>0</v>
      </c>
      <c r="G1432" s="1778">
        <f>'Part VIII-Bldg Credit Alloc AR'!G120</f>
        <v>0</v>
      </c>
      <c r="H1432" s="1778">
        <f>'Part VIII-Bldg Credit Alloc AR'!H120</f>
        <v>0</v>
      </c>
      <c r="I1432" s="1778">
        <f>'Part VIII-Bldg Credit Alloc AR'!I120</f>
        <v>0</v>
      </c>
      <c r="J1432" s="1776">
        <f>'Part VIII-Bldg Credit Alloc AR'!J120</f>
        <v>0</v>
      </c>
      <c r="K1432" s="1778">
        <f>'Part VIII-Bldg Credit Alloc AR'!K120</f>
        <v>0</v>
      </c>
      <c r="L1432" s="1779" t="e">
        <f t="shared" si="462"/>
        <v>#DIV/0!</v>
      </c>
      <c r="M1432" s="1778" t="e">
        <f t="shared" si="463"/>
        <v>#DIV/0!</v>
      </c>
      <c r="N1432" s="1777">
        <f>'Part VIII-Bldg Credit Alloc AR'!N120</f>
        <v>0</v>
      </c>
      <c r="O1432" s="1779">
        <f>'Part VIII-Bldg Credit Alloc AR'!O120</f>
        <v>0</v>
      </c>
      <c r="P1432" s="1778" t="e">
        <f t="shared" si="464"/>
        <v>#DIV/0!</v>
      </c>
      <c r="Q1432" s="1778" t="e">
        <f t="shared" si="465"/>
        <v>#DIV/0!</v>
      </c>
      <c r="R1432" s="1778" t="e">
        <f t="shared" si="466"/>
        <v>#DIV/0!</v>
      </c>
    </row>
    <row r="1433" spans="1:18">
      <c r="A1433" s="1658">
        <f>'Part VIII-Bldg Credit Alloc AR'!A121</f>
        <v>0</v>
      </c>
      <c r="B1433" s="1658"/>
      <c r="C1433" s="1658"/>
      <c r="D1433" s="1777">
        <f>'Part VIII-Bldg Credit Alloc AR'!D121</f>
        <v>0</v>
      </c>
      <c r="E1433" s="1778">
        <f>'Part VIII-Bldg Credit Alloc AR'!E121</f>
        <v>0</v>
      </c>
      <c r="F1433" s="1778">
        <f>'Part VIII-Bldg Credit Alloc AR'!F121</f>
        <v>0</v>
      </c>
      <c r="G1433" s="1778">
        <f>'Part VIII-Bldg Credit Alloc AR'!G121</f>
        <v>0</v>
      </c>
      <c r="H1433" s="1778">
        <f>'Part VIII-Bldg Credit Alloc AR'!H121</f>
        <v>0</v>
      </c>
      <c r="I1433" s="1778">
        <f>'Part VIII-Bldg Credit Alloc AR'!I121</f>
        <v>0</v>
      </c>
      <c r="J1433" s="1776">
        <f>'Part VIII-Bldg Credit Alloc AR'!J121</f>
        <v>0</v>
      </c>
      <c r="K1433" s="1778">
        <f>'Part VIII-Bldg Credit Alloc AR'!K121</f>
        <v>0</v>
      </c>
      <c r="L1433" s="1779" t="e">
        <f t="shared" si="462"/>
        <v>#DIV/0!</v>
      </c>
      <c r="M1433" s="1778" t="e">
        <f t="shared" si="463"/>
        <v>#DIV/0!</v>
      </c>
      <c r="N1433" s="1777">
        <f>'Part VIII-Bldg Credit Alloc AR'!N121</f>
        <v>0</v>
      </c>
      <c r="O1433" s="1779">
        <f>'Part VIII-Bldg Credit Alloc AR'!O121</f>
        <v>0</v>
      </c>
      <c r="P1433" s="1778" t="e">
        <f t="shared" si="464"/>
        <v>#DIV/0!</v>
      </c>
      <c r="Q1433" s="1778" t="e">
        <f t="shared" si="465"/>
        <v>#DIV/0!</v>
      </c>
      <c r="R1433" s="1778" t="e">
        <f t="shared" si="466"/>
        <v>#DIV/0!</v>
      </c>
    </row>
    <row r="1434" spans="1:18">
      <c r="A1434" s="1658">
        <f>'Part VIII-Bldg Credit Alloc AR'!A122</f>
        <v>0</v>
      </c>
      <c r="B1434" s="1658"/>
      <c r="C1434" s="1658"/>
      <c r="D1434" s="1777">
        <f>'Part VIII-Bldg Credit Alloc AR'!D122</f>
        <v>0</v>
      </c>
      <c r="E1434" s="1778">
        <f>'Part VIII-Bldg Credit Alloc AR'!E122</f>
        <v>0</v>
      </c>
      <c r="F1434" s="1778">
        <f>'Part VIII-Bldg Credit Alloc AR'!F122</f>
        <v>0</v>
      </c>
      <c r="G1434" s="1778">
        <f>'Part VIII-Bldg Credit Alloc AR'!G122</f>
        <v>0</v>
      </c>
      <c r="H1434" s="1778">
        <f>'Part VIII-Bldg Credit Alloc AR'!H122</f>
        <v>0</v>
      </c>
      <c r="I1434" s="1778">
        <f>'Part VIII-Bldg Credit Alloc AR'!I122</f>
        <v>0</v>
      </c>
      <c r="J1434" s="1776">
        <f>'Part VIII-Bldg Credit Alloc AR'!J122</f>
        <v>0</v>
      </c>
      <c r="K1434" s="1778">
        <f>'Part VIII-Bldg Credit Alloc AR'!K122</f>
        <v>0</v>
      </c>
      <c r="L1434" s="1779" t="e">
        <f t="shared" si="462"/>
        <v>#DIV/0!</v>
      </c>
      <c r="M1434" s="1778" t="e">
        <f t="shared" si="463"/>
        <v>#DIV/0!</v>
      </c>
      <c r="N1434" s="1777">
        <f>'Part VIII-Bldg Credit Alloc AR'!N122</f>
        <v>0</v>
      </c>
      <c r="O1434" s="1779">
        <f>'Part VIII-Bldg Credit Alloc AR'!O122</f>
        <v>0</v>
      </c>
      <c r="P1434" s="1778" t="e">
        <f t="shared" si="464"/>
        <v>#DIV/0!</v>
      </c>
      <c r="Q1434" s="1778" t="e">
        <f t="shared" si="465"/>
        <v>#DIV/0!</v>
      </c>
      <c r="R1434" s="1778" t="e">
        <f t="shared" si="466"/>
        <v>#DIV/0!</v>
      </c>
    </row>
    <row r="1435" spans="1:18">
      <c r="A1435" s="1658">
        <f>'Part VIII-Bldg Credit Alloc AR'!A123</f>
        <v>0</v>
      </c>
      <c r="B1435" s="1658"/>
      <c r="C1435" s="1658"/>
      <c r="D1435" s="1777">
        <f>'Part VIII-Bldg Credit Alloc AR'!D123</f>
        <v>0</v>
      </c>
      <c r="E1435" s="1778">
        <f>'Part VIII-Bldg Credit Alloc AR'!E123</f>
        <v>0</v>
      </c>
      <c r="F1435" s="1778">
        <f>'Part VIII-Bldg Credit Alloc AR'!F123</f>
        <v>0</v>
      </c>
      <c r="G1435" s="1778">
        <f>'Part VIII-Bldg Credit Alloc AR'!G123</f>
        <v>0</v>
      </c>
      <c r="H1435" s="1778">
        <f>'Part VIII-Bldg Credit Alloc AR'!H123</f>
        <v>0</v>
      </c>
      <c r="I1435" s="1778">
        <f>'Part VIII-Bldg Credit Alloc AR'!I123</f>
        <v>0</v>
      </c>
      <c r="J1435" s="1776">
        <f>'Part VIII-Bldg Credit Alloc AR'!J123</f>
        <v>0</v>
      </c>
      <c r="K1435" s="1778">
        <f>'Part VIII-Bldg Credit Alloc AR'!K123</f>
        <v>0</v>
      </c>
      <c r="L1435" s="1779" t="e">
        <f t="shared" si="462"/>
        <v>#DIV/0!</v>
      </c>
      <c r="M1435" s="1778" t="e">
        <f t="shared" si="463"/>
        <v>#DIV/0!</v>
      </c>
      <c r="N1435" s="1777">
        <f>'Part VIII-Bldg Credit Alloc AR'!N123</f>
        <v>0</v>
      </c>
      <c r="O1435" s="1779">
        <f>'Part VIII-Bldg Credit Alloc AR'!O123</f>
        <v>0</v>
      </c>
      <c r="P1435" s="1778" t="e">
        <f t="shared" si="464"/>
        <v>#DIV/0!</v>
      </c>
      <c r="Q1435" s="1778" t="e">
        <f t="shared" si="465"/>
        <v>#DIV/0!</v>
      </c>
      <c r="R1435" s="1778" t="e">
        <f t="shared" si="466"/>
        <v>#DIV/0!</v>
      </c>
    </row>
    <row r="1436" spans="1:18">
      <c r="A1436" s="1658">
        <f>'Part VIII-Bldg Credit Alloc AR'!A124</f>
        <v>0</v>
      </c>
      <c r="B1436" s="1658"/>
      <c r="C1436" s="1658"/>
      <c r="D1436" s="1777">
        <f>'Part VIII-Bldg Credit Alloc AR'!D124</f>
        <v>0</v>
      </c>
      <c r="E1436" s="1778">
        <f>'Part VIII-Bldg Credit Alloc AR'!E124</f>
        <v>0</v>
      </c>
      <c r="F1436" s="1778">
        <f>'Part VIII-Bldg Credit Alloc AR'!F124</f>
        <v>0</v>
      </c>
      <c r="G1436" s="1778">
        <f>'Part VIII-Bldg Credit Alloc AR'!G124</f>
        <v>0</v>
      </c>
      <c r="H1436" s="1778">
        <f>'Part VIII-Bldg Credit Alloc AR'!H124</f>
        <v>0</v>
      </c>
      <c r="I1436" s="1778">
        <f>'Part VIII-Bldg Credit Alloc AR'!I124</f>
        <v>0</v>
      </c>
      <c r="J1436" s="1776">
        <f>'Part VIII-Bldg Credit Alloc AR'!J124</f>
        <v>0</v>
      </c>
      <c r="K1436" s="1778">
        <f>'Part VIII-Bldg Credit Alloc AR'!K124</f>
        <v>0</v>
      </c>
      <c r="L1436" s="1779" t="e">
        <f t="shared" si="462"/>
        <v>#DIV/0!</v>
      </c>
      <c r="M1436" s="1778" t="e">
        <f t="shared" si="463"/>
        <v>#DIV/0!</v>
      </c>
      <c r="N1436" s="1777">
        <f>'Part VIII-Bldg Credit Alloc AR'!N124</f>
        <v>0</v>
      </c>
      <c r="O1436" s="1779">
        <f>'Part VIII-Bldg Credit Alloc AR'!O124</f>
        <v>0</v>
      </c>
      <c r="P1436" s="1778" t="e">
        <f t="shared" si="464"/>
        <v>#DIV/0!</v>
      </c>
      <c r="Q1436" s="1778" t="e">
        <f t="shared" si="465"/>
        <v>#DIV/0!</v>
      </c>
      <c r="R1436" s="1778" t="e">
        <f t="shared" si="466"/>
        <v>#DIV/0!</v>
      </c>
    </row>
    <row r="1437" spans="1:18">
      <c r="A1437" s="1658">
        <f>'Part VIII-Bldg Credit Alloc AR'!A125</f>
        <v>0</v>
      </c>
      <c r="B1437" s="1658"/>
      <c r="C1437" s="1658"/>
      <c r="D1437" s="1777">
        <f>'Part VIII-Bldg Credit Alloc AR'!D125</f>
        <v>0</v>
      </c>
      <c r="E1437" s="1778">
        <f>'Part VIII-Bldg Credit Alloc AR'!E125</f>
        <v>0</v>
      </c>
      <c r="F1437" s="1778">
        <f>'Part VIII-Bldg Credit Alloc AR'!F125</f>
        <v>0</v>
      </c>
      <c r="G1437" s="1778">
        <f>'Part VIII-Bldg Credit Alloc AR'!G125</f>
        <v>0</v>
      </c>
      <c r="H1437" s="1778">
        <f>'Part VIII-Bldg Credit Alloc AR'!H125</f>
        <v>0</v>
      </c>
      <c r="I1437" s="1778">
        <f>'Part VIII-Bldg Credit Alloc AR'!I125</f>
        <v>0</v>
      </c>
      <c r="J1437" s="1776">
        <f>'Part VIII-Bldg Credit Alloc AR'!J125</f>
        <v>0</v>
      </c>
      <c r="K1437" s="1778">
        <f>'Part VIII-Bldg Credit Alloc AR'!K125</f>
        <v>0</v>
      </c>
      <c r="L1437" s="1779" t="e">
        <f t="shared" si="462"/>
        <v>#DIV/0!</v>
      </c>
      <c r="M1437" s="1778" t="e">
        <f t="shared" si="463"/>
        <v>#DIV/0!</v>
      </c>
      <c r="N1437" s="1777">
        <f>'Part VIII-Bldg Credit Alloc AR'!N125</f>
        <v>0</v>
      </c>
      <c r="O1437" s="1779">
        <f>'Part VIII-Bldg Credit Alloc AR'!O125</f>
        <v>0</v>
      </c>
      <c r="P1437" s="1778" t="e">
        <f t="shared" si="464"/>
        <v>#DIV/0!</v>
      </c>
      <c r="Q1437" s="1778" t="e">
        <f t="shared" si="465"/>
        <v>#DIV/0!</v>
      </c>
      <c r="R1437" s="1778" t="e">
        <f t="shared" si="466"/>
        <v>#DIV/0!</v>
      </c>
    </row>
    <row r="1438" spans="1:18">
      <c r="A1438" s="1658">
        <f>'Part VIII-Bldg Credit Alloc AR'!A126</f>
        <v>0</v>
      </c>
      <c r="B1438" s="1658"/>
      <c r="C1438" s="1658"/>
      <c r="D1438" s="1777">
        <f>'Part VIII-Bldg Credit Alloc AR'!D126</f>
        <v>0</v>
      </c>
      <c r="E1438" s="1778">
        <f>'Part VIII-Bldg Credit Alloc AR'!E126</f>
        <v>0</v>
      </c>
      <c r="F1438" s="1778">
        <f>'Part VIII-Bldg Credit Alloc AR'!F126</f>
        <v>0</v>
      </c>
      <c r="G1438" s="1778">
        <f>'Part VIII-Bldg Credit Alloc AR'!G126</f>
        <v>0</v>
      </c>
      <c r="H1438" s="1778">
        <f>'Part VIII-Bldg Credit Alloc AR'!H126</f>
        <v>0</v>
      </c>
      <c r="I1438" s="1778">
        <f>'Part VIII-Bldg Credit Alloc AR'!I126</f>
        <v>0</v>
      </c>
      <c r="J1438" s="1776">
        <f>'Part VIII-Bldg Credit Alloc AR'!J126</f>
        <v>0</v>
      </c>
      <c r="K1438" s="1778">
        <f>'Part VIII-Bldg Credit Alloc AR'!K126</f>
        <v>0</v>
      </c>
      <c r="L1438" s="1779" t="e">
        <f t="shared" si="462"/>
        <v>#DIV/0!</v>
      </c>
      <c r="M1438" s="1778" t="e">
        <f t="shared" si="463"/>
        <v>#DIV/0!</v>
      </c>
      <c r="N1438" s="1777">
        <f>'Part VIII-Bldg Credit Alloc AR'!N126</f>
        <v>0</v>
      </c>
      <c r="O1438" s="1779">
        <f>'Part VIII-Bldg Credit Alloc AR'!O126</f>
        <v>0</v>
      </c>
      <c r="P1438" s="1778" t="e">
        <f t="shared" si="464"/>
        <v>#DIV/0!</v>
      </c>
      <c r="Q1438" s="1778" t="e">
        <f t="shared" si="465"/>
        <v>#DIV/0!</v>
      </c>
      <c r="R1438" s="1778" t="e">
        <f t="shared" si="466"/>
        <v>#DIV/0!</v>
      </c>
    </row>
    <row r="1439" spans="1:18">
      <c r="A1439" s="1658">
        <f>'Part VIII-Bldg Credit Alloc AR'!A127</f>
        <v>0</v>
      </c>
      <c r="B1439" s="1658"/>
      <c r="C1439" s="1658"/>
      <c r="D1439" s="1777">
        <f>'Part VIII-Bldg Credit Alloc AR'!D127</f>
        <v>0</v>
      </c>
      <c r="E1439" s="1778">
        <f>'Part VIII-Bldg Credit Alloc AR'!E127</f>
        <v>0</v>
      </c>
      <c r="F1439" s="1778">
        <f>'Part VIII-Bldg Credit Alloc AR'!F127</f>
        <v>0</v>
      </c>
      <c r="G1439" s="1778">
        <f>'Part VIII-Bldg Credit Alloc AR'!G127</f>
        <v>0</v>
      </c>
      <c r="H1439" s="1778">
        <f>'Part VIII-Bldg Credit Alloc AR'!H127</f>
        <v>0</v>
      </c>
      <c r="I1439" s="1778">
        <f>'Part VIII-Bldg Credit Alloc AR'!I127</f>
        <v>0</v>
      </c>
      <c r="J1439" s="1776">
        <f>'Part VIII-Bldg Credit Alloc AR'!J127</f>
        <v>0</v>
      </c>
      <c r="K1439" s="1778">
        <f>'Part VIII-Bldg Credit Alloc AR'!K127</f>
        <v>0</v>
      </c>
      <c r="L1439" s="1779" t="e">
        <f t="shared" si="462"/>
        <v>#DIV/0!</v>
      </c>
      <c r="M1439" s="1778" t="e">
        <f t="shared" si="463"/>
        <v>#DIV/0!</v>
      </c>
      <c r="N1439" s="1777">
        <f>'Part VIII-Bldg Credit Alloc AR'!N127</f>
        <v>0</v>
      </c>
      <c r="O1439" s="1779">
        <f>'Part VIII-Bldg Credit Alloc AR'!O127</f>
        <v>0</v>
      </c>
      <c r="P1439" s="1778" t="e">
        <f t="shared" si="464"/>
        <v>#DIV/0!</v>
      </c>
      <c r="Q1439" s="1778" t="e">
        <f t="shared" si="465"/>
        <v>#DIV/0!</v>
      </c>
      <c r="R1439" s="1778" t="e">
        <f t="shared" si="466"/>
        <v>#DIV/0!</v>
      </c>
    </row>
    <row r="1440" spans="1:18">
      <c r="A1440" s="1658">
        <f>'Part VIII-Bldg Credit Alloc AR'!A128</f>
        <v>0</v>
      </c>
      <c r="B1440" s="1658"/>
      <c r="C1440" s="1658"/>
      <c r="D1440" s="1777">
        <f>'Part VIII-Bldg Credit Alloc AR'!D128</f>
        <v>0</v>
      </c>
      <c r="E1440" s="1778">
        <f>'Part VIII-Bldg Credit Alloc AR'!E128</f>
        <v>0</v>
      </c>
      <c r="F1440" s="1778">
        <f>'Part VIII-Bldg Credit Alloc AR'!F128</f>
        <v>0</v>
      </c>
      <c r="G1440" s="1778">
        <f>'Part VIII-Bldg Credit Alloc AR'!G128</f>
        <v>0</v>
      </c>
      <c r="H1440" s="1778">
        <f>'Part VIII-Bldg Credit Alloc AR'!H128</f>
        <v>0</v>
      </c>
      <c r="I1440" s="1778">
        <f>'Part VIII-Bldg Credit Alloc AR'!I128</f>
        <v>0</v>
      </c>
      <c r="J1440" s="1776">
        <f>'Part VIII-Bldg Credit Alloc AR'!J128</f>
        <v>0</v>
      </c>
      <c r="K1440" s="1778">
        <f>'Part VIII-Bldg Credit Alloc AR'!K128</f>
        <v>0</v>
      </c>
      <c r="L1440" s="1779" t="e">
        <f t="shared" si="462"/>
        <v>#DIV/0!</v>
      </c>
      <c r="M1440" s="1778" t="e">
        <f t="shared" si="463"/>
        <v>#DIV/0!</v>
      </c>
      <c r="N1440" s="1777">
        <f>'Part VIII-Bldg Credit Alloc AR'!N128</f>
        <v>0</v>
      </c>
      <c r="O1440" s="1779">
        <f>'Part VIII-Bldg Credit Alloc AR'!O128</f>
        <v>0</v>
      </c>
      <c r="P1440" s="1778" t="e">
        <f t="shared" si="464"/>
        <v>#DIV/0!</v>
      </c>
      <c r="Q1440" s="1778" t="e">
        <f t="shared" si="465"/>
        <v>#DIV/0!</v>
      </c>
      <c r="R1440" s="1778" t="e">
        <f t="shared" si="466"/>
        <v>#DIV/0!</v>
      </c>
    </row>
    <row r="1441" spans="1:18">
      <c r="A1441" s="1658">
        <f>'Part VIII-Bldg Credit Alloc AR'!A129</f>
        <v>0</v>
      </c>
      <c r="B1441" s="1658"/>
      <c r="C1441" s="1658"/>
      <c r="D1441" s="1777">
        <f>'Part VIII-Bldg Credit Alloc AR'!D129</f>
        <v>0</v>
      </c>
      <c r="E1441" s="1778">
        <f>'Part VIII-Bldg Credit Alloc AR'!E129</f>
        <v>0</v>
      </c>
      <c r="F1441" s="1778">
        <f>'Part VIII-Bldg Credit Alloc AR'!F129</f>
        <v>0</v>
      </c>
      <c r="G1441" s="1778">
        <f>'Part VIII-Bldg Credit Alloc AR'!G129</f>
        <v>0</v>
      </c>
      <c r="H1441" s="1778">
        <f>'Part VIII-Bldg Credit Alloc AR'!H129</f>
        <v>0</v>
      </c>
      <c r="I1441" s="1778">
        <f>'Part VIII-Bldg Credit Alloc AR'!I129</f>
        <v>0</v>
      </c>
      <c r="J1441" s="1776">
        <f>'Part VIII-Bldg Credit Alloc AR'!J129</f>
        <v>0</v>
      </c>
      <c r="K1441" s="1778">
        <f>'Part VIII-Bldg Credit Alloc AR'!K129</f>
        <v>0</v>
      </c>
      <c r="L1441" s="1779" t="e">
        <f t="shared" si="462"/>
        <v>#DIV/0!</v>
      </c>
      <c r="M1441" s="1778" t="e">
        <f t="shared" si="463"/>
        <v>#DIV/0!</v>
      </c>
      <c r="N1441" s="1777">
        <f>'Part VIII-Bldg Credit Alloc AR'!N129</f>
        <v>0</v>
      </c>
      <c r="O1441" s="1779">
        <f>'Part VIII-Bldg Credit Alloc AR'!O129</f>
        <v>0</v>
      </c>
      <c r="P1441" s="1778" t="e">
        <f t="shared" si="464"/>
        <v>#DIV/0!</v>
      </c>
      <c r="Q1441" s="1778" t="e">
        <f t="shared" si="465"/>
        <v>#DIV/0!</v>
      </c>
      <c r="R1441" s="1778" t="e">
        <f t="shared" si="466"/>
        <v>#DIV/0!</v>
      </c>
    </row>
    <row r="1442" spans="1:18">
      <c r="A1442" s="1658">
        <f>'Part VIII-Bldg Credit Alloc AR'!A130</f>
        <v>0</v>
      </c>
      <c r="B1442" s="1658"/>
      <c r="C1442" s="1658"/>
      <c r="D1442" s="1777">
        <f>'Part VIII-Bldg Credit Alloc AR'!D130</f>
        <v>0</v>
      </c>
      <c r="E1442" s="1778">
        <f>'Part VIII-Bldg Credit Alloc AR'!E130</f>
        <v>0</v>
      </c>
      <c r="F1442" s="1778">
        <f>'Part VIII-Bldg Credit Alloc AR'!F130</f>
        <v>0</v>
      </c>
      <c r="G1442" s="1778">
        <f>'Part VIII-Bldg Credit Alloc AR'!G130</f>
        <v>0</v>
      </c>
      <c r="H1442" s="1778">
        <f>'Part VIII-Bldg Credit Alloc AR'!H130</f>
        <v>0</v>
      </c>
      <c r="I1442" s="1778">
        <f>'Part VIII-Bldg Credit Alloc AR'!I130</f>
        <v>0</v>
      </c>
      <c r="J1442" s="1776">
        <f>'Part VIII-Bldg Credit Alloc AR'!J130</f>
        <v>0</v>
      </c>
      <c r="K1442" s="1778">
        <f>'Part VIII-Bldg Credit Alloc AR'!K130</f>
        <v>0</v>
      </c>
      <c r="L1442" s="1779" t="e">
        <f t="shared" si="462"/>
        <v>#DIV/0!</v>
      </c>
      <c r="M1442" s="1778" t="e">
        <f t="shared" si="463"/>
        <v>#DIV/0!</v>
      </c>
      <c r="N1442" s="1777">
        <f>'Part VIII-Bldg Credit Alloc AR'!N130</f>
        <v>0</v>
      </c>
      <c r="O1442" s="1779">
        <f>'Part VIII-Bldg Credit Alloc AR'!O130</f>
        <v>0</v>
      </c>
      <c r="P1442" s="1778" t="e">
        <f t="shared" si="464"/>
        <v>#DIV/0!</v>
      </c>
      <c r="Q1442" s="1778" t="e">
        <f t="shared" si="465"/>
        <v>#DIV/0!</v>
      </c>
      <c r="R1442" s="1778" t="e">
        <f t="shared" si="466"/>
        <v>#DIV/0!</v>
      </c>
    </row>
    <row r="1443" spans="1:18">
      <c r="A1443" s="1715" t="s">
        <v>3692</v>
      </c>
      <c r="B1443" s="1780"/>
      <c r="C1443" s="1780"/>
      <c r="D1443" s="1777"/>
      <c r="E1443" s="1778">
        <f>SUM(E1408:E1442)</f>
        <v>0</v>
      </c>
      <c r="F1443" s="1778">
        <f>SUM(F1408:F1442)</f>
        <v>0</v>
      </c>
      <c r="G1443" s="1778">
        <f>SUM(G1408:G1442)</f>
        <v>0</v>
      </c>
      <c r="H1443" s="1778">
        <f>SUM(H1408:H1442)</f>
        <v>0</v>
      </c>
      <c r="I1443" s="1778">
        <f>SUM(I1408:I1442)</f>
        <v>0</v>
      </c>
      <c r="J1443" s="1658"/>
      <c r="K1443" s="1778">
        <f>SUM(K1408:K1442)</f>
        <v>0</v>
      </c>
      <c r="L1443" s="1779"/>
      <c r="M1443" s="1778" t="e">
        <f>SUM(M1408:M1442)</f>
        <v>#DIV/0!</v>
      </c>
      <c r="N1443" s="1777"/>
      <c r="O1443" s="1779"/>
      <c r="P1443" s="1778" t="e">
        <f>SUM(P1408:P1442)</f>
        <v>#DIV/0!</v>
      </c>
      <c r="Q1443" s="1778" t="e">
        <f>SUM(Q1408:Q1442)</f>
        <v>#DIV/0!</v>
      </c>
      <c r="R1443" s="1778" t="e">
        <f>SUM(R1408:R1442)</f>
        <v>#DIV/0!</v>
      </c>
    </row>
    <row r="1444" spans="1:18">
      <c r="A1444" s="1715" t="s">
        <v>3128</v>
      </c>
      <c r="B1444" s="1656"/>
      <c r="C1444" s="1771" t="str">
        <f>C1316</f>
        <v>Acquisition</v>
      </c>
      <c r="D1444" s="1781"/>
      <c r="E1444" s="1781"/>
      <c r="F1444" s="1713"/>
      <c r="G1444" s="1656"/>
      <c r="H1444" s="1656"/>
      <c r="I1444" s="1656"/>
      <c r="J1444" s="1656"/>
      <c r="K1444" s="1656"/>
      <c r="L1444" s="1657"/>
      <c r="M1444" s="1657"/>
      <c r="N1444" s="1657"/>
      <c r="O1444" s="1656"/>
      <c r="P1444" s="1656"/>
      <c r="Q1444" s="1656"/>
      <c r="R1444" s="1656"/>
    </row>
    <row r="1445" spans="1:18">
      <c r="A1445" s="1712" t="s">
        <v>3129</v>
      </c>
      <c r="B1445" s="1712"/>
      <c r="C1445" s="1712"/>
      <c r="D1445" s="1712"/>
      <c r="E1445" s="1712"/>
      <c r="F1445" s="1712"/>
      <c r="G1445" s="1712"/>
      <c r="H1445" s="1712"/>
      <c r="I1445" s="1712"/>
      <c r="J1445" s="1712"/>
      <c r="K1445" s="1712"/>
      <c r="L1445" s="1712"/>
      <c r="M1445" s="1712"/>
      <c r="N1445" s="1712"/>
      <c r="O1445" s="1712"/>
      <c r="P1445" s="1712"/>
      <c r="Q1445" s="1712"/>
      <c r="R1445" s="1712"/>
    </row>
    <row r="1446" spans="1:18" ht="13.5" customHeight="1">
      <c r="A1446" s="1772"/>
      <c r="B1446" s="1658"/>
      <c r="C1446" s="1658"/>
      <c r="D1446" s="1773"/>
      <c r="E1446" s="1773" t="s">
        <v>503</v>
      </c>
      <c r="F1446" s="1773" t="s">
        <v>503</v>
      </c>
      <c r="G1446" s="1773" t="s">
        <v>477</v>
      </c>
      <c r="H1446" s="1773" t="s">
        <v>3130</v>
      </c>
      <c r="I1446" s="1718"/>
      <c r="J1446" s="1773"/>
      <c r="K1446" s="1718"/>
      <c r="L1446" s="1718"/>
      <c r="M1446" s="1746"/>
      <c r="N1446" s="1773" t="s">
        <v>861</v>
      </c>
      <c r="O1446" s="1746"/>
      <c r="P1446" s="1746"/>
      <c r="Q1446" s="1774" t="s">
        <v>3719</v>
      </c>
      <c r="R1446" s="1774"/>
    </row>
    <row r="1447" spans="1:18" ht="13.5">
      <c r="A1447" s="1772"/>
      <c r="B1447" s="1658"/>
      <c r="C1447" s="1658"/>
      <c r="D1447" s="1773" t="s">
        <v>496</v>
      </c>
      <c r="E1447" s="1775" t="s">
        <v>152</v>
      </c>
      <c r="F1447" s="1773" t="s">
        <v>3132</v>
      </c>
      <c r="G1447" s="1773" t="s">
        <v>3133</v>
      </c>
      <c r="H1447" s="1773" t="s">
        <v>3134</v>
      </c>
      <c r="I1447" s="1773" t="s">
        <v>3135</v>
      </c>
      <c r="J1447" s="1692" t="s">
        <v>3136</v>
      </c>
      <c r="K1447" s="1773" t="s">
        <v>3135</v>
      </c>
      <c r="L1447" s="1773" t="s">
        <v>3135</v>
      </c>
      <c r="M1447" s="1773" t="s">
        <v>3135</v>
      </c>
      <c r="N1447" s="1773" t="s">
        <v>3137</v>
      </c>
      <c r="O1447" s="1773" t="s">
        <v>3138</v>
      </c>
      <c r="P1447" s="1773" t="s">
        <v>3139</v>
      </c>
      <c r="Q1447" s="1774"/>
      <c r="R1447" s="1774"/>
    </row>
    <row r="1448" spans="1:18" ht="13.5">
      <c r="A1448" s="1772"/>
      <c r="B1448" s="1658"/>
      <c r="C1448" s="1658"/>
      <c r="D1448" s="1773" t="s">
        <v>3140</v>
      </c>
      <c r="E1448" s="1773" t="s">
        <v>3141</v>
      </c>
      <c r="F1448" s="1773" t="s">
        <v>3110</v>
      </c>
      <c r="G1448" s="1773" t="s">
        <v>3134</v>
      </c>
      <c r="H1448" s="1773" t="s">
        <v>3110</v>
      </c>
      <c r="I1448" s="1773" t="s">
        <v>3142</v>
      </c>
      <c r="J1448" s="1692"/>
      <c r="K1448" s="1773" t="s">
        <v>3143</v>
      </c>
      <c r="L1448" s="1773" t="s">
        <v>3144</v>
      </c>
      <c r="M1448" s="1773" t="s">
        <v>3145</v>
      </c>
      <c r="N1448" s="1773" t="s">
        <v>3146</v>
      </c>
      <c r="O1448" s="1773" t="s">
        <v>3147</v>
      </c>
      <c r="P1448" s="1773" t="s">
        <v>3147</v>
      </c>
      <c r="Q1448" s="1773" t="s">
        <v>3135</v>
      </c>
      <c r="R1448" s="1773" t="s">
        <v>3148</v>
      </c>
    </row>
    <row r="1449" spans="1:18" ht="13.5">
      <c r="A1449" s="1772" t="s">
        <v>3149</v>
      </c>
      <c r="B1449" s="1658"/>
      <c r="C1449" s="1658"/>
      <c r="D1449" s="1773" t="s">
        <v>3150</v>
      </c>
      <c r="E1449" s="1773" t="s">
        <v>3151</v>
      </c>
      <c r="F1449" s="1773" t="s">
        <v>3152</v>
      </c>
      <c r="G1449" s="1773" t="s">
        <v>3151</v>
      </c>
      <c r="H1449" s="1773" t="s">
        <v>3152</v>
      </c>
      <c r="I1449" s="1773" t="s">
        <v>3153</v>
      </c>
      <c r="J1449" s="1776" t="s">
        <v>3154</v>
      </c>
      <c r="K1449" s="1773" t="s">
        <v>3153</v>
      </c>
      <c r="L1449" s="1773" t="s">
        <v>3155</v>
      </c>
      <c r="M1449" s="1773" t="s">
        <v>3153</v>
      </c>
      <c r="N1449" s="1773" t="s">
        <v>3156</v>
      </c>
      <c r="O1449" s="1773" t="s">
        <v>3157</v>
      </c>
      <c r="P1449" s="1773" t="s">
        <v>1793</v>
      </c>
      <c r="Q1449" s="1773" t="s">
        <v>1830</v>
      </c>
      <c r="R1449" s="1773" t="s">
        <v>1793</v>
      </c>
    </row>
    <row r="1450" spans="1:18">
      <c r="A1450" s="1658">
        <f>'Part VIII-Bldg Credit Alloc AR'!A138</f>
        <v>0</v>
      </c>
      <c r="B1450" s="1658"/>
      <c r="C1450" s="1658"/>
      <c r="D1450" s="1777">
        <f>'Part VIII-Bldg Credit Alloc AR'!D138</f>
        <v>0</v>
      </c>
      <c r="E1450" s="1778">
        <f>'Part VIII-Bldg Credit Alloc AR'!E138</f>
        <v>0</v>
      </c>
      <c r="F1450" s="1778">
        <f>'Part VIII-Bldg Credit Alloc AR'!F138</f>
        <v>0</v>
      </c>
      <c r="G1450" s="1778">
        <f>'Part VIII-Bldg Credit Alloc AR'!G138</f>
        <v>0</v>
      </c>
      <c r="H1450" s="1778">
        <f>'Part VIII-Bldg Credit Alloc AR'!H138</f>
        <v>0</v>
      </c>
      <c r="I1450" s="1778">
        <f>'Part VIII-Bldg Credit Alloc AR'!I138</f>
        <v>0</v>
      </c>
      <c r="J1450" s="1776">
        <f>'Part VIII-Bldg Credit Alloc AR'!J138</f>
        <v>0</v>
      </c>
      <c r="K1450" s="1778">
        <f>'Part VIII-Bldg Credit Alloc AR'!K138</f>
        <v>0</v>
      </c>
      <c r="L1450" s="1779" t="e">
        <f>IF(OR(E1450="",F1450=""),"",MIN(G1450/E1450,H1450/F1450))</f>
        <v>#DIV/0!</v>
      </c>
      <c r="M1450" s="1778" t="e">
        <f>IF(OR(E1450="",F1450=""),"",K1450*L1450)</f>
        <v>#DIV/0!</v>
      </c>
      <c r="N1450" s="1777">
        <f>'Part VIII-Bldg Credit Alloc AR'!N138</f>
        <v>0</v>
      </c>
      <c r="O1450" s="1779">
        <f>'Part VIII-Bldg Credit Alloc AR'!O138</f>
        <v>0</v>
      </c>
      <c r="P1450" s="1778" t="e">
        <f>IF(OR(M1450="",O1450=""),"",M1450*O1450)</f>
        <v>#DIV/0!</v>
      </c>
      <c r="Q1450" s="1778" t="e">
        <f>IF(M1450="","",ROUND(M1450,0))</f>
        <v>#DIV/0!</v>
      </c>
      <c r="R1450" s="1778" t="e">
        <f>IF(P1450="","",ROUND(P1450,0))</f>
        <v>#DIV/0!</v>
      </c>
    </row>
    <row r="1451" spans="1:18">
      <c r="A1451" s="1658">
        <f>'Part VIII-Bldg Credit Alloc AR'!A139</f>
        <v>0</v>
      </c>
      <c r="B1451" s="1658"/>
      <c r="C1451" s="1658"/>
      <c r="D1451" s="1777">
        <f>'Part VIII-Bldg Credit Alloc AR'!D139</f>
        <v>0</v>
      </c>
      <c r="E1451" s="1778">
        <f>'Part VIII-Bldg Credit Alloc AR'!E139</f>
        <v>0</v>
      </c>
      <c r="F1451" s="1778">
        <f>'Part VIII-Bldg Credit Alloc AR'!F139</f>
        <v>0</v>
      </c>
      <c r="G1451" s="1778">
        <f>'Part VIII-Bldg Credit Alloc AR'!G139</f>
        <v>0</v>
      </c>
      <c r="H1451" s="1778">
        <f>'Part VIII-Bldg Credit Alloc AR'!H139</f>
        <v>0</v>
      </c>
      <c r="I1451" s="1778">
        <f>'Part VIII-Bldg Credit Alloc AR'!I139</f>
        <v>0</v>
      </c>
      <c r="J1451" s="1776">
        <f>'Part VIII-Bldg Credit Alloc AR'!J139</f>
        <v>0</v>
      </c>
      <c r="K1451" s="1778">
        <f>'Part VIII-Bldg Credit Alloc AR'!K139</f>
        <v>0</v>
      </c>
      <c r="L1451" s="1779" t="e">
        <f t="shared" ref="L1451:L1482" si="467">IF(OR(E1451="",F1451=""),"",MIN(G1451/E1451,H1451/F1451))</f>
        <v>#DIV/0!</v>
      </c>
      <c r="M1451" s="1778" t="e">
        <f t="shared" ref="M1451:M1482" si="468">IF(OR(E1451="",F1451=""),"",K1451*L1451)</f>
        <v>#DIV/0!</v>
      </c>
      <c r="N1451" s="1777">
        <f>'Part VIII-Bldg Credit Alloc AR'!N139</f>
        <v>0</v>
      </c>
      <c r="O1451" s="1779">
        <f>'Part VIII-Bldg Credit Alloc AR'!O139</f>
        <v>0</v>
      </c>
      <c r="P1451" s="1778" t="e">
        <f t="shared" ref="P1451:P1482" si="469">IF(OR(M1451="",O1451=""),"",M1451*O1451)</f>
        <v>#DIV/0!</v>
      </c>
      <c r="Q1451" s="1778" t="e">
        <f t="shared" ref="Q1451:Q1482" si="470">IF(M1451="","",ROUND(M1451,0))</f>
        <v>#DIV/0!</v>
      </c>
      <c r="R1451" s="1778" t="e">
        <f t="shared" ref="R1451:R1482" si="471">IF(P1451="","",ROUND(P1451,0))</f>
        <v>#DIV/0!</v>
      </c>
    </row>
    <row r="1452" spans="1:18">
      <c r="A1452" s="1658">
        <f>'Part VIII-Bldg Credit Alloc AR'!A140</f>
        <v>0</v>
      </c>
      <c r="B1452" s="1658"/>
      <c r="C1452" s="1658"/>
      <c r="D1452" s="1777">
        <f>'Part VIII-Bldg Credit Alloc AR'!D140</f>
        <v>0</v>
      </c>
      <c r="E1452" s="1778">
        <f>'Part VIII-Bldg Credit Alloc AR'!E140</f>
        <v>0</v>
      </c>
      <c r="F1452" s="1778">
        <f>'Part VIII-Bldg Credit Alloc AR'!F140</f>
        <v>0</v>
      </c>
      <c r="G1452" s="1778">
        <f>'Part VIII-Bldg Credit Alloc AR'!G140</f>
        <v>0</v>
      </c>
      <c r="H1452" s="1778">
        <f>'Part VIII-Bldg Credit Alloc AR'!H140</f>
        <v>0</v>
      </c>
      <c r="I1452" s="1778">
        <f>'Part VIII-Bldg Credit Alloc AR'!I140</f>
        <v>0</v>
      </c>
      <c r="J1452" s="1776">
        <f>'Part VIII-Bldg Credit Alloc AR'!J140</f>
        <v>0</v>
      </c>
      <c r="K1452" s="1778">
        <f>'Part VIII-Bldg Credit Alloc AR'!K140</f>
        <v>0</v>
      </c>
      <c r="L1452" s="1779" t="e">
        <f t="shared" si="467"/>
        <v>#DIV/0!</v>
      </c>
      <c r="M1452" s="1778" t="e">
        <f t="shared" si="468"/>
        <v>#DIV/0!</v>
      </c>
      <c r="N1452" s="1777">
        <f>'Part VIII-Bldg Credit Alloc AR'!N140</f>
        <v>0</v>
      </c>
      <c r="O1452" s="1779">
        <f>'Part VIII-Bldg Credit Alloc AR'!O140</f>
        <v>0</v>
      </c>
      <c r="P1452" s="1778" t="e">
        <f t="shared" si="469"/>
        <v>#DIV/0!</v>
      </c>
      <c r="Q1452" s="1778" t="e">
        <f t="shared" si="470"/>
        <v>#DIV/0!</v>
      </c>
      <c r="R1452" s="1778" t="e">
        <f t="shared" si="471"/>
        <v>#DIV/0!</v>
      </c>
    </row>
    <row r="1453" spans="1:18">
      <c r="A1453" s="1658">
        <f>'Part VIII-Bldg Credit Alloc AR'!A141</f>
        <v>0</v>
      </c>
      <c r="B1453" s="1658"/>
      <c r="C1453" s="1658"/>
      <c r="D1453" s="1777">
        <f>'Part VIII-Bldg Credit Alloc AR'!D141</f>
        <v>0</v>
      </c>
      <c r="E1453" s="1778">
        <f>'Part VIII-Bldg Credit Alloc AR'!E141</f>
        <v>0</v>
      </c>
      <c r="F1453" s="1778">
        <f>'Part VIII-Bldg Credit Alloc AR'!F141</f>
        <v>0</v>
      </c>
      <c r="G1453" s="1778">
        <f>'Part VIII-Bldg Credit Alloc AR'!G141</f>
        <v>0</v>
      </c>
      <c r="H1453" s="1778">
        <f>'Part VIII-Bldg Credit Alloc AR'!H141</f>
        <v>0</v>
      </c>
      <c r="I1453" s="1778">
        <f>'Part VIII-Bldg Credit Alloc AR'!I141</f>
        <v>0</v>
      </c>
      <c r="J1453" s="1776">
        <f>'Part VIII-Bldg Credit Alloc AR'!J141</f>
        <v>0</v>
      </c>
      <c r="K1453" s="1778">
        <f>'Part VIII-Bldg Credit Alloc AR'!K141</f>
        <v>0</v>
      </c>
      <c r="L1453" s="1779" t="e">
        <f t="shared" si="467"/>
        <v>#DIV/0!</v>
      </c>
      <c r="M1453" s="1778" t="e">
        <f t="shared" si="468"/>
        <v>#DIV/0!</v>
      </c>
      <c r="N1453" s="1777">
        <f>'Part VIII-Bldg Credit Alloc AR'!N141</f>
        <v>0</v>
      </c>
      <c r="O1453" s="1779">
        <f>'Part VIII-Bldg Credit Alloc AR'!O141</f>
        <v>0</v>
      </c>
      <c r="P1453" s="1778" t="e">
        <f t="shared" si="469"/>
        <v>#DIV/0!</v>
      </c>
      <c r="Q1453" s="1778" t="e">
        <f t="shared" si="470"/>
        <v>#DIV/0!</v>
      </c>
      <c r="R1453" s="1778" t="e">
        <f t="shared" si="471"/>
        <v>#DIV/0!</v>
      </c>
    </row>
    <row r="1454" spans="1:18">
      <c r="A1454" s="1658">
        <f>'Part VIII-Bldg Credit Alloc AR'!A142</f>
        <v>0</v>
      </c>
      <c r="B1454" s="1658"/>
      <c r="C1454" s="1658"/>
      <c r="D1454" s="1777">
        <f>'Part VIII-Bldg Credit Alloc AR'!D142</f>
        <v>0</v>
      </c>
      <c r="E1454" s="1778">
        <f>'Part VIII-Bldg Credit Alloc AR'!E142</f>
        <v>0</v>
      </c>
      <c r="F1454" s="1778">
        <f>'Part VIII-Bldg Credit Alloc AR'!F142</f>
        <v>0</v>
      </c>
      <c r="G1454" s="1778">
        <f>'Part VIII-Bldg Credit Alloc AR'!G142</f>
        <v>0</v>
      </c>
      <c r="H1454" s="1778">
        <f>'Part VIII-Bldg Credit Alloc AR'!H142</f>
        <v>0</v>
      </c>
      <c r="I1454" s="1778">
        <f>'Part VIII-Bldg Credit Alloc AR'!I142</f>
        <v>0</v>
      </c>
      <c r="J1454" s="1776">
        <f>'Part VIII-Bldg Credit Alloc AR'!J142</f>
        <v>0</v>
      </c>
      <c r="K1454" s="1778">
        <f>'Part VIII-Bldg Credit Alloc AR'!K142</f>
        <v>0</v>
      </c>
      <c r="L1454" s="1779" t="e">
        <f t="shared" si="467"/>
        <v>#DIV/0!</v>
      </c>
      <c r="M1454" s="1778" t="e">
        <f t="shared" si="468"/>
        <v>#DIV/0!</v>
      </c>
      <c r="N1454" s="1777">
        <f>'Part VIII-Bldg Credit Alloc AR'!N142</f>
        <v>0</v>
      </c>
      <c r="O1454" s="1779">
        <f>'Part VIII-Bldg Credit Alloc AR'!O142</f>
        <v>0</v>
      </c>
      <c r="P1454" s="1778" t="e">
        <f t="shared" si="469"/>
        <v>#DIV/0!</v>
      </c>
      <c r="Q1454" s="1778" t="e">
        <f t="shared" si="470"/>
        <v>#DIV/0!</v>
      </c>
      <c r="R1454" s="1778" t="e">
        <f t="shared" si="471"/>
        <v>#DIV/0!</v>
      </c>
    </row>
    <row r="1455" spans="1:18">
      <c r="A1455" s="1658">
        <f>'Part VIII-Bldg Credit Alloc AR'!A143</f>
        <v>0</v>
      </c>
      <c r="B1455" s="1658"/>
      <c r="C1455" s="1658"/>
      <c r="D1455" s="1777">
        <f>'Part VIII-Bldg Credit Alloc AR'!D143</f>
        <v>0</v>
      </c>
      <c r="E1455" s="1778">
        <f>'Part VIII-Bldg Credit Alloc AR'!E143</f>
        <v>0</v>
      </c>
      <c r="F1455" s="1778">
        <f>'Part VIII-Bldg Credit Alloc AR'!F143</f>
        <v>0</v>
      </c>
      <c r="G1455" s="1778">
        <f>'Part VIII-Bldg Credit Alloc AR'!G143</f>
        <v>0</v>
      </c>
      <c r="H1455" s="1778">
        <f>'Part VIII-Bldg Credit Alloc AR'!H143</f>
        <v>0</v>
      </c>
      <c r="I1455" s="1778">
        <f>'Part VIII-Bldg Credit Alloc AR'!I143</f>
        <v>0</v>
      </c>
      <c r="J1455" s="1776">
        <f>'Part VIII-Bldg Credit Alloc AR'!J143</f>
        <v>0</v>
      </c>
      <c r="K1455" s="1778">
        <f>'Part VIII-Bldg Credit Alloc AR'!K143</f>
        <v>0</v>
      </c>
      <c r="L1455" s="1779" t="e">
        <f t="shared" si="467"/>
        <v>#DIV/0!</v>
      </c>
      <c r="M1455" s="1778" t="e">
        <f t="shared" si="468"/>
        <v>#DIV/0!</v>
      </c>
      <c r="N1455" s="1777">
        <f>'Part VIII-Bldg Credit Alloc AR'!N143</f>
        <v>0</v>
      </c>
      <c r="O1455" s="1779">
        <f>'Part VIII-Bldg Credit Alloc AR'!O143</f>
        <v>0</v>
      </c>
      <c r="P1455" s="1778" t="e">
        <f t="shared" si="469"/>
        <v>#DIV/0!</v>
      </c>
      <c r="Q1455" s="1778" t="e">
        <f t="shared" si="470"/>
        <v>#DIV/0!</v>
      </c>
      <c r="R1455" s="1778" t="e">
        <f t="shared" si="471"/>
        <v>#DIV/0!</v>
      </c>
    </row>
    <row r="1456" spans="1:18">
      <c r="A1456" s="1658">
        <f>'Part VIII-Bldg Credit Alloc AR'!A144</f>
        <v>0</v>
      </c>
      <c r="B1456" s="1658"/>
      <c r="C1456" s="1658"/>
      <c r="D1456" s="1777">
        <f>'Part VIII-Bldg Credit Alloc AR'!D144</f>
        <v>0</v>
      </c>
      <c r="E1456" s="1778">
        <f>'Part VIII-Bldg Credit Alloc AR'!E144</f>
        <v>0</v>
      </c>
      <c r="F1456" s="1778">
        <f>'Part VIII-Bldg Credit Alloc AR'!F144</f>
        <v>0</v>
      </c>
      <c r="G1456" s="1778">
        <f>'Part VIII-Bldg Credit Alloc AR'!G144</f>
        <v>0</v>
      </c>
      <c r="H1456" s="1778">
        <f>'Part VIII-Bldg Credit Alloc AR'!H144</f>
        <v>0</v>
      </c>
      <c r="I1456" s="1778">
        <f>'Part VIII-Bldg Credit Alloc AR'!I144</f>
        <v>0</v>
      </c>
      <c r="J1456" s="1776">
        <f>'Part VIII-Bldg Credit Alloc AR'!J144</f>
        <v>0</v>
      </c>
      <c r="K1456" s="1778">
        <f>'Part VIII-Bldg Credit Alloc AR'!K144</f>
        <v>0</v>
      </c>
      <c r="L1456" s="1779" t="e">
        <f t="shared" si="467"/>
        <v>#DIV/0!</v>
      </c>
      <c r="M1456" s="1778" t="e">
        <f t="shared" si="468"/>
        <v>#DIV/0!</v>
      </c>
      <c r="N1456" s="1777">
        <f>'Part VIII-Bldg Credit Alloc AR'!N144</f>
        <v>0</v>
      </c>
      <c r="O1456" s="1779">
        <f>'Part VIII-Bldg Credit Alloc AR'!O144</f>
        <v>0</v>
      </c>
      <c r="P1456" s="1778" t="e">
        <f t="shared" si="469"/>
        <v>#DIV/0!</v>
      </c>
      <c r="Q1456" s="1778" t="e">
        <f t="shared" si="470"/>
        <v>#DIV/0!</v>
      </c>
      <c r="R1456" s="1778" t="e">
        <f t="shared" si="471"/>
        <v>#DIV/0!</v>
      </c>
    </row>
    <row r="1457" spans="1:18">
      <c r="A1457" s="1658">
        <f>'Part VIII-Bldg Credit Alloc AR'!A145</f>
        <v>0</v>
      </c>
      <c r="B1457" s="1658"/>
      <c r="C1457" s="1658"/>
      <c r="D1457" s="1777">
        <f>'Part VIII-Bldg Credit Alloc AR'!D145</f>
        <v>0</v>
      </c>
      <c r="E1457" s="1778">
        <f>'Part VIII-Bldg Credit Alloc AR'!E145</f>
        <v>0</v>
      </c>
      <c r="F1457" s="1778">
        <f>'Part VIII-Bldg Credit Alloc AR'!F145</f>
        <v>0</v>
      </c>
      <c r="G1457" s="1778">
        <f>'Part VIII-Bldg Credit Alloc AR'!G145</f>
        <v>0</v>
      </c>
      <c r="H1457" s="1778">
        <f>'Part VIII-Bldg Credit Alloc AR'!H145</f>
        <v>0</v>
      </c>
      <c r="I1457" s="1778">
        <f>'Part VIII-Bldg Credit Alloc AR'!I145</f>
        <v>0</v>
      </c>
      <c r="J1457" s="1776">
        <f>'Part VIII-Bldg Credit Alloc AR'!J145</f>
        <v>0</v>
      </c>
      <c r="K1457" s="1778">
        <f>'Part VIII-Bldg Credit Alloc AR'!K145</f>
        <v>0</v>
      </c>
      <c r="L1457" s="1779" t="e">
        <f t="shared" si="467"/>
        <v>#DIV/0!</v>
      </c>
      <c r="M1457" s="1778" t="e">
        <f t="shared" si="468"/>
        <v>#DIV/0!</v>
      </c>
      <c r="N1457" s="1777">
        <f>'Part VIII-Bldg Credit Alloc AR'!N145</f>
        <v>0</v>
      </c>
      <c r="O1457" s="1779">
        <f>'Part VIII-Bldg Credit Alloc AR'!O145</f>
        <v>0</v>
      </c>
      <c r="P1457" s="1778" t="e">
        <f t="shared" si="469"/>
        <v>#DIV/0!</v>
      </c>
      <c r="Q1457" s="1778" t="e">
        <f t="shared" si="470"/>
        <v>#DIV/0!</v>
      </c>
      <c r="R1457" s="1778" t="e">
        <f t="shared" si="471"/>
        <v>#DIV/0!</v>
      </c>
    </row>
    <row r="1458" spans="1:18">
      <c r="A1458" s="1658">
        <f>'Part VIII-Bldg Credit Alloc AR'!A146</f>
        <v>0</v>
      </c>
      <c r="B1458" s="1658"/>
      <c r="C1458" s="1658"/>
      <c r="D1458" s="1777">
        <f>'Part VIII-Bldg Credit Alloc AR'!D146</f>
        <v>0</v>
      </c>
      <c r="E1458" s="1778">
        <f>'Part VIII-Bldg Credit Alloc AR'!E146</f>
        <v>0</v>
      </c>
      <c r="F1458" s="1778">
        <f>'Part VIII-Bldg Credit Alloc AR'!F146</f>
        <v>0</v>
      </c>
      <c r="G1458" s="1778">
        <f>'Part VIII-Bldg Credit Alloc AR'!G146</f>
        <v>0</v>
      </c>
      <c r="H1458" s="1778">
        <f>'Part VIII-Bldg Credit Alloc AR'!H146</f>
        <v>0</v>
      </c>
      <c r="I1458" s="1778">
        <f>'Part VIII-Bldg Credit Alloc AR'!I146</f>
        <v>0</v>
      </c>
      <c r="J1458" s="1776">
        <f>'Part VIII-Bldg Credit Alloc AR'!J146</f>
        <v>0</v>
      </c>
      <c r="K1458" s="1778">
        <f>'Part VIII-Bldg Credit Alloc AR'!K146</f>
        <v>0</v>
      </c>
      <c r="L1458" s="1779" t="e">
        <f t="shared" si="467"/>
        <v>#DIV/0!</v>
      </c>
      <c r="M1458" s="1778" t="e">
        <f t="shared" si="468"/>
        <v>#DIV/0!</v>
      </c>
      <c r="N1458" s="1777">
        <f>'Part VIII-Bldg Credit Alloc AR'!N146</f>
        <v>0</v>
      </c>
      <c r="O1458" s="1779">
        <f>'Part VIII-Bldg Credit Alloc AR'!O146</f>
        <v>0</v>
      </c>
      <c r="P1458" s="1778" t="e">
        <f t="shared" si="469"/>
        <v>#DIV/0!</v>
      </c>
      <c r="Q1458" s="1778" t="e">
        <f t="shared" si="470"/>
        <v>#DIV/0!</v>
      </c>
      <c r="R1458" s="1778" t="e">
        <f t="shared" si="471"/>
        <v>#DIV/0!</v>
      </c>
    </row>
    <row r="1459" spans="1:18">
      <c r="A1459" s="1658">
        <f>'Part VIII-Bldg Credit Alloc AR'!A147</f>
        <v>0</v>
      </c>
      <c r="B1459" s="1658"/>
      <c r="C1459" s="1658"/>
      <c r="D1459" s="1777">
        <f>'Part VIII-Bldg Credit Alloc AR'!D147</f>
        <v>0</v>
      </c>
      <c r="E1459" s="1778">
        <f>'Part VIII-Bldg Credit Alloc AR'!E147</f>
        <v>0</v>
      </c>
      <c r="F1459" s="1778">
        <f>'Part VIII-Bldg Credit Alloc AR'!F147</f>
        <v>0</v>
      </c>
      <c r="G1459" s="1778">
        <f>'Part VIII-Bldg Credit Alloc AR'!G147</f>
        <v>0</v>
      </c>
      <c r="H1459" s="1778">
        <f>'Part VIII-Bldg Credit Alloc AR'!H147</f>
        <v>0</v>
      </c>
      <c r="I1459" s="1778">
        <f>'Part VIII-Bldg Credit Alloc AR'!I147</f>
        <v>0</v>
      </c>
      <c r="J1459" s="1776">
        <f>'Part VIII-Bldg Credit Alloc AR'!J147</f>
        <v>0</v>
      </c>
      <c r="K1459" s="1778">
        <f>'Part VIII-Bldg Credit Alloc AR'!K147</f>
        <v>0</v>
      </c>
      <c r="L1459" s="1779" t="e">
        <f t="shared" si="467"/>
        <v>#DIV/0!</v>
      </c>
      <c r="M1459" s="1778" t="e">
        <f t="shared" si="468"/>
        <v>#DIV/0!</v>
      </c>
      <c r="N1459" s="1777">
        <f>'Part VIII-Bldg Credit Alloc AR'!N147</f>
        <v>0</v>
      </c>
      <c r="O1459" s="1779">
        <f>'Part VIII-Bldg Credit Alloc AR'!O147</f>
        <v>0</v>
      </c>
      <c r="P1459" s="1778" t="e">
        <f t="shared" si="469"/>
        <v>#DIV/0!</v>
      </c>
      <c r="Q1459" s="1778" t="e">
        <f t="shared" si="470"/>
        <v>#DIV/0!</v>
      </c>
      <c r="R1459" s="1778" t="e">
        <f t="shared" si="471"/>
        <v>#DIV/0!</v>
      </c>
    </row>
    <row r="1460" spans="1:18">
      <c r="A1460" s="1658">
        <f>'Part VIII-Bldg Credit Alloc AR'!A148</f>
        <v>0</v>
      </c>
      <c r="B1460" s="1658"/>
      <c r="C1460" s="1658"/>
      <c r="D1460" s="1777">
        <f>'Part VIII-Bldg Credit Alloc AR'!D148</f>
        <v>0</v>
      </c>
      <c r="E1460" s="1778">
        <f>'Part VIII-Bldg Credit Alloc AR'!E148</f>
        <v>0</v>
      </c>
      <c r="F1460" s="1778">
        <f>'Part VIII-Bldg Credit Alloc AR'!F148</f>
        <v>0</v>
      </c>
      <c r="G1460" s="1778">
        <f>'Part VIII-Bldg Credit Alloc AR'!G148</f>
        <v>0</v>
      </c>
      <c r="H1460" s="1778">
        <f>'Part VIII-Bldg Credit Alloc AR'!H148</f>
        <v>0</v>
      </c>
      <c r="I1460" s="1778">
        <f>'Part VIII-Bldg Credit Alloc AR'!I148</f>
        <v>0</v>
      </c>
      <c r="J1460" s="1776">
        <f>'Part VIII-Bldg Credit Alloc AR'!J148</f>
        <v>0</v>
      </c>
      <c r="K1460" s="1778">
        <f>'Part VIII-Bldg Credit Alloc AR'!K148</f>
        <v>0</v>
      </c>
      <c r="L1460" s="1779" t="e">
        <f t="shared" si="467"/>
        <v>#DIV/0!</v>
      </c>
      <c r="M1460" s="1778" t="e">
        <f t="shared" si="468"/>
        <v>#DIV/0!</v>
      </c>
      <c r="N1460" s="1777">
        <f>'Part VIII-Bldg Credit Alloc AR'!N148</f>
        <v>0</v>
      </c>
      <c r="O1460" s="1779">
        <f>'Part VIII-Bldg Credit Alloc AR'!O148</f>
        <v>0</v>
      </c>
      <c r="P1460" s="1778" t="e">
        <f t="shared" si="469"/>
        <v>#DIV/0!</v>
      </c>
      <c r="Q1460" s="1778" t="e">
        <f t="shared" si="470"/>
        <v>#DIV/0!</v>
      </c>
      <c r="R1460" s="1778" t="e">
        <f t="shared" si="471"/>
        <v>#DIV/0!</v>
      </c>
    </row>
    <row r="1461" spans="1:18">
      <c r="A1461" s="1658">
        <f>'Part VIII-Bldg Credit Alloc AR'!A149</f>
        <v>0</v>
      </c>
      <c r="B1461" s="1658"/>
      <c r="C1461" s="1658"/>
      <c r="D1461" s="1777">
        <f>'Part VIII-Bldg Credit Alloc AR'!D149</f>
        <v>0</v>
      </c>
      <c r="E1461" s="1778">
        <f>'Part VIII-Bldg Credit Alloc AR'!E149</f>
        <v>0</v>
      </c>
      <c r="F1461" s="1778">
        <f>'Part VIII-Bldg Credit Alloc AR'!F149</f>
        <v>0</v>
      </c>
      <c r="G1461" s="1778">
        <f>'Part VIII-Bldg Credit Alloc AR'!G149</f>
        <v>0</v>
      </c>
      <c r="H1461" s="1778">
        <f>'Part VIII-Bldg Credit Alloc AR'!H149</f>
        <v>0</v>
      </c>
      <c r="I1461" s="1778">
        <f>'Part VIII-Bldg Credit Alloc AR'!I149</f>
        <v>0</v>
      </c>
      <c r="J1461" s="1776">
        <f>'Part VIII-Bldg Credit Alloc AR'!J149</f>
        <v>0</v>
      </c>
      <c r="K1461" s="1778">
        <f>'Part VIII-Bldg Credit Alloc AR'!K149</f>
        <v>0</v>
      </c>
      <c r="L1461" s="1779" t="e">
        <f t="shared" si="467"/>
        <v>#DIV/0!</v>
      </c>
      <c r="M1461" s="1778" t="e">
        <f t="shared" si="468"/>
        <v>#DIV/0!</v>
      </c>
      <c r="N1461" s="1777">
        <f>'Part VIII-Bldg Credit Alloc AR'!N149</f>
        <v>0</v>
      </c>
      <c r="O1461" s="1779">
        <f>'Part VIII-Bldg Credit Alloc AR'!O149</f>
        <v>0</v>
      </c>
      <c r="P1461" s="1778" t="e">
        <f t="shared" si="469"/>
        <v>#DIV/0!</v>
      </c>
      <c r="Q1461" s="1778" t="e">
        <f t="shared" si="470"/>
        <v>#DIV/0!</v>
      </c>
      <c r="R1461" s="1778" t="e">
        <f t="shared" si="471"/>
        <v>#DIV/0!</v>
      </c>
    </row>
    <row r="1462" spans="1:18">
      <c r="A1462" s="1658">
        <f>'Part VIII-Bldg Credit Alloc AR'!A150</f>
        <v>0</v>
      </c>
      <c r="B1462" s="1658"/>
      <c r="C1462" s="1658"/>
      <c r="D1462" s="1777">
        <f>'Part VIII-Bldg Credit Alloc AR'!D150</f>
        <v>0</v>
      </c>
      <c r="E1462" s="1778">
        <f>'Part VIII-Bldg Credit Alloc AR'!E150</f>
        <v>0</v>
      </c>
      <c r="F1462" s="1778">
        <f>'Part VIII-Bldg Credit Alloc AR'!F150</f>
        <v>0</v>
      </c>
      <c r="G1462" s="1778">
        <f>'Part VIII-Bldg Credit Alloc AR'!G150</f>
        <v>0</v>
      </c>
      <c r="H1462" s="1778">
        <f>'Part VIII-Bldg Credit Alloc AR'!H150</f>
        <v>0</v>
      </c>
      <c r="I1462" s="1778">
        <f>'Part VIII-Bldg Credit Alloc AR'!I150</f>
        <v>0</v>
      </c>
      <c r="J1462" s="1776">
        <f>'Part VIII-Bldg Credit Alloc AR'!J150</f>
        <v>0</v>
      </c>
      <c r="K1462" s="1778">
        <f>'Part VIII-Bldg Credit Alloc AR'!K150</f>
        <v>0</v>
      </c>
      <c r="L1462" s="1779" t="e">
        <f t="shared" si="467"/>
        <v>#DIV/0!</v>
      </c>
      <c r="M1462" s="1778" t="e">
        <f t="shared" si="468"/>
        <v>#DIV/0!</v>
      </c>
      <c r="N1462" s="1777">
        <f>'Part VIII-Bldg Credit Alloc AR'!N150</f>
        <v>0</v>
      </c>
      <c r="O1462" s="1779">
        <f>'Part VIII-Bldg Credit Alloc AR'!O150</f>
        <v>0</v>
      </c>
      <c r="P1462" s="1778" t="e">
        <f t="shared" si="469"/>
        <v>#DIV/0!</v>
      </c>
      <c r="Q1462" s="1778" t="e">
        <f t="shared" si="470"/>
        <v>#DIV/0!</v>
      </c>
      <c r="R1462" s="1778" t="e">
        <f t="shared" si="471"/>
        <v>#DIV/0!</v>
      </c>
    </row>
    <row r="1463" spans="1:18">
      <c r="A1463" s="1658">
        <f>'Part VIII-Bldg Credit Alloc AR'!A151</f>
        <v>0</v>
      </c>
      <c r="B1463" s="1658"/>
      <c r="C1463" s="1658"/>
      <c r="D1463" s="1777">
        <f>'Part VIII-Bldg Credit Alloc AR'!D151</f>
        <v>0</v>
      </c>
      <c r="E1463" s="1778">
        <f>'Part VIII-Bldg Credit Alloc AR'!E151</f>
        <v>0</v>
      </c>
      <c r="F1463" s="1778">
        <f>'Part VIII-Bldg Credit Alloc AR'!F151</f>
        <v>0</v>
      </c>
      <c r="G1463" s="1778">
        <f>'Part VIII-Bldg Credit Alloc AR'!G151</f>
        <v>0</v>
      </c>
      <c r="H1463" s="1778">
        <f>'Part VIII-Bldg Credit Alloc AR'!H151</f>
        <v>0</v>
      </c>
      <c r="I1463" s="1778">
        <f>'Part VIII-Bldg Credit Alloc AR'!I151</f>
        <v>0</v>
      </c>
      <c r="J1463" s="1776">
        <f>'Part VIII-Bldg Credit Alloc AR'!J151</f>
        <v>0</v>
      </c>
      <c r="K1463" s="1778">
        <f>'Part VIII-Bldg Credit Alloc AR'!K151</f>
        <v>0</v>
      </c>
      <c r="L1463" s="1779" t="e">
        <f t="shared" si="467"/>
        <v>#DIV/0!</v>
      </c>
      <c r="M1463" s="1778" t="e">
        <f t="shared" si="468"/>
        <v>#DIV/0!</v>
      </c>
      <c r="N1463" s="1777">
        <f>'Part VIII-Bldg Credit Alloc AR'!N151</f>
        <v>0</v>
      </c>
      <c r="O1463" s="1779">
        <f>'Part VIII-Bldg Credit Alloc AR'!O151</f>
        <v>0</v>
      </c>
      <c r="P1463" s="1778" t="e">
        <f t="shared" si="469"/>
        <v>#DIV/0!</v>
      </c>
      <c r="Q1463" s="1778" t="e">
        <f t="shared" si="470"/>
        <v>#DIV/0!</v>
      </c>
      <c r="R1463" s="1778" t="e">
        <f t="shared" si="471"/>
        <v>#DIV/0!</v>
      </c>
    </row>
    <row r="1464" spans="1:18">
      <c r="A1464" s="1658">
        <f>'Part VIII-Bldg Credit Alloc AR'!A152</f>
        <v>0</v>
      </c>
      <c r="B1464" s="1658"/>
      <c r="C1464" s="1658"/>
      <c r="D1464" s="1777">
        <f>'Part VIII-Bldg Credit Alloc AR'!D152</f>
        <v>0</v>
      </c>
      <c r="E1464" s="1778">
        <f>'Part VIII-Bldg Credit Alloc AR'!E152</f>
        <v>0</v>
      </c>
      <c r="F1464" s="1778">
        <f>'Part VIII-Bldg Credit Alloc AR'!F152</f>
        <v>0</v>
      </c>
      <c r="G1464" s="1778">
        <f>'Part VIII-Bldg Credit Alloc AR'!G152</f>
        <v>0</v>
      </c>
      <c r="H1464" s="1778">
        <f>'Part VIII-Bldg Credit Alloc AR'!H152</f>
        <v>0</v>
      </c>
      <c r="I1464" s="1778">
        <f>'Part VIII-Bldg Credit Alloc AR'!I152</f>
        <v>0</v>
      </c>
      <c r="J1464" s="1776">
        <f>'Part VIII-Bldg Credit Alloc AR'!J152</f>
        <v>0</v>
      </c>
      <c r="K1464" s="1778">
        <f>'Part VIII-Bldg Credit Alloc AR'!K152</f>
        <v>0</v>
      </c>
      <c r="L1464" s="1779" t="e">
        <f t="shared" si="467"/>
        <v>#DIV/0!</v>
      </c>
      <c r="M1464" s="1778" t="e">
        <f t="shared" si="468"/>
        <v>#DIV/0!</v>
      </c>
      <c r="N1464" s="1777">
        <f>'Part VIII-Bldg Credit Alloc AR'!N152</f>
        <v>0</v>
      </c>
      <c r="O1464" s="1779">
        <f>'Part VIII-Bldg Credit Alloc AR'!O152</f>
        <v>0</v>
      </c>
      <c r="P1464" s="1778" t="e">
        <f t="shared" si="469"/>
        <v>#DIV/0!</v>
      </c>
      <c r="Q1464" s="1778" t="e">
        <f t="shared" si="470"/>
        <v>#DIV/0!</v>
      </c>
      <c r="R1464" s="1778" t="e">
        <f t="shared" si="471"/>
        <v>#DIV/0!</v>
      </c>
    </row>
    <row r="1465" spans="1:18">
      <c r="A1465" s="1658">
        <f>'Part VIII-Bldg Credit Alloc AR'!A153</f>
        <v>0</v>
      </c>
      <c r="B1465" s="1658"/>
      <c r="C1465" s="1658"/>
      <c r="D1465" s="1777">
        <f>'Part VIII-Bldg Credit Alloc AR'!D153</f>
        <v>0</v>
      </c>
      <c r="E1465" s="1778">
        <f>'Part VIII-Bldg Credit Alloc AR'!E153</f>
        <v>0</v>
      </c>
      <c r="F1465" s="1778">
        <f>'Part VIII-Bldg Credit Alloc AR'!F153</f>
        <v>0</v>
      </c>
      <c r="G1465" s="1778">
        <f>'Part VIII-Bldg Credit Alloc AR'!G153</f>
        <v>0</v>
      </c>
      <c r="H1465" s="1778">
        <f>'Part VIII-Bldg Credit Alloc AR'!H153</f>
        <v>0</v>
      </c>
      <c r="I1465" s="1778">
        <f>'Part VIII-Bldg Credit Alloc AR'!I153</f>
        <v>0</v>
      </c>
      <c r="J1465" s="1776">
        <f>'Part VIII-Bldg Credit Alloc AR'!J153</f>
        <v>0</v>
      </c>
      <c r="K1465" s="1778">
        <f>'Part VIII-Bldg Credit Alloc AR'!K153</f>
        <v>0</v>
      </c>
      <c r="L1465" s="1779" t="e">
        <f t="shared" si="467"/>
        <v>#DIV/0!</v>
      </c>
      <c r="M1465" s="1778" t="e">
        <f t="shared" si="468"/>
        <v>#DIV/0!</v>
      </c>
      <c r="N1465" s="1777">
        <f>'Part VIII-Bldg Credit Alloc AR'!N153</f>
        <v>0</v>
      </c>
      <c r="O1465" s="1779">
        <f>'Part VIII-Bldg Credit Alloc AR'!O153</f>
        <v>0</v>
      </c>
      <c r="P1465" s="1778" t="e">
        <f t="shared" si="469"/>
        <v>#DIV/0!</v>
      </c>
      <c r="Q1465" s="1778" t="e">
        <f t="shared" si="470"/>
        <v>#DIV/0!</v>
      </c>
      <c r="R1465" s="1778" t="e">
        <f t="shared" si="471"/>
        <v>#DIV/0!</v>
      </c>
    </row>
    <row r="1466" spans="1:18">
      <c r="A1466" s="1658">
        <f>'Part VIII-Bldg Credit Alloc AR'!A154</f>
        <v>0</v>
      </c>
      <c r="B1466" s="1658"/>
      <c r="C1466" s="1658"/>
      <c r="D1466" s="1777">
        <f>'Part VIII-Bldg Credit Alloc AR'!D154</f>
        <v>0</v>
      </c>
      <c r="E1466" s="1778">
        <f>'Part VIII-Bldg Credit Alloc AR'!E154</f>
        <v>0</v>
      </c>
      <c r="F1466" s="1778">
        <f>'Part VIII-Bldg Credit Alloc AR'!F154</f>
        <v>0</v>
      </c>
      <c r="G1466" s="1778">
        <f>'Part VIII-Bldg Credit Alloc AR'!G154</f>
        <v>0</v>
      </c>
      <c r="H1466" s="1778">
        <f>'Part VIII-Bldg Credit Alloc AR'!H154</f>
        <v>0</v>
      </c>
      <c r="I1466" s="1778">
        <f>'Part VIII-Bldg Credit Alloc AR'!I154</f>
        <v>0</v>
      </c>
      <c r="J1466" s="1776">
        <f>'Part VIII-Bldg Credit Alloc AR'!J154</f>
        <v>0</v>
      </c>
      <c r="K1466" s="1778">
        <f>'Part VIII-Bldg Credit Alloc AR'!K154</f>
        <v>0</v>
      </c>
      <c r="L1466" s="1779" t="e">
        <f t="shared" si="467"/>
        <v>#DIV/0!</v>
      </c>
      <c r="M1466" s="1778" t="e">
        <f t="shared" si="468"/>
        <v>#DIV/0!</v>
      </c>
      <c r="N1466" s="1777">
        <f>'Part VIII-Bldg Credit Alloc AR'!N154</f>
        <v>0</v>
      </c>
      <c r="O1466" s="1779">
        <f>'Part VIII-Bldg Credit Alloc AR'!O154</f>
        <v>0</v>
      </c>
      <c r="P1466" s="1778" t="e">
        <f t="shared" si="469"/>
        <v>#DIV/0!</v>
      </c>
      <c r="Q1466" s="1778" t="e">
        <f t="shared" si="470"/>
        <v>#DIV/0!</v>
      </c>
      <c r="R1466" s="1778" t="e">
        <f t="shared" si="471"/>
        <v>#DIV/0!</v>
      </c>
    </row>
    <row r="1467" spans="1:18">
      <c r="A1467" s="1658">
        <f>'Part VIII-Bldg Credit Alloc AR'!A155</f>
        <v>0</v>
      </c>
      <c r="B1467" s="1658"/>
      <c r="C1467" s="1658"/>
      <c r="D1467" s="1777">
        <f>'Part VIII-Bldg Credit Alloc AR'!D155</f>
        <v>0</v>
      </c>
      <c r="E1467" s="1778">
        <f>'Part VIII-Bldg Credit Alloc AR'!E155</f>
        <v>0</v>
      </c>
      <c r="F1467" s="1778">
        <f>'Part VIII-Bldg Credit Alloc AR'!F155</f>
        <v>0</v>
      </c>
      <c r="G1467" s="1778">
        <f>'Part VIII-Bldg Credit Alloc AR'!G155</f>
        <v>0</v>
      </c>
      <c r="H1467" s="1778">
        <f>'Part VIII-Bldg Credit Alloc AR'!H155</f>
        <v>0</v>
      </c>
      <c r="I1467" s="1778">
        <f>'Part VIII-Bldg Credit Alloc AR'!I155</f>
        <v>0</v>
      </c>
      <c r="J1467" s="1776">
        <f>'Part VIII-Bldg Credit Alloc AR'!J155</f>
        <v>0</v>
      </c>
      <c r="K1467" s="1778">
        <f>'Part VIII-Bldg Credit Alloc AR'!K155</f>
        <v>0</v>
      </c>
      <c r="L1467" s="1779" t="e">
        <f t="shared" si="467"/>
        <v>#DIV/0!</v>
      </c>
      <c r="M1467" s="1778" t="e">
        <f t="shared" si="468"/>
        <v>#DIV/0!</v>
      </c>
      <c r="N1467" s="1777">
        <f>'Part VIII-Bldg Credit Alloc AR'!N155</f>
        <v>0</v>
      </c>
      <c r="O1467" s="1779">
        <f>'Part VIII-Bldg Credit Alloc AR'!O155</f>
        <v>0</v>
      </c>
      <c r="P1467" s="1778" t="e">
        <f t="shared" si="469"/>
        <v>#DIV/0!</v>
      </c>
      <c r="Q1467" s="1778" t="e">
        <f t="shared" si="470"/>
        <v>#DIV/0!</v>
      </c>
      <c r="R1467" s="1778" t="e">
        <f t="shared" si="471"/>
        <v>#DIV/0!</v>
      </c>
    </row>
    <row r="1468" spans="1:18">
      <c r="A1468" s="1658">
        <f>'Part VIII-Bldg Credit Alloc AR'!A156</f>
        <v>0</v>
      </c>
      <c r="B1468" s="1658"/>
      <c r="C1468" s="1658"/>
      <c r="D1468" s="1777">
        <f>'Part VIII-Bldg Credit Alloc AR'!D156</f>
        <v>0</v>
      </c>
      <c r="E1468" s="1778">
        <f>'Part VIII-Bldg Credit Alloc AR'!E156</f>
        <v>0</v>
      </c>
      <c r="F1468" s="1778">
        <f>'Part VIII-Bldg Credit Alloc AR'!F156</f>
        <v>0</v>
      </c>
      <c r="G1468" s="1778">
        <f>'Part VIII-Bldg Credit Alloc AR'!G156</f>
        <v>0</v>
      </c>
      <c r="H1468" s="1778">
        <f>'Part VIII-Bldg Credit Alloc AR'!H156</f>
        <v>0</v>
      </c>
      <c r="I1468" s="1778">
        <f>'Part VIII-Bldg Credit Alloc AR'!I156</f>
        <v>0</v>
      </c>
      <c r="J1468" s="1776">
        <f>'Part VIII-Bldg Credit Alloc AR'!J156</f>
        <v>0</v>
      </c>
      <c r="K1468" s="1778">
        <f>'Part VIII-Bldg Credit Alloc AR'!K156</f>
        <v>0</v>
      </c>
      <c r="L1468" s="1779" t="e">
        <f t="shared" si="467"/>
        <v>#DIV/0!</v>
      </c>
      <c r="M1468" s="1778" t="e">
        <f t="shared" si="468"/>
        <v>#DIV/0!</v>
      </c>
      <c r="N1468" s="1777">
        <f>'Part VIII-Bldg Credit Alloc AR'!N156</f>
        <v>0</v>
      </c>
      <c r="O1468" s="1779">
        <f>'Part VIII-Bldg Credit Alloc AR'!O156</f>
        <v>0</v>
      </c>
      <c r="P1468" s="1778" t="e">
        <f t="shared" si="469"/>
        <v>#DIV/0!</v>
      </c>
      <c r="Q1468" s="1778" t="e">
        <f t="shared" si="470"/>
        <v>#DIV/0!</v>
      </c>
      <c r="R1468" s="1778" t="e">
        <f t="shared" si="471"/>
        <v>#DIV/0!</v>
      </c>
    </row>
    <row r="1469" spans="1:18">
      <c r="A1469" s="1658">
        <f>'Part VIII-Bldg Credit Alloc AR'!A157</f>
        <v>0</v>
      </c>
      <c r="B1469" s="1658"/>
      <c r="C1469" s="1658"/>
      <c r="D1469" s="1777">
        <f>'Part VIII-Bldg Credit Alloc AR'!D157</f>
        <v>0</v>
      </c>
      <c r="E1469" s="1778">
        <f>'Part VIII-Bldg Credit Alloc AR'!E157</f>
        <v>0</v>
      </c>
      <c r="F1469" s="1778">
        <f>'Part VIII-Bldg Credit Alloc AR'!F157</f>
        <v>0</v>
      </c>
      <c r="G1469" s="1778">
        <f>'Part VIII-Bldg Credit Alloc AR'!G157</f>
        <v>0</v>
      </c>
      <c r="H1469" s="1778">
        <f>'Part VIII-Bldg Credit Alloc AR'!H157</f>
        <v>0</v>
      </c>
      <c r="I1469" s="1778">
        <f>'Part VIII-Bldg Credit Alloc AR'!I157</f>
        <v>0</v>
      </c>
      <c r="J1469" s="1776">
        <f>'Part VIII-Bldg Credit Alloc AR'!J157</f>
        <v>0</v>
      </c>
      <c r="K1469" s="1778">
        <f>'Part VIII-Bldg Credit Alloc AR'!K157</f>
        <v>0</v>
      </c>
      <c r="L1469" s="1779" t="e">
        <f t="shared" si="467"/>
        <v>#DIV/0!</v>
      </c>
      <c r="M1469" s="1778" t="e">
        <f t="shared" si="468"/>
        <v>#DIV/0!</v>
      </c>
      <c r="N1469" s="1777">
        <f>'Part VIII-Bldg Credit Alloc AR'!N157</f>
        <v>0</v>
      </c>
      <c r="O1469" s="1779">
        <f>'Part VIII-Bldg Credit Alloc AR'!O157</f>
        <v>0</v>
      </c>
      <c r="P1469" s="1778" t="e">
        <f t="shared" si="469"/>
        <v>#DIV/0!</v>
      </c>
      <c r="Q1469" s="1778" t="e">
        <f t="shared" si="470"/>
        <v>#DIV/0!</v>
      </c>
      <c r="R1469" s="1778" t="e">
        <f t="shared" si="471"/>
        <v>#DIV/0!</v>
      </c>
    </row>
    <row r="1470" spans="1:18">
      <c r="A1470" s="1658">
        <f>'Part VIII-Bldg Credit Alloc AR'!A158</f>
        <v>0</v>
      </c>
      <c r="B1470" s="1658"/>
      <c r="C1470" s="1658"/>
      <c r="D1470" s="1777">
        <f>'Part VIII-Bldg Credit Alloc AR'!D158</f>
        <v>0</v>
      </c>
      <c r="E1470" s="1778">
        <f>'Part VIII-Bldg Credit Alloc AR'!E158</f>
        <v>0</v>
      </c>
      <c r="F1470" s="1778">
        <f>'Part VIII-Bldg Credit Alloc AR'!F158</f>
        <v>0</v>
      </c>
      <c r="G1470" s="1778">
        <f>'Part VIII-Bldg Credit Alloc AR'!G158</f>
        <v>0</v>
      </c>
      <c r="H1470" s="1778">
        <f>'Part VIII-Bldg Credit Alloc AR'!H158</f>
        <v>0</v>
      </c>
      <c r="I1470" s="1778">
        <f>'Part VIII-Bldg Credit Alloc AR'!I158</f>
        <v>0</v>
      </c>
      <c r="J1470" s="1776">
        <f>'Part VIII-Bldg Credit Alloc AR'!J158</f>
        <v>0</v>
      </c>
      <c r="K1470" s="1778">
        <f>'Part VIII-Bldg Credit Alloc AR'!K158</f>
        <v>0</v>
      </c>
      <c r="L1470" s="1779" t="e">
        <f t="shared" si="467"/>
        <v>#DIV/0!</v>
      </c>
      <c r="M1470" s="1778" t="e">
        <f t="shared" si="468"/>
        <v>#DIV/0!</v>
      </c>
      <c r="N1470" s="1777">
        <f>'Part VIII-Bldg Credit Alloc AR'!N158</f>
        <v>0</v>
      </c>
      <c r="O1470" s="1779">
        <f>'Part VIII-Bldg Credit Alloc AR'!O158</f>
        <v>0</v>
      </c>
      <c r="P1470" s="1778" t="e">
        <f t="shared" si="469"/>
        <v>#DIV/0!</v>
      </c>
      <c r="Q1470" s="1778" t="e">
        <f t="shared" si="470"/>
        <v>#DIV/0!</v>
      </c>
      <c r="R1470" s="1778" t="e">
        <f t="shared" si="471"/>
        <v>#DIV/0!</v>
      </c>
    </row>
    <row r="1471" spans="1:18">
      <c r="A1471" s="1658">
        <f>'Part VIII-Bldg Credit Alloc AR'!A159</f>
        <v>0</v>
      </c>
      <c r="B1471" s="1658"/>
      <c r="C1471" s="1658"/>
      <c r="D1471" s="1777">
        <f>'Part VIII-Bldg Credit Alloc AR'!D159</f>
        <v>0</v>
      </c>
      <c r="E1471" s="1778">
        <f>'Part VIII-Bldg Credit Alloc AR'!E159</f>
        <v>0</v>
      </c>
      <c r="F1471" s="1778">
        <f>'Part VIII-Bldg Credit Alloc AR'!F159</f>
        <v>0</v>
      </c>
      <c r="G1471" s="1778">
        <f>'Part VIII-Bldg Credit Alloc AR'!G159</f>
        <v>0</v>
      </c>
      <c r="H1471" s="1778">
        <f>'Part VIII-Bldg Credit Alloc AR'!H159</f>
        <v>0</v>
      </c>
      <c r="I1471" s="1778">
        <f>'Part VIII-Bldg Credit Alloc AR'!I159</f>
        <v>0</v>
      </c>
      <c r="J1471" s="1776">
        <f>'Part VIII-Bldg Credit Alloc AR'!J159</f>
        <v>0</v>
      </c>
      <c r="K1471" s="1778">
        <f>'Part VIII-Bldg Credit Alloc AR'!K159</f>
        <v>0</v>
      </c>
      <c r="L1471" s="1779" t="e">
        <f t="shared" si="467"/>
        <v>#DIV/0!</v>
      </c>
      <c r="M1471" s="1778" t="e">
        <f t="shared" si="468"/>
        <v>#DIV/0!</v>
      </c>
      <c r="N1471" s="1777">
        <f>'Part VIII-Bldg Credit Alloc AR'!N159</f>
        <v>0</v>
      </c>
      <c r="O1471" s="1779">
        <f>'Part VIII-Bldg Credit Alloc AR'!O159</f>
        <v>0</v>
      </c>
      <c r="P1471" s="1778" t="e">
        <f t="shared" si="469"/>
        <v>#DIV/0!</v>
      </c>
      <c r="Q1471" s="1778" t="e">
        <f t="shared" si="470"/>
        <v>#DIV/0!</v>
      </c>
      <c r="R1471" s="1778" t="e">
        <f t="shared" si="471"/>
        <v>#DIV/0!</v>
      </c>
    </row>
    <row r="1472" spans="1:18">
      <c r="A1472" s="1658">
        <f>'Part VIII-Bldg Credit Alloc AR'!A160</f>
        <v>0</v>
      </c>
      <c r="B1472" s="1658"/>
      <c r="C1472" s="1658"/>
      <c r="D1472" s="1777">
        <f>'Part VIII-Bldg Credit Alloc AR'!D160</f>
        <v>0</v>
      </c>
      <c r="E1472" s="1778">
        <f>'Part VIII-Bldg Credit Alloc AR'!E160</f>
        <v>0</v>
      </c>
      <c r="F1472" s="1778">
        <f>'Part VIII-Bldg Credit Alloc AR'!F160</f>
        <v>0</v>
      </c>
      <c r="G1472" s="1778">
        <f>'Part VIII-Bldg Credit Alloc AR'!G160</f>
        <v>0</v>
      </c>
      <c r="H1472" s="1778">
        <f>'Part VIII-Bldg Credit Alloc AR'!H160</f>
        <v>0</v>
      </c>
      <c r="I1472" s="1778">
        <f>'Part VIII-Bldg Credit Alloc AR'!I160</f>
        <v>0</v>
      </c>
      <c r="J1472" s="1776">
        <f>'Part VIII-Bldg Credit Alloc AR'!J160</f>
        <v>0</v>
      </c>
      <c r="K1472" s="1778">
        <f>'Part VIII-Bldg Credit Alloc AR'!K160</f>
        <v>0</v>
      </c>
      <c r="L1472" s="1779" t="e">
        <f t="shared" si="467"/>
        <v>#DIV/0!</v>
      </c>
      <c r="M1472" s="1778" t="e">
        <f t="shared" si="468"/>
        <v>#DIV/0!</v>
      </c>
      <c r="N1472" s="1777">
        <f>'Part VIII-Bldg Credit Alloc AR'!N160</f>
        <v>0</v>
      </c>
      <c r="O1472" s="1779">
        <f>'Part VIII-Bldg Credit Alloc AR'!O160</f>
        <v>0</v>
      </c>
      <c r="P1472" s="1778" t="e">
        <f t="shared" si="469"/>
        <v>#DIV/0!</v>
      </c>
      <c r="Q1472" s="1778" t="e">
        <f t="shared" si="470"/>
        <v>#DIV/0!</v>
      </c>
      <c r="R1472" s="1778" t="e">
        <f t="shared" si="471"/>
        <v>#DIV/0!</v>
      </c>
    </row>
    <row r="1473" spans="1:18">
      <c r="A1473" s="1658">
        <f>'Part VIII-Bldg Credit Alloc AR'!A161</f>
        <v>0</v>
      </c>
      <c r="B1473" s="1658"/>
      <c r="C1473" s="1658"/>
      <c r="D1473" s="1777">
        <f>'Part VIII-Bldg Credit Alloc AR'!D161</f>
        <v>0</v>
      </c>
      <c r="E1473" s="1778">
        <f>'Part VIII-Bldg Credit Alloc AR'!E161</f>
        <v>0</v>
      </c>
      <c r="F1473" s="1778">
        <f>'Part VIII-Bldg Credit Alloc AR'!F161</f>
        <v>0</v>
      </c>
      <c r="G1473" s="1778">
        <f>'Part VIII-Bldg Credit Alloc AR'!G161</f>
        <v>0</v>
      </c>
      <c r="H1473" s="1778">
        <f>'Part VIII-Bldg Credit Alloc AR'!H161</f>
        <v>0</v>
      </c>
      <c r="I1473" s="1778">
        <f>'Part VIII-Bldg Credit Alloc AR'!I161</f>
        <v>0</v>
      </c>
      <c r="J1473" s="1776">
        <f>'Part VIII-Bldg Credit Alloc AR'!J161</f>
        <v>0</v>
      </c>
      <c r="K1473" s="1778">
        <f>'Part VIII-Bldg Credit Alloc AR'!K161</f>
        <v>0</v>
      </c>
      <c r="L1473" s="1779" t="e">
        <f t="shared" si="467"/>
        <v>#DIV/0!</v>
      </c>
      <c r="M1473" s="1778" t="e">
        <f t="shared" si="468"/>
        <v>#DIV/0!</v>
      </c>
      <c r="N1473" s="1777">
        <f>'Part VIII-Bldg Credit Alloc AR'!N161</f>
        <v>0</v>
      </c>
      <c r="O1473" s="1779">
        <f>'Part VIII-Bldg Credit Alloc AR'!O161</f>
        <v>0</v>
      </c>
      <c r="P1473" s="1778" t="e">
        <f t="shared" si="469"/>
        <v>#DIV/0!</v>
      </c>
      <c r="Q1473" s="1778" t="e">
        <f t="shared" si="470"/>
        <v>#DIV/0!</v>
      </c>
      <c r="R1473" s="1778" t="e">
        <f t="shared" si="471"/>
        <v>#DIV/0!</v>
      </c>
    </row>
    <row r="1474" spans="1:18">
      <c r="A1474" s="1658">
        <f>'Part VIII-Bldg Credit Alloc AR'!A162</f>
        <v>0</v>
      </c>
      <c r="B1474" s="1658"/>
      <c r="C1474" s="1658"/>
      <c r="D1474" s="1777">
        <f>'Part VIII-Bldg Credit Alloc AR'!D162</f>
        <v>0</v>
      </c>
      <c r="E1474" s="1778">
        <f>'Part VIII-Bldg Credit Alloc AR'!E162</f>
        <v>0</v>
      </c>
      <c r="F1474" s="1778">
        <f>'Part VIII-Bldg Credit Alloc AR'!F162</f>
        <v>0</v>
      </c>
      <c r="G1474" s="1778">
        <f>'Part VIII-Bldg Credit Alloc AR'!G162</f>
        <v>0</v>
      </c>
      <c r="H1474" s="1778">
        <f>'Part VIII-Bldg Credit Alloc AR'!H162</f>
        <v>0</v>
      </c>
      <c r="I1474" s="1778">
        <f>'Part VIII-Bldg Credit Alloc AR'!I162</f>
        <v>0</v>
      </c>
      <c r="J1474" s="1776">
        <f>'Part VIII-Bldg Credit Alloc AR'!J162</f>
        <v>0</v>
      </c>
      <c r="K1474" s="1778">
        <f>'Part VIII-Bldg Credit Alloc AR'!K162</f>
        <v>0</v>
      </c>
      <c r="L1474" s="1779" t="e">
        <f t="shared" si="467"/>
        <v>#DIV/0!</v>
      </c>
      <c r="M1474" s="1778" t="e">
        <f t="shared" si="468"/>
        <v>#DIV/0!</v>
      </c>
      <c r="N1474" s="1777">
        <f>'Part VIII-Bldg Credit Alloc AR'!N162</f>
        <v>0</v>
      </c>
      <c r="O1474" s="1779">
        <f>'Part VIII-Bldg Credit Alloc AR'!O162</f>
        <v>0</v>
      </c>
      <c r="P1474" s="1778" t="e">
        <f t="shared" si="469"/>
        <v>#DIV/0!</v>
      </c>
      <c r="Q1474" s="1778" t="e">
        <f t="shared" si="470"/>
        <v>#DIV/0!</v>
      </c>
      <c r="R1474" s="1778" t="e">
        <f t="shared" si="471"/>
        <v>#DIV/0!</v>
      </c>
    </row>
    <row r="1475" spans="1:18">
      <c r="A1475" s="1658">
        <f>'Part VIII-Bldg Credit Alloc AR'!A163</f>
        <v>0</v>
      </c>
      <c r="B1475" s="1658"/>
      <c r="C1475" s="1658"/>
      <c r="D1475" s="1777">
        <f>'Part VIII-Bldg Credit Alloc AR'!D163</f>
        <v>0</v>
      </c>
      <c r="E1475" s="1778">
        <f>'Part VIII-Bldg Credit Alloc AR'!E163</f>
        <v>0</v>
      </c>
      <c r="F1475" s="1778">
        <f>'Part VIII-Bldg Credit Alloc AR'!F163</f>
        <v>0</v>
      </c>
      <c r="G1475" s="1778">
        <f>'Part VIII-Bldg Credit Alloc AR'!G163</f>
        <v>0</v>
      </c>
      <c r="H1475" s="1778">
        <f>'Part VIII-Bldg Credit Alloc AR'!H163</f>
        <v>0</v>
      </c>
      <c r="I1475" s="1778">
        <f>'Part VIII-Bldg Credit Alloc AR'!I163</f>
        <v>0</v>
      </c>
      <c r="J1475" s="1776">
        <f>'Part VIII-Bldg Credit Alloc AR'!J163</f>
        <v>0</v>
      </c>
      <c r="K1475" s="1778">
        <f>'Part VIII-Bldg Credit Alloc AR'!K163</f>
        <v>0</v>
      </c>
      <c r="L1475" s="1779" t="e">
        <f t="shared" si="467"/>
        <v>#DIV/0!</v>
      </c>
      <c r="M1475" s="1778" t="e">
        <f t="shared" si="468"/>
        <v>#DIV/0!</v>
      </c>
      <c r="N1475" s="1777">
        <f>'Part VIII-Bldg Credit Alloc AR'!N163</f>
        <v>0</v>
      </c>
      <c r="O1475" s="1779">
        <f>'Part VIII-Bldg Credit Alloc AR'!O163</f>
        <v>0</v>
      </c>
      <c r="P1475" s="1778" t="e">
        <f t="shared" si="469"/>
        <v>#DIV/0!</v>
      </c>
      <c r="Q1475" s="1778" t="e">
        <f t="shared" si="470"/>
        <v>#DIV/0!</v>
      </c>
      <c r="R1475" s="1778" t="e">
        <f t="shared" si="471"/>
        <v>#DIV/0!</v>
      </c>
    </row>
    <row r="1476" spans="1:18">
      <c r="A1476" s="1658">
        <f>'Part VIII-Bldg Credit Alloc AR'!A164</f>
        <v>0</v>
      </c>
      <c r="B1476" s="1658"/>
      <c r="C1476" s="1658"/>
      <c r="D1476" s="1777">
        <f>'Part VIII-Bldg Credit Alloc AR'!D164</f>
        <v>0</v>
      </c>
      <c r="E1476" s="1778">
        <f>'Part VIII-Bldg Credit Alloc AR'!E164</f>
        <v>0</v>
      </c>
      <c r="F1476" s="1778">
        <f>'Part VIII-Bldg Credit Alloc AR'!F164</f>
        <v>0</v>
      </c>
      <c r="G1476" s="1778">
        <f>'Part VIII-Bldg Credit Alloc AR'!G164</f>
        <v>0</v>
      </c>
      <c r="H1476" s="1778">
        <f>'Part VIII-Bldg Credit Alloc AR'!H164</f>
        <v>0</v>
      </c>
      <c r="I1476" s="1778">
        <f>'Part VIII-Bldg Credit Alloc AR'!I164</f>
        <v>0</v>
      </c>
      <c r="J1476" s="1776">
        <f>'Part VIII-Bldg Credit Alloc AR'!J164</f>
        <v>0</v>
      </c>
      <c r="K1476" s="1778">
        <f>'Part VIII-Bldg Credit Alloc AR'!K164</f>
        <v>0</v>
      </c>
      <c r="L1476" s="1779" t="e">
        <f t="shared" si="467"/>
        <v>#DIV/0!</v>
      </c>
      <c r="M1476" s="1778" t="e">
        <f t="shared" si="468"/>
        <v>#DIV/0!</v>
      </c>
      <c r="N1476" s="1777">
        <f>'Part VIII-Bldg Credit Alloc AR'!N164</f>
        <v>0</v>
      </c>
      <c r="O1476" s="1779">
        <f>'Part VIII-Bldg Credit Alloc AR'!O164</f>
        <v>0</v>
      </c>
      <c r="P1476" s="1778" t="e">
        <f t="shared" si="469"/>
        <v>#DIV/0!</v>
      </c>
      <c r="Q1476" s="1778" t="e">
        <f t="shared" si="470"/>
        <v>#DIV/0!</v>
      </c>
      <c r="R1476" s="1778" t="e">
        <f t="shared" si="471"/>
        <v>#DIV/0!</v>
      </c>
    </row>
    <row r="1477" spans="1:18">
      <c r="A1477" s="1658">
        <f>'Part VIII-Bldg Credit Alloc AR'!A165</f>
        <v>0</v>
      </c>
      <c r="B1477" s="1658"/>
      <c r="C1477" s="1658"/>
      <c r="D1477" s="1777">
        <f>'Part VIII-Bldg Credit Alloc AR'!D165</f>
        <v>0</v>
      </c>
      <c r="E1477" s="1778">
        <f>'Part VIII-Bldg Credit Alloc AR'!E165</f>
        <v>0</v>
      </c>
      <c r="F1477" s="1778">
        <f>'Part VIII-Bldg Credit Alloc AR'!F165</f>
        <v>0</v>
      </c>
      <c r="G1477" s="1778">
        <f>'Part VIII-Bldg Credit Alloc AR'!G165</f>
        <v>0</v>
      </c>
      <c r="H1477" s="1778">
        <f>'Part VIII-Bldg Credit Alloc AR'!H165</f>
        <v>0</v>
      </c>
      <c r="I1477" s="1778">
        <f>'Part VIII-Bldg Credit Alloc AR'!I165</f>
        <v>0</v>
      </c>
      <c r="J1477" s="1776">
        <f>'Part VIII-Bldg Credit Alloc AR'!J165</f>
        <v>0</v>
      </c>
      <c r="K1477" s="1778">
        <f>'Part VIII-Bldg Credit Alloc AR'!K165</f>
        <v>0</v>
      </c>
      <c r="L1477" s="1779" t="e">
        <f t="shared" si="467"/>
        <v>#DIV/0!</v>
      </c>
      <c r="M1477" s="1778" t="e">
        <f t="shared" si="468"/>
        <v>#DIV/0!</v>
      </c>
      <c r="N1477" s="1777">
        <f>'Part VIII-Bldg Credit Alloc AR'!N165</f>
        <v>0</v>
      </c>
      <c r="O1477" s="1779">
        <f>'Part VIII-Bldg Credit Alloc AR'!O165</f>
        <v>0</v>
      </c>
      <c r="P1477" s="1778" t="e">
        <f t="shared" si="469"/>
        <v>#DIV/0!</v>
      </c>
      <c r="Q1477" s="1778" t="e">
        <f t="shared" si="470"/>
        <v>#DIV/0!</v>
      </c>
      <c r="R1477" s="1778" t="e">
        <f t="shared" si="471"/>
        <v>#DIV/0!</v>
      </c>
    </row>
    <row r="1478" spans="1:18">
      <c r="A1478" s="1658">
        <f>'Part VIII-Bldg Credit Alloc AR'!A166</f>
        <v>0</v>
      </c>
      <c r="B1478" s="1658"/>
      <c r="C1478" s="1658"/>
      <c r="D1478" s="1777">
        <f>'Part VIII-Bldg Credit Alloc AR'!D166</f>
        <v>0</v>
      </c>
      <c r="E1478" s="1778">
        <f>'Part VIII-Bldg Credit Alloc AR'!E166</f>
        <v>0</v>
      </c>
      <c r="F1478" s="1778">
        <f>'Part VIII-Bldg Credit Alloc AR'!F166</f>
        <v>0</v>
      </c>
      <c r="G1478" s="1778">
        <f>'Part VIII-Bldg Credit Alloc AR'!G166</f>
        <v>0</v>
      </c>
      <c r="H1478" s="1778">
        <f>'Part VIII-Bldg Credit Alloc AR'!H166</f>
        <v>0</v>
      </c>
      <c r="I1478" s="1778">
        <f>'Part VIII-Bldg Credit Alloc AR'!I166</f>
        <v>0</v>
      </c>
      <c r="J1478" s="1776">
        <f>'Part VIII-Bldg Credit Alloc AR'!J166</f>
        <v>0</v>
      </c>
      <c r="K1478" s="1778">
        <f>'Part VIII-Bldg Credit Alloc AR'!K166</f>
        <v>0</v>
      </c>
      <c r="L1478" s="1779" t="e">
        <f t="shared" si="467"/>
        <v>#DIV/0!</v>
      </c>
      <c r="M1478" s="1778" t="e">
        <f t="shared" si="468"/>
        <v>#DIV/0!</v>
      </c>
      <c r="N1478" s="1777">
        <f>'Part VIII-Bldg Credit Alloc AR'!N166</f>
        <v>0</v>
      </c>
      <c r="O1478" s="1779">
        <f>'Part VIII-Bldg Credit Alloc AR'!O166</f>
        <v>0</v>
      </c>
      <c r="P1478" s="1778" t="e">
        <f t="shared" si="469"/>
        <v>#DIV/0!</v>
      </c>
      <c r="Q1478" s="1778" t="e">
        <f t="shared" si="470"/>
        <v>#DIV/0!</v>
      </c>
      <c r="R1478" s="1778" t="e">
        <f>IF(P1478="","",ROUND(P1478,0))</f>
        <v>#DIV/0!</v>
      </c>
    </row>
    <row r="1479" spans="1:18">
      <c r="A1479" s="1658">
        <f>'Part VIII-Bldg Credit Alloc AR'!A167</f>
        <v>0</v>
      </c>
      <c r="B1479" s="1658"/>
      <c r="C1479" s="1658"/>
      <c r="D1479" s="1777">
        <f>'Part VIII-Bldg Credit Alloc AR'!D167</f>
        <v>0</v>
      </c>
      <c r="E1479" s="1778">
        <f>'Part VIII-Bldg Credit Alloc AR'!E167</f>
        <v>0</v>
      </c>
      <c r="F1479" s="1778">
        <f>'Part VIII-Bldg Credit Alloc AR'!F167</f>
        <v>0</v>
      </c>
      <c r="G1479" s="1778">
        <f>'Part VIII-Bldg Credit Alloc AR'!G167</f>
        <v>0</v>
      </c>
      <c r="H1479" s="1778">
        <f>'Part VIII-Bldg Credit Alloc AR'!H167</f>
        <v>0</v>
      </c>
      <c r="I1479" s="1778">
        <f>'Part VIII-Bldg Credit Alloc AR'!I167</f>
        <v>0</v>
      </c>
      <c r="J1479" s="1776">
        <f>'Part VIII-Bldg Credit Alloc AR'!J167</f>
        <v>0</v>
      </c>
      <c r="K1479" s="1778">
        <f>'Part VIII-Bldg Credit Alloc AR'!K167</f>
        <v>0</v>
      </c>
      <c r="L1479" s="1779" t="e">
        <f t="shared" si="467"/>
        <v>#DIV/0!</v>
      </c>
      <c r="M1479" s="1778" t="e">
        <f t="shared" si="468"/>
        <v>#DIV/0!</v>
      </c>
      <c r="N1479" s="1777">
        <f>'Part VIII-Bldg Credit Alloc AR'!N167</f>
        <v>0</v>
      </c>
      <c r="O1479" s="1779">
        <f>'Part VIII-Bldg Credit Alloc AR'!O167</f>
        <v>0</v>
      </c>
      <c r="P1479" s="1778" t="e">
        <f t="shared" si="469"/>
        <v>#DIV/0!</v>
      </c>
      <c r="Q1479" s="1778" t="e">
        <f t="shared" si="470"/>
        <v>#DIV/0!</v>
      </c>
      <c r="R1479" s="1778" t="e">
        <f t="shared" si="471"/>
        <v>#DIV/0!</v>
      </c>
    </row>
    <row r="1480" spans="1:18">
      <c r="A1480" s="1658">
        <f>'Part VIII-Bldg Credit Alloc AR'!A168</f>
        <v>0</v>
      </c>
      <c r="B1480" s="1658"/>
      <c r="C1480" s="1658"/>
      <c r="D1480" s="1777">
        <f>'Part VIII-Bldg Credit Alloc AR'!D168</f>
        <v>0</v>
      </c>
      <c r="E1480" s="1778">
        <f>'Part VIII-Bldg Credit Alloc AR'!E168</f>
        <v>0</v>
      </c>
      <c r="F1480" s="1778">
        <f>'Part VIII-Bldg Credit Alloc AR'!F168</f>
        <v>0</v>
      </c>
      <c r="G1480" s="1778">
        <f>'Part VIII-Bldg Credit Alloc AR'!G168</f>
        <v>0</v>
      </c>
      <c r="H1480" s="1778">
        <f>'Part VIII-Bldg Credit Alloc AR'!H168</f>
        <v>0</v>
      </c>
      <c r="I1480" s="1778">
        <f>'Part VIII-Bldg Credit Alloc AR'!I168</f>
        <v>0</v>
      </c>
      <c r="J1480" s="1776">
        <f>'Part VIII-Bldg Credit Alloc AR'!J168</f>
        <v>0</v>
      </c>
      <c r="K1480" s="1778">
        <f>'Part VIII-Bldg Credit Alloc AR'!K168</f>
        <v>0</v>
      </c>
      <c r="L1480" s="1779" t="e">
        <f t="shared" si="467"/>
        <v>#DIV/0!</v>
      </c>
      <c r="M1480" s="1778" t="e">
        <f t="shared" si="468"/>
        <v>#DIV/0!</v>
      </c>
      <c r="N1480" s="1777">
        <f>'Part VIII-Bldg Credit Alloc AR'!N168</f>
        <v>0</v>
      </c>
      <c r="O1480" s="1779">
        <f>'Part VIII-Bldg Credit Alloc AR'!O168</f>
        <v>0</v>
      </c>
      <c r="P1480" s="1778" t="e">
        <f t="shared" si="469"/>
        <v>#DIV/0!</v>
      </c>
      <c r="Q1480" s="1778" t="e">
        <f t="shared" si="470"/>
        <v>#DIV/0!</v>
      </c>
      <c r="R1480" s="1778" t="e">
        <f t="shared" si="471"/>
        <v>#DIV/0!</v>
      </c>
    </row>
    <row r="1481" spans="1:18">
      <c r="A1481" s="1658">
        <f>'Part VIII-Bldg Credit Alloc AR'!A169</f>
        <v>0</v>
      </c>
      <c r="B1481" s="1658"/>
      <c r="C1481" s="1658"/>
      <c r="D1481" s="1777">
        <f>'Part VIII-Bldg Credit Alloc AR'!D169</f>
        <v>0</v>
      </c>
      <c r="E1481" s="1778">
        <f>'Part VIII-Bldg Credit Alloc AR'!E169</f>
        <v>0</v>
      </c>
      <c r="F1481" s="1778">
        <f>'Part VIII-Bldg Credit Alloc AR'!F169</f>
        <v>0</v>
      </c>
      <c r="G1481" s="1778">
        <f>'Part VIII-Bldg Credit Alloc AR'!G169</f>
        <v>0</v>
      </c>
      <c r="H1481" s="1778">
        <f>'Part VIII-Bldg Credit Alloc AR'!H169</f>
        <v>0</v>
      </c>
      <c r="I1481" s="1778">
        <f>'Part VIII-Bldg Credit Alloc AR'!I169</f>
        <v>0</v>
      </c>
      <c r="J1481" s="1776">
        <f>'Part VIII-Bldg Credit Alloc AR'!J169</f>
        <v>0</v>
      </c>
      <c r="K1481" s="1778">
        <f>'Part VIII-Bldg Credit Alloc AR'!K169</f>
        <v>0</v>
      </c>
      <c r="L1481" s="1779" t="e">
        <f t="shared" si="467"/>
        <v>#DIV/0!</v>
      </c>
      <c r="M1481" s="1778" t="e">
        <f t="shared" si="468"/>
        <v>#DIV/0!</v>
      </c>
      <c r="N1481" s="1777">
        <f>'Part VIII-Bldg Credit Alloc AR'!N169</f>
        <v>0</v>
      </c>
      <c r="O1481" s="1779">
        <f>'Part VIII-Bldg Credit Alloc AR'!O169</f>
        <v>0</v>
      </c>
      <c r="P1481" s="1778" t="e">
        <f t="shared" si="469"/>
        <v>#DIV/0!</v>
      </c>
      <c r="Q1481" s="1778" t="e">
        <f t="shared" si="470"/>
        <v>#DIV/0!</v>
      </c>
      <c r="R1481" s="1778" t="e">
        <f t="shared" si="471"/>
        <v>#DIV/0!</v>
      </c>
    </row>
    <row r="1482" spans="1:18">
      <c r="A1482" s="1658">
        <f>'Part VIII-Bldg Credit Alloc AR'!A170</f>
        <v>0</v>
      </c>
      <c r="B1482" s="1658"/>
      <c r="C1482" s="1658"/>
      <c r="D1482" s="1777">
        <f>'Part VIII-Bldg Credit Alloc AR'!D170</f>
        <v>0</v>
      </c>
      <c r="E1482" s="1778">
        <f>'Part VIII-Bldg Credit Alloc AR'!E170</f>
        <v>0</v>
      </c>
      <c r="F1482" s="1778">
        <f>'Part VIII-Bldg Credit Alloc AR'!F170</f>
        <v>0</v>
      </c>
      <c r="G1482" s="1778">
        <f>'Part VIII-Bldg Credit Alloc AR'!G170</f>
        <v>0</v>
      </c>
      <c r="H1482" s="1778">
        <f>'Part VIII-Bldg Credit Alloc AR'!H170</f>
        <v>0</v>
      </c>
      <c r="I1482" s="1778">
        <f>'Part VIII-Bldg Credit Alloc AR'!I170</f>
        <v>0</v>
      </c>
      <c r="J1482" s="1776">
        <f>'Part VIII-Bldg Credit Alloc AR'!J170</f>
        <v>0</v>
      </c>
      <c r="K1482" s="1778">
        <f>'Part VIII-Bldg Credit Alloc AR'!K170</f>
        <v>0</v>
      </c>
      <c r="L1482" s="1779" t="e">
        <f t="shared" si="467"/>
        <v>#DIV/0!</v>
      </c>
      <c r="M1482" s="1778" t="e">
        <f t="shared" si="468"/>
        <v>#DIV/0!</v>
      </c>
      <c r="N1482" s="1777">
        <f>'Part VIII-Bldg Credit Alloc AR'!N170</f>
        <v>0</v>
      </c>
      <c r="O1482" s="1779">
        <f>'Part VIII-Bldg Credit Alloc AR'!O170</f>
        <v>0</v>
      </c>
      <c r="P1482" s="1778" t="e">
        <f t="shared" si="469"/>
        <v>#DIV/0!</v>
      </c>
      <c r="Q1482" s="1778" t="e">
        <f t="shared" si="470"/>
        <v>#DIV/0!</v>
      </c>
      <c r="R1482" s="1778" t="e">
        <f t="shared" si="471"/>
        <v>#DIV/0!</v>
      </c>
    </row>
    <row r="1483" spans="1:18">
      <c r="A1483" s="1715" t="s">
        <v>3693</v>
      </c>
      <c r="B1483" s="1780"/>
      <c r="C1483" s="1780"/>
      <c r="D1483" s="1777"/>
      <c r="E1483" s="1778">
        <f>SUM(E1450:E1482)</f>
        <v>0</v>
      </c>
      <c r="F1483" s="1778">
        <f>SUM(F1450:F1482)</f>
        <v>0</v>
      </c>
      <c r="G1483" s="1778">
        <f>SUM(G1450:G1482)</f>
        <v>0</v>
      </c>
      <c r="H1483" s="1778">
        <f>SUM(H1450:H1482)</f>
        <v>0</v>
      </c>
      <c r="I1483" s="1778">
        <f>SUM(I1450:I1482)</f>
        <v>0</v>
      </c>
      <c r="J1483" s="1658"/>
      <c r="K1483" s="1778">
        <f>SUM(K1450:K1482)</f>
        <v>0</v>
      </c>
      <c r="L1483" s="1779"/>
      <c r="M1483" s="1778" t="e">
        <f>SUM(M1450:M1482)</f>
        <v>#DIV/0!</v>
      </c>
      <c r="N1483" s="1777"/>
      <c r="O1483" s="1779"/>
      <c r="P1483" s="1778" t="e">
        <f>SUM(P1450:P1482)</f>
        <v>#DIV/0!</v>
      </c>
      <c r="Q1483" s="1778" t="e">
        <f>SUM(Q1450:Q1482)</f>
        <v>#DIV/0!</v>
      </c>
      <c r="R1483" s="1778" t="e">
        <f>SUM(R1450:R1482)</f>
        <v>#DIV/0!</v>
      </c>
    </row>
    <row r="1484" spans="1:18">
      <c r="A1484" s="1186"/>
      <c r="B1484" s="1780"/>
      <c r="C1484" s="1780"/>
      <c r="D1484" s="1777"/>
      <c r="E1484" s="1778"/>
      <c r="F1484" s="1778"/>
      <c r="G1484" s="1778"/>
      <c r="H1484" s="1778"/>
      <c r="I1484" s="1778"/>
      <c r="J1484" s="1658"/>
      <c r="K1484" s="1778"/>
      <c r="L1484" s="1779"/>
      <c r="M1484" s="1778"/>
      <c r="N1484" s="1777"/>
      <c r="O1484" s="1779"/>
      <c r="P1484" s="1778"/>
      <c r="Q1484" s="1778"/>
      <c r="R1484" s="1778"/>
    </row>
    <row r="1485" spans="1:18">
      <c r="A1485" s="1523" t="str">
        <f>"GRAND TOTALS - "&amp;C1316</f>
        <v>GRAND TOTALS - Acquisition</v>
      </c>
      <c r="B1485" s="1780"/>
      <c r="C1485" s="1781"/>
      <c r="D1485" s="1777"/>
      <c r="E1485" s="1778">
        <f>E1357+E1401+E1443+E1483</f>
        <v>0</v>
      </c>
      <c r="F1485" s="1778">
        <f t="shared" ref="F1485:M1485" si="472">F1357+F1401+F1443+F1483</f>
        <v>0</v>
      </c>
      <c r="G1485" s="1778">
        <f t="shared" si="472"/>
        <v>0</v>
      </c>
      <c r="H1485" s="1778">
        <f t="shared" si="472"/>
        <v>0</v>
      </c>
      <c r="I1485" s="1778">
        <f t="shared" si="472"/>
        <v>0</v>
      </c>
      <c r="J1485" s="1658"/>
      <c r="K1485" s="1778">
        <f t="shared" si="472"/>
        <v>0</v>
      </c>
      <c r="L1485" s="1779"/>
      <c r="M1485" s="1778" t="e">
        <f t="shared" si="472"/>
        <v>#DIV/0!</v>
      </c>
      <c r="N1485" s="1777"/>
      <c r="O1485" s="1779"/>
      <c r="P1485" s="1778" t="e">
        <f t="shared" ref="P1485:R1485" si="473">P1357+P1401+P1443+P1483</f>
        <v>#DIV/0!</v>
      </c>
      <c r="Q1485" s="1778" t="e">
        <f t="shared" si="473"/>
        <v>#DIV/0!</v>
      </c>
      <c r="R1485" s="1778" t="e">
        <f t="shared" si="473"/>
        <v>#DIV/0!</v>
      </c>
    </row>
    <row r="1486" spans="1:18">
      <c r="A1486" s="1780"/>
      <c r="B1486" s="1780"/>
      <c r="C1486" s="1780"/>
      <c r="D1486" s="1777"/>
      <c r="E1486" s="1778"/>
      <c r="F1486" s="1778"/>
      <c r="G1486" s="1778"/>
      <c r="H1486" s="1778"/>
      <c r="I1486" s="1778"/>
      <c r="J1486" s="1658"/>
      <c r="K1486" s="1778"/>
      <c r="L1486" s="1779"/>
      <c r="M1486" s="1778"/>
      <c r="N1486" s="1777"/>
      <c r="O1486" s="1779"/>
      <c r="P1486" s="1778"/>
      <c r="Q1486" s="1778"/>
      <c r="R1486" s="1778"/>
    </row>
    <row r="1487" spans="1:18">
      <c r="A1487" s="1154" t="s">
        <v>687</v>
      </c>
      <c r="B1487" s="1154" t="s">
        <v>3158</v>
      </c>
      <c r="C1487" s="1154"/>
      <c r="D1487" s="1154"/>
      <c r="E1487" s="1154"/>
      <c r="F1487" s="1154"/>
      <c r="G1487" s="1154"/>
      <c r="H1487" s="1715" t="s">
        <v>3128</v>
      </c>
      <c r="I1487" s="1656"/>
      <c r="J1487" s="1771" t="str">
        <f>C1316</f>
        <v>Acquisition</v>
      </c>
      <c r="K1487" s="1781"/>
      <c r="L1487" s="1781"/>
      <c r="M1487" s="1186"/>
      <c r="N1487" s="1186"/>
      <c r="O1487" s="1186"/>
      <c r="P1487" s="1186"/>
      <c r="Q1487" s="1186"/>
      <c r="R1487" s="1186"/>
    </row>
    <row r="1488" spans="1:18">
      <c r="A1488" s="1154"/>
      <c r="B1488" s="1518"/>
      <c r="C1488" s="1154"/>
      <c r="D1488" s="1154"/>
      <c r="E1488" s="1154"/>
      <c r="F1488" s="1154"/>
      <c r="G1488" s="1154"/>
      <c r="H1488" s="1154"/>
      <c r="I1488" s="1154"/>
      <c r="J1488" s="1154"/>
      <c r="K1488" s="1154"/>
      <c r="L1488" s="1186"/>
      <c r="M1488" s="1186"/>
      <c r="N1488" s="1186"/>
      <c r="O1488" s="1186"/>
      <c r="P1488" s="1186"/>
      <c r="Q1488" s="1186"/>
      <c r="R1488" s="1186"/>
    </row>
    <row r="1489" spans="1:18">
      <c r="A1489" s="1782">
        <f>'Part VIII-Bldg Credit Alloc AR'!A177</f>
        <v>0</v>
      </c>
      <c r="B1489" s="1782"/>
      <c r="C1489" s="1782"/>
      <c r="D1489" s="1782"/>
      <c r="E1489" s="1782"/>
      <c r="F1489" s="1782"/>
      <c r="G1489" s="1782"/>
      <c r="H1489" s="1782"/>
      <c r="I1489" s="1782"/>
      <c r="J1489" s="1782"/>
      <c r="K1489" s="1782"/>
      <c r="L1489" s="1782"/>
      <c r="M1489" s="1782"/>
      <c r="N1489" s="1782"/>
      <c r="O1489" s="1782"/>
      <c r="P1489" s="1782"/>
      <c r="Q1489" s="1782"/>
      <c r="R1489" s="1782"/>
    </row>
    <row r="1490" spans="1:18">
      <c r="A1490" s="1782"/>
      <c r="B1490" s="1782"/>
      <c r="C1490" s="1782"/>
      <c r="D1490" s="1782"/>
      <c r="E1490" s="1782"/>
      <c r="F1490" s="1782"/>
      <c r="G1490" s="1782"/>
      <c r="H1490" s="1782"/>
      <c r="I1490" s="1782"/>
      <c r="J1490" s="1782"/>
      <c r="K1490" s="1782"/>
      <c r="L1490" s="1782"/>
      <c r="M1490" s="1782"/>
      <c r="N1490" s="1782"/>
      <c r="O1490" s="1782"/>
      <c r="P1490" s="1782"/>
      <c r="Q1490" s="1782"/>
      <c r="R1490" s="1782"/>
    </row>
    <row r="1491" spans="1:18">
      <c r="A1491" s="1782"/>
      <c r="B1491" s="1782"/>
      <c r="C1491" s="1782"/>
      <c r="D1491" s="1782"/>
      <c r="E1491" s="1782"/>
      <c r="F1491" s="1782"/>
      <c r="G1491" s="1782"/>
      <c r="H1491" s="1782"/>
      <c r="I1491" s="1782"/>
      <c r="J1491" s="1782"/>
      <c r="K1491" s="1782"/>
      <c r="L1491" s="1782"/>
      <c r="M1491" s="1782"/>
      <c r="N1491" s="1782"/>
      <c r="O1491" s="1782"/>
      <c r="P1491" s="1782"/>
      <c r="Q1491" s="1782"/>
      <c r="R1491" s="1782"/>
    </row>
    <row r="1492" spans="1:18">
      <c r="A1492" s="1782"/>
      <c r="B1492" s="1782"/>
      <c r="C1492" s="1782"/>
      <c r="D1492" s="1782"/>
      <c r="E1492" s="1782"/>
      <c r="F1492" s="1782"/>
      <c r="G1492" s="1782"/>
      <c r="H1492" s="1782"/>
      <c r="I1492" s="1782"/>
      <c r="J1492" s="1782"/>
      <c r="K1492" s="1782"/>
      <c r="L1492" s="1782"/>
      <c r="M1492" s="1782"/>
      <c r="N1492" s="1782"/>
      <c r="O1492" s="1782"/>
      <c r="P1492" s="1782"/>
      <c r="Q1492" s="1782"/>
      <c r="R1492" s="1782"/>
    </row>
    <row r="1494" spans="1:18">
      <c r="A1494" s="1167" t="s">
        <v>3165</v>
      </c>
      <c r="B1494" s="1167"/>
      <c r="C1494" s="1167"/>
      <c r="D1494" s="1167"/>
      <c r="E1494" s="1167"/>
      <c r="F1494" s="1167"/>
      <c r="G1494" s="1167"/>
      <c r="H1494" s="1167"/>
      <c r="I1494" s="1167"/>
      <c r="J1494" s="1167"/>
      <c r="K1494" s="1167"/>
      <c r="L1494" s="1167"/>
      <c r="M1494" s="1167"/>
      <c r="N1494" s="1167"/>
      <c r="O1494" s="1167"/>
      <c r="P1494" s="1167"/>
      <c r="Q1494" s="1167"/>
      <c r="R1494" s="1167"/>
    </row>
    <row r="1495" spans="1:18">
      <c r="A1495" s="1524"/>
      <c r="B1495" s="1524"/>
      <c r="C1495" s="1524"/>
      <c r="D1495" s="1524"/>
      <c r="E1495" s="1524"/>
      <c r="F1495" s="1524"/>
      <c r="G1495" s="1524"/>
      <c r="H1495" s="1524"/>
      <c r="I1495" s="1524"/>
      <c r="J1495" s="1524"/>
      <c r="K1495" s="1524"/>
      <c r="L1495" s="1524"/>
      <c r="M1495" s="1657"/>
      <c r="N1495" s="1657"/>
      <c r="O1495" s="1656"/>
      <c r="P1495" s="1656"/>
      <c r="Q1495" s="1656"/>
      <c r="R1495" s="1656"/>
    </row>
    <row r="1496" spans="1:18" ht="13.5">
      <c r="A1496" s="1787" t="s">
        <v>3214</v>
      </c>
      <c r="B1496" s="1787"/>
      <c r="C1496" s="1787"/>
      <c r="D1496" s="1787"/>
      <c r="E1496" s="1788">
        <f>'Part VIII-BldgCreditAlloc TOTAL'!E3</f>
        <v>0</v>
      </c>
      <c r="F1496" s="1788"/>
      <c r="G1496" s="1788"/>
      <c r="H1496" s="1787" t="s">
        <v>3115</v>
      </c>
      <c r="I1496" s="1788" t="str">
        <f>'Part VIII-BldgCreditAlloc TOTAL'!I3</f>
        <v>SB OHF Test Villas</v>
      </c>
      <c r="J1496" s="1788"/>
      <c r="K1496" s="1788"/>
      <c r="L1496" s="1788"/>
      <c r="M1496" s="1788"/>
      <c r="N1496" s="1789"/>
      <c r="O1496" s="1789"/>
      <c r="P1496" s="1789" t="s">
        <v>3215</v>
      </c>
      <c r="Q1496" s="1790" t="str">
        <f>'Part VIII-BldgCreditAlloc TOTAL'!Q3</f>
        <v>20##-###</v>
      </c>
      <c r="R1496" s="1790"/>
    </row>
    <row r="1497" spans="1:18">
      <c r="A1497" s="1524"/>
      <c r="B1497" s="1524"/>
      <c r="C1497" s="1524"/>
      <c r="D1497" s="1524"/>
      <c r="E1497" s="1524"/>
      <c r="F1497" s="1524"/>
      <c r="G1497" s="1524"/>
      <c r="H1497" s="1524"/>
      <c r="I1497" s="1524"/>
      <c r="J1497" s="1524"/>
      <c r="K1497" s="1524"/>
      <c r="L1497" s="1524"/>
      <c r="M1497" s="1657"/>
      <c r="N1497" s="1657"/>
      <c r="O1497" s="1656"/>
      <c r="P1497" s="1656"/>
      <c r="Q1497" s="1656"/>
      <c r="R1497" s="1656"/>
    </row>
    <row r="1498" spans="1:18">
      <c r="A1498" s="1712" t="s">
        <v>3163</v>
      </c>
      <c r="B1498" s="1712"/>
      <c r="C1498" s="1712"/>
      <c r="D1498" s="1712"/>
      <c r="E1498" s="1712"/>
      <c r="F1498" s="1712"/>
      <c r="G1498" s="1712"/>
      <c r="H1498" s="1712"/>
      <c r="I1498" s="1712"/>
      <c r="J1498" s="1712"/>
      <c r="K1498" s="1712"/>
      <c r="L1498" s="1712"/>
      <c r="M1498" s="1712"/>
      <c r="N1498" s="1712"/>
      <c r="O1498" s="1712"/>
      <c r="P1498" s="1712"/>
      <c r="Q1498" s="1712"/>
      <c r="R1498" s="1712"/>
    </row>
    <row r="1499" spans="1:18">
      <c r="A1499" s="1657"/>
      <c r="B1499" s="1657"/>
      <c r="C1499" s="1657"/>
      <c r="D1499" s="1657"/>
      <c r="E1499" s="1657"/>
      <c r="F1499" s="1657"/>
      <c r="G1499" s="1657"/>
      <c r="H1499" s="1657"/>
      <c r="I1499" s="1657"/>
      <c r="J1499" s="1657"/>
      <c r="K1499" s="1657"/>
      <c r="L1499" s="1657"/>
      <c r="M1499" s="1657"/>
      <c r="N1499" s="1657"/>
      <c r="O1499" s="1657"/>
      <c r="P1499" s="1657"/>
      <c r="Q1499" s="1657"/>
      <c r="R1499" s="1657"/>
    </row>
    <row r="1500" spans="1:18" ht="13.5" customHeight="1">
      <c r="A1500" s="1789"/>
      <c r="B1500" s="1788"/>
      <c r="C1500" s="1788"/>
      <c r="D1500" s="1791"/>
      <c r="E1500" s="1791" t="s">
        <v>503</v>
      </c>
      <c r="F1500" s="1791" t="s">
        <v>503</v>
      </c>
      <c r="G1500" s="1791" t="s">
        <v>477</v>
      </c>
      <c r="H1500" s="1791" t="s">
        <v>3130</v>
      </c>
      <c r="I1500" s="1792"/>
      <c r="J1500" s="1791"/>
      <c r="K1500" s="1792"/>
      <c r="L1500" s="1792"/>
      <c r="M1500" s="1790"/>
      <c r="N1500" s="1791"/>
      <c r="O1500" s="1790"/>
      <c r="P1500" s="1790"/>
      <c r="Q1500" s="1793" t="s">
        <v>3719</v>
      </c>
      <c r="R1500" s="1793"/>
    </row>
    <row r="1501" spans="1:18" ht="13.5">
      <c r="A1501" s="1789"/>
      <c r="B1501" s="1788"/>
      <c r="C1501" s="1788"/>
      <c r="D1501" s="1791"/>
      <c r="E1501" s="1794" t="s">
        <v>152</v>
      </c>
      <c r="F1501" s="1791" t="s">
        <v>3132</v>
      </c>
      <c r="G1501" s="1791" t="s">
        <v>3133</v>
      </c>
      <c r="H1501" s="1791" t="s">
        <v>3134</v>
      </c>
      <c r="I1501" s="1791" t="s">
        <v>3135</v>
      </c>
      <c r="J1501" s="1795"/>
      <c r="K1501" s="1791" t="s">
        <v>3135</v>
      </c>
      <c r="L1501" s="1791"/>
      <c r="M1501" s="1791" t="s">
        <v>3135</v>
      </c>
      <c r="N1501" s="1791"/>
      <c r="O1501" s="1791"/>
      <c r="P1501" s="1791" t="s">
        <v>3139</v>
      </c>
      <c r="Q1501" s="1793"/>
      <c r="R1501" s="1793"/>
    </row>
    <row r="1502" spans="1:18" ht="13.5">
      <c r="A1502" s="1789"/>
      <c r="B1502" s="1788"/>
      <c r="C1502" s="1788"/>
      <c r="D1502" s="1791"/>
      <c r="E1502" s="1791" t="s">
        <v>3132</v>
      </c>
      <c r="F1502" s="1791" t="s">
        <v>3110</v>
      </c>
      <c r="G1502" s="1791" t="s">
        <v>3134</v>
      </c>
      <c r="H1502" s="1791" t="s">
        <v>3110</v>
      </c>
      <c r="I1502" s="1791" t="s">
        <v>3142</v>
      </c>
      <c r="J1502" s="1795"/>
      <c r="K1502" s="1791" t="s">
        <v>3143</v>
      </c>
      <c r="L1502" s="1791"/>
      <c r="M1502" s="1791" t="s">
        <v>3145</v>
      </c>
      <c r="N1502" s="1791"/>
      <c r="O1502" s="1791"/>
      <c r="P1502" s="1791" t="s">
        <v>3147</v>
      </c>
      <c r="Q1502" s="1791" t="s">
        <v>3135</v>
      </c>
      <c r="R1502" s="1791" t="s">
        <v>3148</v>
      </c>
    </row>
    <row r="1503" spans="1:18" ht="13.5">
      <c r="A1503" s="1789" t="s">
        <v>3164</v>
      </c>
      <c r="B1503" s="1788"/>
      <c r="C1503" s="1788"/>
      <c r="D1503" s="1791"/>
      <c r="E1503" s="1791" t="s">
        <v>3151</v>
      </c>
      <c r="F1503" s="1791" t="s">
        <v>3152</v>
      </c>
      <c r="G1503" s="1791" t="s">
        <v>3151</v>
      </c>
      <c r="H1503" s="1791" t="s">
        <v>3152</v>
      </c>
      <c r="I1503" s="1791" t="s">
        <v>3153</v>
      </c>
      <c r="J1503" s="1678"/>
      <c r="K1503" s="1791" t="s">
        <v>3153</v>
      </c>
      <c r="L1503" s="1791"/>
      <c r="M1503" s="1791" t="s">
        <v>3153</v>
      </c>
      <c r="N1503" s="1791"/>
      <c r="O1503" s="1791"/>
      <c r="P1503" s="1791" t="s">
        <v>1793</v>
      </c>
      <c r="Q1503" s="1791" t="s">
        <v>1830</v>
      </c>
      <c r="R1503" s="1791" t="s">
        <v>1793</v>
      </c>
    </row>
    <row r="1504" spans="1:18">
      <c r="A1504" s="1780"/>
      <c r="B1504" s="1780"/>
      <c r="C1504" s="1780"/>
      <c r="D1504" s="1777"/>
      <c r="E1504" s="1778"/>
      <c r="F1504" s="1778"/>
      <c r="G1504" s="1778"/>
      <c r="H1504" s="1778"/>
      <c r="I1504" s="1778"/>
      <c r="J1504" s="1658"/>
      <c r="K1504" s="1778"/>
      <c r="L1504" s="1779"/>
      <c r="M1504" s="1778"/>
      <c r="N1504" s="1779"/>
      <c r="O1504" s="1777"/>
      <c r="P1504" s="1778"/>
      <c r="Q1504" s="1778"/>
      <c r="R1504" s="1778"/>
    </row>
    <row r="1505" spans="1:18">
      <c r="A1505" s="1715"/>
      <c r="B1505" s="1656"/>
      <c r="C1505" s="1781"/>
      <c r="D1505" s="1781"/>
      <c r="E1505" s="1781"/>
      <c r="F1505" s="1713"/>
      <c r="G1505" s="1656"/>
      <c r="H1505" s="1656"/>
      <c r="I1505" s="1656"/>
      <c r="J1505" s="1656"/>
      <c r="K1505" s="1656"/>
      <c r="L1505" s="1657"/>
      <c r="M1505" s="1657"/>
      <c r="N1505" s="1657"/>
      <c r="O1505" s="1656"/>
      <c r="P1505" s="1656"/>
      <c r="Q1505" s="1656"/>
      <c r="R1505" s="1656"/>
    </row>
    <row r="1506" spans="1:18" ht="13.5">
      <c r="A1506" s="1796" t="str">
        <f>'Part VIII-Bldg Credit Alloc NC'!$C$4</f>
        <v>New Construction</v>
      </c>
      <c r="B1506" s="1787"/>
      <c r="C1506" s="1787"/>
      <c r="D1506" s="1797"/>
      <c r="E1506" s="1798">
        <f>'Part VIII-Bldg Credit Alloc NC'!E$173</f>
        <v>0</v>
      </c>
      <c r="F1506" s="1798">
        <f>'Part VIII-Bldg Credit Alloc NC'!F$173</f>
        <v>0</v>
      </c>
      <c r="G1506" s="1798">
        <f>'Part VIII-Bldg Credit Alloc NC'!G$173</f>
        <v>0</v>
      </c>
      <c r="H1506" s="1798">
        <f>'Part VIII-Bldg Credit Alloc NC'!H$173</f>
        <v>0</v>
      </c>
      <c r="I1506" s="1798">
        <f>'Part VIII-Bldg Credit Alloc NC'!I$173</f>
        <v>0</v>
      </c>
      <c r="J1506" s="1788"/>
      <c r="K1506" s="1798">
        <f>'Part VIII-Bldg Credit Alloc NC'!K$173</f>
        <v>0</v>
      </c>
      <c r="L1506" s="1799"/>
      <c r="M1506" s="1798">
        <f>'Part VIII-Bldg Credit Alloc NC'!M$173</f>
        <v>0</v>
      </c>
      <c r="N1506" s="1797"/>
      <c r="O1506" s="1799"/>
      <c r="P1506" s="1798">
        <f>'Part VIII-Bldg Credit Alloc NC'!P$173</f>
        <v>0</v>
      </c>
      <c r="Q1506" s="1798">
        <f>'Part VIII-Bldg Credit Alloc NC'!Q$173</f>
        <v>0</v>
      </c>
      <c r="R1506" s="1798">
        <f>'Part VIII-Bldg Credit Alloc NC'!R$173</f>
        <v>0</v>
      </c>
    </row>
    <row r="1507" spans="1:18">
      <c r="A1507" s="1796"/>
      <c r="B1507" s="1656"/>
      <c r="C1507" s="1781"/>
      <c r="D1507" s="1781"/>
      <c r="E1507" s="1781"/>
      <c r="F1507" s="1713"/>
      <c r="G1507" s="1656"/>
      <c r="H1507" s="1656"/>
      <c r="I1507" s="1656"/>
      <c r="J1507" s="1656"/>
      <c r="K1507" s="1656"/>
      <c r="L1507" s="1657"/>
      <c r="M1507" s="1657"/>
      <c r="N1507" s="1657"/>
      <c r="O1507" s="1656"/>
      <c r="P1507" s="1656"/>
      <c r="Q1507" s="1656"/>
      <c r="R1507" s="1656"/>
    </row>
    <row r="1508" spans="1:18" ht="13.5">
      <c r="A1508" s="1796" t="str">
        <f>'Part VIII-Bldg Credit Alloc SR'!$C$4</f>
        <v>Rehabilitation</v>
      </c>
      <c r="B1508" s="1787"/>
      <c r="C1508" s="1787"/>
      <c r="D1508" s="1797"/>
      <c r="E1508" s="1798">
        <f>'Part VIII-Bldg Credit Alloc SR'!E$173</f>
        <v>0</v>
      </c>
      <c r="F1508" s="1798">
        <f>'Part VIII-Bldg Credit Alloc SR'!F$173</f>
        <v>0</v>
      </c>
      <c r="G1508" s="1798">
        <f>'Part VIII-Bldg Credit Alloc SR'!G$173</f>
        <v>0</v>
      </c>
      <c r="H1508" s="1798">
        <f>'Part VIII-Bldg Credit Alloc SR'!H$173</f>
        <v>0</v>
      </c>
      <c r="I1508" s="1798">
        <f>'Part VIII-Bldg Credit Alloc SR'!I$173</f>
        <v>0</v>
      </c>
      <c r="J1508" s="1788"/>
      <c r="K1508" s="1798">
        <f>'Part VIII-Bldg Credit Alloc SR'!K$173</f>
        <v>0</v>
      </c>
      <c r="L1508" s="1799"/>
      <c r="M1508" s="1798">
        <f>'Part VIII-Bldg Credit Alloc SR'!M$173</f>
        <v>0</v>
      </c>
      <c r="N1508" s="1797"/>
      <c r="O1508" s="1799"/>
      <c r="P1508" s="1798">
        <f>'Part VIII-Bldg Credit Alloc SR'!P$173</f>
        <v>0</v>
      </c>
      <c r="Q1508" s="1798">
        <f>'Part VIII-Bldg Credit Alloc SR'!Q$173</f>
        <v>0</v>
      </c>
      <c r="R1508" s="1798">
        <f>'Part VIII-Bldg Credit Alloc SR'!R$173</f>
        <v>0</v>
      </c>
    </row>
    <row r="1509" spans="1:18">
      <c r="A1509" s="1796"/>
      <c r="B1509" s="1656"/>
      <c r="C1509" s="1781"/>
      <c r="D1509" s="1781"/>
      <c r="E1509" s="1781"/>
      <c r="F1509" s="1713"/>
      <c r="G1509" s="1656"/>
      <c r="H1509" s="1656"/>
      <c r="I1509" s="1656"/>
      <c r="J1509" s="1656"/>
      <c r="K1509" s="1656"/>
      <c r="L1509" s="1657"/>
      <c r="M1509" s="1657"/>
      <c r="N1509" s="1657"/>
      <c r="O1509" s="1656"/>
      <c r="P1509" s="1656"/>
      <c r="Q1509" s="1656"/>
      <c r="R1509" s="1656"/>
    </row>
    <row r="1510" spans="1:18" ht="13.5">
      <c r="A1510" s="1796" t="str">
        <f>'Part VIII-Bldg Credit Alloc AR'!$C$4</f>
        <v>Acquisition</v>
      </c>
      <c r="B1510" s="1787"/>
      <c r="C1510" s="1787"/>
      <c r="D1510" s="1797"/>
      <c r="E1510" s="1798">
        <f>'Part VIII-Bldg Credit Alloc AR'!E$173</f>
        <v>0</v>
      </c>
      <c r="F1510" s="1798">
        <f>'Part VIII-Bldg Credit Alloc AR'!F$173</f>
        <v>0</v>
      </c>
      <c r="G1510" s="1798">
        <f>'Part VIII-Bldg Credit Alloc AR'!G$173</f>
        <v>0</v>
      </c>
      <c r="H1510" s="1798">
        <f>'Part VIII-Bldg Credit Alloc AR'!H$173</f>
        <v>0</v>
      </c>
      <c r="I1510" s="1798">
        <f>'Part VIII-Bldg Credit Alloc AR'!I$173</f>
        <v>0</v>
      </c>
      <c r="J1510" s="1788"/>
      <c r="K1510" s="1798">
        <f>'Part VIII-Bldg Credit Alloc AR'!K$173</f>
        <v>0</v>
      </c>
      <c r="L1510" s="1799"/>
      <c r="M1510" s="1798">
        <f>'Part VIII-Bldg Credit Alloc AR'!M$173</f>
        <v>0</v>
      </c>
      <c r="N1510" s="1797"/>
      <c r="O1510" s="1799"/>
      <c r="P1510" s="1798">
        <f>'Part VIII-Bldg Credit Alloc AR'!P$173</f>
        <v>0</v>
      </c>
      <c r="Q1510" s="1798">
        <f>'Part VIII-Bldg Credit Alloc AR'!Q$173</f>
        <v>0</v>
      </c>
      <c r="R1510" s="1798">
        <f>'Part VIII-Bldg Credit Alloc AR'!R$173</f>
        <v>0</v>
      </c>
    </row>
    <row r="1511" spans="1:18">
      <c r="A1511" s="1186"/>
      <c r="B1511" s="1780"/>
      <c r="C1511" s="1780"/>
      <c r="D1511" s="1777"/>
      <c r="E1511" s="1778"/>
      <c r="F1511" s="1778"/>
      <c r="G1511" s="1778"/>
      <c r="H1511" s="1778"/>
      <c r="I1511" s="1778"/>
      <c r="J1511" s="1658"/>
      <c r="K1511" s="1778"/>
      <c r="L1511" s="1779"/>
      <c r="M1511" s="1778"/>
      <c r="N1511" s="1777"/>
      <c r="O1511" s="1779"/>
      <c r="P1511" s="1778"/>
      <c r="Q1511" s="1778"/>
      <c r="R1511" s="1778"/>
    </row>
    <row r="1512" spans="1:18" ht="15.75">
      <c r="A1512" s="1800" t="s">
        <v>3166</v>
      </c>
      <c r="B1512" s="1801"/>
      <c r="C1512" s="1802"/>
      <c r="D1512" s="1803"/>
      <c r="E1512" s="1804">
        <f>SUM(E1506:E1510)</f>
        <v>0</v>
      </c>
      <c r="F1512" s="1804">
        <f t="shared" ref="F1512:M1512" si="474">SUM(F1506:F1510)</f>
        <v>0</v>
      </c>
      <c r="G1512" s="1804">
        <f t="shared" si="474"/>
        <v>0</v>
      </c>
      <c r="H1512" s="1804">
        <f t="shared" si="474"/>
        <v>0</v>
      </c>
      <c r="I1512" s="1804">
        <f t="shared" si="474"/>
        <v>0</v>
      </c>
      <c r="J1512" s="1805"/>
      <c r="K1512" s="1804">
        <f t="shared" si="474"/>
        <v>0</v>
      </c>
      <c r="L1512" s="1806"/>
      <c r="M1512" s="1804">
        <f t="shared" si="474"/>
        <v>0</v>
      </c>
      <c r="N1512" s="1803"/>
      <c r="O1512" s="1806"/>
      <c r="P1512" s="1804">
        <f t="shared" ref="P1512:R1512" si="475">SUM(P1506:P1510)</f>
        <v>0</v>
      </c>
      <c r="Q1512" s="1804">
        <f t="shared" si="475"/>
        <v>0</v>
      </c>
      <c r="R1512" s="1804">
        <f t="shared" si="475"/>
        <v>0</v>
      </c>
    </row>
    <row r="1513" spans="1:18" ht="13.5">
      <c r="A1513" s="1787"/>
      <c r="B1513" s="1780"/>
      <c r="C1513" s="1780"/>
      <c r="D1513" s="1777"/>
      <c r="E1513" s="1778"/>
      <c r="F1513" s="1778"/>
      <c r="G1513" s="1778"/>
      <c r="H1513" s="1778"/>
      <c r="I1513" s="1778"/>
      <c r="J1513" s="1658"/>
      <c r="K1513" s="1778"/>
      <c r="L1513" s="1779"/>
      <c r="M1513" s="1778"/>
      <c r="N1513" s="1777"/>
      <c r="O1513" s="1779"/>
      <c r="P1513" s="1778"/>
      <c r="Q1513" s="1778"/>
      <c r="R1513" s="1778"/>
    </row>
    <row r="1514" spans="1:18" ht="13.5">
      <c r="A1514" s="1787" t="s">
        <v>3650</v>
      </c>
      <c r="B1514" s="1780"/>
      <c r="C1514" s="1780"/>
      <c r="D1514" s="1777"/>
      <c r="E1514" s="1778">
        <f>'Part VIII-BldgCreditAlloc TOTAL'!E21</f>
        <v>0</v>
      </c>
      <c r="F1514" s="1778">
        <f>'Part VIII-BldgCreditAlloc TOTAL'!F21</f>
        <v>0</v>
      </c>
      <c r="G1514" s="1778">
        <f>'Part VIII-BldgCreditAlloc TOTAL'!G21</f>
        <v>0</v>
      </c>
      <c r="H1514" s="1778">
        <f>'Part VIII-BldgCreditAlloc TOTAL'!H21</f>
        <v>0</v>
      </c>
      <c r="I1514" s="1778"/>
      <c r="J1514" s="1658"/>
      <c r="K1514" s="1778"/>
      <c r="L1514" s="1779"/>
      <c r="M1514" s="1778"/>
      <c r="N1514" s="1777"/>
      <c r="O1514" s="1779"/>
      <c r="P1514" s="1778"/>
      <c r="Q1514" s="1778"/>
      <c r="R1514" s="1778"/>
    </row>
    <row r="1515" spans="1:18" ht="13.5">
      <c r="A1515" s="1787"/>
      <c r="B1515" s="1780"/>
      <c r="C1515" s="1780"/>
      <c r="D1515" s="1777"/>
      <c r="E1515" s="1778"/>
      <c r="F1515" s="1778"/>
      <c r="G1515" s="1778"/>
      <c r="H1515" s="1778"/>
      <c r="I1515" s="1778"/>
      <c r="J1515" s="1658"/>
      <c r="K1515" s="1778"/>
      <c r="L1515" s="1779"/>
      <c r="M1515" s="1778"/>
      <c r="N1515" s="1777"/>
      <c r="O1515" s="1779"/>
      <c r="P1515" s="1778"/>
      <c r="Q1515" s="1778"/>
      <c r="R1515" s="1778"/>
    </row>
    <row r="1516" spans="1:18">
      <c r="A1516" s="1154" t="s">
        <v>687</v>
      </c>
      <c r="B1516" s="1154" t="s">
        <v>3158</v>
      </c>
      <c r="C1516" s="1154"/>
      <c r="D1516" s="1154"/>
      <c r="E1516" s="1154"/>
      <c r="F1516" s="1154"/>
      <c r="G1516" s="1154"/>
      <c r="H1516" s="1715"/>
      <c r="I1516" s="1656"/>
      <c r="J1516" s="1781"/>
      <c r="K1516" s="1781"/>
      <c r="L1516" s="1781"/>
      <c r="M1516" s="1186"/>
      <c r="N1516" s="1186"/>
      <c r="O1516" s="1186"/>
      <c r="P1516" s="1186"/>
      <c r="Q1516" s="1186"/>
      <c r="R1516" s="1186"/>
    </row>
    <row r="1517" spans="1:18">
      <c r="A1517" s="1154"/>
      <c r="B1517" s="1518"/>
      <c r="C1517" s="1154"/>
      <c r="D1517" s="1154"/>
      <c r="E1517" s="1154"/>
      <c r="F1517" s="1154"/>
      <c r="G1517" s="1154"/>
      <c r="H1517" s="1154"/>
      <c r="I1517" s="1154"/>
      <c r="J1517" s="1154"/>
      <c r="K1517" s="1154"/>
      <c r="L1517" s="1186"/>
      <c r="M1517" s="1186"/>
      <c r="N1517" s="1186"/>
      <c r="O1517" s="1186"/>
      <c r="P1517" s="1186"/>
      <c r="Q1517" s="1186"/>
      <c r="R1517" s="1186"/>
    </row>
    <row r="1518" spans="1:18" ht="12.75" customHeight="1">
      <c r="A1518" s="1749">
        <f>'Part VIII-BldgCreditAlloc TOTAL'!A25</f>
        <v>0</v>
      </c>
      <c r="B1518" s="1749"/>
      <c r="C1518" s="1749"/>
      <c r="D1518" s="1749"/>
      <c r="E1518" s="1749"/>
      <c r="F1518" s="1749"/>
      <c r="G1518" s="1749"/>
      <c r="H1518" s="1749"/>
      <c r="I1518" s="1749"/>
      <c r="J1518" s="1749"/>
      <c r="K1518" s="1749"/>
      <c r="L1518" s="1749"/>
      <c r="M1518" s="1749"/>
      <c r="N1518" s="1749"/>
      <c r="O1518" s="1749"/>
      <c r="P1518" s="1749"/>
      <c r="Q1518" s="1749"/>
      <c r="R1518" s="1749"/>
    </row>
    <row r="1519" spans="1:18" ht="12.75" customHeight="1">
      <c r="A1519" s="1749"/>
      <c r="B1519" s="1749"/>
      <c r="C1519" s="1749"/>
      <c r="D1519" s="1749"/>
      <c r="E1519" s="1749"/>
      <c r="F1519" s="1749"/>
      <c r="G1519" s="1749"/>
      <c r="H1519" s="1749"/>
      <c r="I1519" s="1749"/>
      <c r="J1519" s="1749"/>
      <c r="K1519" s="1749"/>
      <c r="L1519" s="1749"/>
      <c r="M1519" s="1749"/>
      <c r="N1519" s="1749"/>
      <c r="O1519" s="1749"/>
      <c r="P1519" s="1749"/>
      <c r="Q1519" s="1749"/>
      <c r="R1519" s="1749"/>
    </row>
    <row r="1520" spans="1:18" ht="12.75" customHeight="1">
      <c r="A1520" s="1749"/>
      <c r="B1520" s="1749"/>
      <c r="C1520" s="1749"/>
      <c r="D1520" s="1749"/>
      <c r="E1520" s="1749"/>
      <c r="F1520" s="1749"/>
      <c r="G1520" s="1749"/>
      <c r="H1520" s="1749"/>
      <c r="I1520" s="1749"/>
      <c r="J1520" s="1749"/>
      <c r="K1520" s="1749"/>
      <c r="L1520" s="1749"/>
      <c r="M1520" s="1749"/>
      <c r="N1520" s="1749"/>
      <c r="O1520" s="1749"/>
      <c r="P1520" s="1749"/>
      <c r="Q1520" s="1749"/>
      <c r="R1520" s="1749"/>
    </row>
    <row r="1521" spans="1:18" ht="12.75" customHeight="1">
      <c r="A1521" s="1749"/>
      <c r="B1521" s="1749"/>
      <c r="C1521" s="1749"/>
      <c r="D1521" s="1749"/>
      <c r="E1521" s="1749"/>
      <c r="F1521" s="1749"/>
      <c r="G1521" s="1749"/>
      <c r="H1521" s="1749"/>
      <c r="I1521" s="1749"/>
      <c r="J1521" s="1749"/>
      <c r="K1521" s="1749"/>
      <c r="L1521" s="1749"/>
      <c r="M1521" s="1749"/>
      <c r="N1521" s="1749"/>
      <c r="O1521" s="1749"/>
      <c r="P1521" s="1749"/>
      <c r="Q1521" s="1749"/>
      <c r="R1521" s="1749"/>
    </row>
    <row r="1523" spans="1:18">
      <c r="A1523" s="1167" t="s">
        <v>3211</v>
      </c>
      <c r="B1523" s="1167"/>
      <c r="C1523" s="1167"/>
      <c r="D1523" s="1167"/>
      <c r="E1523" s="1167"/>
      <c r="F1523" s="1167"/>
      <c r="G1523" s="1167"/>
      <c r="H1523" s="1167"/>
      <c r="I1523" s="1167"/>
      <c r="J1523" s="1167"/>
      <c r="K1523" s="1167"/>
      <c r="L1523" s="1167"/>
      <c r="M1523" s="1167"/>
    </row>
    <row r="1524" spans="1:18">
      <c r="A1524" s="1154"/>
      <c r="B1524" s="1154"/>
      <c r="C1524" s="1154"/>
      <c r="D1524" s="1154"/>
      <c r="E1524" s="1154"/>
      <c r="F1524" s="1154"/>
      <c r="G1524" s="1154"/>
      <c r="H1524" s="1154"/>
      <c r="I1524" s="1154"/>
      <c r="J1524" s="1154"/>
      <c r="K1524" s="1154"/>
      <c r="L1524" s="1154"/>
      <c r="M1524" s="1154"/>
    </row>
    <row r="1525" spans="1:18">
      <c r="A1525" s="1713" t="s">
        <v>3115</v>
      </c>
      <c r="B1525" s="1807" t="str">
        <f>'Part IX-Changes Narrative'!B3</f>
        <v>SB OHF Test Villas</v>
      </c>
      <c r="C1525" s="1807"/>
      <c r="D1525" s="1807"/>
      <c r="E1525" s="1807"/>
      <c r="F1525" s="1807"/>
      <c r="G1525" s="1807"/>
      <c r="H1525" s="1807"/>
      <c r="I1525" s="1807"/>
      <c r="J1525" s="1808" t="s">
        <v>3116</v>
      </c>
      <c r="K1525" s="1712"/>
      <c r="L1525" s="1809" t="str">
        <f>'Part IX-Changes Narrative'!L3</f>
        <v>20##-###</v>
      </c>
      <c r="M1525" s="1809"/>
    </row>
    <row r="1526" spans="1:18">
      <c r="A1526" s="1154"/>
      <c r="B1526" s="1154"/>
      <c r="C1526" s="1154"/>
      <c r="D1526" s="1154"/>
      <c r="E1526" s="1154"/>
      <c r="F1526" s="1154"/>
      <c r="G1526" s="1154"/>
      <c r="H1526" s="1154"/>
      <c r="I1526" s="1154"/>
      <c r="J1526" s="1154"/>
      <c r="K1526" s="1154"/>
      <c r="L1526" s="1154"/>
      <c r="M1526" s="1154"/>
    </row>
    <row r="1527" spans="1:18">
      <c r="A1527" s="1154" t="s">
        <v>3168</v>
      </c>
      <c r="B1527" s="1154"/>
      <c r="C1527" s="1154"/>
      <c r="D1527" s="1154"/>
      <c r="E1527" s="1154"/>
      <c r="F1527" s="1154"/>
      <c r="G1527" s="1154"/>
      <c r="H1527" s="1154"/>
      <c r="I1527" s="1154"/>
      <c r="J1527" s="1154"/>
      <c r="K1527" s="1154"/>
      <c r="L1527" s="1154"/>
      <c r="M1527" s="1154"/>
    </row>
    <row r="1528" spans="1:18">
      <c r="A1528" s="1154"/>
      <c r="B1528" s="1154"/>
      <c r="C1528" s="1154"/>
      <c r="D1528" s="1154"/>
      <c r="E1528" s="1154"/>
      <c r="F1528" s="1154"/>
      <c r="G1528" s="1154"/>
      <c r="H1528" s="1154"/>
      <c r="I1528" s="1154"/>
      <c r="J1528" s="1154"/>
      <c r="K1528" s="1154"/>
      <c r="L1528" s="1154"/>
      <c r="M1528" s="1154"/>
    </row>
    <row r="1529" spans="1:18">
      <c r="A1529" s="1154" t="s">
        <v>1106</v>
      </c>
      <c r="B1529" s="1154"/>
      <c r="C1529" s="1154"/>
      <c r="D1529" s="1154"/>
      <c r="E1529" s="1154"/>
      <c r="F1529" s="1154"/>
      <c r="G1529" s="1154"/>
      <c r="H1529" s="1154"/>
      <c r="I1529" s="1154"/>
      <c r="J1529" s="1154"/>
      <c r="K1529" s="1154"/>
      <c r="L1529" s="1154"/>
      <c r="M1529" s="1154"/>
    </row>
    <row r="1530" spans="1:18" ht="12.75" customHeight="1">
      <c r="A1530" s="1738" t="s">
        <v>3169</v>
      </c>
      <c r="B1530" s="1738"/>
      <c r="C1530" s="1738"/>
      <c r="D1530" s="1738"/>
      <c r="E1530" s="1738"/>
      <c r="F1530" s="1738"/>
      <c r="G1530" s="1738"/>
      <c r="H1530" s="1738"/>
      <c r="I1530" s="1738"/>
      <c r="J1530" s="1738"/>
      <c r="K1530" s="1738"/>
      <c r="L1530" s="1738"/>
      <c r="M1530" s="1738"/>
    </row>
    <row r="1531" spans="1:18">
      <c r="A1531" s="1738"/>
      <c r="B1531" s="1738"/>
      <c r="C1531" s="1738"/>
      <c r="D1531" s="1738"/>
      <c r="E1531" s="1738"/>
      <c r="F1531" s="1738"/>
      <c r="G1531" s="1738"/>
      <c r="H1531" s="1738"/>
      <c r="I1531" s="1738"/>
      <c r="J1531" s="1738"/>
      <c r="K1531" s="1738"/>
      <c r="L1531" s="1738"/>
      <c r="M1531" s="1738"/>
    </row>
    <row r="1532" spans="1:18">
      <c r="A1532" s="1782">
        <f>'Part IX-Changes Narrative'!A10</f>
        <v>0</v>
      </c>
      <c r="B1532" s="1782"/>
      <c r="C1532" s="1782"/>
      <c r="D1532" s="1782"/>
      <c r="E1532" s="1782"/>
      <c r="F1532" s="1782"/>
      <c r="G1532" s="1782"/>
      <c r="H1532" s="1782"/>
      <c r="I1532" s="1782"/>
      <c r="J1532" s="1782"/>
      <c r="K1532" s="1782"/>
      <c r="L1532" s="1782"/>
      <c r="M1532" s="1782"/>
    </row>
    <row r="1533" spans="1:18">
      <c r="A1533" s="1782"/>
      <c r="B1533" s="1782"/>
      <c r="C1533" s="1782"/>
      <c r="D1533" s="1782"/>
      <c r="E1533" s="1782"/>
      <c r="F1533" s="1782"/>
      <c r="G1533" s="1782"/>
      <c r="H1533" s="1782"/>
      <c r="I1533" s="1782"/>
      <c r="J1533" s="1782"/>
      <c r="K1533" s="1782"/>
      <c r="L1533" s="1782"/>
      <c r="M1533" s="1782"/>
    </row>
    <row r="1534" spans="1:18">
      <c r="A1534" s="1782"/>
      <c r="B1534" s="1782"/>
      <c r="C1534" s="1782"/>
      <c r="D1534" s="1782"/>
      <c r="E1534" s="1782"/>
      <c r="F1534" s="1782"/>
      <c r="G1534" s="1782"/>
      <c r="H1534" s="1782"/>
      <c r="I1534" s="1782"/>
      <c r="J1534" s="1782"/>
      <c r="K1534" s="1782"/>
      <c r="L1534" s="1782"/>
      <c r="M1534" s="1782"/>
    </row>
    <row r="1535" spans="1:18">
      <c r="A1535" s="1782"/>
      <c r="B1535" s="1782"/>
      <c r="C1535" s="1782"/>
      <c r="D1535" s="1782"/>
      <c r="E1535" s="1782"/>
      <c r="F1535" s="1782"/>
      <c r="G1535" s="1782"/>
      <c r="H1535" s="1782"/>
      <c r="I1535" s="1782"/>
      <c r="J1535" s="1782"/>
      <c r="K1535" s="1782"/>
      <c r="L1535" s="1782"/>
      <c r="M1535" s="1782"/>
    </row>
    <row r="1536" spans="1:18">
      <c r="A1536" s="1782"/>
      <c r="B1536" s="1782"/>
      <c r="C1536" s="1782"/>
      <c r="D1536" s="1782"/>
      <c r="E1536" s="1782"/>
      <c r="F1536" s="1782"/>
      <c r="G1536" s="1782"/>
      <c r="H1536" s="1782"/>
      <c r="I1536" s="1782"/>
      <c r="J1536" s="1782"/>
      <c r="K1536" s="1782"/>
      <c r="L1536" s="1782"/>
      <c r="M1536" s="1782"/>
    </row>
    <row r="1537" spans="1:13">
      <c r="A1537" s="1782"/>
      <c r="B1537" s="1782"/>
      <c r="C1537" s="1782"/>
      <c r="D1537" s="1782"/>
      <c r="E1537" s="1782"/>
      <c r="F1537" s="1782"/>
      <c r="G1537" s="1782"/>
      <c r="H1537" s="1782"/>
      <c r="I1537" s="1782"/>
      <c r="J1537" s="1782"/>
      <c r="K1537" s="1782"/>
      <c r="L1537" s="1782"/>
      <c r="M1537" s="1782"/>
    </row>
    <row r="1538" spans="1:13">
      <c r="A1538" s="1782"/>
      <c r="B1538" s="1782"/>
      <c r="C1538" s="1782"/>
      <c r="D1538" s="1782"/>
      <c r="E1538" s="1782"/>
      <c r="F1538" s="1782"/>
      <c r="G1538" s="1782"/>
      <c r="H1538" s="1782"/>
      <c r="I1538" s="1782"/>
      <c r="J1538" s="1782"/>
      <c r="K1538" s="1782"/>
      <c r="L1538" s="1782"/>
      <c r="M1538" s="1782"/>
    </row>
    <row r="1539" spans="1:13">
      <c r="A1539" s="1782"/>
      <c r="B1539" s="1782"/>
      <c r="C1539" s="1782"/>
      <c r="D1539" s="1782"/>
      <c r="E1539" s="1782"/>
      <c r="F1539" s="1782"/>
      <c r="G1539" s="1782"/>
      <c r="H1539" s="1782"/>
      <c r="I1539" s="1782"/>
      <c r="J1539" s="1782"/>
      <c r="K1539" s="1782"/>
      <c r="L1539" s="1782"/>
      <c r="M1539" s="1782"/>
    </row>
    <row r="1540" spans="1:13">
      <c r="A1540" s="1782"/>
      <c r="B1540" s="1782"/>
      <c r="C1540" s="1782"/>
      <c r="D1540" s="1782"/>
      <c r="E1540" s="1782"/>
      <c r="F1540" s="1782"/>
      <c r="G1540" s="1782"/>
      <c r="H1540" s="1782"/>
      <c r="I1540" s="1782"/>
      <c r="J1540" s="1782"/>
      <c r="K1540" s="1782"/>
      <c r="L1540" s="1782"/>
      <c r="M1540" s="1782"/>
    </row>
    <row r="1541" spans="1:13">
      <c r="A1541" s="1782"/>
      <c r="B1541" s="1782"/>
      <c r="C1541" s="1782"/>
      <c r="D1541" s="1782"/>
      <c r="E1541" s="1782"/>
      <c r="F1541" s="1782"/>
      <c r="G1541" s="1782"/>
      <c r="H1541" s="1782"/>
      <c r="I1541" s="1782"/>
      <c r="J1541" s="1782"/>
      <c r="K1541" s="1782"/>
      <c r="L1541" s="1782"/>
      <c r="M1541" s="1782"/>
    </row>
    <row r="1542" spans="1:13">
      <c r="A1542" s="1782"/>
      <c r="B1542" s="1782"/>
      <c r="C1542" s="1782"/>
      <c r="D1542" s="1782"/>
      <c r="E1542" s="1782"/>
      <c r="F1542" s="1782"/>
      <c r="G1542" s="1782"/>
      <c r="H1542" s="1782"/>
      <c r="I1542" s="1782"/>
      <c r="J1542" s="1782"/>
      <c r="K1542" s="1782"/>
      <c r="L1542" s="1782"/>
      <c r="M1542" s="1782"/>
    </row>
    <row r="1543" spans="1:13">
      <c r="A1543" s="1782"/>
      <c r="B1543" s="1782"/>
      <c r="C1543" s="1782"/>
      <c r="D1543" s="1782"/>
      <c r="E1543" s="1782"/>
      <c r="F1543" s="1782"/>
      <c r="G1543" s="1782"/>
      <c r="H1543" s="1782"/>
      <c r="I1543" s="1782"/>
      <c r="J1543" s="1782"/>
      <c r="K1543" s="1782"/>
      <c r="L1543" s="1782"/>
      <c r="M1543" s="1782"/>
    </row>
    <row r="1544" spans="1:13">
      <c r="A1544" s="1782"/>
      <c r="B1544" s="1782"/>
      <c r="C1544" s="1782"/>
      <c r="D1544" s="1782"/>
      <c r="E1544" s="1782"/>
      <c r="F1544" s="1782"/>
      <c r="G1544" s="1782"/>
      <c r="H1544" s="1782"/>
      <c r="I1544" s="1782"/>
      <c r="J1544" s="1782"/>
      <c r="K1544" s="1782"/>
      <c r="L1544" s="1782"/>
      <c r="M1544" s="1782"/>
    </row>
    <row r="1545" spans="1:13">
      <c r="A1545" s="1782"/>
      <c r="B1545" s="1782"/>
      <c r="C1545" s="1782"/>
      <c r="D1545" s="1782"/>
      <c r="E1545" s="1782"/>
      <c r="F1545" s="1782"/>
      <c r="G1545" s="1782"/>
      <c r="H1545" s="1782"/>
      <c r="I1545" s="1782"/>
      <c r="J1545" s="1782"/>
      <c r="K1545" s="1782"/>
      <c r="L1545" s="1782"/>
      <c r="M1545" s="1782"/>
    </row>
    <row r="1546" spans="1:13">
      <c r="A1546" s="1519"/>
      <c r="B1546" s="1519"/>
      <c r="C1546" s="1519"/>
      <c r="D1546" s="1519"/>
      <c r="E1546" s="1519"/>
      <c r="F1546" s="1519"/>
      <c r="G1546" s="1519"/>
      <c r="H1546" s="1519"/>
      <c r="I1546" s="1519"/>
      <c r="J1546" s="1154"/>
      <c r="K1546" s="1154"/>
      <c r="L1546" s="1154"/>
      <c r="M1546" s="1154"/>
    </row>
    <row r="1547" spans="1:13">
      <c r="A1547" s="1154" t="s">
        <v>3170</v>
      </c>
      <c r="B1547" s="1154"/>
      <c r="C1547" s="1154"/>
      <c r="D1547" s="1154"/>
      <c r="E1547" s="1154"/>
      <c r="F1547" s="1154"/>
      <c r="G1547" s="1154"/>
      <c r="H1547" s="1154"/>
      <c r="I1547" s="1154"/>
      <c r="J1547" s="1154"/>
      <c r="K1547" s="1154"/>
      <c r="L1547" s="1154"/>
      <c r="M1547" s="1154"/>
    </row>
    <row r="1548" spans="1:13" ht="12.75" customHeight="1">
      <c r="A1548" s="1738" t="s">
        <v>3171</v>
      </c>
      <c r="B1548" s="1738"/>
      <c r="C1548" s="1738"/>
      <c r="D1548" s="1738"/>
      <c r="E1548" s="1738"/>
      <c r="F1548" s="1738"/>
      <c r="G1548" s="1738"/>
      <c r="H1548" s="1738"/>
      <c r="I1548" s="1738"/>
      <c r="J1548" s="1738"/>
      <c r="K1548" s="1738"/>
      <c r="L1548" s="1738"/>
      <c r="M1548" s="1738"/>
    </row>
    <row r="1549" spans="1:13">
      <c r="A1549" s="1738"/>
      <c r="B1549" s="1738"/>
      <c r="C1549" s="1738"/>
      <c r="D1549" s="1738"/>
      <c r="E1549" s="1738"/>
      <c r="F1549" s="1738"/>
      <c r="G1549" s="1738"/>
      <c r="H1549" s="1738"/>
      <c r="I1549" s="1738"/>
      <c r="J1549" s="1738"/>
      <c r="K1549" s="1738"/>
      <c r="L1549" s="1738"/>
      <c r="M1549" s="1738"/>
    </row>
    <row r="1550" spans="1:13">
      <c r="A1550" s="1782">
        <f>'Part IX-Changes Narrative'!A28</f>
        <v>0</v>
      </c>
      <c r="B1550" s="1782"/>
      <c r="C1550" s="1782"/>
      <c r="D1550" s="1782"/>
      <c r="E1550" s="1782"/>
      <c r="F1550" s="1782"/>
      <c r="G1550" s="1782"/>
      <c r="H1550" s="1782"/>
      <c r="I1550" s="1782"/>
      <c r="J1550" s="1782"/>
      <c r="K1550" s="1782"/>
      <c r="L1550" s="1782"/>
      <c r="M1550" s="1782"/>
    </row>
    <row r="1551" spans="1:13">
      <c r="A1551" s="1782"/>
      <c r="B1551" s="1782"/>
      <c r="C1551" s="1782"/>
      <c r="D1551" s="1782"/>
      <c r="E1551" s="1782"/>
      <c r="F1551" s="1782"/>
      <c r="G1551" s="1782"/>
      <c r="H1551" s="1782"/>
      <c r="I1551" s="1782"/>
      <c r="J1551" s="1782"/>
      <c r="K1551" s="1782"/>
      <c r="L1551" s="1782"/>
      <c r="M1551" s="1782"/>
    </row>
    <row r="1552" spans="1:13">
      <c r="A1552" s="1782"/>
      <c r="B1552" s="1782"/>
      <c r="C1552" s="1782"/>
      <c r="D1552" s="1782"/>
      <c r="E1552" s="1782"/>
      <c r="F1552" s="1782"/>
      <c r="G1552" s="1782"/>
      <c r="H1552" s="1782"/>
      <c r="I1552" s="1782"/>
      <c r="J1552" s="1782"/>
      <c r="K1552" s="1782"/>
      <c r="L1552" s="1782"/>
      <c r="M1552" s="1782"/>
    </row>
    <row r="1553" spans="1:13">
      <c r="A1553" s="1782"/>
      <c r="B1553" s="1782"/>
      <c r="C1553" s="1782"/>
      <c r="D1553" s="1782"/>
      <c r="E1553" s="1782"/>
      <c r="F1553" s="1782"/>
      <c r="G1553" s="1782"/>
      <c r="H1553" s="1782"/>
      <c r="I1553" s="1782"/>
      <c r="J1553" s="1782"/>
      <c r="K1553" s="1782"/>
      <c r="L1553" s="1782"/>
      <c r="M1553" s="1782"/>
    </row>
    <row r="1554" spans="1:13">
      <c r="A1554" s="1782"/>
      <c r="B1554" s="1782"/>
      <c r="C1554" s="1782"/>
      <c r="D1554" s="1782"/>
      <c r="E1554" s="1782"/>
      <c r="F1554" s="1782"/>
      <c r="G1554" s="1782"/>
      <c r="H1554" s="1782"/>
      <c r="I1554" s="1782"/>
      <c r="J1554" s="1782"/>
      <c r="K1554" s="1782"/>
      <c r="L1554" s="1782"/>
      <c r="M1554" s="1782"/>
    </row>
    <row r="1555" spans="1:13">
      <c r="A1555" s="1782"/>
      <c r="B1555" s="1782"/>
      <c r="C1555" s="1782"/>
      <c r="D1555" s="1782"/>
      <c r="E1555" s="1782"/>
      <c r="F1555" s="1782"/>
      <c r="G1555" s="1782"/>
      <c r="H1555" s="1782"/>
      <c r="I1555" s="1782"/>
      <c r="J1555" s="1782"/>
      <c r="K1555" s="1782"/>
      <c r="L1555" s="1782"/>
      <c r="M1555" s="1782"/>
    </row>
    <row r="1556" spans="1:13">
      <c r="A1556" s="1782"/>
      <c r="B1556" s="1782"/>
      <c r="C1556" s="1782"/>
      <c r="D1556" s="1782"/>
      <c r="E1556" s="1782"/>
      <c r="F1556" s="1782"/>
      <c r="G1556" s="1782"/>
      <c r="H1556" s="1782"/>
      <c r="I1556" s="1782"/>
      <c r="J1556" s="1782"/>
      <c r="K1556" s="1782"/>
      <c r="L1556" s="1782"/>
      <c r="M1556" s="1782"/>
    </row>
    <row r="1557" spans="1:13">
      <c r="A1557" s="1782"/>
      <c r="B1557" s="1782"/>
      <c r="C1557" s="1782"/>
      <c r="D1557" s="1782"/>
      <c r="E1557" s="1782"/>
      <c r="F1557" s="1782"/>
      <c r="G1557" s="1782"/>
      <c r="H1557" s="1782"/>
      <c r="I1557" s="1782"/>
      <c r="J1557" s="1782"/>
      <c r="K1557" s="1782"/>
      <c r="L1557" s="1782"/>
      <c r="M1557" s="1782"/>
    </row>
    <row r="1558" spans="1:13">
      <c r="A1558" s="1782"/>
      <c r="B1558" s="1782"/>
      <c r="C1558" s="1782"/>
      <c r="D1558" s="1782"/>
      <c r="E1558" s="1782"/>
      <c r="F1558" s="1782"/>
      <c r="G1558" s="1782"/>
      <c r="H1558" s="1782"/>
      <c r="I1558" s="1782"/>
      <c r="J1558" s="1782"/>
      <c r="K1558" s="1782"/>
      <c r="L1558" s="1782"/>
      <c r="M1558" s="1782"/>
    </row>
    <row r="1559" spans="1:13">
      <c r="A1559" s="1782"/>
      <c r="B1559" s="1782"/>
      <c r="C1559" s="1782"/>
      <c r="D1559" s="1782"/>
      <c r="E1559" s="1782"/>
      <c r="F1559" s="1782"/>
      <c r="G1559" s="1782"/>
      <c r="H1559" s="1782"/>
      <c r="I1559" s="1782"/>
      <c r="J1559" s="1782"/>
      <c r="K1559" s="1782"/>
      <c r="L1559" s="1782"/>
      <c r="M1559" s="1782"/>
    </row>
    <row r="1560" spans="1:13">
      <c r="A1560" s="1782"/>
      <c r="B1560" s="1782"/>
      <c r="C1560" s="1782"/>
      <c r="D1560" s="1782"/>
      <c r="E1560" s="1782"/>
      <c r="F1560" s="1782"/>
      <c r="G1560" s="1782"/>
      <c r="H1560" s="1782"/>
      <c r="I1560" s="1782"/>
      <c r="J1560" s="1782"/>
      <c r="K1560" s="1782"/>
      <c r="L1560" s="1782"/>
      <c r="M1560" s="1782"/>
    </row>
    <row r="1561" spans="1:13">
      <c r="A1561" s="1782"/>
      <c r="B1561" s="1782"/>
      <c r="C1561" s="1782"/>
      <c r="D1561" s="1782"/>
      <c r="E1561" s="1782"/>
      <c r="F1561" s="1782"/>
      <c r="G1561" s="1782"/>
      <c r="H1561" s="1782"/>
      <c r="I1561" s="1782"/>
      <c r="J1561" s="1782"/>
      <c r="K1561" s="1782"/>
      <c r="L1561" s="1782"/>
      <c r="M1561" s="1782"/>
    </row>
    <row r="1562" spans="1:13">
      <c r="A1562" s="1782"/>
      <c r="B1562" s="1782"/>
      <c r="C1562" s="1782"/>
      <c r="D1562" s="1782"/>
      <c r="E1562" s="1782"/>
      <c r="F1562" s="1782"/>
      <c r="G1562" s="1782"/>
      <c r="H1562" s="1782"/>
      <c r="I1562" s="1782"/>
      <c r="J1562" s="1782"/>
      <c r="K1562" s="1782"/>
      <c r="L1562" s="1782"/>
      <c r="M1562" s="1782"/>
    </row>
    <row r="1563" spans="1:13">
      <c r="A1563" s="1782"/>
      <c r="B1563" s="1782"/>
      <c r="C1563" s="1782"/>
      <c r="D1563" s="1782"/>
      <c r="E1563" s="1782"/>
      <c r="F1563" s="1782"/>
      <c r="G1563" s="1782"/>
      <c r="H1563" s="1782"/>
      <c r="I1563" s="1782"/>
      <c r="J1563" s="1782"/>
      <c r="K1563" s="1782"/>
      <c r="L1563" s="1782"/>
      <c r="M1563" s="1782"/>
    </row>
    <row r="1565" spans="1:13" ht="15">
      <c r="A1565" s="1810" t="s">
        <v>3212</v>
      </c>
      <c r="B1565" s="1810"/>
      <c r="C1565" s="1810"/>
      <c r="D1565" s="1810"/>
      <c r="E1565" s="1810"/>
      <c r="F1565" s="1810"/>
      <c r="G1565" s="1810"/>
      <c r="H1565" s="1810"/>
      <c r="I1565" s="1810"/>
      <c r="J1565" s="1810"/>
      <c r="K1565" s="1810"/>
      <c r="L1565" s="1810"/>
      <c r="M1565" s="1810"/>
    </row>
    <row r="1566" spans="1:13">
      <c r="A1566" s="1154"/>
      <c r="B1566" s="1154"/>
      <c r="C1566" s="1154"/>
      <c r="D1566" s="1154"/>
      <c r="E1566" s="1154"/>
      <c r="F1566" s="1154"/>
      <c r="G1566" s="1154"/>
      <c r="H1566" s="1154"/>
      <c r="I1566" s="1154"/>
      <c r="J1566" s="1154"/>
      <c r="K1566" s="1154"/>
      <c r="L1566" s="1154"/>
      <c r="M1566" s="1154"/>
    </row>
    <row r="1567" spans="1:13">
      <c r="A1567" s="1523" t="s">
        <v>3115</v>
      </c>
      <c r="B1567" s="1811" t="str">
        <f>'Part XI-50% Test'!B3</f>
        <v>SB OHF Test Villas</v>
      </c>
      <c r="C1567" s="1811"/>
      <c r="D1567" s="1811"/>
      <c r="E1567" s="1811"/>
      <c r="F1567" s="1811"/>
      <c r="G1567" s="1811"/>
      <c r="H1567" s="1811"/>
      <c r="I1567" s="1811"/>
      <c r="J1567" s="1812" t="s">
        <v>3116</v>
      </c>
      <c r="K1567" s="1167"/>
      <c r="L1567" s="1720" t="str">
        <f>'Part XI-50% Test'!L3</f>
        <v>20##-###</v>
      </c>
      <c r="M1567" s="1720"/>
    </row>
    <row r="1568" spans="1:13">
      <c r="A1568" s="1154"/>
      <c r="B1568" s="1154"/>
      <c r="C1568" s="1154"/>
      <c r="D1568" s="1154"/>
      <c r="E1568" s="1154"/>
      <c r="F1568" s="1154"/>
      <c r="G1568" s="1154"/>
      <c r="H1568" s="1154"/>
      <c r="I1568" s="1154"/>
      <c r="J1568" s="1154"/>
      <c r="K1568" s="1154"/>
      <c r="L1568" s="1154"/>
      <c r="M1568" s="1154"/>
    </row>
    <row r="1569" spans="1:13">
      <c r="A1569" s="1154"/>
      <c r="B1569" s="1154"/>
      <c r="C1569" s="1154"/>
      <c r="D1569" s="1154"/>
      <c r="E1569" s="1154"/>
      <c r="F1569" s="1154"/>
      <c r="G1569" s="1154"/>
      <c r="H1569" s="1154"/>
      <c r="I1569" s="1154"/>
      <c r="J1569" s="1154"/>
      <c r="K1569" s="1154"/>
      <c r="L1569" s="1154"/>
      <c r="M1569" s="1154"/>
    </row>
    <row r="1570" spans="1:13">
      <c r="A1570" s="1154"/>
      <c r="B1570" s="1154"/>
      <c r="C1570" s="1154"/>
      <c r="D1570" s="1154"/>
      <c r="E1570" s="1154"/>
      <c r="F1570" s="1154"/>
      <c r="G1570" s="1154"/>
      <c r="H1570" s="1154"/>
      <c r="I1570" s="1154"/>
      <c r="J1570" s="1154"/>
      <c r="K1570" s="1154"/>
      <c r="L1570" s="1154"/>
      <c r="M1570" s="1154"/>
    </row>
    <row r="1571" spans="1:13">
      <c r="A1571" s="1154"/>
      <c r="B1571" s="1154"/>
      <c r="C1571" s="1154"/>
      <c r="D1571" s="1154"/>
      <c r="E1571" s="1154"/>
      <c r="F1571" s="1154"/>
      <c r="G1571" s="1154"/>
      <c r="H1571" s="1154"/>
      <c r="I1571" s="1154"/>
      <c r="J1571" s="1154"/>
      <c r="K1571" s="1154"/>
      <c r="L1571" s="1154"/>
      <c r="M1571" s="1154"/>
    </row>
    <row r="1572" spans="1:13">
      <c r="A1572" s="1154"/>
      <c r="B1572" s="1154"/>
      <c r="C1572" s="1154"/>
      <c r="D1572" s="1154"/>
      <c r="E1572" s="1154"/>
      <c r="F1572" s="1154"/>
      <c r="G1572" s="1154"/>
      <c r="H1572" s="1154"/>
      <c r="I1572" s="1154"/>
      <c r="J1572" s="1154"/>
      <c r="K1572" s="1154"/>
      <c r="L1572" s="1154"/>
      <c r="M1572" s="1154"/>
    </row>
    <row r="1573" spans="1:13">
      <c r="A1573" s="1154"/>
      <c r="B1573" s="1154"/>
      <c r="C1573" s="1154"/>
      <c r="D1573" s="1154"/>
      <c r="E1573" s="1154"/>
      <c r="F1573" s="1154"/>
      <c r="G1573" s="1154"/>
      <c r="H1573" s="1154"/>
      <c r="I1573" s="1154"/>
      <c r="J1573" s="1154"/>
      <c r="K1573" s="1154"/>
      <c r="L1573" s="1154"/>
      <c r="M1573" s="1154"/>
    </row>
    <row r="1574" spans="1:13">
      <c r="A1574" s="1154"/>
      <c r="B1574" s="1154"/>
      <c r="C1574" s="1154"/>
      <c r="D1574" s="1154"/>
      <c r="E1574" s="1154"/>
      <c r="F1574" s="1154"/>
      <c r="G1574" s="1154"/>
      <c r="H1574" s="1154"/>
      <c r="I1574" s="1154"/>
      <c r="J1574" s="1154"/>
      <c r="K1574" s="1154"/>
      <c r="L1574" s="1154"/>
      <c r="M1574" s="1154"/>
    </row>
    <row r="1575" spans="1:13">
      <c r="A1575" s="1154"/>
      <c r="B1575" s="1154"/>
      <c r="C1575" s="1154"/>
      <c r="D1575" s="1154"/>
      <c r="E1575" s="1154"/>
      <c r="F1575" s="1154"/>
      <c r="G1575" s="1154"/>
      <c r="H1575" s="1154"/>
      <c r="I1575" s="1154"/>
      <c r="J1575" s="1154"/>
      <c r="K1575" s="1154"/>
      <c r="L1575" s="1154"/>
      <c r="M1575" s="1154"/>
    </row>
    <row r="1576" spans="1:13">
      <c r="A1576" s="1154"/>
      <c r="B1576" s="1154"/>
      <c r="C1576" s="1154"/>
      <c r="D1576" s="1154"/>
      <c r="E1576" s="1154"/>
      <c r="F1576" s="1154"/>
      <c r="G1576" s="1154"/>
      <c r="H1576" s="1154"/>
      <c r="I1576" s="1154"/>
      <c r="J1576" s="1154"/>
      <c r="K1576" s="1154"/>
      <c r="L1576" s="1154"/>
      <c r="M1576" s="1154"/>
    </row>
    <row r="1577" spans="1:13" ht="15">
      <c r="A1577" s="1813" t="s">
        <v>2969</v>
      </c>
      <c r="B1577" s="1810" t="s">
        <v>3210</v>
      </c>
      <c r="C1577" s="1167"/>
      <c r="D1577" s="1167"/>
      <c r="E1577" s="1167"/>
      <c r="F1577" s="1167"/>
      <c r="G1577" s="1167"/>
      <c r="H1577" s="1167"/>
      <c r="I1577" s="1167"/>
      <c r="J1577" s="1814">
        <f>'Part XI-50% Test'!J13</f>
        <v>0</v>
      </c>
      <c r="K1577" s="1814"/>
      <c r="L1577" s="1814"/>
      <c r="M1577" s="1814"/>
    </row>
    <row r="1578" spans="1:13" ht="15">
      <c r="A1578" s="1815"/>
      <c r="B1578" s="1816"/>
      <c r="C1578" s="1154"/>
      <c r="D1578" s="1154"/>
      <c r="E1578" s="1154"/>
      <c r="F1578" s="1154"/>
      <c r="G1578" s="1154"/>
      <c r="H1578" s="1154"/>
      <c r="I1578" s="1154"/>
      <c r="J1578" s="1816"/>
      <c r="K1578" s="1816"/>
      <c r="L1578" s="1154"/>
      <c r="M1578" s="1154"/>
    </row>
    <row r="1579" spans="1:13" ht="15">
      <c r="A1579" s="1815"/>
      <c r="B1579" s="1816"/>
      <c r="C1579" s="1154"/>
      <c r="D1579" s="1154"/>
      <c r="E1579" s="1154"/>
      <c r="F1579" s="1154"/>
      <c r="G1579" s="1154"/>
      <c r="H1579" s="1154"/>
      <c r="I1579" s="1154"/>
      <c r="J1579" s="1816"/>
      <c r="K1579" s="1816"/>
      <c r="L1579" s="1154"/>
      <c r="M1579" s="1154"/>
    </row>
    <row r="1580" spans="1:13" ht="15">
      <c r="A1580" s="1813" t="s">
        <v>208</v>
      </c>
      <c r="B1580" s="1810" t="s">
        <v>3209</v>
      </c>
      <c r="C1580" s="1167"/>
      <c r="D1580" s="1167"/>
      <c r="E1580" s="1167"/>
      <c r="F1580" s="1167"/>
      <c r="G1580" s="1167"/>
      <c r="H1580" s="1167"/>
      <c r="I1580" s="1167"/>
      <c r="J1580" s="1814">
        <f>'Part XI-50% Test'!J16</f>
        <v>0</v>
      </c>
      <c r="K1580" s="1814"/>
      <c r="L1580" s="1814"/>
      <c r="M1580" s="1814"/>
    </row>
    <row r="1581" spans="1:13" ht="15">
      <c r="A1581" s="1815"/>
      <c r="B1581" s="1816"/>
      <c r="C1581" s="1154"/>
      <c r="D1581" s="1154"/>
      <c r="E1581" s="1154"/>
      <c r="F1581" s="1154"/>
      <c r="G1581" s="1154"/>
      <c r="H1581" s="1154"/>
      <c r="I1581" s="1154"/>
      <c r="J1581" s="1816"/>
      <c r="K1581" s="1816"/>
      <c r="L1581" s="1154"/>
      <c r="M1581" s="1154"/>
    </row>
    <row r="1582" spans="1:13" ht="15">
      <c r="A1582" s="1815"/>
      <c r="B1582" s="1816"/>
      <c r="C1582" s="1154"/>
      <c r="D1582" s="1154"/>
      <c r="E1582" s="1154"/>
      <c r="F1582" s="1154"/>
      <c r="G1582" s="1154"/>
      <c r="H1582" s="1154"/>
      <c r="I1582" s="1154"/>
      <c r="J1582" s="1816"/>
      <c r="K1582" s="1816"/>
      <c r="L1582" s="1154"/>
      <c r="M1582" s="1154"/>
    </row>
    <row r="1583" spans="1:13" ht="15">
      <c r="A1583" s="1813" t="s">
        <v>1297</v>
      </c>
      <c r="B1583" s="1810" t="s">
        <v>3208</v>
      </c>
      <c r="C1583" s="1167"/>
      <c r="D1583" s="1167"/>
      <c r="E1583" s="1167"/>
      <c r="F1583" s="1167"/>
      <c r="G1583" s="1167"/>
      <c r="H1583" s="1167"/>
      <c r="I1583" s="1167"/>
      <c r="J1583" s="1817">
        <f>IF(OR(J1580=0,J1580=""),0,J1577/J1580)</f>
        <v>0</v>
      </c>
      <c r="K1583" s="1817"/>
      <c r="L1583" s="1817"/>
      <c r="M1583" s="1817"/>
    </row>
  </sheetData>
  <sheetProtection algorithmName="SHA-512" hashValue="2q/8gHIUmqVQixG4T2fb+hjLa0YknhumBJ6Qj/viZKiSq5uf7SJhL1cns8gC1ms73gM8nqHw8mr0qVYWBd3Tfg==" saltValue="2YtY0Af2T4SmuTEzsede8w==" spinCount="100000" sheet="1" objects="1" scenarios="1"/>
  <conditionalFormatting sqref="B323:D325">
    <cfRule type="cellIs" dxfId="40" priority="44" stopIfTrue="1" operator="equal">
      <formula>"Make a selection FIRST --&gt;"</formula>
    </cfRule>
  </conditionalFormatting>
  <conditionalFormatting sqref="J331">
    <cfRule type="cellIs" dxfId="39" priority="43" operator="equal">
      <formula>"No"</formula>
    </cfRule>
  </conditionalFormatting>
  <conditionalFormatting sqref="J329">
    <cfRule type="cellIs" dxfId="38" priority="42" operator="equal">
      <formula>"No"</formula>
    </cfRule>
  </conditionalFormatting>
  <conditionalFormatting sqref="P330:Q330">
    <cfRule type="cellIs" dxfId="37" priority="41" operator="notEqual">
      <formula>0</formula>
    </cfRule>
  </conditionalFormatting>
  <conditionalFormatting sqref="G385">
    <cfRule type="cellIs" dxfId="36" priority="37" stopIfTrue="1" operator="greaterThan">
      <formula>$F385</formula>
    </cfRule>
  </conditionalFormatting>
  <conditionalFormatting sqref="J519:L519">
    <cfRule type="cellIs" dxfId="35" priority="38" stopIfTrue="1" operator="greaterThan">
      <formula>$J$165</formula>
    </cfRule>
  </conditionalFormatting>
  <conditionalFormatting sqref="G386">
    <cfRule type="cellIs" dxfId="34" priority="39" stopIfTrue="1" operator="greaterThan">
      <formula>$F$36</formula>
    </cfRule>
  </conditionalFormatting>
  <conditionalFormatting sqref="G384">
    <cfRule type="cellIs" priority="40" stopIfTrue="1" operator="equal">
      <formula>"""Exceeds the limit! Re-check amounts."""</formula>
    </cfRule>
  </conditionalFormatting>
  <conditionalFormatting sqref="J385:K385 M385:N385 P385:Q385">
    <cfRule type="cellIs" dxfId="33" priority="36" operator="greaterThan">
      <formula>$G$35</formula>
    </cfRule>
  </conditionalFormatting>
  <conditionalFormatting sqref="J386:K387 M386:N387 P386:Q387">
    <cfRule type="cellIs" dxfId="32" priority="35" operator="greaterThan">
      <formula>$G$37</formula>
    </cfRule>
  </conditionalFormatting>
  <conditionalFormatting sqref="G387">
    <cfRule type="cellIs" dxfId="31" priority="34" operator="greaterThan">
      <formula>$F$37</formula>
    </cfRule>
  </conditionalFormatting>
  <conditionalFormatting sqref="I546:M546">
    <cfRule type="cellIs" dxfId="30" priority="33" operator="equal">
      <formula>"""&lt;&lt;Select Fuel &gt;&gt;"""</formula>
    </cfRule>
  </conditionalFormatting>
  <conditionalFormatting sqref="I546:M546">
    <cfRule type="cellIs" dxfId="29" priority="31" operator="equal">
      <formula>"Select Fuel"</formula>
    </cfRule>
    <cfRule type="cellIs" dxfId="28" priority="32" operator="equal">
      <formula>"&lt;&lt;Select Fuel &gt;&gt;"</formula>
    </cfRule>
  </conditionalFormatting>
  <conditionalFormatting sqref="J546:M546">
    <cfRule type="cellIs" dxfId="27" priority="30" operator="equal">
      <formula>"Select Fuel"</formula>
    </cfRule>
  </conditionalFormatting>
  <conditionalFormatting sqref="I563:M563">
    <cfRule type="cellIs" dxfId="26" priority="29" operator="equal">
      <formula>"""&lt;&lt;Select Fuel &gt;&gt;"""</formula>
    </cfRule>
  </conditionalFormatting>
  <conditionalFormatting sqref="I563:M563">
    <cfRule type="cellIs" dxfId="25" priority="27" operator="equal">
      <formula>"Select Fuel"</formula>
    </cfRule>
    <cfRule type="cellIs" dxfId="24" priority="28" operator="equal">
      <formula>"&lt;&lt;Select Fuel &gt;&gt;"</formula>
    </cfRule>
  </conditionalFormatting>
  <conditionalFormatting sqref="J563:M563">
    <cfRule type="cellIs" dxfId="23" priority="26" operator="equal">
      <formula>"Select Fuel"</formula>
    </cfRule>
  </conditionalFormatting>
  <conditionalFormatting sqref="H581">
    <cfRule type="expression" priority="25" stopIfTrue="1">
      <formula>AND($B581="PHA", $H581&gt;0)</formula>
    </cfRule>
  </conditionalFormatting>
  <conditionalFormatting sqref="T685 T640 T660:T662 T671 T650:T651">
    <cfRule type="cellIs" dxfId="22" priority="24" stopIfTrue="1" operator="greaterThan">
      <formula>0</formula>
    </cfRule>
  </conditionalFormatting>
  <conditionalFormatting sqref="A581:A618">
    <cfRule type="cellIs" dxfId="21" priority="45" stopIfTrue="1" operator="equal">
      <formula>1</formula>
    </cfRule>
  </conditionalFormatting>
  <conditionalFormatting sqref="I581:I618">
    <cfRule type="expression" priority="22" stopIfTrue="1">
      <formula>AND($B581="PHA", $H581&gt;0)</formula>
    </cfRule>
  </conditionalFormatting>
  <conditionalFormatting sqref="O734">
    <cfRule type="cellIs" dxfId="20" priority="21" operator="greaterThan">
      <formula>0.02</formula>
    </cfRule>
  </conditionalFormatting>
  <conditionalFormatting sqref="P581:P618">
    <cfRule type="expression" dxfId="19" priority="20">
      <formula>AND($O$10="New Construction",$P$10="Yes")</formula>
    </cfRule>
  </conditionalFormatting>
  <conditionalFormatting sqref="J642:O648">
    <cfRule type="cellIs" dxfId="18" priority="19" stopIfTrue="1" operator="equal">
      <formula>0</formula>
    </cfRule>
  </conditionalFormatting>
  <conditionalFormatting sqref="J627:O638 J652:O713 J715:O727">
    <cfRule type="cellIs" dxfId="17" priority="18" operator="equal">
      <formula>0</formula>
    </cfRule>
  </conditionalFormatting>
  <conditionalFormatting sqref="B620:C620">
    <cfRule type="cellIs" dxfId="16" priority="17" operator="greaterThan">
      <formula>60.0000001</formula>
    </cfRule>
  </conditionalFormatting>
  <conditionalFormatting sqref="K624:N624">
    <cfRule type="containsText" dxfId="15" priority="16" operator="containsText" text="&lt;&lt; Select LIHTC Election &gt;&gt;">
      <formula>NOT(ISERROR(SEARCH("&lt;&lt; Select LIHTC Election &gt;&gt;",K624)))</formula>
    </cfRule>
  </conditionalFormatting>
  <conditionalFormatting sqref="T714">
    <cfRule type="cellIs" dxfId="14" priority="15" stopIfTrue="1" operator="greaterThan">
      <formula>0</formula>
    </cfRule>
  </conditionalFormatting>
  <conditionalFormatting sqref="J714:O714">
    <cfRule type="cellIs" dxfId="13" priority="14" operator="equal">
      <formula>0</formula>
    </cfRule>
  </conditionalFormatting>
  <conditionalFormatting sqref="K661:N661">
    <cfRule type="cellIs" dxfId="12" priority="12" operator="equal">
      <formula>"&lt;&lt; Select LIHTC Election &gt;&gt;"</formula>
    </cfRule>
    <cfRule type="containsText" dxfId="11" priority="13" operator="containsText" text="&lt;&lt; Select Election or Income Averaging &gt;&gt;">
      <formula>NOT(ISERROR(SEARCH("&lt;&lt; Select Election or Income Averaging &gt;&gt;",K661)))</formula>
    </cfRule>
  </conditionalFormatting>
  <conditionalFormatting sqref="K704:N704">
    <cfRule type="cellIs" dxfId="10" priority="10" operator="equal">
      <formula>"&lt;&lt; Select LIHTC Election &gt;&gt;"</formula>
    </cfRule>
    <cfRule type="containsText" dxfId="9" priority="46" operator="containsText" text="&lt;&lt; Select Election or Income Averaging &gt;&gt;">
      <formula>NOT(ISERROR(SEARCH("&lt;&lt; Select Election or Income Averaging &gt;&gt;",K704)))</formula>
    </cfRule>
  </conditionalFormatting>
  <conditionalFormatting sqref="G816">
    <cfRule type="expression" dxfId="8" priority="9">
      <formula>$G$6&lt;$G$5</formula>
    </cfRule>
  </conditionalFormatting>
  <conditionalFormatting sqref="A840">
    <cfRule type="expression" dxfId="7" priority="8">
      <formula>"or(B28&lt;$G$6,C28&lt;$G$6,D28&lt;$G$6,E28&lt;$G$6,F28&lt;$G$6,G28&lt;$G$6,H28&lt;$G$6,I28&lt;$G$6,J28&lt;$G$6,K28&lt;$G$6,)"</formula>
    </cfRule>
  </conditionalFormatting>
  <conditionalFormatting sqref="A872">
    <cfRule type="expression" dxfId="6" priority="7">
      <formula>"or(B28&lt;$G$6,C28&lt;$G$6,D28&lt;$G$6,E28&lt;$G$6,F28&lt;$G$6,G28&lt;$G$6,H28&lt;$G$6,I28&lt;$G$6,J28&lt;$G$6,K28&lt;$G$6,)"</formula>
    </cfRule>
  </conditionalFormatting>
  <conditionalFormatting sqref="A904">
    <cfRule type="expression" dxfId="5" priority="6">
      <formula>"or(B28&lt;$G$6,C28&lt;$G$6,D28&lt;$G$6,E28&lt;$G$6,F28&lt;$G$6,G28&lt;$G$6,H28&lt;$G$6,I28&lt;$G$6,J28&lt;$G$6,K28&lt;$G$6,)"</formula>
    </cfRule>
  </conditionalFormatting>
  <conditionalFormatting sqref="A833">
    <cfRule type="expression" dxfId="4" priority="5">
      <formula>"or(B28&lt;$G$6,C28&lt;$G$6,D28&lt;$G$6,E28&lt;$G$6,F28&lt;$G$6,G28&lt;$G$6,H28&lt;$G$6,I28&lt;$G$6,J28&lt;$G$6,K28&lt;$G$6,)"</formula>
    </cfRule>
  </conditionalFormatting>
  <conditionalFormatting sqref="A865">
    <cfRule type="expression" dxfId="3" priority="4">
      <formula>"or(B28&lt;$G$6,C28&lt;$G$6,D28&lt;$G$6,E28&lt;$G$6,F28&lt;$G$6,G28&lt;$G$6,H28&lt;$G$6,I28&lt;$G$6,J28&lt;$G$6,K28&lt;$G$6,)"</formula>
    </cfRule>
  </conditionalFormatting>
  <conditionalFormatting sqref="A897">
    <cfRule type="expression" dxfId="2" priority="3">
      <formula>"or(B28&lt;$G$6,C28&lt;$G$6,D28&lt;$G$6,E28&lt;$G$6,F28&lt;$G$6,G28&lt;$G$6,H28&lt;$G$6,I28&lt;$G$6,J28&lt;$G$6,K28&lt;$G$6,)"</formula>
    </cfRule>
  </conditionalFormatting>
  <conditionalFormatting sqref="A927">
    <cfRule type="expression" dxfId="1" priority="2">
      <formula>"or(B28&lt;$G$6,C28&lt;$G$6,D28&lt;$G$6,E28&lt;$G$6,F28&lt;$G$6,G28&lt;$G$6,H28&lt;$G$6,I28&lt;$G$6,J28&lt;$G$6,K28&lt;$G$6,)"</formula>
    </cfRule>
  </conditionalFormatting>
  <conditionalFormatting sqref="C818">
    <cfRule type="containsText" dxfId="0" priority="1" operator="containsText" text="Must be &gt;= 7%!">
      <formula>NOT(ISERROR(SEARCH("Must be &gt;= 7%!",C818)))</formula>
    </cfRule>
  </conditionalFormatting>
  <hyperlinks>
    <hyperlink ref="N62" r:id="rId1" xr:uid="{00000000-0004-0000-1E00-000000000000}"/>
    <hyperlink ref="N63" r:id="rId2" xr:uid="{00000000-0004-0000-1E00-000001000000}"/>
    <hyperlink ref="N162" r:id="rId3" xr:uid="{00000000-0004-0000-1E00-000002000000}"/>
  </hyperlinks>
  <pageMargins left="0.7" right="0.7" top="0.75" bottom="0.75" header="0.3" footer="0.3"/>
  <pageSetup orientation="portrait" horizontalDpi="1200" verticalDpi="1200"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Z210"/>
  <sheetViews>
    <sheetView showGridLines="0" zoomScale="85" zoomScaleNormal="85" workbookViewId="0">
      <selection activeCell="H5" sqref="H5:N5"/>
    </sheetView>
  </sheetViews>
  <sheetFormatPr defaultColWidth="9.140625" defaultRowHeight="12" customHeight="1"/>
  <cols>
    <col min="1" max="1" width="2.7109375" style="184" customWidth="1"/>
    <col min="2" max="4" width="2.28515625" style="184" customWidth="1"/>
    <col min="5" max="5" width="14.7109375" style="184" customWidth="1"/>
    <col min="6" max="6" width="6.140625" style="184" customWidth="1"/>
    <col min="7" max="7" width="2.7109375" style="184" customWidth="1"/>
    <col min="8" max="8" width="8" style="184" customWidth="1"/>
    <col min="9" max="9" width="6.28515625" style="184" customWidth="1"/>
    <col min="10" max="10" width="8.28515625" style="184" customWidth="1"/>
    <col min="11" max="11" width="9.7109375" style="184" customWidth="1"/>
    <col min="12" max="13" width="8.85546875" style="184" customWidth="1"/>
    <col min="14" max="14" width="9.42578125" style="184" customWidth="1"/>
    <col min="15" max="15" width="9.7109375" style="184" customWidth="1"/>
    <col min="16" max="16" width="6.140625" style="184" customWidth="1"/>
    <col min="17" max="19" width="6.28515625" style="184" customWidth="1"/>
    <col min="20" max="24" width="11.5703125" style="184" customWidth="1"/>
    <col min="25" max="16384" width="9.140625" style="184"/>
  </cols>
  <sheetData>
    <row r="1" spans="1:26" s="156" customFormat="1" ht="13.9" customHeight="1">
      <c r="A1" s="1964" t="str">
        <f>CONCATENATE("PART TWO - DEVELOPMENT TEAM INFORMATION","  -  ",'Part I-Project Information'!$O$4," ",'Part I-Project Information'!$F$24,", ",'Part I-Project Information'!F27,", ",'Part I-Project Information'!J28," County")</f>
        <v>PART TWO - DEVELOPMENT TEAM INFORMATION  -  20##-### SB OHF Test Villas, Peachtree Corners, Gwinnett County</v>
      </c>
      <c r="B1" s="1965"/>
      <c r="C1" s="1965"/>
      <c r="D1" s="1965"/>
      <c r="E1" s="1965"/>
      <c r="F1" s="1965"/>
      <c r="G1" s="1965"/>
      <c r="H1" s="1965"/>
      <c r="I1" s="1965"/>
      <c r="J1" s="1965"/>
      <c r="K1" s="1965"/>
      <c r="L1" s="1965"/>
      <c r="M1" s="1965"/>
      <c r="N1" s="1965"/>
      <c r="O1" s="1965"/>
      <c r="P1" s="1965"/>
      <c r="Q1" s="1965"/>
      <c r="R1" s="1965"/>
      <c r="S1" s="1966"/>
    </row>
    <row r="3" spans="1:26" s="156" customFormat="1" ht="13.15" customHeight="1">
      <c r="A3" s="160" t="s">
        <v>572</v>
      </c>
      <c r="B3" s="165" t="s">
        <v>1672</v>
      </c>
      <c r="C3" s="165"/>
      <c r="E3" s="165"/>
      <c r="F3" s="165"/>
      <c r="G3" s="165"/>
      <c r="H3" s="408" t="s">
        <v>2997</v>
      </c>
      <c r="I3" s="165"/>
      <c r="J3" s="165"/>
      <c r="K3" s="165"/>
      <c r="L3" s="165"/>
      <c r="M3" s="165"/>
    </row>
    <row r="4" spans="1:26" s="156" customFormat="1" ht="8.4499999999999993" customHeight="1">
      <c r="A4" s="160"/>
      <c r="B4" s="160"/>
      <c r="C4" s="160"/>
      <c r="D4" s="165"/>
      <c r="E4" s="165"/>
      <c r="F4" s="165"/>
      <c r="G4" s="165"/>
      <c r="H4" s="165"/>
      <c r="I4" s="165"/>
      <c r="J4" s="165"/>
    </row>
    <row r="5" spans="1:26" s="156" customFormat="1" ht="11.25" customHeight="1">
      <c r="B5" s="160" t="s">
        <v>1785</v>
      </c>
      <c r="C5" s="165" t="s">
        <v>1668</v>
      </c>
      <c r="H5" s="1897" t="s">
        <v>87</v>
      </c>
      <c r="I5" s="1942"/>
      <c r="J5" s="1942"/>
      <c r="K5" s="1942"/>
      <c r="L5" s="1942"/>
      <c r="M5" s="1942"/>
      <c r="N5" s="1967"/>
      <c r="O5" s="200" t="s">
        <v>1792</v>
      </c>
      <c r="P5" s="200"/>
      <c r="Q5" s="1897"/>
      <c r="R5" s="1942"/>
      <c r="S5" s="1967"/>
    </row>
    <row r="6" spans="1:26" s="156" customFormat="1" ht="11.25" customHeight="1">
      <c r="D6" s="201"/>
      <c r="E6" s="164" t="s">
        <v>945</v>
      </c>
      <c r="F6" s="176"/>
      <c r="H6" s="1954"/>
      <c r="I6" s="1968"/>
      <c r="J6" s="1968"/>
      <c r="K6" s="1969"/>
      <c r="L6" s="1968"/>
      <c r="M6" s="1968"/>
      <c r="N6" s="1970"/>
      <c r="O6" s="200" t="s">
        <v>1575</v>
      </c>
      <c r="P6" s="202"/>
      <c r="Q6" s="1841"/>
      <c r="R6" s="1842"/>
      <c r="S6" s="1843"/>
    </row>
    <row r="7" spans="1:26" s="156" customFormat="1" ht="11.25" customHeight="1">
      <c r="D7" s="201"/>
      <c r="E7" s="164" t="s">
        <v>574</v>
      </c>
      <c r="H7" s="1954"/>
      <c r="I7" s="1969"/>
      <c r="J7" s="1963"/>
      <c r="K7" s="289" t="s">
        <v>705</v>
      </c>
      <c r="L7" s="1874"/>
      <c r="M7" s="1968"/>
      <c r="N7" s="1970"/>
      <c r="O7" s="200" t="s">
        <v>1552</v>
      </c>
      <c r="P7" s="202"/>
      <c r="Q7" s="1924"/>
      <c r="R7" s="1971"/>
      <c r="S7" s="1925"/>
    </row>
    <row r="8" spans="1:26" s="156" customFormat="1" ht="11.25" customHeight="1">
      <c r="D8" s="201"/>
      <c r="E8" s="164" t="s">
        <v>1619</v>
      </c>
      <c r="H8" s="1421"/>
      <c r="I8" s="1445" t="s">
        <v>1979</v>
      </c>
      <c r="J8" s="1972"/>
      <c r="K8" s="1862"/>
      <c r="L8" s="202" t="s">
        <v>3666</v>
      </c>
      <c r="M8" s="1973"/>
      <c r="N8" s="1974"/>
      <c r="O8" s="200" t="s">
        <v>1781</v>
      </c>
      <c r="P8" s="202"/>
      <c r="Q8" s="1924"/>
      <c r="R8" s="1971"/>
      <c r="S8" s="1925"/>
    </row>
    <row r="9" spans="1:26" s="156" customFormat="1" ht="11.25" customHeight="1">
      <c r="D9" s="201"/>
      <c r="E9" s="164" t="s">
        <v>1787</v>
      </c>
      <c r="H9" s="1975"/>
      <c r="I9" s="1848"/>
      <c r="J9" s="1446"/>
      <c r="K9" s="203" t="s">
        <v>1786</v>
      </c>
      <c r="L9" s="1959"/>
      <c r="M9" s="1960"/>
      <c r="N9" s="1960"/>
      <c r="O9" s="1979"/>
      <c r="P9" s="1979"/>
      <c r="Q9" s="1960"/>
      <c r="R9" s="1960"/>
      <c r="S9" s="1961"/>
    </row>
    <row r="10" spans="1:26" s="156" customFormat="1" ht="11.25" customHeight="1">
      <c r="D10" s="201"/>
      <c r="E10" s="153" t="s">
        <v>2362</v>
      </c>
      <c r="H10" s="204"/>
      <c r="I10" s="202"/>
      <c r="J10" s="202"/>
      <c r="K10" s="267"/>
      <c r="L10" s="202"/>
      <c r="M10" s="202"/>
      <c r="N10" s="290" t="s">
        <v>3105</v>
      </c>
      <c r="O10" s="202"/>
      <c r="P10" s="202"/>
      <c r="Q10" s="203"/>
      <c r="R10" s="202"/>
      <c r="S10" s="202"/>
      <c r="T10" s="202"/>
    </row>
    <row r="11" spans="1:26" s="156" customFormat="1" ht="4.1500000000000004" customHeight="1">
      <c r="D11" s="206"/>
      <c r="E11" s="164"/>
      <c r="F11" s="165"/>
      <c r="G11" s="165"/>
      <c r="H11" s="205"/>
      <c r="I11" s="205"/>
      <c r="J11" s="205"/>
      <c r="K11" s="202"/>
      <c r="L11" s="202"/>
      <c r="M11" s="202"/>
      <c r="N11" s="205"/>
      <c r="O11" s="205"/>
      <c r="P11" s="205"/>
      <c r="Q11" s="205"/>
      <c r="R11" s="205"/>
      <c r="S11" s="205"/>
      <c r="T11" s="205"/>
    </row>
    <row r="12" spans="1:26" s="156" customFormat="1" ht="11.25" customHeight="1">
      <c r="B12" s="199" t="s">
        <v>1788</v>
      </c>
      <c r="C12" s="165" t="s">
        <v>1669</v>
      </c>
      <c r="F12" s="165"/>
      <c r="G12" s="165"/>
      <c r="H12" s="205"/>
      <c r="I12" s="205"/>
      <c r="J12" s="205"/>
      <c r="K12" s="202"/>
      <c r="L12" s="202"/>
      <c r="M12" s="202"/>
      <c r="N12" s="347" t="s">
        <v>1186</v>
      </c>
      <c r="O12" s="202"/>
      <c r="P12" s="202"/>
      <c r="Q12" s="202"/>
      <c r="R12" s="202"/>
      <c r="S12" s="202"/>
      <c r="W12" s="347"/>
      <c r="X12" s="347"/>
      <c r="Y12" s="347"/>
      <c r="Z12" s="347"/>
    </row>
    <row r="13" spans="1:26" s="156" customFormat="1" ht="11.25" customHeight="1">
      <c r="C13" s="207" t="s">
        <v>1789</v>
      </c>
      <c r="D13" s="199" t="s">
        <v>1790</v>
      </c>
      <c r="H13" s="208"/>
      <c r="I13" s="208"/>
      <c r="J13" s="208"/>
      <c r="K13" s="202"/>
      <c r="L13" s="202"/>
      <c r="M13" s="202"/>
      <c r="N13" s="291"/>
      <c r="O13" s="202"/>
      <c r="P13" s="202"/>
      <c r="Q13" s="202"/>
      <c r="R13" s="202"/>
      <c r="S13" s="202"/>
      <c r="W13" s="356"/>
      <c r="X13" s="356"/>
      <c r="Y13" s="356"/>
      <c r="Z13" s="356"/>
    </row>
    <row r="14" spans="1:26" s="156" customFormat="1" ht="11.25" customHeight="1">
      <c r="D14" s="160" t="s">
        <v>1890</v>
      </c>
      <c r="E14" s="156" t="s">
        <v>1670</v>
      </c>
      <c r="H14" s="1897"/>
      <c r="I14" s="1942"/>
      <c r="J14" s="1942"/>
      <c r="K14" s="1942"/>
      <c r="L14" s="1942"/>
      <c r="M14" s="1942"/>
      <c r="N14" s="1967"/>
      <c r="O14" s="200" t="s">
        <v>1792</v>
      </c>
      <c r="P14" s="200"/>
      <c r="Q14" s="1897"/>
      <c r="R14" s="1942"/>
      <c r="S14" s="1967"/>
    </row>
    <row r="15" spans="1:26" s="156" customFormat="1" ht="11.25" customHeight="1">
      <c r="D15" s="201"/>
      <c r="E15" s="164" t="s">
        <v>945</v>
      </c>
      <c r="F15" s="176"/>
      <c r="H15" s="1954"/>
      <c r="I15" s="1968"/>
      <c r="J15" s="1968"/>
      <c r="K15" s="1969"/>
      <c r="L15" s="1968"/>
      <c r="M15" s="1968"/>
      <c r="N15" s="1970"/>
      <c r="O15" s="200" t="s">
        <v>1575</v>
      </c>
      <c r="P15" s="202"/>
      <c r="Q15" s="1841"/>
      <c r="R15" s="1842"/>
      <c r="S15" s="1843"/>
    </row>
    <row r="16" spans="1:26" s="156" customFormat="1" ht="11.25" customHeight="1">
      <c r="D16" s="201"/>
      <c r="E16" s="164" t="s">
        <v>574</v>
      </c>
      <c r="H16" s="1954"/>
      <c r="I16" s="1969"/>
      <c r="J16" s="1963"/>
      <c r="K16" s="371" t="s">
        <v>2351</v>
      </c>
      <c r="L16" s="1954"/>
      <c r="M16" s="1968"/>
      <c r="N16" s="1963"/>
      <c r="O16" s="200" t="s">
        <v>1552</v>
      </c>
      <c r="P16" s="202"/>
      <c r="Q16" s="1924"/>
      <c r="R16" s="1971"/>
      <c r="S16" s="1925"/>
    </row>
    <row r="17" spans="3:19" s="156" customFormat="1" ht="11.25" customHeight="1">
      <c r="D17" s="160"/>
      <c r="E17" s="164" t="s">
        <v>1619</v>
      </c>
      <c r="H17" s="1819"/>
      <c r="I17" s="202"/>
      <c r="J17" s="202"/>
      <c r="K17" s="1445" t="s">
        <v>1979</v>
      </c>
      <c r="L17" s="1976"/>
      <c r="M17" s="1977"/>
      <c r="N17" s="202"/>
      <c r="O17" s="200" t="s">
        <v>1781</v>
      </c>
      <c r="P17" s="202"/>
      <c r="Q17" s="1924"/>
      <c r="R17" s="1971"/>
      <c r="S17" s="1925"/>
    </row>
    <row r="18" spans="3:19" s="156" customFormat="1" ht="11.25" customHeight="1">
      <c r="D18" s="201"/>
      <c r="E18" s="164" t="s">
        <v>1787</v>
      </c>
      <c r="H18" s="1975"/>
      <c r="I18" s="1848"/>
      <c r="J18" s="1446"/>
      <c r="K18" s="203" t="s">
        <v>1786</v>
      </c>
      <c r="L18" s="1978"/>
      <c r="M18" s="1960"/>
      <c r="N18" s="1979"/>
      <c r="O18" s="1979"/>
      <c r="P18" s="1979"/>
      <c r="Q18" s="1960"/>
      <c r="R18" s="1960"/>
      <c r="S18" s="1961"/>
    </row>
    <row r="19" spans="3:19" ht="4.1500000000000004" customHeight="1">
      <c r="D19" s="194"/>
      <c r="H19" s="212"/>
      <c r="I19" s="212"/>
      <c r="J19" s="212"/>
      <c r="K19" s="203"/>
      <c r="L19" s="212"/>
      <c r="M19" s="212"/>
      <c r="N19" s="210"/>
      <c r="O19" s="211"/>
      <c r="P19" s="211"/>
      <c r="Q19" s="203"/>
      <c r="R19" s="211"/>
      <c r="S19" s="211"/>
    </row>
    <row r="20" spans="3:19" s="156" customFormat="1" ht="11.25" customHeight="1">
      <c r="D20" s="160" t="s">
        <v>1891</v>
      </c>
      <c r="E20" s="156" t="s">
        <v>1671</v>
      </c>
      <c r="F20" s="169"/>
      <c r="H20" s="1897"/>
      <c r="I20" s="1942"/>
      <c r="J20" s="1942"/>
      <c r="K20" s="1942"/>
      <c r="L20" s="1942"/>
      <c r="M20" s="1942"/>
      <c r="N20" s="1967"/>
      <c r="O20" s="200" t="s">
        <v>1792</v>
      </c>
      <c r="P20" s="200"/>
      <c r="Q20" s="1897"/>
      <c r="R20" s="1942"/>
      <c r="S20" s="1967"/>
    </row>
    <row r="21" spans="3:19" s="156" customFormat="1" ht="11.25" customHeight="1">
      <c r="D21" s="201"/>
      <c r="E21" s="164" t="s">
        <v>945</v>
      </c>
      <c r="F21" s="176"/>
      <c r="H21" s="1954"/>
      <c r="I21" s="1968"/>
      <c r="J21" s="1968"/>
      <c r="K21" s="1969"/>
      <c r="L21" s="1968"/>
      <c r="M21" s="1968"/>
      <c r="N21" s="1970"/>
      <c r="O21" s="200" t="s">
        <v>1575</v>
      </c>
      <c r="P21" s="202"/>
      <c r="Q21" s="1841"/>
      <c r="R21" s="1842"/>
      <c r="S21" s="1843"/>
    </row>
    <row r="22" spans="3:19" s="156" customFormat="1" ht="11.25" customHeight="1">
      <c r="D22" s="201"/>
      <c r="E22" s="164" t="s">
        <v>574</v>
      </c>
      <c r="H22" s="1954"/>
      <c r="I22" s="1969"/>
      <c r="J22" s="1963"/>
      <c r="K22" s="371" t="s">
        <v>2351</v>
      </c>
      <c r="L22" s="1954"/>
      <c r="M22" s="1968"/>
      <c r="N22" s="1963"/>
      <c r="O22" s="200" t="s">
        <v>1552</v>
      </c>
      <c r="P22" s="202"/>
      <c r="Q22" s="1924"/>
      <c r="R22" s="1971"/>
      <c r="S22" s="1925"/>
    </row>
    <row r="23" spans="3:19" s="156" customFormat="1" ht="11.25" customHeight="1">
      <c r="E23" s="164" t="s">
        <v>1619</v>
      </c>
      <c r="H23" s="1819"/>
      <c r="I23" s="202"/>
      <c r="J23" s="202"/>
      <c r="K23" s="1445" t="s">
        <v>1979</v>
      </c>
      <c r="L23" s="1976"/>
      <c r="M23" s="1977"/>
      <c r="N23" s="202"/>
      <c r="O23" s="200" t="s">
        <v>1781</v>
      </c>
      <c r="P23" s="202"/>
      <c r="Q23" s="1924"/>
      <c r="R23" s="1971"/>
      <c r="S23" s="1925"/>
    </row>
    <row r="24" spans="3:19" s="156" customFormat="1" ht="11.25" customHeight="1">
      <c r="D24" s="201"/>
      <c r="E24" s="164" t="s">
        <v>1787</v>
      </c>
      <c r="H24" s="1975"/>
      <c r="I24" s="1848"/>
      <c r="J24" s="1446"/>
      <c r="K24" s="203" t="s">
        <v>1786</v>
      </c>
      <c r="L24" s="1978"/>
      <c r="M24" s="1960"/>
      <c r="N24" s="1979"/>
      <c r="O24" s="1979"/>
      <c r="P24" s="1979"/>
      <c r="Q24" s="1960"/>
      <c r="R24" s="1960"/>
      <c r="S24" s="1961"/>
    </row>
    <row r="25" spans="3:19" s="156" customFormat="1" ht="4.1500000000000004" customHeight="1">
      <c r="D25" s="201"/>
      <c r="E25" s="169"/>
      <c r="F25" s="169"/>
      <c r="G25" s="155"/>
      <c r="H25" s="212"/>
      <c r="I25" s="212"/>
      <c r="J25" s="212"/>
      <c r="K25" s="203"/>
      <c r="L25" s="212"/>
      <c r="M25" s="212"/>
      <c r="N25" s="210"/>
      <c r="O25" s="211"/>
      <c r="P25" s="211"/>
      <c r="Q25" s="203"/>
      <c r="R25" s="211"/>
      <c r="S25" s="211"/>
    </row>
    <row r="26" spans="3:19" s="156" customFormat="1" ht="11.25" customHeight="1">
      <c r="D26" s="160" t="s">
        <v>1562</v>
      </c>
      <c r="E26" s="156" t="s">
        <v>1671</v>
      </c>
      <c r="F26" s="169"/>
      <c r="H26" s="1897"/>
      <c r="I26" s="1942"/>
      <c r="J26" s="1942"/>
      <c r="K26" s="1942"/>
      <c r="L26" s="1942"/>
      <c r="M26" s="1942"/>
      <c r="N26" s="1967"/>
      <c r="O26" s="200" t="s">
        <v>1792</v>
      </c>
      <c r="P26" s="200"/>
      <c r="Q26" s="1897"/>
      <c r="R26" s="1942"/>
      <c r="S26" s="1967"/>
    </row>
    <row r="27" spans="3:19" s="156" customFormat="1" ht="11.25" customHeight="1">
      <c r="D27" s="201"/>
      <c r="E27" s="164" t="s">
        <v>945</v>
      </c>
      <c r="F27" s="176"/>
      <c r="H27" s="1954"/>
      <c r="I27" s="1968"/>
      <c r="J27" s="1968"/>
      <c r="K27" s="1969"/>
      <c r="L27" s="1968"/>
      <c r="M27" s="1968"/>
      <c r="N27" s="1970"/>
      <c r="O27" s="200" t="s">
        <v>1575</v>
      </c>
      <c r="P27" s="202"/>
      <c r="Q27" s="1841"/>
      <c r="R27" s="1842"/>
      <c r="S27" s="1843"/>
    </row>
    <row r="28" spans="3:19" s="156" customFormat="1" ht="11.25" customHeight="1">
      <c r="D28" s="201"/>
      <c r="E28" s="164" t="s">
        <v>574</v>
      </c>
      <c r="H28" s="1954"/>
      <c r="I28" s="1969"/>
      <c r="J28" s="1963"/>
      <c r="K28" s="371" t="s">
        <v>2351</v>
      </c>
      <c r="L28" s="1954"/>
      <c r="M28" s="1968"/>
      <c r="N28" s="1963"/>
      <c r="O28" s="200" t="s">
        <v>1552</v>
      </c>
      <c r="P28" s="202"/>
      <c r="Q28" s="1924"/>
      <c r="R28" s="1971"/>
      <c r="S28" s="1925"/>
    </row>
    <row r="29" spans="3:19" s="156" customFormat="1" ht="11.25" customHeight="1">
      <c r="E29" s="164" t="s">
        <v>1619</v>
      </c>
      <c r="H29" s="1819"/>
      <c r="I29" s="202"/>
      <c r="J29" s="202"/>
      <c r="K29" s="1445" t="s">
        <v>1979</v>
      </c>
      <c r="L29" s="1976"/>
      <c r="M29" s="1977"/>
      <c r="N29" s="202"/>
      <c r="O29" s="200" t="s">
        <v>1781</v>
      </c>
      <c r="P29" s="202"/>
      <c r="Q29" s="1924"/>
      <c r="R29" s="1971"/>
      <c r="S29" s="1925"/>
    </row>
    <row r="30" spans="3:19" s="156" customFormat="1" ht="11.25" customHeight="1">
      <c r="D30" s="201"/>
      <c r="E30" s="164" t="s">
        <v>1787</v>
      </c>
      <c r="H30" s="1975"/>
      <c r="I30" s="1848"/>
      <c r="J30" s="1446"/>
      <c r="K30" s="203" t="s">
        <v>1786</v>
      </c>
      <c r="L30" s="1978"/>
      <c r="M30" s="1960"/>
      <c r="N30" s="1979"/>
      <c r="O30" s="1979"/>
      <c r="P30" s="1979"/>
      <c r="Q30" s="1960"/>
      <c r="R30" s="1960"/>
      <c r="S30" s="1961"/>
    </row>
    <row r="31" spans="3:19" ht="4.1500000000000004" customHeight="1">
      <c r="H31" s="213"/>
      <c r="I31" s="213"/>
      <c r="J31" s="213"/>
      <c r="K31" s="213"/>
      <c r="L31" s="213"/>
      <c r="M31" s="213"/>
      <c r="N31" s="213"/>
      <c r="O31" s="213"/>
      <c r="P31" s="213"/>
      <c r="Q31" s="213"/>
      <c r="R31" s="213"/>
      <c r="S31" s="213"/>
    </row>
    <row r="32" spans="3:19" s="156" customFormat="1" ht="11.25" customHeight="1">
      <c r="C32" s="207" t="s">
        <v>1791</v>
      </c>
      <c r="D32" s="199" t="s">
        <v>1673</v>
      </c>
      <c r="H32" s="208"/>
      <c r="I32" s="208"/>
      <c r="J32" s="208"/>
      <c r="K32" s="208"/>
      <c r="L32" s="208"/>
      <c r="M32" s="208"/>
      <c r="N32" s="202"/>
      <c r="O32" s="202"/>
      <c r="P32" s="202"/>
      <c r="Q32" s="202"/>
      <c r="R32" s="202"/>
      <c r="S32" s="202"/>
    </row>
    <row r="33" spans="3:19" s="156" customFormat="1" ht="11.25" customHeight="1">
      <c r="D33" s="160" t="s">
        <v>1890</v>
      </c>
      <c r="E33" s="156" t="s">
        <v>695</v>
      </c>
      <c r="H33" s="1897"/>
      <c r="I33" s="1942"/>
      <c r="J33" s="1942"/>
      <c r="K33" s="1942"/>
      <c r="L33" s="1942"/>
      <c r="M33" s="1942"/>
      <c r="N33" s="1967"/>
      <c r="O33" s="200" t="s">
        <v>1792</v>
      </c>
      <c r="P33" s="200"/>
      <c r="Q33" s="1897"/>
      <c r="R33" s="1942"/>
      <c r="S33" s="1967"/>
    </row>
    <row r="34" spans="3:19" s="156" customFormat="1" ht="11.25" customHeight="1">
      <c r="D34" s="201"/>
      <c r="E34" s="164" t="s">
        <v>945</v>
      </c>
      <c r="F34" s="176"/>
      <c r="H34" s="1954"/>
      <c r="I34" s="1968"/>
      <c r="J34" s="1968"/>
      <c r="K34" s="1969"/>
      <c r="L34" s="1968"/>
      <c r="M34" s="1968"/>
      <c r="N34" s="1970"/>
      <c r="O34" s="200" t="s">
        <v>1575</v>
      </c>
      <c r="P34" s="202"/>
      <c r="Q34" s="1841"/>
      <c r="R34" s="1842"/>
      <c r="S34" s="1843"/>
    </row>
    <row r="35" spans="3:19" s="156" customFormat="1" ht="11.25" customHeight="1">
      <c r="D35" s="201"/>
      <c r="E35" s="164" t="s">
        <v>574</v>
      </c>
      <c r="H35" s="1954"/>
      <c r="I35" s="1969"/>
      <c r="J35" s="1963"/>
      <c r="K35" s="371" t="s">
        <v>2351</v>
      </c>
      <c r="L35" s="1954"/>
      <c r="M35" s="1968"/>
      <c r="N35" s="1963"/>
      <c r="O35" s="200" t="s">
        <v>1552</v>
      </c>
      <c r="P35" s="202"/>
      <c r="Q35" s="1924"/>
      <c r="R35" s="1971"/>
      <c r="S35" s="1925"/>
    </row>
    <row r="36" spans="3:19" s="156" customFormat="1" ht="11.25" customHeight="1">
      <c r="E36" s="164" t="s">
        <v>1619</v>
      </c>
      <c r="H36" s="1819"/>
      <c r="I36" s="202"/>
      <c r="J36" s="202"/>
      <c r="K36" s="1445" t="s">
        <v>1979</v>
      </c>
      <c r="L36" s="1976"/>
      <c r="M36" s="1977"/>
      <c r="N36" s="202"/>
      <c r="O36" s="200" t="s">
        <v>1781</v>
      </c>
      <c r="P36" s="202"/>
      <c r="Q36" s="1924"/>
      <c r="R36" s="1971"/>
      <c r="S36" s="1925"/>
    </row>
    <row r="37" spans="3:19" s="156" customFormat="1" ht="11.25" customHeight="1">
      <c r="D37" s="201"/>
      <c r="E37" s="164" t="s">
        <v>1787</v>
      </c>
      <c r="H37" s="1975"/>
      <c r="I37" s="1848"/>
      <c r="J37" s="1446"/>
      <c r="K37" s="203" t="s">
        <v>1786</v>
      </c>
      <c r="L37" s="1978"/>
      <c r="M37" s="1960"/>
      <c r="N37" s="1979"/>
      <c r="O37" s="1979"/>
      <c r="P37" s="1979"/>
      <c r="Q37" s="1960"/>
      <c r="R37" s="1960"/>
      <c r="S37" s="1961"/>
    </row>
    <row r="38" spans="3:19" ht="4.1500000000000004" customHeight="1">
      <c r="H38" s="212"/>
      <c r="I38" s="212"/>
      <c r="J38" s="212"/>
      <c r="K38" s="203"/>
      <c r="L38" s="212"/>
      <c r="M38" s="212"/>
      <c r="N38" s="210"/>
      <c r="O38" s="211"/>
      <c r="P38" s="211"/>
      <c r="Q38" s="203"/>
      <c r="R38" s="211"/>
      <c r="S38" s="211"/>
    </row>
    <row r="39" spans="3:19" s="156" customFormat="1" ht="11.25" customHeight="1">
      <c r="D39" s="160" t="s">
        <v>1891</v>
      </c>
      <c r="E39" s="156" t="s">
        <v>696</v>
      </c>
      <c r="F39" s="160"/>
      <c r="H39" s="1897"/>
      <c r="I39" s="1942"/>
      <c r="J39" s="1942"/>
      <c r="K39" s="1942"/>
      <c r="L39" s="1942"/>
      <c r="M39" s="1942"/>
      <c r="N39" s="1967"/>
      <c r="O39" s="200" t="s">
        <v>1792</v>
      </c>
      <c r="P39" s="200"/>
      <c r="Q39" s="1897"/>
      <c r="R39" s="1942"/>
      <c r="S39" s="1967"/>
    </row>
    <row r="40" spans="3:19" s="156" customFormat="1" ht="11.25" customHeight="1">
      <c r="D40" s="201"/>
      <c r="E40" s="164" t="s">
        <v>945</v>
      </c>
      <c r="F40" s="176"/>
      <c r="H40" s="1954"/>
      <c r="I40" s="1968"/>
      <c r="J40" s="1968"/>
      <c r="K40" s="1969"/>
      <c r="L40" s="1968"/>
      <c r="M40" s="1968"/>
      <c r="N40" s="1970"/>
      <c r="O40" s="200" t="s">
        <v>1575</v>
      </c>
      <c r="P40" s="202"/>
      <c r="Q40" s="1841"/>
      <c r="R40" s="1842"/>
      <c r="S40" s="1843"/>
    </row>
    <row r="41" spans="3:19" s="156" customFormat="1" ht="11.25" customHeight="1">
      <c r="D41" s="201"/>
      <c r="E41" s="164" t="s">
        <v>574</v>
      </c>
      <c r="H41" s="1954"/>
      <c r="I41" s="1969"/>
      <c r="J41" s="1963"/>
      <c r="K41" s="371" t="s">
        <v>2351</v>
      </c>
      <c r="L41" s="1954"/>
      <c r="M41" s="1968"/>
      <c r="N41" s="1963"/>
      <c r="O41" s="200" t="s">
        <v>1552</v>
      </c>
      <c r="P41" s="202"/>
      <c r="Q41" s="1924"/>
      <c r="R41" s="1971"/>
      <c r="S41" s="1925"/>
    </row>
    <row r="42" spans="3:19" s="156" customFormat="1" ht="11.25" customHeight="1">
      <c r="D42" s="160"/>
      <c r="E42" s="164" t="s">
        <v>1619</v>
      </c>
      <c r="H42" s="1819"/>
      <c r="I42" s="202"/>
      <c r="J42" s="202"/>
      <c r="K42" s="1445" t="s">
        <v>1979</v>
      </c>
      <c r="L42" s="1976"/>
      <c r="M42" s="1977"/>
      <c r="N42" s="202"/>
      <c r="O42" s="200" t="s">
        <v>1781</v>
      </c>
      <c r="P42" s="202"/>
      <c r="Q42" s="1924"/>
      <c r="R42" s="1971"/>
      <c r="S42" s="1925"/>
    </row>
    <row r="43" spans="3:19" s="156" customFormat="1" ht="11.25" customHeight="1">
      <c r="D43" s="201"/>
      <c r="E43" s="164" t="s">
        <v>1787</v>
      </c>
      <c r="H43" s="1975"/>
      <c r="I43" s="1848"/>
      <c r="J43" s="1446"/>
      <c r="K43" s="203" t="s">
        <v>1786</v>
      </c>
      <c r="L43" s="1978"/>
      <c r="M43" s="1960"/>
      <c r="N43" s="1979"/>
      <c r="O43" s="1979"/>
      <c r="P43" s="1979"/>
      <c r="Q43" s="1960"/>
      <c r="R43" s="1960"/>
      <c r="S43" s="1961"/>
    </row>
    <row r="44" spans="3:19" s="156" customFormat="1" ht="4.1500000000000004" customHeight="1">
      <c r="D44" s="201"/>
      <c r="E44" s="164"/>
      <c r="F44" s="160"/>
      <c r="H44" s="204"/>
      <c r="I44" s="204"/>
      <c r="J44" s="215"/>
      <c r="K44" s="203"/>
      <c r="L44" s="204"/>
      <c r="M44" s="204"/>
      <c r="N44" s="203"/>
      <c r="O44" s="204"/>
      <c r="P44" s="204"/>
      <c r="Q44" s="203"/>
      <c r="R44" s="204"/>
      <c r="S44" s="204"/>
    </row>
    <row r="45" spans="3:19" s="156" customFormat="1" ht="11.25" customHeight="1">
      <c r="C45" s="214" t="s">
        <v>2246</v>
      </c>
      <c r="D45" s="199" t="s">
        <v>605</v>
      </c>
      <c r="H45" s="208"/>
      <c r="I45" s="208"/>
      <c r="J45" s="208"/>
      <c r="K45" s="208"/>
      <c r="L45" s="208"/>
      <c r="M45" s="208"/>
      <c r="N45" s="202"/>
      <c r="O45" s="202"/>
      <c r="P45" s="202"/>
      <c r="Q45" s="202"/>
      <c r="R45" s="202"/>
      <c r="S45" s="202"/>
    </row>
    <row r="46" spans="3:19" s="156" customFormat="1" ht="11.25" customHeight="1">
      <c r="E46" s="156" t="s">
        <v>88</v>
      </c>
      <c r="H46" s="1897"/>
      <c r="I46" s="1942"/>
      <c r="J46" s="1942"/>
      <c r="K46" s="1942"/>
      <c r="L46" s="1942"/>
      <c r="M46" s="1942"/>
      <c r="N46" s="1967"/>
      <c r="O46" s="200" t="s">
        <v>1792</v>
      </c>
      <c r="P46" s="200"/>
      <c r="Q46" s="1897"/>
      <c r="R46" s="1942"/>
      <c r="S46" s="1967"/>
    </row>
    <row r="47" spans="3:19" s="156" customFormat="1" ht="11.25" customHeight="1">
      <c r="D47" s="201"/>
      <c r="E47" s="164" t="s">
        <v>945</v>
      </c>
      <c r="F47" s="176"/>
      <c r="H47" s="1954"/>
      <c r="I47" s="1968"/>
      <c r="J47" s="1968"/>
      <c r="K47" s="1969"/>
      <c r="L47" s="1968"/>
      <c r="M47" s="1968"/>
      <c r="N47" s="1970"/>
      <c r="O47" s="200" t="s">
        <v>1575</v>
      </c>
      <c r="P47" s="202"/>
      <c r="Q47" s="1841"/>
      <c r="R47" s="1842"/>
      <c r="S47" s="1843"/>
    </row>
    <row r="48" spans="3:19" s="156" customFormat="1" ht="11.25" customHeight="1">
      <c r="D48" s="201"/>
      <c r="E48" s="164" t="s">
        <v>574</v>
      </c>
      <c r="H48" s="1954"/>
      <c r="I48" s="1969"/>
      <c r="J48" s="1963"/>
      <c r="K48" s="371" t="s">
        <v>2351</v>
      </c>
      <c r="L48" s="1954"/>
      <c r="M48" s="1968"/>
      <c r="N48" s="1963"/>
      <c r="O48" s="200" t="s">
        <v>1552</v>
      </c>
      <c r="P48" s="202"/>
      <c r="Q48" s="1924"/>
      <c r="R48" s="1971"/>
      <c r="S48" s="1925"/>
    </row>
    <row r="49" spans="1:19" s="156" customFormat="1" ht="11.25" customHeight="1">
      <c r="E49" s="164" t="s">
        <v>1619</v>
      </c>
      <c r="H49" s="1819"/>
      <c r="I49" s="202"/>
      <c r="J49" s="202"/>
      <c r="K49" s="1445" t="s">
        <v>1979</v>
      </c>
      <c r="L49" s="1976"/>
      <c r="M49" s="1977"/>
      <c r="N49" s="202"/>
      <c r="O49" s="200" t="s">
        <v>1781</v>
      </c>
      <c r="P49" s="202"/>
      <c r="Q49" s="1924"/>
      <c r="R49" s="1971"/>
      <c r="S49" s="1925"/>
    </row>
    <row r="50" spans="1:19" s="156" customFormat="1" ht="11.25" customHeight="1">
      <c r="D50" s="201"/>
      <c r="E50" s="164" t="s">
        <v>1787</v>
      </c>
      <c r="H50" s="1975"/>
      <c r="I50" s="1848"/>
      <c r="J50" s="1446"/>
      <c r="K50" s="203" t="s">
        <v>1786</v>
      </c>
      <c r="L50" s="1978"/>
      <c r="M50" s="1960"/>
      <c r="N50" s="1979"/>
      <c r="O50" s="1979"/>
      <c r="P50" s="1979"/>
      <c r="Q50" s="1960"/>
      <c r="R50" s="1960"/>
      <c r="S50" s="1961"/>
    </row>
    <row r="51" spans="1:19" ht="6.75" customHeight="1">
      <c r="H51" s="213"/>
      <c r="I51" s="213"/>
      <c r="J51" s="213"/>
      <c r="K51" s="213"/>
      <c r="L51" s="213"/>
      <c r="M51" s="213"/>
      <c r="N51" s="213"/>
      <c r="O51" s="213"/>
      <c r="P51" s="213"/>
      <c r="Q51" s="213"/>
      <c r="R51" s="213"/>
      <c r="S51" s="213"/>
    </row>
    <row r="52" spans="1:19" s="156" customFormat="1" ht="13.15" customHeight="1">
      <c r="A52" s="160" t="s">
        <v>685</v>
      </c>
      <c r="B52" s="160" t="s">
        <v>606</v>
      </c>
      <c r="F52" s="160"/>
      <c r="G52" s="162"/>
      <c r="H52" s="203"/>
      <c r="I52" s="203"/>
      <c r="J52" s="208"/>
      <c r="K52" s="208"/>
      <c r="L52" s="208"/>
      <c r="M52" s="208"/>
      <c r="N52" s="208"/>
      <c r="O52" s="208"/>
      <c r="P52" s="208"/>
      <c r="Q52" s="208"/>
      <c r="R52" s="208"/>
      <c r="S52" s="208"/>
    </row>
    <row r="53" spans="1:19" s="156" customFormat="1" ht="3" customHeight="1">
      <c r="A53" s="160"/>
      <c r="B53" s="160"/>
      <c r="F53" s="160"/>
      <c r="G53" s="162"/>
      <c r="H53" s="209"/>
      <c r="I53" s="209"/>
      <c r="J53" s="209"/>
      <c r="K53" s="210"/>
      <c r="L53" s="209"/>
      <c r="M53" s="209"/>
      <c r="N53" s="210"/>
      <c r="O53" s="211"/>
      <c r="P53" s="211"/>
      <c r="Q53" s="203"/>
      <c r="R53" s="211"/>
      <c r="S53" s="211"/>
    </row>
    <row r="54" spans="1:19" s="156" customFormat="1" ht="11.25" customHeight="1">
      <c r="B54" s="160" t="s">
        <v>1785</v>
      </c>
      <c r="C54" s="160" t="s">
        <v>262</v>
      </c>
      <c r="H54" s="1897"/>
      <c r="I54" s="1942"/>
      <c r="J54" s="1942"/>
      <c r="K54" s="1942"/>
      <c r="L54" s="1942"/>
      <c r="M54" s="1942"/>
      <c r="N54" s="1967"/>
      <c r="O54" s="200" t="s">
        <v>1792</v>
      </c>
      <c r="P54" s="200"/>
      <c r="Q54" s="1897"/>
      <c r="R54" s="1942"/>
      <c r="S54" s="1967"/>
    </row>
    <row r="55" spans="1:19" s="156" customFormat="1" ht="11.25" customHeight="1">
      <c r="D55" s="201"/>
      <c r="E55" s="164" t="s">
        <v>945</v>
      </c>
      <c r="F55" s="176"/>
      <c r="H55" s="1954"/>
      <c r="I55" s="1968"/>
      <c r="J55" s="1968"/>
      <c r="K55" s="1969"/>
      <c r="L55" s="1968"/>
      <c r="M55" s="1968"/>
      <c r="N55" s="1970"/>
      <c r="O55" s="200" t="s">
        <v>1575</v>
      </c>
      <c r="P55" s="202"/>
      <c r="Q55" s="1841"/>
      <c r="R55" s="1842"/>
      <c r="S55" s="1843"/>
    </row>
    <row r="56" spans="1:19" s="156" customFormat="1" ht="11.25" customHeight="1">
      <c r="D56" s="201"/>
      <c r="E56" s="164" t="s">
        <v>574</v>
      </c>
      <c r="H56" s="1954"/>
      <c r="I56" s="1969"/>
      <c r="J56" s="1963"/>
      <c r="K56" s="371" t="s">
        <v>2351</v>
      </c>
      <c r="L56" s="1954"/>
      <c r="M56" s="1968"/>
      <c r="N56" s="1963"/>
      <c r="O56" s="200" t="s">
        <v>1552</v>
      </c>
      <c r="P56" s="202"/>
      <c r="Q56" s="1924"/>
      <c r="R56" s="1971"/>
      <c r="S56" s="1925"/>
    </row>
    <row r="57" spans="1:19" s="156" customFormat="1" ht="11.25" customHeight="1">
      <c r="E57" s="164" t="s">
        <v>1619</v>
      </c>
      <c r="H57" s="1819"/>
      <c r="I57" s="202"/>
      <c r="J57" s="202"/>
      <c r="K57" s="1445" t="s">
        <v>1979</v>
      </c>
      <c r="L57" s="1976"/>
      <c r="M57" s="1977"/>
      <c r="N57" s="202"/>
      <c r="O57" s="200" t="s">
        <v>1781</v>
      </c>
      <c r="P57" s="202"/>
      <c r="Q57" s="1924"/>
      <c r="R57" s="1971"/>
      <c r="S57" s="1925"/>
    </row>
    <row r="58" spans="1:19" s="156" customFormat="1" ht="11.25" customHeight="1">
      <c r="D58" s="201"/>
      <c r="E58" s="164" t="s">
        <v>1787</v>
      </c>
      <c r="H58" s="1975"/>
      <c r="I58" s="1848"/>
      <c r="J58" s="1446"/>
      <c r="K58" s="203" t="s">
        <v>1786</v>
      </c>
      <c r="L58" s="1978"/>
      <c r="M58" s="1960"/>
      <c r="N58" s="1979"/>
      <c r="O58" s="1979"/>
      <c r="P58" s="1979"/>
      <c r="Q58" s="1960"/>
      <c r="R58" s="1960"/>
      <c r="S58" s="1961"/>
    </row>
    <row r="59" spans="1:19" s="156" customFormat="1" ht="6.6" customHeight="1">
      <c r="D59" s="201"/>
      <c r="E59" s="169"/>
      <c r="F59" s="169"/>
      <c r="G59" s="155"/>
      <c r="H59" s="212"/>
      <c r="I59" s="212"/>
      <c r="J59" s="212"/>
      <c r="K59" s="203"/>
      <c r="L59" s="212"/>
      <c r="M59" s="212"/>
      <c r="N59" s="210"/>
      <c r="O59" s="211"/>
      <c r="P59" s="211"/>
      <c r="Q59" s="203"/>
      <c r="R59" s="211"/>
      <c r="S59" s="211"/>
    </row>
    <row r="60" spans="1:19" s="156" customFormat="1" ht="11.25" customHeight="1">
      <c r="B60" s="160" t="s">
        <v>1788</v>
      </c>
      <c r="C60" s="160" t="s">
        <v>263</v>
      </c>
      <c r="H60" s="1897"/>
      <c r="I60" s="1942"/>
      <c r="J60" s="1942"/>
      <c r="K60" s="1942"/>
      <c r="L60" s="1942"/>
      <c r="M60" s="1942"/>
      <c r="N60" s="1967"/>
      <c r="O60" s="200" t="s">
        <v>1792</v>
      </c>
      <c r="P60" s="200"/>
      <c r="Q60" s="1897"/>
      <c r="R60" s="1942"/>
      <c r="S60" s="1967"/>
    </row>
    <row r="61" spans="1:19" s="156" customFormat="1" ht="11.25" customHeight="1">
      <c r="D61" s="201"/>
      <c r="E61" s="164" t="s">
        <v>945</v>
      </c>
      <c r="F61" s="176"/>
      <c r="H61" s="1954"/>
      <c r="I61" s="1968"/>
      <c r="J61" s="1968"/>
      <c r="K61" s="1969"/>
      <c r="L61" s="1968"/>
      <c r="M61" s="1968"/>
      <c r="N61" s="1970"/>
      <c r="O61" s="200" t="s">
        <v>1575</v>
      </c>
      <c r="P61" s="202"/>
      <c r="Q61" s="1841"/>
      <c r="R61" s="1842"/>
      <c r="S61" s="1843"/>
    </row>
    <row r="62" spans="1:19" s="156" customFormat="1" ht="11.25" customHeight="1">
      <c r="D62" s="201"/>
      <c r="E62" s="164" t="s">
        <v>574</v>
      </c>
      <c r="H62" s="1954"/>
      <c r="I62" s="1969"/>
      <c r="J62" s="1963"/>
      <c r="K62" s="371" t="s">
        <v>2351</v>
      </c>
      <c r="L62" s="1954"/>
      <c r="M62" s="1968"/>
      <c r="N62" s="1963"/>
      <c r="O62" s="200" t="s">
        <v>1552</v>
      </c>
      <c r="P62" s="202"/>
      <c r="Q62" s="1924"/>
      <c r="R62" s="1971"/>
      <c r="S62" s="1925"/>
    </row>
    <row r="63" spans="1:19" s="156" customFormat="1" ht="11.25" customHeight="1">
      <c r="E63" s="164" t="s">
        <v>1619</v>
      </c>
      <c r="H63" s="1819"/>
      <c r="I63" s="202"/>
      <c r="J63" s="202"/>
      <c r="K63" s="1445" t="s">
        <v>1979</v>
      </c>
      <c r="L63" s="1976"/>
      <c r="M63" s="1977"/>
      <c r="N63" s="202"/>
      <c r="O63" s="200" t="s">
        <v>1781</v>
      </c>
      <c r="P63" s="202"/>
      <c r="Q63" s="1924"/>
      <c r="R63" s="1971"/>
      <c r="S63" s="1925"/>
    </row>
    <row r="64" spans="1:19" s="156" customFormat="1" ht="11.25" customHeight="1">
      <c r="D64" s="201"/>
      <c r="E64" s="164" t="s">
        <v>1787</v>
      </c>
      <c r="H64" s="1975"/>
      <c r="I64" s="1848"/>
      <c r="J64" s="1446"/>
      <c r="K64" s="203" t="s">
        <v>1786</v>
      </c>
      <c r="L64" s="1978"/>
      <c r="M64" s="1960"/>
      <c r="N64" s="1979"/>
      <c r="O64" s="1979"/>
      <c r="P64" s="1979"/>
      <c r="Q64" s="1960"/>
      <c r="R64" s="1960"/>
      <c r="S64" s="1961"/>
    </row>
    <row r="65" spans="1:19" s="156" customFormat="1" ht="6.6" customHeight="1">
      <c r="D65" s="201"/>
      <c r="E65" s="169"/>
      <c r="F65" s="169"/>
      <c r="G65" s="155"/>
      <c r="H65" s="212"/>
      <c r="I65" s="212"/>
      <c r="J65" s="212"/>
      <c r="K65" s="203"/>
      <c r="L65" s="212"/>
      <c r="M65" s="212"/>
      <c r="N65" s="210"/>
      <c r="O65" s="211"/>
      <c r="P65" s="211"/>
      <c r="Q65" s="203"/>
      <c r="R65" s="211"/>
      <c r="S65" s="211"/>
    </row>
    <row r="66" spans="1:19" s="156" customFormat="1" ht="11.25" customHeight="1">
      <c r="B66" s="160" t="s">
        <v>694</v>
      </c>
      <c r="C66" s="160" t="s">
        <v>1391</v>
      </c>
      <c r="H66" s="1897"/>
      <c r="I66" s="1942"/>
      <c r="J66" s="1942"/>
      <c r="K66" s="1942"/>
      <c r="L66" s="1942"/>
      <c r="M66" s="1942"/>
      <c r="N66" s="1967"/>
      <c r="O66" s="200" t="s">
        <v>1792</v>
      </c>
      <c r="P66" s="200"/>
      <c r="Q66" s="1897"/>
      <c r="R66" s="1942"/>
      <c r="S66" s="1967"/>
    </row>
    <row r="67" spans="1:19" s="156" customFormat="1" ht="11.25" customHeight="1">
      <c r="D67" s="201"/>
      <c r="E67" s="164" t="s">
        <v>945</v>
      </c>
      <c r="F67" s="176"/>
      <c r="H67" s="1954"/>
      <c r="I67" s="1968"/>
      <c r="J67" s="1968"/>
      <c r="K67" s="1969"/>
      <c r="L67" s="1968"/>
      <c r="M67" s="1968"/>
      <c r="N67" s="1970"/>
      <c r="O67" s="200" t="s">
        <v>1575</v>
      </c>
      <c r="P67" s="202"/>
      <c r="Q67" s="1841"/>
      <c r="R67" s="1842"/>
      <c r="S67" s="1843"/>
    </row>
    <row r="68" spans="1:19" s="156" customFormat="1" ht="11.25" customHeight="1">
      <c r="D68" s="201"/>
      <c r="E68" s="164" t="s">
        <v>574</v>
      </c>
      <c r="H68" s="1954"/>
      <c r="I68" s="1969"/>
      <c r="J68" s="1963"/>
      <c r="K68" s="371" t="s">
        <v>2351</v>
      </c>
      <c r="L68" s="1954"/>
      <c r="M68" s="1968"/>
      <c r="N68" s="1963"/>
      <c r="O68" s="200" t="s">
        <v>1552</v>
      </c>
      <c r="P68" s="202"/>
      <c r="Q68" s="1924"/>
      <c r="R68" s="1971"/>
      <c r="S68" s="1925"/>
    </row>
    <row r="69" spans="1:19" s="156" customFormat="1" ht="11.25" customHeight="1">
      <c r="E69" s="164" t="s">
        <v>1619</v>
      </c>
      <c r="H69" s="1819"/>
      <c r="I69" s="202"/>
      <c r="J69" s="202"/>
      <c r="K69" s="1445" t="s">
        <v>1979</v>
      </c>
      <c r="L69" s="1976"/>
      <c r="M69" s="1977"/>
      <c r="N69" s="202"/>
      <c r="O69" s="200" t="s">
        <v>1781</v>
      </c>
      <c r="P69" s="202"/>
      <c r="Q69" s="1924"/>
      <c r="R69" s="1971"/>
      <c r="S69" s="1925"/>
    </row>
    <row r="70" spans="1:19" s="156" customFormat="1" ht="11.25" customHeight="1">
      <c r="D70" s="201"/>
      <c r="E70" s="164" t="s">
        <v>1787</v>
      </c>
      <c r="H70" s="1975"/>
      <c r="I70" s="1848"/>
      <c r="J70" s="1446"/>
      <c r="K70" s="203" t="s">
        <v>1786</v>
      </c>
      <c r="L70" s="1978"/>
      <c r="M70" s="1960"/>
      <c r="N70" s="1979"/>
      <c r="O70" s="1979"/>
      <c r="P70" s="1979"/>
      <c r="Q70" s="1960"/>
      <c r="R70" s="1960"/>
      <c r="S70" s="1961"/>
    </row>
    <row r="71" spans="1:19" ht="6.6" customHeight="1">
      <c r="H71" s="212"/>
      <c r="I71" s="212"/>
      <c r="J71" s="212"/>
      <c r="K71" s="203"/>
      <c r="L71" s="212"/>
      <c r="M71" s="212"/>
      <c r="N71" s="210"/>
      <c r="O71" s="211"/>
      <c r="P71" s="211"/>
      <c r="Q71" s="203"/>
      <c r="R71" s="211"/>
      <c r="S71" s="211"/>
    </row>
    <row r="72" spans="1:19" s="156" customFormat="1" ht="11.25" customHeight="1">
      <c r="B72" s="160" t="s">
        <v>1889</v>
      </c>
      <c r="C72" s="160" t="s">
        <v>264</v>
      </c>
      <c r="H72" s="1897"/>
      <c r="I72" s="1942"/>
      <c r="J72" s="1942"/>
      <c r="K72" s="1942"/>
      <c r="L72" s="1942"/>
      <c r="M72" s="1942"/>
      <c r="N72" s="1967"/>
      <c r="O72" s="200" t="s">
        <v>1792</v>
      </c>
      <c r="P72" s="200"/>
      <c r="Q72" s="1897"/>
      <c r="R72" s="1942"/>
      <c r="S72" s="1967"/>
    </row>
    <row r="73" spans="1:19" s="156" customFormat="1" ht="11.25" customHeight="1">
      <c r="D73" s="201"/>
      <c r="E73" s="164" t="s">
        <v>945</v>
      </c>
      <c r="F73" s="176"/>
      <c r="H73" s="1954"/>
      <c r="I73" s="1968"/>
      <c r="J73" s="1968"/>
      <c r="K73" s="1969"/>
      <c r="L73" s="1968"/>
      <c r="M73" s="1968"/>
      <c r="N73" s="1970"/>
      <c r="O73" s="200" t="s">
        <v>1575</v>
      </c>
      <c r="P73" s="202"/>
      <c r="Q73" s="1841"/>
      <c r="R73" s="1842"/>
      <c r="S73" s="1843"/>
    </row>
    <row r="74" spans="1:19" s="156" customFormat="1" ht="11.25" customHeight="1">
      <c r="D74" s="201"/>
      <c r="E74" s="164" t="s">
        <v>574</v>
      </c>
      <c r="H74" s="1954"/>
      <c r="I74" s="1969"/>
      <c r="J74" s="1963"/>
      <c r="K74" s="371" t="s">
        <v>2351</v>
      </c>
      <c r="L74" s="1954"/>
      <c r="M74" s="1968"/>
      <c r="N74" s="1963"/>
      <c r="O74" s="200" t="s">
        <v>1552</v>
      </c>
      <c r="P74" s="202"/>
      <c r="Q74" s="1924"/>
      <c r="R74" s="1971"/>
      <c r="S74" s="1925"/>
    </row>
    <row r="75" spans="1:19" s="156" customFormat="1" ht="11.25" customHeight="1">
      <c r="E75" s="164" t="s">
        <v>1619</v>
      </c>
      <c r="H75" s="1819"/>
      <c r="I75" s="202"/>
      <c r="J75" s="202"/>
      <c r="K75" s="1445" t="s">
        <v>1979</v>
      </c>
      <c r="L75" s="1976"/>
      <c r="M75" s="1977"/>
      <c r="N75" s="202"/>
      <c r="O75" s="200" t="s">
        <v>1781</v>
      </c>
      <c r="P75" s="202"/>
      <c r="Q75" s="1924"/>
      <c r="R75" s="1971"/>
      <c r="S75" s="1925"/>
    </row>
    <row r="76" spans="1:19" s="156" customFormat="1" ht="11.25" customHeight="1">
      <c r="D76" s="201"/>
      <c r="E76" s="164" t="s">
        <v>1787</v>
      </c>
      <c r="H76" s="1975"/>
      <c r="I76" s="1848"/>
      <c r="J76" s="1446"/>
      <c r="K76" s="203" t="s">
        <v>1786</v>
      </c>
      <c r="L76" s="1978"/>
      <c r="M76" s="1960"/>
      <c r="N76" s="1979"/>
      <c r="O76" s="1979"/>
      <c r="P76" s="1979"/>
      <c r="Q76" s="1960"/>
      <c r="R76" s="1960"/>
      <c r="S76" s="1961"/>
    </row>
    <row r="77" spans="1:19" ht="6.75" customHeight="1">
      <c r="H77" s="213"/>
      <c r="I77" s="213"/>
      <c r="J77" s="213"/>
      <c r="K77" s="213"/>
      <c r="L77" s="213"/>
      <c r="M77" s="213"/>
      <c r="N77" s="213"/>
      <c r="O77" s="213"/>
      <c r="P77" s="213"/>
      <c r="Q77" s="213"/>
      <c r="R77" s="213"/>
      <c r="S77" s="213"/>
    </row>
    <row r="78" spans="1:19" s="164" customFormat="1" ht="13.15" customHeight="1">
      <c r="A78" s="165" t="s">
        <v>687</v>
      </c>
      <c r="B78" s="165" t="s">
        <v>265</v>
      </c>
      <c r="D78" s="165"/>
      <c r="E78" s="155"/>
      <c r="F78" s="134"/>
      <c r="G78" s="134"/>
      <c r="H78" s="216"/>
      <c r="I78" s="216"/>
      <c r="J78" s="216"/>
      <c r="K78" s="216"/>
      <c r="L78" s="216"/>
      <c r="M78" s="216"/>
      <c r="N78" s="217"/>
      <c r="O78" s="217"/>
      <c r="P78" s="217"/>
      <c r="Q78" s="217"/>
      <c r="R78" s="217"/>
      <c r="S78" s="217"/>
    </row>
    <row r="79" spans="1:19" s="164" customFormat="1" ht="3" customHeight="1">
      <c r="A79" s="165"/>
      <c r="B79" s="165"/>
      <c r="D79" s="165"/>
      <c r="E79" s="155"/>
      <c r="F79" s="134"/>
      <c r="G79" s="134"/>
      <c r="H79" s="209"/>
      <c r="I79" s="209"/>
      <c r="J79" s="209"/>
      <c r="K79" s="210"/>
      <c r="L79" s="209"/>
      <c r="M79" s="209"/>
      <c r="N79" s="210"/>
      <c r="O79" s="211"/>
      <c r="P79" s="211"/>
      <c r="Q79" s="203"/>
      <c r="R79" s="211"/>
      <c r="S79" s="211"/>
    </row>
    <row r="80" spans="1:19" s="156" customFormat="1" ht="11.25" customHeight="1">
      <c r="B80" s="160" t="s">
        <v>1785</v>
      </c>
      <c r="C80" s="160" t="s">
        <v>266</v>
      </c>
      <c r="H80" s="1897"/>
      <c r="I80" s="1942"/>
      <c r="J80" s="1942"/>
      <c r="K80" s="1942"/>
      <c r="L80" s="1942"/>
      <c r="M80" s="1942"/>
      <c r="N80" s="1967"/>
      <c r="O80" s="200" t="s">
        <v>1792</v>
      </c>
      <c r="P80" s="200"/>
      <c r="Q80" s="1897"/>
      <c r="R80" s="1942"/>
      <c r="S80" s="1967"/>
    </row>
    <row r="81" spans="2:19" s="156" customFormat="1" ht="11.25" customHeight="1">
      <c r="D81" s="201"/>
      <c r="E81" s="164" t="s">
        <v>945</v>
      </c>
      <c r="F81" s="176"/>
      <c r="H81" s="1954"/>
      <c r="I81" s="1968"/>
      <c r="J81" s="1968"/>
      <c r="K81" s="1969"/>
      <c r="L81" s="1968"/>
      <c r="M81" s="1968"/>
      <c r="N81" s="1970"/>
      <c r="O81" s="200" t="s">
        <v>1575</v>
      </c>
      <c r="P81" s="202"/>
      <c r="Q81" s="1841"/>
      <c r="R81" s="1842"/>
      <c r="S81" s="1843"/>
    </row>
    <row r="82" spans="2:19" s="156" customFormat="1" ht="11.25" customHeight="1">
      <c r="D82" s="201"/>
      <c r="E82" s="164" t="s">
        <v>574</v>
      </c>
      <c r="H82" s="1954"/>
      <c r="I82" s="1969"/>
      <c r="J82" s="1963"/>
      <c r="K82" s="371" t="s">
        <v>2351</v>
      </c>
      <c r="L82" s="1954"/>
      <c r="M82" s="1968"/>
      <c r="N82" s="1963"/>
      <c r="O82" s="200" t="s">
        <v>1552</v>
      </c>
      <c r="P82" s="202"/>
      <c r="Q82" s="1924"/>
      <c r="R82" s="1971"/>
      <c r="S82" s="1925"/>
    </row>
    <row r="83" spans="2:19" s="156" customFormat="1" ht="11.25" customHeight="1">
      <c r="E83" s="164" t="s">
        <v>1619</v>
      </c>
      <c r="H83" s="1819"/>
      <c r="I83" s="202"/>
      <c r="J83" s="202"/>
      <c r="K83" s="1445" t="s">
        <v>1979</v>
      </c>
      <c r="L83" s="1976"/>
      <c r="M83" s="1977"/>
      <c r="N83" s="202"/>
      <c r="O83" s="200" t="s">
        <v>1781</v>
      </c>
      <c r="P83" s="202"/>
      <c r="Q83" s="1924"/>
      <c r="R83" s="1971"/>
      <c r="S83" s="1925"/>
    </row>
    <row r="84" spans="2:19" s="156" customFormat="1" ht="11.25" customHeight="1">
      <c r="D84" s="201"/>
      <c r="E84" s="164" t="s">
        <v>1787</v>
      </c>
      <c r="H84" s="1975"/>
      <c r="I84" s="1848"/>
      <c r="J84" s="1446"/>
      <c r="K84" s="203" t="s">
        <v>1786</v>
      </c>
      <c r="L84" s="1978"/>
      <c r="M84" s="1960"/>
      <c r="N84" s="1979"/>
      <c r="O84" s="1979"/>
      <c r="P84" s="1979"/>
      <c r="Q84" s="1960"/>
      <c r="R84" s="1960"/>
      <c r="S84" s="1961"/>
    </row>
    <row r="85" spans="2:19" ht="6.6" customHeight="1">
      <c r="H85" s="212"/>
      <c r="I85" s="212"/>
      <c r="J85" s="212"/>
      <c r="K85" s="203"/>
      <c r="L85" s="212"/>
      <c r="M85" s="212"/>
      <c r="N85" s="210"/>
      <c r="O85" s="211"/>
      <c r="P85" s="211"/>
      <c r="Q85" s="203"/>
      <c r="R85" s="211"/>
      <c r="S85" s="211"/>
    </row>
    <row r="86" spans="2:19" s="156" customFormat="1" ht="11.25" customHeight="1">
      <c r="B86" s="160" t="s">
        <v>1788</v>
      </c>
      <c r="C86" s="160" t="s">
        <v>267</v>
      </c>
      <c r="H86" s="1897"/>
      <c r="I86" s="1942"/>
      <c r="J86" s="1942"/>
      <c r="K86" s="1942"/>
      <c r="L86" s="1942"/>
      <c r="M86" s="1942"/>
      <c r="N86" s="1967"/>
      <c r="O86" s="200" t="s">
        <v>1792</v>
      </c>
      <c r="P86" s="200"/>
      <c r="Q86" s="1897"/>
      <c r="R86" s="1942"/>
      <c r="S86" s="1967"/>
    </row>
    <row r="87" spans="2:19" s="156" customFormat="1" ht="11.25" customHeight="1">
      <c r="D87" s="201"/>
      <c r="E87" s="164" t="s">
        <v>945</v>
      </c>
      <c r="F87" s="176"/>
      <c r="H87" s="1954"/>
      <c r="I87" s="1968"/>
      <c r="J87" s="1968"/>
      <c r="K87" s="1969"/>
      <c r="L87" s="1968"/>
      <c r="M87" s="1968"/>
      <c r="N87" s="1970"/>
      <c r="O87" s="200" t="s">
        <v>1575</v>
      </c>
      <c r="P87" s="202"/>
      <c r="Q87" s="1841"/>
      <c r="R87" s="1842"/>
      <c r="S87" s="1843"/>
    </row>
    <row r="88" spans="2:19" s="156" customFormat="1" ht="11.25" customHeight="1">
      <c r="D88" s="201"/>
      <c r="E88" s="164" t="s">
        <v>574</v>
      </c>
      <c r="H88" s="1954"/>
      <c r="I88" s="1969"/>
      <c r="J88" s="1963"/>
      <c r="K88" s="371" t="s">
        <v>2351</v>
      </c>
      <c r="L88" s="1954"/>
      <c r="M88" s="1968"/>
      <c r="N88" s="1963"/>
      <c r="O88" s="200" t="s">
        <v>1552</v>
      </c>
      <c r="P88" s="202"/>
      <c r="Q88" s="1924"/>
      <c r="R88" s="1971"/>
      <c r="S88" s="1925"/>
    </row>
    <row r="89" spans="2:19" s="156" customFormat="1" ht="11.25" customHeight="1">
      <c r="E89" s="164" t="s">
        <v>1619</v>
      </c>
      <c r="H89" s="1819"/>
      <c r="I89" s="202"/>
      <c r="J89" s="202"/>
      <c r="K89" s="1445" t="s">
        <v>1979</v>
      </c>
      <c r="L89" s="1976"/>
      <c r="M89" s="1977"/>
      <c r="N89" s="202"/>
      <c r="O89" s="200" t="s">
        <v>1781</v>
      </c>
      <c r="P89" s="202"/>
      <c r="Q89" s="1924"/>
      <c r="R89" s="1971"/>
      <c r="S89" s="1925"/>
    </row>
    <row r="90" spans="2:19" s="156" customFormat="1" ht="11.25" customHeight="1">
      <c r="D90" s="201"/>
      <c r="E90" s="164" t="s">
        <v>1787</v>
      </c>
      <c r="H90" s="1975"/>
      <c r="I90" s="1848"/>
      <c r="J90" s="1446"/>
      <c r="K90" s="203" t="s">
        <v>1786</v>
      </c>
      <c r="L90" s="1978"/>
      <c r="M90" s="1960"/>
      <c r="N90" s="1979"/>
      <c r="O90" s="1979"/>
      <c r="P90" s="1979"/>
      <c r="Q90" s="1960"/>
      <c r="R90" s="1960"/>
      <c r="S90" s="1961"/>
    </row>
    <row r="91" spans="2:19" ht="6.6" customHeight="1">
      <c r="H91" s="212"/>
      <c r="I91" s="212"/>
      <c r="J91" s="212"/>
      <c r="K91" s="203"/>
      <c r="L91" s="212"/>
      <c r="M91" s="212"/>
      <c r="N91" s="210"/>
      <c r="O91" s="211"/>
      <c r="P91" s="211"/>
      <c r="Q91" s="203"/>
      <c r="R91" s="211"/>
      <c r="S91" s="211"/>
    </row>
    <row r="92" spans="2:19" s="156" customFormat="1" ht="11.25" customHeight="1">
      <c r="B92" s="160" t="s">
        <v>694</v>
      </c>
      <c r="C92" s="160" t="s">
        <v>268</v>
      </c>
      <c r="F92" s="184"/>
      <c r="H92" s="1897"/>
      <c r="I92" s="1942"/>
      <c r="J92" s="1942"/>
      <c r="K92" s="1942"/>
      <c r="L92" s="1942"/>
      <c r="M92" s="1942"/>
      <c r="N92" s="1967"/>
      <c r="O92" s="200" t="s">
        <v>1792</v>
      </c>
      <c r="P92" s="200"/>
      <c r="Q92" s="1897"/>
      <c r="R92" s="1942"/>
      <c r="S92" s="1967"/>
    </row>
    <row r="93" spans="2:19" s="156" customFormat="1" ht="11.25" customHeight="1">
      <c r="D93" s="201"/>
      <c r="E93" s="164" t="s">
        <v>945</v>
      </c>
      <c r="F93" s="176"/>
      <c r="H93" s="1954"/>
      <c r="I93" s="1968"/>
      <c r="J93" s="1968"/>
      <c r="K93" s="1969"/>
      <c r="L93" s="1968"/>
      <c r="M93" s="1968"/>
      <c r="N93" s="1970"/>
      <c r="O93" s="200" t="s">
        <v>1575</v>
      </c>
      <c r="P93" s="202"/>
      <c r="Q93" s="1841"/>
      <c r="R93" s="1842"/>
      <c r="S93" s="1843"/>
    </row>
    <row r="94" spans="2:19" s="156" customFormat="1" ht="11.25" customHeight="1">
      <c r="D94" s="201"/>
      <c r="E94" s="164" t="s">
        <v>574</v>
      </c>
      <c r="H94" s="1954"/>
      <c r="I94" s="1969"/>
      <c r="J94" s="1963"/>
      <c r="K94" s="371" t="s">
        <v>2351</v>
      </c>
      <c r="L94" s="1954"/>
      <c r="M94" s="1968"/>
      <c r="N94" s="1963"/>
      <c r="O94" s="200" t="s">
        <v>1552</v>
      </c>
      <c r="P94" s="202"/>
      <c r="Q94" s="1924"/>
      <c r="R94" s="1971"/>
      <c r="S94" s="1925"/>
    </row>
    <row r="95" spans="2:19" s="156" customFormat="1" ht="11.25" customHeight="1">
      <c r="D95" s="201"/>
      <c r="E95" s="164" t="s">
        <v>1619</v>
      </c>
      <c r="H95" s="1819"/>
      <c r="I95" s="202"/>
      <c r="J95" s="202"/>
      <c r="K95" s="1445" t="s">
        <v>1979</v>
      </c>
      <c r="L95" s="1976"/>
      <c r="M95" s="1977"/>
      <c r="N95" s="202"/>
      <c r="O95" s="200" t="s">
        <v>1781</v>
      </c>
      <c r="P95" s="202"/>
      <c r="Q95" s="1924"/>
      <c r="R95" s="1971"/>
      <c r="S95" s="1925"/>
    </row>
    <row r="96" spans="2:19" s="156" customFormat="1" ht="11.25" customHeight="1">
      <c r="D96" s="201"/>
      <c r="E96" s="164" t="s">
        <v>1787</v>
      </c>
      <c r="H96" s="1975"/>
      <c r="I96" s="1848"/>
      <c r="J96" s="1446"/>
      <c r="K96" s="203" t="s">
        <v>1786</v>
      </c>
      <c r="L96" s="1978"/>
      <c r="M96" s="1960"/>
      <c r="N96" s="1979"/>
      <c r="O96" s="1979"/>
      <c r="P96" s="1979"/>
      <c r="Q96" s="1960"/>
      <c r="R96" s="1960"/>
      <c r="S96" s="1961"/>
    </row>
    <row r="97" spans="2:19" ht="6.6" customHeight="1">
      <c r="H97" s="212"/>
      <c r="I97" s="212"/>
      <c r="J97" s="212"/>
      <c r="K97" s="203"/>
      <c r="L97" s="212"/>
      <c r="M97" s="212"/>
      <c r="N97" s="210"/>
      <c r="O97" s="211"/>
      <c r="P97" s="211"/>
      <c r="Q97" s="203"/>
      <c r="R97" s="211"/>
      <c r="S97" s="211"/>
    </row>
    <row r="98" spans="2:19" s="156" customFormat="1" ht="11.25" customHeight="1">
      <c r="B98" s="160" t="s">
        <v>1889</v>
      </c>
      <c r="C98" s="160" t="s">
        <v>269</v>
      </c>
      <c r="H98" s="1897"/>
      <c r="I98" s="1942"/>
      <c r="J98" s="1942"/>
      <c r="K98" s="1942"/>
      <c r="L98" s="1942"/>
      <c r="M98" s="1942"/>
      <c r="N98" s="1967"/>
      <c r="O98" s="200" t="s">
        <v>1792</v>
      </c>
      <c r="P98" s="200"/>
      <c r="Q98" s="1897"/>
      <c r="R98" s="1942"/>
      <c r="S98" s="1967"/>
    </row>
    <row r="99" spans="2:19" s="156" customFormat="1" ht="11.25" customHeight="1">
      <c r="D99" s="201"/>
      <c r="E99" s="164" t="s">
        <v>945</v>
      </c>
      <c r="F99" s="176"/>
      <c r="H99" s="1954"/>
      <c r="I99" s="1968"/>
      <c r="J99" s="1968"/>
      <c r="K99" s="1969"/>
      <c r="L99" s="1968"/>
      <c r="M99" s="1968"/>
      <c r="N99" s="1970"/>
      <c r="O99" s="200" t="s">
        <v>1575</v>
      </c>
      <c r="P99" s="202"/>
      <c r="Q99" s="1841"/>
      <c r="R99" s="1842"/>
      <c r="S99" s="1843"/>
    </row>
    <row r="100" spans="2:19" s="156" customFormat="1" ht="11.25" customHeight="1">
      <c r="D100" s="201"/>
      <c r="E100" s="164" t="s">
        <v>574</v>
      </c>
      <c r="H100" s="1954"/>
      <c r="I100" s="1969"/>
      <c r="J100" s="1963"/>
      <c r="K100" s="371" t="s">
        <v>2351</v>
      </c>
      <c r="L100" s="1954"/>
      <c r="M100" s="1968"/>
      <c r="N100" s="1963"/>
      <c r="O100" s="200" t="s">
        <v>1552</v>
      </c>
      <c r="P100" s="202"/>
      <c r="Q100" s="1924"/>
      <c r="R100" s="1971"/>
      <c r="S100" s="1925"/>
    </row>
    <row r="101" spans="2:19" s="156" customFormat="1" ht="11.25" customHeight="1">
      <c r="D101" s="201"/>
      <c r="E101" s="164" t="s">
        <v>1619</v>
      </c>
      <c r="H101" s="1819"/>
      <c r="I101" s="202"/>
      <c r="J101" s="202"/>
      <c r="K101" s="1445" t="s">
        <v>1979</v>
      </c>
      <c r="L101" s="1976"/>
      <c r="M101" s="1977"/>
      <c r="N101" s="202"/>
      <c r="O101" s="200" t="s">
        <v>1781</v>
      </c>
      <c r="P101" s="202"/>
      <c r="Q101" s="1924"/>
      <c r="R101" s="1971"/>
      <c r="S101" s="1925"/>
    </row>
    <row r="102" spans="2:19" ht="11.25" customHeight="1">
      <c r="E102" s="164" t="s">
        <v>1787</v>
      </c>
      <c r="F102" s="156"/>
      <c r="G102" s="156"/>
      <c r="H102" s="1975"/>
      <c r="I102" s="1848"/>
      <c r="J102" s="1446"/>
      <c r="K102" s="203" t="s">
        <v>1786</v>
      </c>
      <c r="L102" s="1978"/>
      <c r="M102" s="1960"/>
      <c r="N102" s="1979"/>
      <c r="O102" s="1979"/>
      <c r="P102" s="1979"/>
      <c r="Q102" s="1960"/>
      <c r="R102" s="1960"/>
      <c r="S102" s="1961"/>
    </row>
    <row r="103" spans="2:19" ht="6" customHeight="1">
      <c r="E103" s="164"/>
      <c r="F103" s="156"/>
      <c r="G103" s="156"/>
      <c r="H103" s="202"/>
      <c r="I103" s="202"/>
      <c r="J103" s="202"/>
      <c r="K103" s="202"/>
      <c r="L103" s="202"/>
      <c r="M103" s="202"/>
      <c r="N103" s="202"/>
      <c r="O103" s="202"/>
      <c r="P103" s="202"/>
      <c r="Q103" s="203"/>
      <c r="R103" s="203"/>
      <c r="S103" s="218"/>
    </row>
    <row r="104" spans="2:19" s="156" customFormat="1" ht="11.25" customHeight="1">
      <c r="B104" s="160" t="s">
        <v>1563</v>
      </c>
      <c r="C104" s="160" t="s">
        <v>270</v>
      </c>
      <c r="H104" s="1897"/>
      <c r="I104" s="1942"/>
      <c r="J104" s="1942"/>
      <c r="K104" s="1942"/>
      <c r="L104" s="1942"/>
      <c r="M104" s="1942"/>
      <c r="N104" s="1967"/>
      <c r="O104" s="200" t="s">
        <v>1792</v>
      </c>
      <c r="P104" s="200"/>
      <c r="Q104" s="1897"/>
      <c r="R104" s="1942"/>
      <c r="S104" s="1967"/>
    </row>
    <row r="105" spans="2:19" s="156" customFormat="1" ht="11.25" customHeight="1">
      <c r="D105" s="201"/>
      <c r="E105" s="164" t="s">
        <v>945</v>
      </c>
      <c r="F105" s="176"/>
      <c r="H105" s="1954"/>
      <c r="I105" s="1968"/>
      <c r="J105" s="1968"/>
      <c r="K105" s="1969"/>
      <c r="L105" s="1968"/>
      <c r="M105" s="1968"/>
      <c r="N105" s="1970"/>
      <c r="O105" s="200" t="s">
        <v>1575</v>
      </c>
      <c r="P105" s="202"/>
      <c r="Q105" s="1841"/>
      <c r="R105" s="1842"/>
      <c r="S105" s="1843"/>
    </row>
    <row r="106" spans="2:19" s="156" customFormat="1" ht="11.25" customHeight="1">
      <c r="D106" s="201"/>
      <c r="E106" s="164" t="s">
        <v>574</v>
      </c>
      <c r="H106" s="1954"/>
      <c r="I106" s="1969"/>
      <c r="J106" s="1963"/>
      <c r="K106" s="371" t="s">
        <v>2351</v>
      </c>
      <c r="L106" s="1954"/>
      <c r="M106" s="1968"/>
      <c r="N106" s="1963"/>
      <c r="O106" s="200" t="s">
        <v>1552</v>
      </c>
      <c r="P106" s="202"/>
      <c r="Q106" s="1924"/>
      <c r="R106" s="1971"/>
      <c r="S106" s="1925"/>
    </row>
    <row r="107" spans="2:19" s="156" customFormat="1" ht="11.25" customHeight="1">
      <c r="D107" s="201"/>
      <c r="E107" s="164" t="s">
        <v>1619</v>
      </c>
      <c r="H107" s="1819"/>
      <c r="I107" s="202"/>
      <c r="J107" s="202"/>
      <c r="K107" s="1445" t="s">
        <v>1979</v>
      </c>
      <c r="L107" s="1976"/>
      <c r="M107" s="1977"/>
      <c r="N107" s="202"/>
      <c r="O107" s="200" t="s">
        <v>1781</v>
      </c>
      <c r="P107" s="202"/>
      <c r="Q107" s="1924"/>
      <c r="R107" s="1971"/>
      <c r="S107" s="1925"/>
    </row>
    <row r="108" spans="2:19" ht="11.25" customHeight="1">
      <c r="E108" s="164" t="s">
        <v>1787</v>
      </c>
      <c r="F108" s="156"/>
      <c r="G108" s="156"/>
      <c r="H108" s="1975"/>
      <c r="I108" s="1848"/>
      <c r="J108" s="1446"/>
      <c r="K108" s="203" t="s">
        <v>1786</v>
      </c>
      <c r="L108" s="1978"/>
      <c r="M108" s="1960"/>
      <c r="N108" s="1979"/>
      <c r="O108" s="1979"/>
      <c r="P108" s="1979"/>
      <c r="Q108" s="1960"/>
      <c r="R108" s="1960"/>
      <c r="S108" s="1961"/>
    </row>
    <row r="109" spans="2:19" ht="6.6" customHeight="1">
      <c r="E109" s="164"/>
      <c r="F109" s="156"/>
      <c r="G109" s="169"/>
      <c r="H109" s="212"/>
      <c r="I109" s="212"/>
      <c r="J109" s="212"/>
      <c r="K109" s="203"/>
      <c r="L109" s="212"/>
      <c r="M109" s="212"/>
      <c r="N109" s="210"/>
      <c r="O109" s="211"/>
      <c r="P109" s="211"/>
      <c r="Q109" s="203"/>
      <c r="R109" s="211"/>
      <c r="S109" s="211"/>
    </row>
    <row r="110" spans="2:19" s="156" customFormat="1" ht="11.25" customHeight="1">
      <c r="B110" s="160" t="s">
        <v>1564</v>
      </c>
      <c r="C110" s="160" t="s">
        <v>271</v>
      </c>
      <c r="H110" s="1897"/>
      <c r="I110" s="1942"/>
      <c r="J110" s="1942"/>
      <c r="K110" s="1942"/>
      <c r="L110" s="1942"/>
      <c r="M110" s="1942"/>
      <c r="N110" s="1967"/>
      <c r="O110" s="200" t="s">
        <v>1792</v>
      </c>
      <c r="P110" s="200"/>
      <c r="Q110" s="1897"/>
      <c r="R110" s="1942"/>
      <c r="S110" s="1967"/>
    </row>
    <row r="111" spans="2:19" s="156" customFormat="1" ht="11.25" customHeight="1">
      <c r="D111" s="201"/>
      <c r="E111" s="164" t="s">
        <v>945</v>
      </c>
      <c r="F111" s="176"/>
      <c r="H111" s="1954"/>
      <c r="I111" s="1968"/>
      <c r="J111" s="1968"/>
      <c r="K111" s="1969"/>
      <c r="L111" s="1968"/>
      <c r="M111" s="1968"/>
      <c r="N111" s="1970"/>
      <c r="O111" s="200" t="s">
        <v>1575</v>
      </c>
      <c r="P111" s="202"/>
      <c r="Q111" s="1841"/>
      <c r="R111" s="1842"/>
      <c r="S111" s="1843"/>
    </row>
    <row r="112" spans="2:19" s="156" customFormat="1" ht="11.25" customHeight="1">
      <c r="D112" s="201"/>
      <c r="E112" s="164" t="s">
        <v>574</v>
      </c>
      <c r="H112" s="1954"/>
      <c r="I112" s="1969"/>
      <c r="J112" s="1963"/>
      <c r="K112" s="371" t="s">
        <v>2351</v>
      </c>
      <c r="L112" s="1954"/>
      <c r="M112" s="1968"/>
      <c r="N112" s="1963"/>
      <c r="O112" s="200" t="s">
        <v>1552</v>
      </c>
      <c r="P112" s="202"/>
      <c r="Q112" s="1924"/>
      <c r="R112" s="1971"/>
      <c r="S112" s="1925"/>
    </row>
    <row r="113" spans="1:19" s="156" customFormat="1" ht="11.25" customHeight="1">
      <c r="D113" s="219"/>
      <c r="E113" s="164" t="s">
        <v>1619</v>
      </c>
      <c r="H113" s="1819"/>
      <c r="I113" s="202"/>
      <c r="J113" s="202"/>
      <c r="K113" s="1445" t="s">
        <v>1979</v>
      </c>
      <c r="L113" s="1976"/>
      <c r="M113" s="1977"/>
      <c r="N113" s="202"/>
      <c r="O113" s="200" t="s">
        <v>1781</v>
      </c>
      <c r="P113" s="202"/>
      <c r="Q113" s="1924"/>
      <c r="R113" s="1971"/>
      <c r="S113" s="1925"/>
    </row>
    <row r="114" spans="1:19" s="156" customFormat="1" ht="11.25" customHeight="1">
      <c r="D114" s="219"/>
      <c r="E114" s="164" t="s">
        <v>1787</v>
      </c>
      <c r="H114" s="1975"/>
      <c r="I114" s="1848"/>
      <c r="J114" s="1446"/>
      <c r="K114" s="203" t="s">
        <v>1786</v>
      </c>
      <c r="L114" s="1978"/>
      <c r="M114" s="1960"/>
      <c r="N114" s="1979"/>
      <c r="O114" s="1979"/>
      <c r="P114" s="1979"/>
      <c r="Q114" s="1960"/>
      <c r="R114" s="1960"/>
      <c r="S114" s="1961"/>
    </row>
    <row r="115" spans="1:19" ht="4.5" customHeight="1">
      <c r="H115" s="213"/>
      <c r="I115" s="213"/>
      <c r="J115" s="213"/>
      <c r="K115" s="213"/>
      <c r="L115" s="213"/>
      <c r="M115" s="213"/>
      <c r="N115" s="213"/>
      <c r="O115" s="213"/>
      <c r="P115" s="213"/>
      <c r="Q115" s="213"/>
      <c r="R115" s="213"/>
      <c r="S115" s="213"/>
    </row>
    <row r="116" spans="1:19" s="156" customFormat="1" ht="13.15" customHeight="1">
      <c r="A116" s="160" t="s">
        <v>1614</v>
      </c>
      <c r="B116" s="160" t="s">
        <v>2312</v>
      </c>
      <c r="F116" s="160"/>
      <c r="G116" s="389"/>
      <c r="H116" s="203"/>
      <c r="I116" s="203"/>
      <c r="J116" s="203"/>
      <c r="K116" s="203"/>
      <c r="L116" s="203"/>
      <c r="M116" s="203"/>
      <c r="N116" s="203"/>
      <c r="O116" s="203"/>
      <c r="P116" s="203"/>
      <c r="Q116" s="371"/>
      <c r="R116" s="202"/>
      <c r="S116" s="202"/>
    </row>
    <row r="117" spans="1:19" s="156" customFormat="1" ht="11.25" customHeight="1">
      <c r="B117" s="160" t="s">
        <v>1785</v>
      </c>
      <c r="C117" s="160" t="s">
        <v>3667</v>
      </c>
      <c r="H117" s="1897"/>
      <c r="I117" s="1898"/>
      <c r="J117" s="1899"/>
      <c r="K117" s="203" t="s">
        <v>2193</v>
      </c>
      <c r="L117" s="1897"/>
      <c r="M117" s="1942"/>
      <c r="N117" s="1967"/>
      <c r="O117" s="217" t="s">
        <v>3668</v>
      </c>
      <c r="P117" s="202"/>
      <c r="Q117" s="1951"/>
      <c r="R117" s="1991"/>
      <c r="S117" s="1992"/>
    </row>
    <row r="118" spans="1:19" s="156" customFormat="1" ht="11.25" customHeight="1">
      <c r="D118" s="201"/>
      <c r="E118" s="164" t="s">
        <v>945</v>
      </c>
      <c r="F118" s="176"/>
      <c r="H118" s="1860"/>
      <c r="I118" s="1993"/>
      <c r="J118" s="1994"/>
      <c r="K118" s="1861"/>
      <c r="L118" s="1993"/>
      <c r="M118" s="1993"/>
      <c r="N118" s="1995"/>
      <c r="O118" s="217" t="s">
        <v>574</v>
      </c>
      <c r="P118" s="202"/>
      <c r="Q118" s="1996"/>
      <c r="R118" s="1943"/>
      <c r="S118" s="1944"/>
    </row>
    <row r="119" spans="1:19" s="156" customFormat="1" ht="11.25" customHeight="1">
      <c r="D119" s="201"/>
      <c r="E119" s="164" t="s">
        <v>1619</v>
      </c>
      <c r="H119" s="1420"/>
      <c r="I119" s="1445" t="s">
        <v>1979</v>
      </c>
      <c r="J119" s="1962"/>
      <c r="K119" s="1963"/>
      <c r="L119" s="203" t="s">
        <v>1786</v>
      </c>
      <c r="M119" s="1959"/>
      <c r="N119" s="1979"/>
      <c r="O119" s="1979"/>
      <c r="P119" s="1979"/>
      <c r="Q119" s="1960"/>
      <c r="R119" s="1960"/>
      <c r="S119" s="1961"/>
    </row>
    <row r="120" spans="1:19" ht="12" customHeight="1">
      <c r="B120" s="160" t="s">
        <v>1788</v>
      </c>
      <c r="C120" s="160" t="s">
        <v>3669</v>
      </c>
      <c r="H120" s="526"/>
      <c r="I120" s="526"/>
      <c r="J120" s="526"/>
      <c r="K120" s="526"/>
      <c r="L120" s="526"/>
      <c r="M120" s="526"/>
      <c r="N120" s="526"/>
      <c r="O120" s="526"/>
      <c r="P120" s="526"/>
      <c r="Q120" s="526"/>
      <c r="R120" s="526"/>
      <c r="S120" s="526"/>
    </row>
    <row r="121" spans="1:19" ht="11.25" customHeight="1" thickBot="1">
      <c r="A121" s="2020" t="s">
        <v>3670</v>
      </c>
      <c r="B121" s="2020"/>
      <c r="C121" s="2020"/>
      <c r="D121" s="2020"/>
      <c r="E121" s="2021"/>
      <c r="F121" s="1447" t="s">
        <v>2223</v>
      </c>
      <c r="G121" s="2023" t="s">
        <v>3018</v>
      </c>
      <c r="H121" s="2024"/>
      <c r="I121" s="2024"/>
      <c r="J121" s="2024"/>
      <c r="K121" s="2024"/>
      <c r="L121" s="2024"/>
      <c r="M121" s="2024"/>
      <c r="N121" s="2024"/>
      <c r="O121" s="2024"/>
      <c r="P121" s="2024"/>
      <c r="Q121" s="2024"/>
      <c r="R121" s="2024"/>
      <c r="S121" s="2025"/>
    </row>
    <row r="122" spans="1:19" s="156" customFormat="1" ht="25.5" customHeight="1" thickBot="1">
      <c r="B122" s="357"/>
      <c r="C122" s="1448" t="s">
        <v>1789</v>
      </c>
      <c r="D122" s="2022" t="s">
        <v>2411</v>
      </c>
      <c r="E122" s="2022"/>
      <c r="F122" s="1449" t="s">
        <v>3663</v>
      </c>
      <c r="G122" s="1989"/>
      <c r="H122" s="1989"/>
      <c r="I122" s="1989"/>
      <c r="J122" s="1989"/>
      <c r="K122" s="1989"/>
      <c r="L122" s="1989"/>
      <c r="M122" s="1989"/>
      <c r="N122" s="1989"/>
      <c r="O122" s="1989"/>
      <c r="P122" s="1989"/>
      <c r="Q122" s="1989"/>
      <c r="R122" s="1989"/>
      <c r="S122" s="1990"/>
    </row>
    <row r="123" spans="1:19" s="156" customFormat="1" ht="25.5" customHeight="1" thickBot="1">
      <c r="B123" s="357"/>
      <c r="C123" s="522" t="s">
        <v>1791</v>
      </c>
      <c r="D123" s="2011" t="s">
        <v>2458</v>
      </c>
      <c r="E123" s="1863"/>
      <c r="F123" s="1449" t="s">
        <v>3663</v>
      </c>
      <c r="G123" s="1998"/>
      <c r="H123" s="1998"/>
      <c r="I123" s="1998"/>
      <c r="J123" s="1998"/>
      <c r="K123" s="1998"/>
      <c r="L123" s="1998"/>
      <c r="M123" s="1998"/>
      <c r="N123" s="1998"/>
      <c r="O123" s="1998"/>
      <c r="P123" s="1998"/>
      <c r="Q123" s="1998"/>
      <c r="R123" s="1998"/>
      <c r="S123" s="2002"/>
    </row>
    <row r="124" spans="1:19" s="156" customFormat="1" ht="25.5" customHeight="1" thickBot="1">
      <c r="B124" s="357"/>
      <c r="C124" s="522" t="s">
        <v>2246</v>
      </c>
      <c r="D124" s="2011" t="s">
        <v>2450</v>
      </c>
      <c r="E124" s="1863"/>
      <c r="F124" s="1449" t="s">
        <v>3663</v>
      </c>
      <c r="G124" s="1998"/>
      <c r="H124" s="1998"/>
      <c r="I124" s="1998"/>
      <c r="J124" s="1998"/>
      <c r="K124" s="1998"/>
      <c r="L124" s="1998"/>
      <c r="M124" s="1998"/>
      <c r="N124" s="1998"/>
      <c r="O124" s="1998"/>
      <c r="P124" s="1998"/>
      <c r="Q124" s="1998"/>
      <c r="R124" s="1998"/>
      <c r="S124" s="2002"/>
    </row>
    <row r="125" spans="1:19" s="156" customFormat="1" ht="25.5" customHeight="1" thickBot="1">
      <c r="B125" s="357"/>
      <c r="C125" s="522" t="s">
        <v>1132</v>
      </c>
      <c r="D125" s="2011" t="s">
        <v>2412</v>
      </c>
      <c r="E125" s="1863"/>
      <c r="F125" s="1449" t="s">
        <v>3663</v>
      </c>
      <c r="G125" s="1998"/>
      <c r="H125" s="1998"/>
      <c r="I125" s="1998"/>
      <c r="J125" s="1998"/>
      <c r="K125" s="1998"/>
      <c r="L125" s="1998"/>
      <c r="M125" s="1998"/>
      <c r="N125" s="1998"/>
      <c r="O125" s="1998"/>
      <c r="P125" s="1998"/>
      <c r="Q125" s="1998"/>
      <c r="R125" s="1998"/>
      <c r="S125" s="2002"/>
    </row>
    <row r="126" spans="1:19" s="156" customFormat="1" ht="25.5" customHeight="1" thickBot="1">
      <c r="B126" s="357"/>
      <c r="C126" s="522" t="s">
        <v>1133</v>
      </c>
      <c r="D126" s="2011" t="s">
        <v>3012</v>
      </c>
      <c r="E126" s="1863"/>
      <c r="F126" s="1449" t="s">
        <v>3663</v>
      </c>
      <c r="G126" s="1998"/>
      <c r="H126" s="1998"/>
      <c r="I126" s="1998"/>
      <c r="J126" s="1998"/>
      <c r="K126" s="1998"/>
      <c r="L126" s="1998"/>
      <c r="M126" s="1998"/>
      <c r="N126" s="1998"/>
      <c r="O126" s="1998"/>
      <c r="P126" s="1998"/>
      <c r="Q126" s="1998"/>
      <c r="R126" s="1998"/>
      <c r="S126" s="2002"/>
    </row>
    <row r="127" spans="1:19" s="156" customFormat="1" ht="25.5" customHeight="1" thickBot="1">
      <c r="B127" s="357"/>
      <c r="C127" s="522" t="s">
        <v>1690</v>
      </c>
      <c r="D127" s="2011" t="s">
        <v>3013</v>
      </c>
      <c r="E127" s="1863"/>
      <c r="F127" s="1449" t="s">
        <v>3663</v>
      </c>
      <c r="G127" s="1998"/>
      <c r="H127" s="1998"/>
      <c r="I127" s="1998"/>
      <c r="J127" s="1998"/>
      <c r="K127" s="1998"/>
      <c r="L127" s="1998"/>
      <c r="M127" s="1998"/>
      <c r="N127" s="1998"/>
      <c r="O127" s="1998"/>
      <c r="P127" s="1998"/>
      <c r="Q127" s="1998"/>
      <c r="R127" s="1998"/>
      <c r="S127" s="2002"/>
    </row>
    <row r="128" spans="1:19" s="156" customFormat="1" ht="25.5" customHeight="1" thickBot="1">
      <c r="B128" s="357"/>
      <c r="C128" s="522" t="s">
        <v>472</v>
      </c>
      <c r="D128" s="2011" t="s">
        <v>2413</v>
      </c>
      <c r="E128" s="1863"/>
      <c r="F128" s="1449" t="s">
        <v>3663</v>
      </c>
      <c r="G128" s="1998"/>
      <c r="H128" s="1998"/>
      <c r="I128" s="1998"/>
      <c r="J128" s="1998"/>
      <c r="K128" s="1998"/>
      <c r="L128" s="1998"/>
      <c r="M128" s="1998"/>
      <c r="N128" s="1998"/>
      <c r="O128" s="1998"/>
      <c r="P128" s="1998"/>
      <c r="Q128" s="1998"/>
      <c r="R128" s="1998"/>
      <c r="S128" s="2002"/>
    </row>
    <row r="129" spans="1:22" s="156" customFormat="1" ht="25.5" customHeight="1" thickBot="1">
      <c r="B129" s="357"/>
      <c r="C129" s="522" t="s">
        <v>473</v>
      </c>
      <c r="D129" s="2011" t="s">
        <v>3671</v>
      </c>
      <c r="E129" s="1863"/>
      <c r="F129" s="1449" t="s">
        <v>3663</v>
      </c>
      <c r="G129" s="1998"/>
      <c r="H129" s="1998"/>
      <c r="I129" s="1998"/>
      <c r="J129" s="1998"/>
      <c r="K129" s="1998"/>
      <c r="L129" s="1998"/>
      <c r="M129" s="1998"/>
      <c r="N129" s="1998"/>
      <c r="O129" s="1998"/>
      <c r="P129" s="1998"/>
      <c r="Q129" s="1998"/>
      <c r="R129" s="1998"/>
      <c r="S129" s="2002"/>
    </row>
    <row r="130" spans="1:22" s="156" customFormat="1" ht="25.5" customHeight="1" thickBot="1">
      <c r="B130" s="357"/>
      <c r="C130" s="522" t="s">
        <v>198</v>
      </c>
      <c r="D130" s="2012" t="s">
        <v>3672</v>
      </c>
      <c r="E130" s="2013"/>
      <c r="F130" s="1449" t="s">
        <v>3663</v>
      </c>
      <c r="G130" s="2000"/>
      <c r="H130" s="2000"/>
      <c r="I130" s="2000"/>
      <c r="J130" s="2000"/>
      <c r="K130" s="2000"/>
      <c r="L130" s="2000"/>
      <c r="M130" s="2000"/>
      <c r="N130" s="2000"/>
      <c r="O130" s="2000"/>
      <c r="P130" s="2000"/>
      <c r="Q130" s="2000"/>
      <c r="R130" s="2000"/>
      <c r="S130" s="2004"/>
    </row>
    <row r="131" spans="1:22" s="156" customFormat="1" ht="13.15" customHeight="1">
      <c r="A131" s="160" t="s">
        <v>1614</v>
      </c>
      <c r="B131" s="160" t="s">
        <v>2419</v>
      </c>
      <c r="F131" s="160"/>
      <c r="G131" s="162"/>
      <c r="H131" s="162"/>
      <c r="I131" s="162"/>
      <c r="J131" s="162"/>
      <c r="K131" s="162"/>
      <c r="L131" s="162"/>
      <c r="M131" s="162"/>
      <c r="N131" s="162"/>
      <c r="O131" s="162"/>
      <c r="P131" s="162"/>
      <c r="Q131" s="170"/>
    </row>
    <row r="132" spans="1:22" s="156" customFormat="1" ht="2.25" customHeight="1">
      <c r="A132" s="160"/>
      <c r="B132" s="160"/>
      <c r="F132" s="160"/>
      <c r="G132" s="162"/>
      <c r="H132" s="162"/>
      <c r="I132" s="162"/>
      <c r="J132" s="162"/>
      <c r="K132" s="162"/>
      <c r="L132" s="162"/>
      <c r="M132" s="162"/>
      <c r="N132" s="162"/>
      <c r="O132" s="162"/>
      <c r="P132" s="162"/>
      <c r="Q132" s="170"/>
    </row>
    <row r="133" spans="1:22" ht="13.35" customHeight="1">
      <c r="B133" s="160" t="s">
        <v>694</v>
      </c>
      <c r="C133" s="160" t="s">
        <v>3673</v>
      </c>
    </row>
    <row r="134" spans="1:22" s="156" customFormat="1" ht="9.75" customHeight="1">
      <c r="A134" s="2035" t="s">
        <v>595</v>
      </c>
      <c r="B134" s="2022"/>
      <c r="C134" s="2022"/>
      <c r="D134" s="2022"/>
      <c r="E134" s="2014" t="s">
        <v>3004</v>
      </c>
      <c r="F134" s="2015"/>
      <c r="G134" s="2015"/>
      <c r="H134" s="2015"/>
      <c r="I134" s="2016"/>
      <c r="J134" s="1986" t="s">
        <v>3005</v>
      </c>
      <c r="K134" s="2006" t="s">
        <v>2462</v>
      </c>
      <c r="L134" s="2006" t="s">
        <v>2463</v>
      </c>
      <c r="M134" s="1980" t="s">
        <v>3010</v>
      </c>
      <c r="N134" s="1981"/>
      <c r="O134" s="1981"/>
      <c r="P134" s="1981"/>
      <c r="Q134" s="1981"/>
      <c r="R134" s="1981"/>
      <c r="S134" s="1982"/>
    </row>
    <row r="135" spans="1:22" s="156" customFormat="1" ht="9.75" customHeight="1">
      <c r="A135" s="2036"/>
      <c r="B135" s="1863"/>
      <c r="C135" s="1863"/>
      <c r="D135" s="1863"/>
      <c r="E135" s="2017"/>
      <c r="F135" s="2018"/>
      <c r="G135" s="2018"/>
      <c r="H135" s="2018"/>
      <c r="I135" s="2019"/>
      <c r="J135" s="1987"/>
      <c r="K135" s="2007"/>
      <c r="L135" s="2007"/>
      <c r="M135" s="1983"/>
      <c r="N135" s="1984"/>
      <c r="O135" s="1984"/>
      <c r="P135" s="1984"/>
      <c r="Q135" s="1984"/>
      <c r="R135" s="1984"/>
      <c r="S135" s="1985"/>
    </row>
    <row r="136" spans="1:22" s="156" customFormat="1" ht="9.75" customHeight="1">
      <c r="A136" s="2036"/>
      <c r="B136" s="1863"/>
      <c r="C136" s="1863"/>
      <c r="D136" s="1863"/>
      <c r="E136" s="2017"/>
      <c r="F136" s="2018"/>
      <c r="G136" s="2018"/>
      <c r="H136" s="2018"/>
      <c r="I136" s="2019"/>
      <c r="J136" s="1987"/>
      <c r="K136" s="2007"/>
      <c r="L136" s="2007"/>
      <c r="M136" s="1983"/>
      <c r="N136" s="1984"/>
      <c r="O136" s="1984"/>
      <c r="P136" s="1984"/>
      <c r="Q136" s="1984"/>
      <c r="R136" s="1984"/>
      <c r="S136" s="1985"/>
    </row>
    <row r="137" spans="1:22" s="156" customFormat="1" ht="23.25" customHeight="1">
      <c r="A137" s="2036"/>
      <c r="B137" s="1863"/>
      <c r="C137" s="1863"/>
      <c r="D137" s="1863"/>
      <c r="E137" s="2039" t="s">
        <v>3674</v>
      </c>
      <c r="F137" s="2040"/>
      <c r="G137" s="2040"/>
      <c r="H137" s="2041"/>
      <c r="I137" s="527"/>
      <c r="J137" s="1987"/>
      <c r="K137" s="2007"/>
      <c r="L137" s="2007"/>
      <c r="M137" s="1983"/>
      <c r="N137" s="1984"/>
      <c r="O137" s="1984"/>
      <c r="P137" s="1984"/>
      <c r="Q137" s="1984"/>
      <c r="R137" s="1984"/>
      <c r="S137" s="1985"/>
    </row>
    <row r="138" spans="1:22" s="156" customFormat="1" ht="13.5" customHeight="1">
      <c r="A138" s="2037"/>
      <c r="B138" s="2038"/>
      <c r="C138" s="2038"/>
      <c r="D138" s="2038"/>
      <c r="E138" s="2042"/>
      <c r="F138" s="2043"/>
      <c r="G138" s="2043"/>
      <c r="H138" s="2044"/>
      <c r="I138" s="1450" t="s">
        <v>2223</v>
      </c>
      <c r="J138" s="1988"/>
      <c r="K138" s="2008"/>
      <c r="L138" s="2007"/>
      <c r="M138" s="1451" t="s">
        <v>2223</v>
      </c>
      <c r="N138" s="1879" t="s">
        <v>2461</v>
      </c>
      <c r="O138" s="1879"/>
      <c r="P138" s="1879"/>
      <c r="Q138" s="1879"/>
      <c r="R138" s="1879"/>
      <c r="S138" s="2009"/>
    </row>
    <row r="139" spans="1:22" s="156" customFormat="1" ht="24.75" customHeight="1">
      <c r="A139" s="2032" t="s">
        <v>2999</v>
      </c>
      <c r="B139" s="2033"/>
      <c r="C139" s="2033"/>
      <c r="D139" s="2034"/>
      <c r="E139" s="2005"/>
      <c r="F139" s="1989"/>
      <c r="G139" s="1989"/>
      <c r="H139" s="1989"/>
      <c r="I139" s="814" t="s">
        <v>3663</v>
      </c>
      <c r="J139" s="523" t="s">
        <v>3663</v>
      </c>
      <c r="K139" s="528"/>
      <c r="L139" s="817"/>
      <c r="M139" s="529" t="s">
        <v>3663</v>
      </c>
      <c r="N139" s="2010"/>
      <c r="O139" s="1989"/>
      <c r="P139" s="1989"/>
      <c r="Q139" s="1989"/>
      <c r="R139" s="1989"/>
      <c r="S139" s="1990"/>
    </row>
    <row r="140" spans="1:22" s="156" customFormat="1" ht="24.75" customHeight="1">
      <c r="A140" s="2029" t="s">
        <v>3000</v>
      </c>
      <c r="B140" s="2030"/>
      <c r="C140" s="2030"/>
      <c r="D140" s="2031"/>
      <c r="E140" s="1997"/>
      <c r="F140" s="1998"/>
      <c r="G140" s="1998"/>
      <c r="H140" s="1998"/>
      <c r="I140" s="815" t="s">
        <v>3663</v>
      </c>
      <c r="J140" s="524" t="s">
        <v>3663</v>
      </c>
      <c r="K140" s="530"/>
      <c r="L140" s="818"/>
      <c r="M140" s="531" t="s">
        <v>3663</v>
      </c>
      <c r="N140" s="2001"/>
      <c r="O140" s="1998"/>
      <c r="P140" s="1998"/>
      <c r="Q140" s="1998"/>
      <c r="R140" s="1998"/>
      <c r="S140" s="2002"/>
      <c r="U140" s="2045" t="s">
        <v>3675</v>
      </c>
      <c r="V140" s="2045"/>
    </row>
    <row r="141" spans="1:22" s="156" customFormat="1" ht="24.75" customHeight="1">
      <c r="A141" s="2029" t="s">
        <v>3001</v>
      </c>
      <c r="B141" s="2030"/>
      <c r="C141" s="2030"/>
      <c r="D141" s="2031"/>
      <c r="E141" s="1997"/>
      <c r="F141" s="1998"/>
      <c r="G141" s="1998"/>
      <c r="H141" s="1998"/>
      <c r="I141" s="815" t="s">
        <v>3663</v>
      </c>
      <c r="J141" s="524" t="s">
        <v>3663</v>
      </c>
      <c r="K141" s="530"/>
      <c r="L141" s="818"/>
      <c r="M141" s="531" t="s">
        <v>3663</v>
      </c>
      <c r="N141" s="2001"/>
      <c r="O141" s="1998"/>
      <c r="P141" s="1998"/>
      <c r="Q141" s="1998"/>
      <c r="R141" s="1998"/>
      <c r="S141" s="2002"/>
      <c r="U141" s="2045"/>
      <c r="V141" s="2045"/>
    </row>
    <row r="142" spans="1:22" s="156" customFormat="1" ht="24.75" customHeight="1">
      <c r="A142" s="2029" t="s">
        <v>3002</v>
      </c>
      <c r="B142" s="2030"/>
      <c r="C142" s="2030"/>
      <c r="D142" s="2031"/>
      <c r="E142" s="1997"/>
      <c r="F142" s="1998"/>
      <c r="G142" s="1998"/>
      <c r="H142" s="1998"/>
      <c r="I142" s="815" t="s">
        <v>3663</v>
      </c>
      <c r="J142" s="524" t="s">
        <v>3663</v>
      </c>
      <c r="K142" s="530"/>
      <c r="L142" s="818"/>
      <c r="M142" s="531" t="s">
        <v>3663</v>
      </c>
      <c r="N142" s="2001"/>
      <c r="O142" s="1998"/>
      <c r="P142" s="1998"/>
      <c r="Q142" s="1998"/>
      <c r="R142" s="1998"/>
      <c r="S142" s="2002"/>
      <c r="U142" s="2045"/>
      <c r="V142" s="2045"/>
    </row>
    <row r="143" spans="1:22" s="156" customFormat="1" ht="24.75" customHeight="1">
      <c r="A143" s="2029" t="s">
        <v>3003</v>
      </c>
      <c r="B143" s="2030"/>
      <c r="C143" s="2030"/>
      <c r="D143" s="2031"/>
      <c r="E143" s="1997"/>
      <c r="F143" s="1998"/>
      <c r="G143" s="1998"/>
      <c r="H143" s="1998"/>
      <c r="I143" s="815" t="s">
        <v>3663</v>
      </c>
      <c r="J143" s="524" t="s">
        <v>3663</v>
      </c>
      <c r="K143" s="530"/>
      <c r="L143" s="818"/>
      <c r="M143" s="531" t="s">
        <v>3663</v>
      </c>
      <c r="N143" s="2001"/>
      <c r="O143" s="1998"/>
      <c r="P143" s="1998"/>
      <c r="Q143" s="1998"/>
      <c r="R143" s="1998"/>
      <c r="S143" s="2002"/>
      <c r="U143" s="2045"/>
      <c r="V143" s="2045"/>
    </row>
    <row r="144" spans="1:22" s="156" customFormat="1" ht="24.75" customHeight="1">
      <c r="A144" s="2029" t="s">
        <v>2451</v>
      </c>
      <c r="B144" s="2030"/>
      <c r="C144" s="2030"/>
      <c r="D144" s="2031"/>
      <c r="E144" s="1997"/>
      <c r="F144" s="1998"/>
      <c r="G144" s="1998"/>
      <c r="H144" s="1998"/>
      <c r="I144" s="815" t="s">
        <v>3663</v>
      </c>
      <c r="J144" s="524" t="s">
        <v>3663</v>
      </c>
      <c r="K144" s="530"/>
      <c r="L144" s="818"/>
      <c r="M144" s="531" t="s">
        <v>3663</v>
      </c>
      <c r="N144" s="2001"/>
      <c r="O144" s="1998"/>
      <c r="P144" s="1998"/>
      <c r="Q144" s="1998"/>
      <c r="R144" s="1998"/>
      <c r="S144" s="2002"/>
      <c r="U144" s="2045"/>
      <c r="V144" s="2045"/>
    </row>
    <row r="145" spans="1:24" s="156" customFormat="1" ht="24.75" customHeight="1">
      <c r="A145" s="2029" t="s">
        <v>607</v>
      </c>
      <c r="B145" s="2030"/>
      <c r="C145" s="2030"/>
      <c r="D145" s="2031"/>
      <c r="E145" s="1997"/>
      <c r="F145" s="1998"/>
      <c r="G145" s="1998"/>
      <c r="H145" s="1998"/>
      <c r="I145" s="815" t="s">
        <v>3663</v>
      </c>
      <c r="J145" s="524" t="s">
        <v>3663</v>
      </c>
      <c r="K145" s="530"/>
      <c r="L145" s="818"/>
      <c r="M145" s="531" t="s">
        <v>3663</v>
      </c>
      <c r="N145" s="2001"/>
      <c r="O145" s="1998"/>
      <c r="P145" s="1998"/>
      <c r="Q145" s="1998"/>
      <c r="R145" s="1998"/>
      <c r="S145" s="2002"/>
      <c r="U145" s="2045"/>
      <c r="V145" s="2045"/>
    </row>
    <row r="146" spans="1:24" s="156" customFormat="1" ht="24.75" customHeight="1">
      <c r="A146" s="2029" t="s">
        <v>2452</v>
      </c>
      <c r="B146" s="2030"/>
      <c r="C146" s="2030"/>
      <c r="D146" s="2031"/>
      <c r="E146" s="1997"/>
      <c r="F146" s="1998"/>
      <c r="G146" s="1998"/>
      <c r="H146" s="1998"/>
      <c r="I146" s="815" t="s">
        <v>3663</v>
      </c>
      <c r="J146" s="524" t="s">
        <v>3663</v>
      </c>
      <c r="K146" s="530"/>
      <c r="L146" s="818"/>
      <c r="M146" s="531" t="s">
        <v>3663</v>
      </c>
      <c r="N146" s="2001"/>
      <c r="O146" s="1998"/>
      <c r="P146" s="1998"/>
      <c r="Q146" s="1998"/>
      <c r="R146" s="1998"/>
      <c r="S146" s="2002"/>
    </row>
    <row r="147" spans="1:24" s="156" customFormat="1" ht="24.75" customHeight="1">
      <c r="A147" s="2029" t="s">
        <v>2453</v>
      </c>
      <c r="B147" s="2030"/>
      <c r="C147" s="2030"/>
      <c r="D147" s="2031"/>
      <c r="E147" s="1997"/>
      <c r="F147" s="1998"/>
      <c r="G147" s="1998"/>
      <c r="H147" s="1998"/>
      <c r="I147" s="815" t="s">
        <v>3663</v>
      </c>
      <c r="J147" s="524" t="s">
        <v>3663</v>
      </c>
      <c r="K147" s="530"/>
      <c r="L147" s="818"/>
      <c r="M147" s="531" t="s">
        <v>3663</v>
      </c>
      <c r="N147" s="2001"/>
      <c r="O147" s="1998"/>
      <c r="P147" s="1998"/>
      <c r="Q147" s="1998"/>
      <c r="R147" s="1998"/>
      <c r="S147" s="2002"/>
    </row>
    <row r="148" spans="1:24" s="156" customFormat="1" ht="24.75" customHeight="1">
      <c r="A148" s="2029" t="s">
        <v>2455</v>
      </c>
      <c r="B148" s="2030"/>
      <c r="C148" s="2030"/>
      <c r="D148" s="2031"/>
      <c r="E148" s="1997"/>
      <c r="F148" s="1998"/>
      <c r="G148" s="1998"/>
      <c r="H148" s="1998"/>
      <c r="I148" s="815" t="s">
        <v>3663</v>
      </c>
      <c r="J148" s="524" t="s">
        <v>3663</v>
      </c>
      <c r="K148" s="530"/>
      <c r="L148" s="818"/>
      <c r="M148" s="531" t="s">
        <v>3663</v>
      </c>
      <c r="N148" s="2001"/>
      <c r="O148" s="1998"/>
      <c r="P148" s="1998"/>
      <c r="Q148" s="1998"/>
      <c r="R148" s="1998"/>
      <c r="S148" s="2002"/>
    </row>
    <row r="149" spans="1:24" s="156" customFormat="1" ht="24.75" customHeight="1">
      <c r="A149" s="2029" t="s">
        <v>2454</v>
      </c>
      <c r="B149" s="2030"/>
      <c r="C149" s="2030"/>
      <c r="D149" s="2031"/>
      <c r="E149" s="1997"/>
      <c r="F149" s="1998"/>
      <c r="G149" s="1998"/>
      <c r="H149" s="1998"/>
      <c r="I149" s="815" t="s">
        <v>3663</v>
      </c>
      <c r="J149" s="524" t="s">
        <v>3663</v>
      </c>
      <c r="K149" s="530"/>
      <c r="L149" s="818"/>
      <c r="M149" s="531" t="s">
        <v>3663</v>
      </c>
      <c r="N149" s="2001"/>
      <c r="O149" s="1998"/>
      <c r="P149" s="1998"/>
      <c r="Q149" s="1998"/>
      <c r="R149" s="1998"/>
      <c r="S149" s="2002"/>
    </row>
    <row r="150" spans="1:24" s="156" customFormat="1" ht="24.75" customHeight="1">
      <c r="A150" s="2029" t="s">
        <v>1392</v>
      </c>
      <c r="B150" s="2030"/>
      <c r="C150" s="2030"/>
      <c r="D150" s="2031"/>
      <c r="E150" s="1997"/>
      <c r="F150" s="1998"/>
      <c r="G150" s="1998"/>
      <c r="H150" s="1998"/>
      <c r="I150" s="815" t="s">
        <v>3663</v>
      </c>
      <c r="J150" s="524" t="s">
        <v>3663</v>
      </c>
      <c r="K150" s="530"/>
      <c r="L150" s="818"/>
      <c r="M150" s="531" t="s">
        <v>3663</v>
      </c>
      <c r="N150" s="2001"/>
      <c r="O150" s="1998"/>
      <c r="P150" s="1998"/>
      <c r="Q150" s="1998"/>
      <c r="R150" s="1998"/>
      <c r="S150" s="2002"/>
    </row>
    <row r="151" spans="1:24" s="156" customFormat="1" ht="24.75" customHeight="1">
      <c r="A151" s="2026" t="s">
        <v>2456</v>
      </c>
      <c r="B151" s="2027"/>
      <c r="C151" s="2027"/>
      <c r="D151" s="2028"/>
      <c r="E151" s="1999"/>
      <c r="F151" s="2000"/>
      <c r="G151" s="2000"/>
      <c r="H151" s="2000"/>
      <c r="I151" s="816" t="s">
        <v>3663</v>
      </c>
      <c r="J151" s="525" t="s">
        <v>3663</v>
      </c>
      <c r="K151" s="532"/>
      <c r="L151" s="819"/>
      <c r="M151" s="533" t="s">
        <v>3663</v>
      </c>
      <c r="N151" s="2003"/>
      <c r="O151" s="2000"/>
      <c r="P151" s="2000"/>
      <c r="Q151" s="2000"/>
      <c r="R151" s="2000"/>
      <c r="S151" s="2004"/>
    </row>
    <row r="152" spans="1:24" s="169" customFormat="1" ht="12" customHeight="1">
      <c r="G152" s="174"/>
      <c r="H152" s="174"/>
      <c r="I152" s="174"/>
      <c r="J152" s="162"/>
      <c r="K152" s="193" t="s">
        <v>503</v>
      </c>
      <c r="L152" s="407">
        <f>SUM(L139:L151)</f>
        <v>0</v>
      </c>
      <c r="M152" s="162"/>
      <c r="P152" s="172"/>
      <c r="R152" s="406"/>
      <c r="S152" s="406"/>
    </row>
    <row r="153" spans="1:24" ht="11.25" customHeight="1">
      <c r="A153" s="194" t="s">
        <v>1616</v>
      </c>
      <c r="B153" s="199"/>
      <c r="C153" s="194" t="s">
        <v>531</v>
      </c>
      <c r="N153" s="194" t="s">
        <v>494</v>
      </c>
      <c r="O153" s="194" t="s">
        <v>74</v>
      </c>
    </row>
    <row r="154" spans="1:24" ht="60" customHeight="1">
      <c r="A154" s="1880"/>
      <c r="B154" s="1881"/>
      <c r="C154" s="1881"/>
      <c r="D154" s="1881"/>
      <c r="E154" s="1881"/>
      <c r="F154" s="1881"/>
      <c r="G154" s="1881"/>
      <c r="H154" s="1881"/>
      <c r="I154" s="1881"/>
      <c r="J154" s="1881"/>
      <c r="K154" s="1881"/>
      <c r="L154" s="1881"/>
      <c r="M154" s="1882"/>
      <c r="N154" s="1883"/>
      <c r="O154" s="1884"/>
      <c r="P154" s="1884"/>
      <c r="Q154" s="1884"/>
      <c r="R154" s="1884"/>
      <c r="S154" s="1885"/>
      <c r="T154" s="1940" t="s">
        <v>2342</v>
      </c>
      <c r="U154" s="1940"/>
      <c r="V154" s="1940"/>
      <c r="W154" s="1940"/>
      <c r="X154" s="1940"/>
    </row>
    <row r="155" spans="1:24" s="156" customFormat="1" ht="12" customHeight="1">
      <c r="A155" s="165"/>
      <c r="B155" s="184"/>
      <c r="C155" s="184"/>
      <c r="D155" s="184"/>
      <c r="E155" s="184"/>
      <c r="F155" s="184"/>
      <c r="G155" s="184"/>
      <c r="H155" s="184"/>
      <c r="I155" s="184"/>
      <c r="J155" s="184"/>
      <c r="K155" s="184"/>
      <c r="L155" s="184"/>
      <c r="M155" s="184"/>
      <c r="N155" s="184"/>
      <c r="O155" s="184"/>
      <c r="T155" s="1940"/>
      <c r="U155" s="1940"/>
      <c r="V155" s="1940"/>
      <c r="W155" s="1940"/>
      <c r="X155" s="1940"/>
    </row>
    <row r="156" spans="1:24" s="156" customFormat="1" ht="12" customHeight="1">
      <c r="A156" s="159"/>
      <c r="B156" s="184"/>
      <c r="C156" s="184"/>
      <c r="D156" s="184"/>
      <c r="E156" s="184"/>
      <c r="F156" s="184"/>
      <c r="G156" s="184"/>
      <c r="H156" s="184"/>
      <c r="I156" s="184"/>
      <c r="J156" s="184"/>
      <c r="K156" s="184"/>
      <c r="L156" s="184"/>
      <c r="M156" s="184"/>
      <c r="N156" s="184"/>
      <c r="O156" s="184"/>
    </row>
    <row r="157" spans="1:24" s="156" customFormat="1" ht="12" customHeight="1">
      <c r="A157" s="165"/>
      <c r="B157" s="184"/>
      <c r="C157" s="184"/>
      <c r="D157" s="184"/>
      <c r="E157" s="184"/>
      <c r="F157" s="184"/>
      <c r="G157" s="184"/>
      <c r="H157" s="184"/>
      <c r="I157" s="184"/>
      <c r="J157" s="184"/>
      <c r="K157" s="184"/>
      <c r="L157" s="184"/>
      <c r="M157" s="184"/>
      <c r="N157" s="184"/>
      <c r="O157" s="184"/>
    </row>
    <row r="158" spans="1:24" s="156" customFormat="1" ht="12" customHeight="1">
      <c r="A158" s="165"/>
      <c r="B158" s="184"/>
      <c r="C158" s="184"/>
      <c r="D158" s="184"/>
      <c r="E158" s="184"/>
      <c r="F158" s="184"/>
      <c r="G158" s="184"/>
      <c r="H158" s="184"/>
      <c r="I158" s="184"/>
      <c r="J158" s="184"/>
      <c r="K158" s="184"/>
      <c r="L158" s="184"/>
      <c r="M158" s="184"/>
      <c r="N158" s="184"/>
      <c r="O158" s="184"/>
    </row>
    <row r="159" spans="1:24" s="156" customFormat="1" ht="12" customHeight="1">
      <c r="B159" s="184"/>
      <c r="C159" s="184"/>
      <c r="D159" s="184"/>
      <c r="E159" s="184"/>
      <c r="F159" s="184"/>
      <c r="G159" s="184"/>
      <c r="H159" s="184"/>
      <c r="I159" s="184"/>
      <c r="J159" s="184"/>
      <c r="K159" s="184"/>
      <c r="L159" s="184"/>
      <c r="M159" s="184"/>
      <c r="N159" s="184"/>
      <c r="O159" s="184"/>
      <c r="P159" s="225" t="s">
        <v>1619</v>
      </c>
    </row>
    <row r="160" spans="1:24" s="156" customFormat="1" ht="12" customHeight="1">
      <c r="A160" s="201"/>
      <c r="B160" s="184"/>
      <c r="C160" s="184"/>
      <c r="D160" s="184"/>
      <c r="E160" s="184"/>
      <c r="F160" s="184"/>
      <c r="G160" s="184"/>
      <c r="H160" s="184"/>
      <c r="I160" s="184"/>
      <c r="J160" s="184"/>
      <c r="K160" s="184"/>
      <c r="L160" s="184"/>
      <c r="M160" s="184"/>
      <c r="N160" s="184"/>
      <c r="O160" s="184"/>
      <c r="P160" s="226" t="s">
        <v>777</v>
      </c>
    </row>
    <row r="161" spans="1:16" s="156" customFormat="1" ht="12" customHeight="1">
      <c r="A161" s="201"/>
      <c r="B161" s="184"/>
      <c r="C161" s="184"/>
      <c r="D161" s="184"/>
      <c r="E161" s="184"/>
      <c r="F161" s="184"/>
      <c r="G161" s="184"/>
      <c r="H161" s="184"/>
      <c r="I161" s="184"/>
      <c r="J161" s="184"/>
      <c r="K161" s="184"/>
      <c r="L161" s="184"/>
      <c r="M161" s="184"/>
      <c r="N161" s="184"/>
      <c r="O161" s="184"/>
      <c r="P161" s="226" t="s">
        <v>778</v>
      </c>
    </row>
    <row r="162" spans="1:16" s="156" customFormat="1" ht="12" customHeight="1">
      <c r="A162" s="201"/>
      <c r="B162" s="184"/>
      <c r="C162" s="184"/>
      <c r="D162" s="184"/>
      <c r="E162" s="184"/>
      <c r="F162" s="184"/>
      <c r="G162" s="184"/>
      <c r="H162" s="184"/>
      <c r="I162" s="184"/>
      <c r="J162" s="184"/>
      <c r="K162" s="184"/>
      <c r="L162" s="184"/>
      <c r="M162" s="184"/>
      <c r="N162" s="184"/>
      <c r="O162" s="184"/>
      <c r="P162" s="226" t="s">
        <v>779</v>
      </c>
    </row>
    <row r="163" spans="1:16" s="156" customFormat="1" ht="12" customHeight="1">
      <c r="A163" s="159"/>
      <c r="B163" s="184"/>
      <c r="C163" s="184"/>
      <c r="D163" s="184"/>
      <c r="E163" s="184"/>
      <c r="F163" s="184"/>
      <c r="G163" s="184"/>
      <c r="H163" s="184"/>
      <c r="I163" s="184"/>
      <c r="J163" s="184"/>
      <c r="K163" s="184"/>
      <c r="L163" s="184"/>
      <c r="M163" s="184"/>
      <c r="N163" s="184"/>
      <c r="O163" s="184"/>
      <c r="P163" s="226" t="s">
        <v>780</v>
      </c>
    </row>
    <row r="164" spans="1:16" s="156" customFormat="1" ht="12" customHeight="1">
      <c r="B164" s="184"/>
      <c r="C164" s="184"/>
      <c r="D164" s="184"/>
      <c r="E164" s="184"/>
      <c r="F164" s="184"/>
      <c r="G164" s="184"/>
      <c r="H164" s="184"/>
      <c r="I164" s="184"/>
      <c r="J164" s="184"/>
      <c r="K164" s="184"/>
      <c r="L164" s="184"/>
      <c r="M164" s="184"/>
      <c r="N164" s="184"/>
      <c r="O164" s="184"/>
      <c r="P164" s="226" t="s">
        <v>781</v>
      </c>
    </row>
    <row r="165" spans="1:16" s="156" customFormat="1" ht="12" customHeight="1">
      <c r="B165" s="184"/>
      <c r="C165" s="184"/>
      <c r="D165" s="184"/>
      <c r="E165" s="184"/>
      <c r="F165" s="184"/>
      <c r="G165" s="184"/>
      <c r="H165" s="184"/>
      <c r="I165" s="184"/>
      <c r="J165" s="184"/>
      <c r="K165" s="184"/>
      <c r="L165" s="184"/>
      <c r="M165" s="184"/>
      <c r="N165" s="184"/>
      <c r="O165" s="184"/>
      <c r="P165" s="226" t="s">
        <v>782</v>
      </c>
    </row>
    <row r="166" spans="1:16" s="156" customFormat="1" ht="12" customHeight="1">
      <c r="B166" s="184"/>
      <c r="C166" s="184"/>
      <c r="D166" s="184"/>
      <c r="E166" s="184"/>
      <c r="F166" s="184"/>
      <c r="G166" s="184"/>
      <c r="H166" s="184"/>
      <c r="I166" s="184"/>
      <c r="J166" s="184"/>
      <c r="K166" s="184"/>
      <c r="L166" s="184"/>
      <c r="M166" s="184"/>
      <c r="N166" s="184"/>
      <c r="O166" s="184"/>
      <c r="P166" s="226" t="s">
        <v>783</v>
      </c>
    </row>
    <row r="167" spans="1:16" s="156" customFormat="1" ht="12" customHeight="1">
      <c r="B167" s="184"/>
      <c r="C167" s="184"/>
      <c r="D167" s="184"/>
      <c r="E167" s="184"/>
      <c r="F167" s="184"/>
      <c r="G167" s="184"/>
      <c r="H167" s="184"/>
      <c r="I167" s="184"/>
      <c r="J167" s="184"/>
      <c r="K167" s="184"/>
      <c r="L167" s="184"/>
      <c r="M167" s="184"/>
      <c r="N167" s="184"/>
      <c r="O167" s="184"/>
      <c r="P167" s="226" t="s">
        <v>784</v>
      </c>
    </row>
    <row r="168" spans="1:16" ht="12" customHeight="1">
      <c r="P168" s="226" t="s">
        <v>785</v>
      </c>
    </row>
    <row r="169" spans="1:16" ht="12" customHeight="1">
      <c r="A169" s="194"/>
      <c r="P169" s="226" t="s">
        <v>786</v>
      </c>
    </row>
    <row r="170" spans="1:16" ht="12" customHeight="1">
      <c r="P170" s="226" t="s">
        <v>787</v>
      </c>
    </row>
    <row r="171" spans="1:16" ht="12" customHeight="1">
      <c r="P171" s="226" t="s">
        <v>788</v>
      </c>
    </row>
    <row r="172" spans="1:16" ht="12" customHeight="1">
      <c r="P172" s="226" t="s">
        <v>789</v>
      </c>
    </row>
    <row r="173" spans="1:16" ht="12" customHeight="1">
      <c r="P173" s="226" t="s">
        <v>790</v>
      </c>
    </row>
    <row r="174" spans="1:16" ht="12" customHeight="1">
      <c r="P174" s="226" t="s">
        <v>791</v>
      </c>
    </row>
    <row r="175" spans="1:16" ht="12" customHeight="1">
      <c r="P175" s="226" t="s">
        <v>792</v>
      </c>
    </row>
    <row r="176" spans="1:16" ht="12" customHeight="1">
      <c r="P176" s="226" t="s">
        <v>793</v>
      </c>
    </row>
    <row r="177" spans="16:16" ht="12" customHeight="1">
      <c r="P177" s="226" t="s">
        <v>794</v>
      </c>
    </row>
    <row r="178" spans="16:16" ht="12" customHeight="1">
      <c r="P178" s="226" t="s">
        <v>795</v>
      </c>
    </row>
    <row r="179" spans="16:16" ht="12" customHeight="1">
      <c r="P179" s="226" t="s">
        <v>796</v>
      </c>
    </row>
    <row r="180" spans="16:16" ht="12" customHeight="1">
      <c r="P180" s="226" t="s">
        <v>797</v>
      </c>
    </row>
    <row r="181" spans="16:16" ht="12" customHeight="1">
      <c r="P181" s="226" t="s">
        <v>798</v>
      </c>
    </row>
    <row r="182" spans="16:16" ht="12" customHeight="1">
      <c r="P182" s="226" t="s">
        <v>799</v>
      </c>
    </row>
    <row r="183" spans="16:16" ht="12" customHeight="1">
      <c r="P183" s="226" t="s">
        <v>800</v>
      </c>
    </row>
    <row r="184" spans="16:16" ht="12" customHeight="1">
      <c r="P184" s="226" t="s">
        <v>801</v>
      </c>
    </row>
    <row r="185" spans="16:16" ht="12" customHeight="1">
      <c r="P185" s="226" t="s">
        <v>1240</v>
      </c>
    </row>
    <row r="186" spans="16:16" ht="12" customHeight="1">
      <c r="P186" s="226" t="s">
        <v>1241</v>
      </c>
    </row>
    <row r="187" spans="16:16" ht="12" customHeight="1">
      <c r="P187" s="226" t="s">
        <v>1242</v>
      </c>
    </row>
    <row r="188" spans="16:16" ht="12" customHeight="1">
      <c r="P188" s="226" t="s">
        <v>1243</v>
      </c>
    </row>
    <row r="189" spans="16:16" ht="12" customHeight="1">
      <c r="P189" s="226" t="s">
        <v>1244</v>
      </c>
    </row>
    <row r="190" spans="16:16" ht="13.5">
      <c r="P190" s="226" t="s">
        <v>1245</v>
      </c>
    </row>
    <row r="191" spans="16:16" ht="12" customHeight="1">
      <c r="P191" s="226" t="s">
        <v>1246</v>
      </c>
    </row>
    <row r="192" spans="16:16" ht="12" customHeight="1">
      <c r="P192" s="226" t="s">
        <v>1247</v>
      </c>
    </row>
    <row r="193" spans="16:16" ht="12" customHeight="1">
      <c r="P193" s="226" t="s">
        <v>1248</v>
      </c>
    </row>
    <row r="194" spans="16:16" ht="12" customHeight="1">
      <c r="P194" s="226" t="s">
        <v>1249</v>
      </c>
    </row>
    <row r="195" spans="16:16" ht="12" customHeight="1">
      <c r="P195" s="226" t="s">
        <v>1250</v>
      </c>
    </row>
    <row r="196" spans="16:16" ht="12" customHeight="1">
      <c r="P196" s="226" t="s">
        <v>1251</v>
      </c>
    </row>
    <row r="197" spans="16:16" ht="12" customHeight="1">
      <c r="P197" s="226" t="s">
        <v>1252</v>
      </c>
    </row>
    <row r="198" spans="16:16" ht="12" customHeight="1">
      <c r="P198" s="226" t="s">
        <v>1253</v>
      </c>
    </row>
    <row r="199" spans="16:16" ht="12" customHeight="1">
      <c r="P199" s="226" t="s">
        <v>1254</v>
      </c>
    </row>
    <row r="200" spans="16:16" ht="12" customHeight="1">
      <c r="P200" s="226" t="s">
        <v>1255</v>
      </c>
    </row>
    <row r="201" spans="16:16" ht="12" customHeight="1">
      <c r="P201" s="226" t="s">
        <v>1256</v>
      </c>
    </row>
    <row r="202" spans="16:16" ht="12" customHeight="1">
      <c r="P202" s="226" t="s">
        <v>1257</v>
      </c>
    </row>
    <row r="203" spans="16:16" ht="12" customHeight="1">
      <c r="P203" s="226" t="s">
        <v>1258</v>
      </c>
    </row>
    <row r="204" spans="16:16" ht="12" customHeight="1">
      <c r="P204" s="226" t="s">
        <v>1259</v>
      </c>
    </row>
    <row r="205" spans="16:16" ht="12" customHeight="1">
      <c r="P205" s="226" t="s">
        <v>1260</v>
      </c>
    </row>
    <row r="206" spans="16:16" ht="12" customHeight="1">
      <c r="P206" s="226" t="s">
        <v>1261</v>
      </c>
    </row>
    <row r="207" spans="16:16" ht="12" customHeight="1">
      <c r="P207" s="226" t="s">
        <v>1262</v>
      </c>
    </row>
    <row r="208" spans="16:16" ht="12" customHeight="1">
      <c r="P208" s="226" t="s">
        <v>1263</v>
      </c>
    </row>
    <row r="209" spans="16:16" ht="12" customHeight="1">
      <c r="P209" s="226" t="s">
        <v>1264</v>
      </c>
    </row>
    <row r="210" spans="16:16" ht="12" customHeight="1">
      <c r="P210" s="226" t="s">
        <v>1265</v>
      </c>
    </row>
  </sheetData>
  <sheetProtection algorithmName="SHA-512" hashValue="mMhzcoAbwcMYVWLp38TS9/5+Eex5/r74l5d2woc44UA+m5hv+puUmfeoBWjWxuXYoLNjLJ8av3N/ehayXnq55A==" saltValue="jUveoeqch1bqLx80OILhsA==" spinCount="100000" sheet="1" objects="1" scenarios="1" formatRows="0"/>
  <mergeCells count="267">
    <mergeCell ref="U140:V145"/>
    <mergeCell ref="L9:S9"/>
    <mergeCell ref="L17:M17"/>
    <mergeCell ref="L18:S18"/>
    <mergeCell ref="L23:M23"/>
    <mergeCell ref="L24:S24"/>
    <mergeCell ref="L29:M29"/>
    <mergeCell ref="L30:S30"/>
    <mergeCell ref="L36:M36"/>
    <mergeCell ref="L37:S37"/>
    <mergeCell ref="H110:N110"/>
    <mergeCell ref="Q110:S110"/>
    <mergeCell ref="H111:N111"/>
    <mergeCell ref="Q111:S111"/>
    <mergeCell ref="Q107:S107"/>
    <mergeCell ref="H108:I108"/>
    <mergeCell ref="L107:M107"/>
    <mergeCell ref="L108:S108"/>
    <mergeCell ref="H105:N105"/>
    <mergeCell ref="Q105:S105"/>
    <mergeCell ref="H106:J106"/>
    <mergeCell ref="Q106:S106"/>
    <mergeCell ref="H102:I102"/>
    <mergeCell ref="H104:N104"/>
    <mergeCell ref="A121:E121"/>
    <mergeCell ref="D122:E122"/>
    <mergeCell ref="G121:S121"/>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29:S129"/>
    <mergeCell ref="G128:S128"/>
    <mergeCell ref="G127:S127"/>
    <mergeCell ref="G126:S126"/>
    <mergeCell ref="G125:S125"/>
    <mergeCell ref="E146:H146"/>
    <mergeCell ref="E147:H147"/>
    <mergeCell ref="N140:S140"/>
    <mergeCell ref="N141:S141"/>
    <mergeCell ref="N142:S142"/>
    <mergeCell ref="N143:S143"/>
    <mergeCell ref="N144:S144"/>
    <mergeCell ref="N145:S145"/>
    <mergeCell ref="G123:S123"/>
    <mergeCell ref="D129:E129"/>
    <mergeCell ref="D128:E128"/>
    <mergeCell ref="D125:E125"/>
    <mergeCell ref="D126:E126"/>
    <mergeCell ref="D124:E124"/>
    <mergeCell ref="D123:E123"/>
    <mergeCell ref="G124:S124"/>
    <mergeCell ref="D127:E127"/>
    <mergeCell ref="D130:E130"/>
    <mergeCell ref="G130:S130"/>
    <mergeCell ref="E134:I136"/>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H112:J112"/>
    <mergeCell ref="Q112:S112"/>
    <mergeCell ref="Q113:S113"/>
    <mergeCell ref="L112:N112"/>
    <mergeCell ref="H114:I114"/>
    <mergeCell ref="M134:S137"/>
    <mergeCell ref="J134:J138"/>
    <mergeCell ref="G122:S122"/>
    <mergeCell ref="L113:M113"/>
    <mergeCell ref="L114:S114"/>
    <mergeCell ref="H117:J117"/>
    <mergeCell ref="L117:N117"/>
    <mergeCell ref="Q117:S117"/>
    <mergeCell ref="H118:N118"/>
    <mergeCell ref="Q118:S118"/>
    <mergeCell ref="J119:K119"/>
    <mergeCell ref="M119:S119"/>
    <mergeCell ref="Q104:S104"/>
    <mergeCell ref="L106:N106"/>
    <mergeCell ref="L102:S102"/>
    <mergeCell ref="H100:J100"/>
    <mergeCell ref="Q100:S100"/>
    <mergeCell ref="Q101:S101"/>
    <mergeCell ref="L100:N100"/>
    <mergeCell ref="H98:N98"/>
    <mergeCell ref="Q98:S98"/>
    <mergeCell ref="H99:N99"/>
    <mergeCell ref="Q99:S99"/>
    <mergeCell ref="L101:M101"/>
    <mergeCell ref="Q95:S95"/>
    <mergeCell ref="H96:I96"/>
    <mergeCell ref="H93:N93"/>
    <mergeCell ref="Q93:S93"/>
    <mergeCell ref="H94:J94"/>
    <mergeCell ref="Q94:S94"/>
    <mergeCell ref="L95:M95"/>
    <mergeCell ref="L96:S96"/>
    <mergeCell ref="H90:I90"/>
    <mergeCell ref="H92:N92"/>
    <mergeCell ref="Q92:S92"/>
    <mergeCell ref="L94:N94"/>
    <mergeCell ref="H88:J88"/>
    <mergeCell ref="Q88:S88"/>
    <mergeCell ref="Q89:S89"/>
    <mergeCell ref="L88:N88"/>
    <mergeCell ref="L89:M89"/>
    <mergeCell ref="L90:S90"/>
    <mergeCell ref="H86:N86"/>
    <mergeCell ref="Q86:S86"/>
    <mergeCell ref="H87:N87"/>
    <mergeCell ref="Q87:S87"/>
    <mergeCell ref="Q83:S83"/>
    <mergeCell ref="H84:I84"/>
    <mergeCell ref="L83:M83"/>
    <mergeCell ref="L84:S84"/>
    <mergeCell ref="H81:N81"/>
    <mergeCell ref="Q81:S81"/>
    <mergeCell ref="H82:J82"/>
    <mergeCell ref="Q82:S82"/>
    <mergeCell ref="H76:I76"/>
    <mergeCell ref="H80:N80"/>
    <mergeCell ref="Q80:S80"/>
    <mergeCell ref="L82:N82"/>
    <mergeCell ref="L76:S76"/>
    <mergeCell ref="Q75:S75"/>
    <mergeCell ref="H72:N72"/>
    <mergeCell ref="Q72:S72"/>
    <mergeCell ref="H73:N73"/>
    <mergeCell ref="Q73:S73"/>
    <mergeCell ref="Q69:S69"/>
    <mergeCell ref="H70:I70"/>
    <mergeCell ref="L69:M69"/>
    <mergeCell ref="L70:S70"/>
    <mergeCell ref="L75:M75"/>
    <mergeCell ref="Q67:S67"/>
    <mergeCell ref="H68:J68"/>
    <mergeCell ref="Q68:S68"/>
    <mergeCell ref="H64:I64"/>
    <mergeCell ref="H66:N66"/>
    <mergeCell ref="Q66:S66"/>
    <mergeCell ref="H74:J74"/>
    <mergeCell ref="Q74:S74"/>
    <mergeCell ref="L68:N68"/>
    <mergeCell ref="L74:N74"/>
    <mergeCell ref="H67:N67"/>
    <mergeCell ref="L64:S64"/>
    <mergeCell ref="Q63:S63"/>
    <mergeCell ref="H60:N60"/>
    <mergeCell ref="Q60:S60"/>
    <mergeCell ref="H61:N61"/>
    <mergeCell ref="Q61:S61"/>
    <mergeCell ref="Q57:S57"/>
    <mergeCell ref="H58:I58"/>
    <mergeCell ref="L57:M57"/>
    <mergeCell ref="L58:S58"/>
    <mergeCell ref="L63:M63"/>
    <mergeCell ref="Q55:S55"/>
    <mergeCell ref="H56:J56"/>
    <mergeCell ref="Q56:S56"/>
    <mergeCell ref="H50:I50"/>
    <mergeCell ref="H54:N54"/>
    <mergeCell ref="Q54:S54"/>
    <mergeCell ref="H62:J62"/>
    <mergeCell ref="Q62:S62"/>
    <mergeCell ref="L56:N56"/>
    <mergeCell ref="L62:N62"/>
    <mergeCell ref="H55:N55"/>
    <mergeCell ref="L50:S50"/>
    <mergeCell ref="Q49:S49"/>
    <mergeCell ref="H46:N46"/>
    <mergeCell ref="Q46:S46"/>
    <mergeCell ref="H47:N47"/>
    <mergeCell ref="Q47:S47"/>
    <mergeCell ref="Q42:S42"/>
    <mergeCell ref="H43:I43"/>
    <mergeCell ref="L42:M42"/>
    <mergeCell ref="L43:S43"/>
    <mergeCell ref="L49:M49"/>
    <mergeCell ref="Q40:S40"/>
    <mergeCell ref="H41:J41"/>
    <mergeCell ref="Q41:S41"/>
    <mergeCell ref="H37:I37"/>
    <mergeCell ref="H39:N39"/>
    <mergeCell ref="Q39:S39"/>
    <mergeCell ref="H48:J48"/>
    <mergeCell ref="Q48:S48"/>
    <mergeCell ref="L41:N41"/>
    <mergeCell ref="L48:N48"/>
    <mergeCell ref="H40:N40"/>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A1:S1"/>
    <mergeCell ref="H5:N5"/>
    <mergeCell ref="Q5:S5"/>
    <mergeCell ref="H6:N6"/>
    <mergeCell ref="Q6:S6"/>
    <mergeCell ref="H7:J7"/>
    <mergeCell ref="Q7:S7"/>
    <mergeCell ref="J8:K8"/>
    <mergeCell ref="Q8:S8"/>
    <mergeCell ref="L7:N7"/>
    <mergeCell ref="M8:N8"/>
  </mergeCells>
  <phoneticPr fontId="7" type="noConversion"/>
  <dataValidations count="9">
    <dataValidation type="list" allowBlank="1" showErrorMessage="1" sqref="K139:K151" xr:uid="{00000000-0002-0000-0300-00000000000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44:M44 R59:S59 O38:P38 L25:M25 Q28:Q29 O109:P109 L85:M85 R109:S109 Q100:Q101 L97:M97 L91:M91 O79:P79 R97:S97 R79:S79 L79:M79 L59:M59 L71:M71 O53:P53 R53:S53 L53:M53 R71:S71 O85:P85 O97:P97 R85:S85 Q7:Q8 R65:S65 Q62:Q63 L38:M38 Q82:Q83 O91:P91 O65:P65 O59:P59 Q41:Q42 O71:P71 Q16:Q17 L65:M65 R91:S91 Q68:Q69 Q48:Q49 Q74:Q75 R25:S25 O44:P44 Q56:Q57 L109:M109 Q35:Q36 R44:S44 R19:S19 O19:P19 L19:M19 Q106:Q107 Q88:Q89 O25:P25 R38:S38 Q94:Q95 Q22:Q23 Q112:Q113" xr:uid="{00000000-0002-0000-0300-000001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96:H97 H90:H91 H102 H70:H71 H76 H43 H64:H65 H79 H50 H108:H109 H53 H58:H59 H84:H85 H30 H37:H38 H44:I44 H24:H25 H18:H19 H9:H10 H114" xr:uid="{00000000-0002-0000-0300-000002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L107:M107 J8:K8 L17:M17 L23:M23 L29:M29 L36:M36 L42:M42 L49:M49 L57:M57 L63:M63 L69:M69 L75:M75 L83:M83 L89:M89 L95:M95 L101:M101 L113:M113 J119:K119" xr:uid="{00000000-0002-0000-0300-000003000000}">
      <formula1>1000000</formula1>
      <formula2>999999999</formula2>
    </dataValidation>
    <dataValidation type="list" allowBlank="1" showInputMessage="1" showErrorMessage="1" sqref="M8:N8" xr:uid="{00000000-0002-0000-0300-000005000000}">
      <formula1>"For Profit, Non Profit, CHDO, Joint Venture"</formula1>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113 H83 H89 H95 H101 H107" xr:uid="{00000000-0002-0000-0300-000006000000}">
      <formula1>$P$160:$P$210</formula1>
    </dataValidation>
    <dataValidation type="list" allowBlank="1" showErrorMessage="1" sqref="F122:F130" xr:uid="{00000000-0002-0000-0300-000007000000}">
      <formula1>"Select,Yes, No"</formula1>
    </dataValidation>
    <dataValidation type="list" allowBlank="1" showErrorMessage="1" sqref="I139:J151 M139:M151" xr:uid="{00000000-0002-0000-0300-000008000000}">
      <formula1>"Select, Yes, No"</formula1>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75 H69 H63 H57 H8 H17 H23 H29 H36 H42 H49" xr:uid="{D0DD696D-0788-4CC4-A286-41FA6AA85AFE}">
      <formula1>$P$160:$P$214</formula1>
    </dataValidation>
  </dataValidations>
  <hyperlinks>
    <hyperlink ref="N12" r:id="rId1" xr:uid="{00000000-0004-0000-0300-000000000000}"/>
  </hyperlinks>
  <printOptions horizontalCentered="1"/>
  <pageMargins left="0.5" right="0.5" top="0.75" bottom="0.5" header="0.5" footer="0.25"/>
  <pageSetup fitToHeight="0" orientation="landscape" r:id="rId2"/>
  <headerFooter alignWithMargins="0">
    <oddHeader>&amp;LGeorgia Department of Community Affairs&amp;COHF Final Cost Certification Application&amp;RHousing Finance and Development Division</oddHeader>
    <oddFooter>&amp;L&amp;"Arial Narrow,Regular"&amp;G &amp;F&amp;C&amp;"Arial Narrow,Regular"&amp;A&amp;R&amp;"Arial Narrow,Regular"&amp;P of &amp;N</oddFooter>
  </headerFooter>
  <rowBreaks count="2" manualBreakCount="2">
    <brk id="96" max="16383" man="1"/>
    <brk id="130"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W87"/>
  <sheetViews>
    <sheetView showGridLines="0" zoomScaleNormal="100" zoomScaleSheetLayoutView="90" workbookViewId="0">
      <selection activeCell="B4" sqref="B4"/>
    </sheetView>
  </sheetViews>
  <sheetFormatPr defaultColWidth="9.140625" defaultRowHeight="13.5"/>
  <cols>
    <col min="1" max="1" width="4.28515625" style="227" customWidth="1"/>
    <col min="2" max="17" width="8.140625" style="227" customWidth="1"/>
    <col min="18" max="18" width="3.28515625" style="227" customWidth="1"/>
    <col min="19" max="19" width="13.5703125" style="227" customWidth="1"/>
    <col min="20" max="20" width="98.7109375" style="227" customWidth="1"/>
    <col min="21" max="16384" width="9.140625" style="227"/>
  </cols>
  <sheetData>
    <row r="1" spans="1:20" s="135" customFormat="1" ht="13.9" customHeight="1">
      <c r="A1" s="1964" t="str">
        <f>CONCATENATE("PART THREE - SOURCES OF FUNDS","  -  ",'Part I-Project Information'!$O$4," ",'Part I-Project Information'!$F$24,", ",'Part I-Project Information'!$F$27,", ",'Part I-Project Information'!$J$28," County")</f>
        <v>PART THREE - SOURCES OF FUNDS  -  20##-### SB OHF Test Villas, Peachtree Corners, Gwinnett County</v>
      </c>
      <c r="B1" s="1965"/>
      <c r="C1" s="1965"/>
      <c r="D1" s="1965"/>
      <c r="E1" s="1965"/>
      <c r="F1" s="1965"/>
      <c r="G1" s="1965"/>
      <c r="H1" s="1965"/>
      <c r="I1" s="1965"/>
      <c r="J1" s="1965"/>
      <c r="K1" s="1965"/>
      <c r="L1" s="1965"/>
      <c r="M1" s="1965"/>
      <c r="N1" s="1965"/>
      <c r="O1" s="1965"/>
      <c r="P1" s="1965"/>
      <c r="Q1" s="1966"/>
      <c r="S1" s="2111" t="str">
        <f>$A$1</f>
        <v>PART THREE - SOURCES OF FUNDS  -  20##-### SB OHF Test Villas, Peachtree Corners, Gwinnett County</v>
      </c>
      <c r="T1" s="2111"/>
    </row>
    <row r="2" spans="1:20" ht="9" customHeight="1">
      <c r="A2" s="184"/>
      <c r="B2" s="184"/>
      <c r="C2" s="184"/>
      <c r="D2" s="184"/>
      <c r="E2" s="184"/>
      <c r="F2" s="184"/>
      <c r="G2" s="184"/>
      <c r="H2" s="184"/>
      <c r="I2" s="184"/>
      <c r="J2" s="184"/>
      <c r="K2" s="184"/>
      <c r="L2" s="184"/>
      <c r="M2" s="184"/>
      <c r="N2" s="184"/>
      <c r="O2" s="184"/>
      <c r="P2" s="184"/>
      <c r="Q2" s="184"/>
    </row>
    <row r="3" spans="1:20" s="135" customFormat="1" ht="13.15" customHeight="1">
      <c r="A3" s="160" t="s">
        <v>572</v>
      </c>
      <c r="B3" s="186" t="s">
        <v>2209</v>
      </c>
      <c r="C3" s="156"/>
      <c r="D3" s="169"/>
      <c r="E3" s="169"/>
      <c r="F3" s="169"/>
      <c r="G3" s="169"/>
      <c r="J3" s="336"/>
      <c r="M3" s="336"/>
      <c r="N3" s="336"/>
      <c r="S3" s="228" t="str">
        <f>B3</f>
        <v>GOVERNMENT FUNDING SOURCES  (check all that apply)</v>
      </c>
    </row>
    <row r="4" spans="1:20" s="135" customFormat="1" ht="14.25" customHeight="1">
      <c r="A4" s="194"/>
      <c r="B4" s="997"/>
      <c r="C4" s="996" t="s">
        <v>2139</v>
      </c>
      <c r="D4" s="156"/>
      <c r="E4" s="997"/>
      <c r="F4" s="996" t="s">
        <v>3255</v>
      </c>
      <c r="H4" s="2112"/>
      <c r="I4" s="2113"/>
      <c r="J4" s="534"/>
      <c r="L4" s="997"/>
      <c r="M4" s="346" t="s">
        <v>1399</v>
      </c>
      <c r="O4" s="820"/>
      <c r="P4" s="2011" t="s">
        <v>3266</v>
      </c>
      <c r="Q4" s="2011"/>
      <c r="S4" s="2082" t="s">
        <v>2338</v>
      </c>
      <c r="T4" s="2082"/>
    </row>
    <row r="5" spans="1:20" s="135" customFormat="1" ht="14.25" customHeight="1">
      <c r="A5" s="159"/>
      <c r="B5" s="998"/>
      <c r="C5" s="996" t="s">
        <v>3254</v>
      </c>
      <c r="D5" s="156"/>
      <c r="E5" s="999"/>
      <c r="F5" s="996" t="s">
        <v>3256</v>
      </c>
      <c r="H5" s="2117"/>
      <c r="I5" s="2118"/>
      <c r="L5" s="998"/>
      <c r="M5" s="346" t="s">
        <v>513</v>
      </c>
      <c r="P5" s="2011"/>
      <c r="Q5" s="2011"/>
      <c r="S5" s="2083"/>
      <c r="T5" s="2084"/>
    </row>
    <row r="6" spans="1:20" s="135" customFormat="1" ht="14.25" customHeight="1">
      <c r="A6" s="159"/>
      <c r="B6" s="998"/>
      <c r="C6" s="996" t="s">
        <v>514</v>
      </c>
      <c r="F6" s="156" t="s">
        <v>3257</v>
      </c>
      <c r="H6" s="2114" t="s">
        <v>3006</v>
      </c>
      <c r="I6" s="2115"/>
      <c r="J6" s="2116"/>
      <c r="L6" s="998"/>
      <c r="M6" s="164" t="s">
        <v>3268</v>
      </c>
      <c r="O6" s="820"/>
      <c r="P6" s="2011" t="s">
        <v>3017</v>
      </c>
      <c r="Q6" s="2011"/>
      <c r="S6" s="2085"/>
      <c r="T6" s="2086"/>
    </row>
    <row r="7" spans="1:20" s="135" customFormat="1" ht="14.25" customHeight="1">
      <c r="A7" s="156"/>
      <c r="B7" s="998"/>
      <c r="C7" s="996" t="s">
        <v>2310</v>
      </c>
      <c r="E7" s="997"/>
      <c r="F7" s="164" t="s">
        <v>2318</v>
      </c>
      <c r="K7" s="164"/>
      <c r="L7" s="998"/>
      <c r="M7" s="164" t="s">
        <v>3267</v>
      </c>
      <c r="P7" s="2011"/>
      <c r="Q7" s="2011"/>
      <c r="S7" s="2085"/>
      <c r="T7" s="2086"/>
    </row>
    <row r="8" spans="1:20" s="135" customFormat="1" ht="14.25" customHeight="1">
      <c r="A8" s="159"/>
      <c r="B8" s="998"/>
      <c r="C8" s="996" t="s">
        <v>2311</v>
      </c>
      <c r="E8" s="998"/>
      <c r="F8" s="164" t="s">
        <v>3258</v>
      </c>
      <c r="H8" s="2119" t="s">
        <v>3259</v>
      </c>
      <c r="I8" s="2120"/>
      <c r="J8" s="2121"/>
      <c r="L8" s="998"/>
      <c r="M8" s="996" t="s">
        <v>3262</v>
      </c>
      <c r="P8" s="2011"/>
      <c r="Q8" s="2011"/>
      <c r="S8" s="2087"/>
      <c r="T8" s="2088"/>
    </row>
    <row r="9" spans="1:20" s="135" customFormat="1" ht="14.25" customHeight="1">
      <c r="A9" s="322"/>
      <c r="B9" s="998"/>
      <c r="C9" s="164" t="s">
        <v>3251</v>
      </c>
      <c r="E9" s="1001"/>
      <c r="F9" s="2122" t="s">
        <v>3260</v>
      </c>
      <c r="G9" s="2122"/>
      <c r="H9" s="2122"/>
      <c r="I9" s="2122"/>
      <c r="J9" s="2123"/>
      <c r="L9" s="998"/>
      <c r="M9" s="156" t="s">
        <v>2319</v>
      </c>
      <c r="Q9" s="156"/>
    </row>
    <row r="10" spans="1:20" s="135" customFormat="1" ht="14.25" customHeight="1">
      <c r="A10" s="322"/>
      <c r="B10" s="998"/>
      <c r="C10" s="156" t="s">
        <v>3252</v>
      </c>
      <c r="F10" s="2124" t="s">
        <v>3261</v>
      </c>
      <c r="G10" s="2125"/>
      <c r="H10" s="2125"/>
      <c r="I10" s="2125"/>
      <c r="J10" s="2126"/>
      <c r="L10" s="998"/>
      <c r="M10" s="156" t="s">
        <v>3263</v>
      </c>
      <c r="O10" s="156"/>
      <c r="P10" s="156"/>
      <c r="Q10" s="156"/>
    </row>
    <row r="11" spans="1:20" s="135" customFormat="1" ht="14.25" customHeight="1">
      <c r="A11" s="322"/>
      <c r="B11" s="998"/>
      <c r="C11" s="156" t="s">
        <v>2317</v>
      </c>
      <c r="E11" s="1002"/>
      <c r="F11" s="2127" t="s">
        <v>3676</v>
      </c>
      <c r="G11" s="2127"/>
      <c r="H11" s="2127"/>
      <c r="I11" s="2127"/>
      <c r="J11" s="2128"/>
      <c r="L11" s="998"/>
      <c r="M11" s="164" t="s">
        <v>2400</v>
      </c>
      <c r="N11" s="156"/>
      <c r="O11" s="156"/>
      <c r="Q11" s="156"/>
    </row>
    <row r="12" spans="1:20" s="135" customFormat="1" ht="14.25" customHeight="1">
      <c r="A12" s="159"/>
      <c r="B12" s="998"/>
      <c r="C12" s="156" t="s">
        <v>3253</v>
      </c>
      <c r="F12" s="2129" t="s">
        <v>3677</v>
      </c>
      <c r="G12" s="2130"/>
      <c r="H12" s="2130"/>
      <c r="I12" s="2130"/>
      <c r="J12" s="2131"/>
      <c r="L12" s="998"/>
      <c r="M12" s="164" t="s">
        <v>3264</v>
      </c>
      <c r="N12" s="156"/>
      <c r="O12" s="156"/>
      <c r="P12" s="156"/>
      <c r="Q12" s="156"/>
    </row>
    <row r="13" spans="1:20" s="135" customFormat="1" ht="14.25" customHeight="1">
      <c r="A13" s="322"/>
      <c r="B13" s="999"/>
      <c r="C13" s="996" t="s">
        <v>1623</v>
      </c>
      <c r="E13" s="820"/>
      <c r="F13" s="1327" t="s">
        <v>3644</v>
      </c>
      <c r="I13" s="2046"/>
      <c r="J13" s="2047"/>
      <c r="K13" s="156"/>
      <c r="L13" s="999"/>
      <c r="M13" s="153" t="s">
        <v>3265</v>
      </c>
      <c r="N13" s="156"/>
      <c r="O13" s="156"/>
      <c r="P13" s="156"/>
      <c r="Q13" s="156"/>
    </row>
    <row r="14" spans="1:20" s="135" customFormat="1" ht="11.25" customHeight="1">
      <c r="A14" s="322"/>
      <c r="B14" s="135" t="s">
        <v>2374</v>
      </c>
      <c r="C14" s="156"/>
      <c r="D14" s="156"/>
      <c r="E14" s="156"/>
      <c r="F14" s="156"/>
      <c r="G14" s="156"/>
      <c r="H14" s="156"/>
      <c r="I14" s="156"/>
      <c r="J14" s="156"/>
      <c r="K14" s="156"/>
      <c r="L14" s="156"/>
      <c r="M14" s="189"/>
      <c r="N14" s="156"/>
      <c r="O14" s="156"/>
      <c r="P14" s="156"/>
      <c r="Q14" s="156"/>
    </row>
    <row r="15" spans="1:20" ht="4.5" customHeight="1">
      <c r="A15" s="194"/>
      <c r="B15" s="134"/>
      <c r="C15" s="184"/>
      <c r="D15" s="184"/>
      <c r="E15" s="184"/>
      <c r="F15" s="184"/>
      <c r="G15" s="184"/>
      <c r="H15" s="184"/>
      <c r="I15" s="184"/>
      <c r="J15" s="184"/>
      <c r="K15" s="184"/>
      <c r="L15" s="184"/>
      <c r="M15" s="162"/>
      <c r="N15" s="162"/>
    </row>
    <row r="16" spans="1:20" s="135" customFormat="1" ht="13.15" customHeight="1">
      <c r="A16" s="160" t="s">
        <v>685</v>
      </c>
      <c r="B16" s="134" t="s">
        <v>739</v>
      </c>
      <c r="C16" s="156"/>
      <c r="D16" s="156"/>
      <c r="E16" s="156"/>
      <c r="F16" s="162"/>
      <c r="G16" s="162"/>
      <c r="H16" s="2054"/>
      <c r="I16" s="2054"/>
      <c r="K16" s="260" t="s">
        <v>1877</v>
      </c>
      <c r="L16" s="162" t="s">
        <v>1197</v>
      </c>
      <c r="M16" s="162" t="s">
        <v>1200</v>
      </c>
      <c r="N16" s="2091" t="s">
        <v>30</v>
      </c>
      <c r="O16" s="2091"/>
      <c r="P16" s="162"/>
      <c r="Q16" s="160"/>
      <c r="S16" s="228" t="str">
        <f>B16</f>
        <v>PERMANENT FINANCING</v>
      </c>
    </row>
    <row r="17" spans="1:20" s="135" customFormat="1" ht="13.15" customHeight="1">
      <c r="A17" s="156"/>
      <c r="B17" s="259" t="s">
        <v>1684</v>
      </c>
      <c r="C17" s="224"/>
      <c r="D17" s="224"/>
      <c r="E17" s="1854" t="s">
        <v>1199</v>
      </c>
      <c r="F17" s="1854"/>
      <c r="G17" s="1854"/>
      <c r="H17" s="1854"/>
      <c r="I17" s="1914" t="s">
        <v>459</v>
      </c>
      <c r="J17" s="1914"/>
      <c r="K17" s="258" t="s">
        <v>1626</v>
      </c>
      <c r="L17" s="258" t="s">
        <v>1966</v>
      </c>
      <c r="M17" s="258" t="s">
        <v>1966</v>
      </c>
      <c r="N17" s="2092"/>
      <c r="O17" s="2092"/>
      <c r="P17" s="1914" t="s">
        <v>69</v>
      </c>
      <c r="Q17" s="1914"/>
      <c r="S17" s="2082" t="s">
        <v>2338</v>
      </c>
      <c r="T17" s="2082"/>
    </row>
    <row r="18" spans="1:20" s="135" customFormat="1" ht="15" customHeight="1">
      <c r="A18" s="156"/>
      <c r="B18" s="2051" t="s">
        <v>2323</v>
      </c>
      <c r="C18" s="2052"/>
      <c r="D18" s="2052"/>
      <c r="E18" s="1897"/>
      <c r="F18" s="1898"/>
      <c r="G18" s="1898"/>
      <c r="H18" s="1899"/>
      <c r="I18" s="2077"/>
      <c r="J18" s="2078"/>
      <c r="K18" s="822"/>
      <c r="L18" s="833"/>
      <c r="M18" s="833"/>
      <c r="N18" s="2075" t="str">
        <f t="shared" ref="N18:N23" si="0">IF(OR(I18&lt;=0,I18=""),"",IF(P18="Amortizing",-PMT(K18/12,M18*12,I18,0,0)*12,""))</f>
        <v/>
      </c>
      <c r="O18" s="2075"/>
      <c r="P18" s="2073"/>
      <c r="Q18" s="2073"/>
      <c r="S18" s="2083"/>
      <c r="T18" s="2084"/>
    </row>
    <row r="19" spans="1:20" s="135" customFormat="1" ht="15" customHeight="1">
      <c r="A19" s="156"/>
      <c r="B19" s="2048" t="s">
        <v>2324</v>
      </c>
      <c r="C19" s="2049"/>
      <c r="D19" s="2049"/>
      <c r="E19" s="1841"/>
      <c r="F19" s="1920"/>
      <c r="G19" s="1920"/>
      <c r="H19" s="1921"/>
      <c r="I19" s="2057"/>
      <c r="J19" s="2058"/>
      <c r="K19" s="823"/>
      <c r="L19" s="834"/>
      <c r="M19" s="834"/>
      <c r="N19" s="2076" t="str">
        <f t="shared" si="0"/>
        <v/>
      </c>
      <c r="O19" s="2076"/>
      <c r="P19" s="2074"/>
      <c r="Q19" s="2074"/>
      <c r="S19" s="2085"/>
      <c r="T19" s="2086"/>
    </row>
    <row r="20" spans="1:20" s="135" customFormat="1" ht="15" customHeight="1">
      <c r="A20" s="156"/>
      <c r="B20" s="2048" t="s">
        <v>2325</v>
      </c>
      <c r="C20" s="2049"/>
      <c r="D20" s="2049"/>
      <c r="E20" s="1841"/>
      <c r="F20" s="1920"/>
      <c r="G20" s="1920"/>
      <c r="H20" s="1921"/>
      <c r="I20" s="2057"/>
      <c r="J20" s="2058"/>
      <c r="K20" s="823"/>
      <c r="L20" s="834"/>
      <c r="M20" s="834"/>
      <c r="N20" s="2076" t="str">
        <f t="shared" si="0"/>
        <v/>
      </c>
      <c r="O20" s="2076"/>
      <c r="P20" s="2074"/>
      <c r="Q20" s="2074"/>
      <c r="S20" s="2085"/>
      <c r="T20" s="2086"/>
    </row>
    <row r="21" spans="1:20" s="135" customFormat="1" ht="15" customHeight="1">
      <c r="A21" s="156"/>
      <c r="B21" s="220" t="s">
        <v>686</v>
      </c>
      <c r="C21" s="1855"/>
      <c r="D21" s="1857"/>
      <c r="E21" s="1841"/>
      <c r="F21" s="1920"/>
      <c r="G21" s="1920"/>
      <c r="H21" s="1921"/>
      <c r="I21" s="2057"/>
      <c r="J21" s="2058"/>
      <c r="K21" s="824"/>
      <c r="L21" s="832"/>
      <c r="M21" s="832"/>
      <c r="N21" s="2089" t="str">
        <f t="shared" si="0"/>
        <v/>
      </c>
      <c r="O21" s="2089"/>
      <c r="P21" s="2090"/>
      <c r="Q21" s="2090"/>
      <c r="S21" s="2085"/>
      <c r="T21" s="2086"/>
    </row>
    <row r="22" spans="1:20" s="135" customFormat="1" ht="15" customHeight="1">
      <c r="A22" s="156"/>
      <c r="B22" s="340" t="s">
        <v>2370</v>
      </c>
      <c r="C22" s="169"/>
      <c r="D22" s="221"/>
      <c r="E22" s="1841"/>
      <c r="F22" s="1920"/>
      <c r="G22" s="1920"/>
      <c r="H22" s="1921"/>
      <c r="I22" s="2057"/>
      <c r="J22" s="2058"/>
      <c r="K22" s="306"/>
      <c r="L22" s="307"/>
      <c r="M22" s="307"/>
      <c r="N22" s="2067" t="str">
        <f t="shared" si="0"/>
        <v/>
      </c>
      <c r="O22" s="2067"/>
      <c r="P22" s="2096"/>
      <c r="Q22" s="2096"/>
      <c r="S22" s="2085"/>
      <c r="T22" s="2086"/>
    </row>
    <row r="23" spans="1:20" s="135" customFormat="1" ht="15" customHeight="1">
      <c r="A23" s="156"/>
      <c r="B23" s="222" t="s">
        <v>210</v>
      </c>
      <c r="C23" s="224"/>
      <c r="D23" s="261" t="str">
        <f>IF(OR(I23="",I23=0,'Part IV-Uses of Funds'!$G$113="",'Part IV-Uses of Funds'!$G$113=0),"",I23/'Part IV-Uses of Funds'!$G$113)</f>
        <v/>
      </c>
      <c r="E23" s="1874"/>
      <c r="F23" s="1875"/>
      <c r="G23" s="1875"/>
      <c r="H23" s="1876"/>
      <c r="I23" s="2061"/>
      <c r="J23" s="2070"/>
      <c r="K23" s="821"/>
      <c r="L23" s="820"/>
      <c r="M23" s="820"/>
      <c r="N23" s="2071" t="str">
        <f t="shared" si="0"/>
        <v/>
      </c>
      <c r="O23" s="2072"/>
      <c r="P23" s="2068"/>
      <c r="Q23" s="2069"/>
      <c r="S23" s="2085"/>
      <c r="T23" s="2086"/>
    </row>
    <row r="24" spans="1:20" s="135" customFormat="1" ht="3" customHeight="1">
      <c r="A24" s="156"/>
      <c r="B24" s="156"/>
      <c r="C24" s="156"/>
      <c r="D24" s="156"/>
      <c r="E24" s="156"/>
      <c r="F24" s="156"/>
      <c r="G24" s="156"/>
      <c r="H24" s="156"/>
      <c r="I24" s="1003"/>
      <c r="J24" s="1004"/>
      <c r="K24" s="1005"/>
      <c r="L24" s="203"/>
      <c r="M24" s="203"/>
      <c r="N24" s="1006"/>
      <c r="O24" s="1006"/>
      <c r="P24" s="203"/>
      <c r="Q24" s="203"/>
      <c r="S24" s="2085"/>
      <c r="T24" s="2086"/>
    </row>
    <row r="25" spans="1:20" s="1011" customFormat="1" ht="14.25" hidden="1" customHeight="1">
      <c r="A25" s="1452" t="s">
        <v>3678</v>
      </c>
      <c r="B25" s="1009" t="s">
        <v>3269</v>
      </c>
      <c r="C25" s="1010"/>
      <c r="E25" s="1011" t="s">
        <v>3270</v>
      </c>
      <c r="F25" s="2055" t="str">
        <f>IF(OR($I$43="",$I$43=0,'Part VII-Pro Forma'!$S$34=0,'Part VII-Pro Forma'!$S$34=""),"",VLOOKUP($L$43,'Part VII-Pro Forma'!$Q$20:$S$39,3))</f>
        <v/>
      </c>
      <c r="G25" s="2056"/>
      <c r="H25" s="1012" t="s">
        <v>3271</v>
      </c>
      <c r="I25" s="2055"/>
      <c r="J25" s="2056"/>
      <c r="K25" s="1012" t="s">
        <v>3272</v>
      </c>
      <c r="L25" s="2098" t="str">
        <f>IF(OR(F25 = 0,F25 =""),"",I25/F25)</f>
        <v/>
      </c>
      <c r="M25" s="2099"/>
      <c r="N25" s="2107" t="s">
        <v>3273</v>
      </c>
      <c r="O25" s="2108"/>
      <c r="P25" s="2109">
        <f>IF(OR(I40=0,I38&gt;I39),0,ABS(I38-I39))</f>
        <v>0</v>
      </c>
      <c r="Q25" s="2110"/>
      <c r="S25" s="2085"/>
      <c r="T25" s="2086"/>
    </row>
    <row r="26" spans="1:20" s="135" customFormat="1" ht="3" customHeight="1">
      <c r="A26" s="156"/>
      <c r="B26" s="156"/>
      <c r="C26" s="156"/>
      <c r="D26" s="156"/>
      <c r="E26" s="156"/>
      <c r="F26" s="156"/>
      <c r="G26" s="156"/>
      <c r="H26" s="156"/>
      <c r="I26" s="1007"/>
      <c r="J26" s="1008"/>
      <c r="K26" s="1005"/>
      <c r="L26" s="203"/>
      <c r="M26" s="203"/>
      <c r="N26" s="1006"/>
      <c r="O26" s="1006"/>
      <c r="P26" s="203"/>
      <c r="Q26" s="203"/>
      <c r="S26" s="2087"/>
      <c r="T26" s="2088"/>
    </row>
    <row r="27" spans="1:20" s="135" customFormat="1" ht="15" customHeight="1">
      <c r="A27" s="156"/>
      <c r="B27" s="2051" t="s">
        <v>1967</v>
      </c>
      <c r="C27" s="2052"/>
      <c r="D27" s="2053"/>
      <c r="E27" s="1897"/>
      <c r="F27" s="1898"/>
      <c r="G27" s="1898"/>
      <c r="H27" s="1899"/>
      <c r="I27" s="2065"/>
      <c r="J27" s="2066"/>
      <c r="K27" s="262"/>
      <c r="L27" s="262"/>
      <c r="M27" s="262"/>
      <c r="N27" s="262"/>
      <c r="O27" s="262"/>
      <c r="P27" s="262"/>
      <c r="Q27" s="262"/>
      <c r="S27" s="2083"/>
      <c r="T27" s="2084"/>
    </row>
    <row r="28" spans="1:20" s="135" customFormat="1" ht="15" customHeight="1">
      <c r="A28" s="156"/>
      <c r="B28" s="2048" t="s">
        <v>740</v>
      </c>
      <c r="C28" s="2049"/>
      <c r="D28" s="2050"/>
      <c r="E28" s="1841"/>
      <c r="F28" s="1920"/>
      <c r="G28" s="1920"/>
      <c r="H28" s="1921"/>
      <c r="I28" s="2057"/>
      <c r="J28" s="2058"/>
      <c r="L28" s="2095" t="s">
        <v>481</v>
      </c>
      <c r="M28" s="2095"/>
      <c r="N28" s="2094" t="s">
        <v>482</v>
      </c>
      <c r="O28" s="2094"/>
      <c r="P28" s="284" t="s">
        <v>480</v>
      </c>
      <c r="Q28" s="262"/>
      <c r="S28" s="2085"/>
      <c r="T28" s="2086"/>
    </row>
    <row r="29" spans="1:20" s="135" customFormat="1" ht="15" customHeight="1">
      <c r="A29" s="156"/>
      <c r="B29" s="2048" t="s">
        <v>741</v>
      </c>
      <c r="C29" s="2049"/>
      <c r="D29" s="2050"/>
      <c r="E29" s="1841"/>
      <c r="F29" s="1920"/>
      <c r="G29" s="1920"/>
      <c r="H29" s="1921"/>
      <c r="I29" s="2057"/>
      <c r="J29" s="2057"/>
      <c r="L29" s="2097">
        <f>'Part IV-Uses of Funds'!$J$169*10*'Part IV-Uses of Funds'!$N$162</f>
        <v>0</v>
      </c>
      <c r="M29" s="2097"/>
      <c r="N29" s="2093">
        <f>I29-L29</f>
        <v>0</v>
      </c>
      <c r="O29" s="2093"/>
      <c r="P29" s="285" t="s">
        <v>2270</v>
      </c>
      <c r="Q29" s="262"/>
      <c r="S29" s="2085"/>
      <c r="T29" s="2086"/>
    </row>
    <row r="30" spans="1:20" s="135" customFormat="1" ht="15" customHeight="1">
      <c r="A30" s="156"/>
      <c r="B30" s="2048" t="s">
        <v>742</v>
      </c>
      <c r="C30" s="2049"/>
      <c r="D30" s="2050"/>
      <c r="E30" s="1841"/>
      <c r="F30" s="1920"/>
      <c r="G30" s="1920"/>
      <c r="H30" s="1921"/>
      <c r="I30" s="2057"/>
      <c r="J30" s="2057"/>
      <c r="L30" s="2097">
        <f>'Part IV-Uses of Funds'!$J$169*10*'Part IV-Uses of Funds'!$Q$162</f>
        <v>0</v>
      </c>
      <c r="M30" s="2097"/>
      <c r="N30" s="2093">
        <f>I30-L30</f>
        <v>0</v>
      </c>
      <c r="O30" s="2093"/>
      <c r="P30" s="286" t="e">
        <f>I29/I39</f>
        <v>#DIV/0!</v>
      </c>
      <c r="Q30" s="262"/>
      <c r="S30" s="2085"/>
      <c r="T30" s="2086"/>
    </row>
    <row r="31" spans="1:20" s="135" customFormat="1" ht="15" customHeight="1">
      <c r="A31" s="156"/>
      <c r="B31" s="2048" t="s">
        <v>1298</v>
      </c>
      <c r="C31" s="2049"/>
      <c r="D31" s="2050"/>
      <c r="E31" s="1841"/>
      <c r="F31" s="1920"/>
      <c r="G31" s="1920"/>
      <c r="H31" s="1921"/>
      <c r="I31" s="2057"/>
      <c r="J31" s="2057"/>
      <c r="P31" s="286" t="e">
        <f>I30/I39</f>
        <v>#DIV/0!</v>
      </c>
      <c r="Q31" s="262"/>
      <c r="S31" s="2087"/>
      <c r="T31" s="2088"/>
    </row>
    <row r="32" spans="1:20" s="135" customFormat="1" ht="15" customHeight="1">
      <c r="A32" s="156"/>
      <c r="B32" s="220" t="s">
        <v>495</v>
      </c>
      <c r="C32" s="169"/>
      <c r="D32" s="221"/>
      <c r="E32" s="1841"/>
      <c r="F32" s="1920"/>
      <c r="G32" s="1920"/>
      <c r="H32" s="1921"/>
      <c r="I32" s="2057"/>
      <c r="J32" s="2057"/>
      <c r="K32" s="156"/>
      <c r="P32" s="287" t="e">
        <f>SUM(P30:P31)</f>
        <v>#DIV/0!</v>
      </c>
      <c r="Q32" s="262"/>
      <c r="S32" s="2085"/>
      <c r="T32" s="2086"/>
    </row>
    <row r="33" spans="1:23" s="135" customFormat="1" ht="15" customHeight="1">
      <c r="A33" s="156"/>
      <c r="B33" s="220" t="s">
        <v>1682</v>
      </c>
      <c r="C33" s="169"/>
      <c r="D33" s="221"/>
      <c r="E33" s="1841"/>
      <c r="F33" s="1920"/>
      <c r="G33" s="1920"/>
      <c r="H33" s="1921"/>
      <c r="I33" s="2057"/>
      <c r="J33" s="2057"/>
      <c r="N33" s="263"/>
      <c r="O33" s="263"/>
      <c r="P33" s="263"/>
      <c r="Q33" s="262"/>
      <c r="S33" s="2085"/>
      <c r="T33" s="2086"/>
    </row>
    <row r="34" spans="1:23" s="135" customFormat="1" ht="15" customHeight="1">
      <c r="A34" s="156"/>
      <c r="B34" s="220" t="s">
        <v>1683</v>
      </c>
      <c r="C34" s="169"/>
      <c r="D34" s="221"/>
      <c r="E34" s="1841"/>
      <c r="F34" s="1920"/>
      <c r="G34" s="1920"/>
      <c r="H34" s="1921"/>
      <c r="I34" s="2057"/>
      <c r="J34" s="2057"/>
      <c r="M34" s="263"/>
      <c r="N34" s="263"/>
      <c r="O34" s="263"/>
      <c r="P34" s="263"/>
      <c r="Q34" s="262"/>
      <c r="S34" s="2085"/>
      <c r="T34" s="2086"/>
    </row>
    <row r="35" spans="1:23" s="135" customFormat="1" ht="15" customHeight="1">
      <c r="A35" s="156"/>
      <c r="B35" s="220" t="s">
        <v>686</v>
      </c>
      <c r="C35" s="2063"/>
      <c r="D35" s="2063"/>
      <c r="E35" s="1841"/>
      <c r="F35" s="1920"/>
      <c r="G35" s="1920"/>
      <c r="H35" s="1921"/>
      <c r="I35" s="2057"/>
      <c r="J35" s="2057"/>
      <c r="M35" s="263"/>
      <c r="N35" s="263"/>
      <c r="O35" s="263"/>
      <c r="P35" s="263"/>
      <c r="Q35" s="262"/>
      <c r="S35" s="2085"/>
      <c r="T35" s="2086"/>
    </row>
    <row r="36" spans="1:23" s="135" customFormat="1" ht="15" customHeight="1">
      <c r="A36" s="156"/>
      <c r="B36" s="220" t="s">
        <v>686</v>
      </c>
      <c r="C36" s="2064"/>
      <c r="D36" s="2064"/>
      <c r="E36" s="1841"/>
      <c r="F36" s="1920"/>
      <c r="G36" s="1920"/>
      <c r="H36" s="1921"/>
      <c r="I36" s="2057"/>
      <c r="J36" s="2057"/>
      <c r="K36" s="156"/>
      <c r="L36" s="264"/>
      <c r="M36" s="263"/>
      <c r="N36" s="263"/>
      <c r="O36" s="263"/>
      <c r="P36" s="263"/>
      <c r="Q36" s="262"/>
      <c r="S36" s="2085"/>
      <c r="T36" s="2086"/>
    </row>
    <row r="37" spans="1:23" s="135" customFormat="1" ht="15" customHeight="1">
      <c r="A37" s="156"/>
      <c r="B37" s="222" t="s">
        <v>686</v>
      </c>
      <c r="C37" s="2062"/>
      <c r="D37" s="2062"/>
      <c r="E37" s="1874"/>
      <c r="F37" s="1875"/>
      <c r="G37" s="1875"/>
      <c r="H37" s="1876"/>
      <c r="I37" s="2061"/>
      <c r="J37" s="2061"/>
      <c r="K37" s="156"/>
      <c r="L37" s="264"/>
      <c r="M37" s="263"/>
      <c r="N37" s="263"/>
      <c r="O37" s="263"/>
      <c r="P37" s="263"/>
      <c r="Q37" s="262"/>
      <c r="S37" s="2085"/>
      <c r="T37" s="2086"/>
    </row>
    <row r="38" spans="1:23" s="135" customFormat="1" ht="15" customHeight="1">
      <c r="A38" s="156"/>
      <c r="B38" s="155" t="s">
        <v>1968</v>
      </c>
      <c r="C38" s="156"/>
      <c r="D38" s="156"/>
      <c r="E38" s="156"/>
      <c r="F38" s="156"/>
      <c r="G38" s="156"/>
      <c r="I38" s="2059">
        <f>SUM(I18:J37)</f>
        <v>0</v>
      </c>
      <c r="J38" s="2060"/>
      <c r="K38" s="156"/>
      <c r="L38" s="264"/>
      <c r="M38" s="263"/>
      <c r="N38" s="263"/>
      <c r="O38" s="263"/>
      <c r="P38" s="263"/>
      <c r="Q38" s="262"/>
      <c r="S38" s="2085"/>
      <c r="T38" s="2086"/>
    </row>
    <row r="39" spans="1:23" s="135" customFormat="1" ht="14.25" customHeight="1" thickBot="1">
      <c r="A39" s="156"/>
      <c r="B39" s="155" t="s">
        <v>1969</v>
      </c>
      <c r="C39" s="156"/>
      <c r="D39" s="156"/>
      <c r="E39" s="156"/>
      <c r="F39" s="156"/>
      <c r="G39" s="156"/>
      <c r="I39" s="2105">
        <f>'Part IV-Uses of Funds'!$G$127</f>
        <v>0</v>
      </c>
      <c r="J39" s="2106"/>
      <c r="K39" s="156"/>
      <c r="L39" s="264"/>
      <c r="M39" s="263"/>
      <c r="N39" s="263"/>
      <c r="O39" s="263"/>
      <c r="P39" s="263"/>
      <c r="Q39" s="262"/>
      <c r="S39" s="2085"/>
      <c r="T39" s="2086"/>
    </row>
    <row r="40" spans="1:23" s="135" customFormat="1" ht="15" customHeight="1" thickBot="1">
      <c r="A40" s="156"/>
      <c r="B40" s="164" t="s">
        <v>1390</v>
      </c>
      <c r="C40" s="156"/>
      <c r="D40" s="156"/>
      <c r="E40" s="156"/>
      <c r="F40" s="156"/>
      <c r="G40" s="156"/>
      <c r="I40" s="2101">
        <f>I38-I39</f>
        <v>0</v>
      </c>
      <c r="J40" s="2102"/>
      <c r="K40" s="156"/>
      <c r="L40" s="264"/>
      <c r="M40" s="263"/>
      <c r="N40" s="263"/>
      <c r="O40" s="263"/>
      <c r="P40" s="263"/>
      <c r="Q40" s="262"/>
      <c r="S40" s="2087"/>
      <c r="T40" s="2088"/>
    </row>
    <row r="41" spans="1:23" s="135" customFormat="1" ht="9.75" customHeight="1">
      <c r="A41" s="58" t="s">
        <v>3014</v>
      </c>
      <c r="B41" s="164"/>
      <c r="C41" s="156"/>
      <c r="D41" s="156"/>
      <c r="E41" s="156"/>
      <c r="F41" s="156"/>
      <c r="G41" s="156"/>
      <c r="H41" s="253"/>
      <c r="I41" s="253"/>
      <c r="J41" s="184"/>
      <c r="K41" s="156"/>
      <c r="L41" s="264"/>
      <c r="M41" s="263"/>
      <c r="N41" s="263"/>
      <c r="O41" s="263"/>
      <c r="P41" s="263"/>
      <c r="Q41" s="262"/>
      <c r="R41" s="262"/>
      <c r="S41" s="262"/>
      <c r="T41" s="262"/>
    </row>
    <row r="42" spans="1:23" ht="3" customHeight="1">
      <c r="A42" s="184"/>
      <c r="B42" s="184"/>
      <c r="C42" s="184"/>
      <c r="D42" s="184"/>
      <c r="E42" s="184"/>
      <c r="F42" s="184"/>
      <c r="G42" s="184"/>
      <c r="H42" s="184"/>
      <c r="I42" s="184"/>
      <c r="J42" s="184"/>
      <c r="K42" s="184"/>
      <c r="L42" s="184"/>
      <c r="M42" s="184"/>
      <c r="N42" s="184"/>
      <c r="O42" s="184"/>
      <c r="P42" s="184"/>
      <c r="Q42" s="184"/>
    </row>
    <row r="43" spans="1:23" ht="12" customHeight="1">
      <c r="A43" s="160" t="s">
        <v>687</v>
      </c>
      <c r="B43" s="160" t="s">
        <v>531</v>
      </c>
      <c r="C43" s="184"/>
      <c r="D43" s="184"/>
      <c r="E43" s="184"/>
      <c r="F43" s="184"/>
      <c r="G43" s="184"/>
      <c r="H43" s="184"/>
      <c r="I43" s="184"/>
      <c r="J43" s="184"/>
      <c r="K43" s="160" t="s">
        <v>1614</v>
      </c>
      <c r="L43" s="160" t="s">
        <v>74</v>
      </c>
      <c r="M43" s="184"/>
      <c r="N43" s="184"/>
      <c r="O43" s="184"/>
      <c r="P43" s="184"/>
      <c r="Q43" s="184"/>
    </row>
    <row r="44" spans="1:23" ht="409.5" customHeight="1">
      <c r="A44" s="1880"/>
      <c r="B44" s="2103"/>
      <c r="C44" s="2103"/>
      <c r="D44" s="2103"/>
      <c r="E44" s="2103"/>
      <c r="F44" s="2103"/>
      <c r="G44" s="2103"/>
      <c r="H44" s="2103"/>
      <c r="I44" s="2103"/>
      <c r="J44" s="2104"/>
      <c r="K44" s="2079"/>
      <c r="L44" s="2080"/>
      <c r="M44" s="2080"/>
      <c r="N44" s="2080"/>
      <c r="O44" s="2080"/>
      <c r="P44" s="2080"/>
      <c r="Q44" s="2081"/>
      <c r="S44" s="2100" t="s">
        <v>2342</v>
      </c>
      <c r="T44" s="2100"/>
      <c r="U44" s="310"/>
      <c r="V44" s="310"/>
      <c r="W44" s="310"/>
    </row>
    <row r="45" spans="1:23" ht="11.25" customHeight="1">
      <c r="S45" s="310"/>
      <c r="T45" s="310"/>
      <c r="U45" s="310"/>
      <c r="V45" s="310"/>
      <c r="W45" s="310"/>
    </row>
    <row r="46" spans="1:23" ht="12" customHeight="1"/>
    <row r="47" spans="1:23" ht="12" customHeight="1">
      <c r="B47" s="230"/>
    </row>
    <row r="48" spans="1:23" ht="14.45" customHeight="1"/>
    <row r="49" spans="1:1" s="135" customFormat="1" ht="14.45" customHeight="1"/>
    <row r="50" spans="1:1" s="135" customFormat="1" ht="14.45" customHeight="1"/>
    <row r="51" spans="1:1" s="135" customFormat="1" ht="14.45" customHeight="1"/>
    <row r="52" spans="1:1" ht="14.45" customHeight="1"/>
    <row r="53" spans="1:1" s="135" customFormat="1" ht="14.45" customHeight="1">
      <c r="A53" s="231"/>
    </row>
    <row r="54" spans="1:1" s="135" customFormat="1" ht="14.45" customHeight="1">
      <c r="A54" s="231"/>
    </row>
    <row r="55" spans="1:1" s="135" customFormat="1" ht="14.45" customHeight="1"/>
    <row r="56" spans="1:1" s="135" customFormat="1" ht="14.45" customHeight="1">
      <c r="A56" s="231"/>
    </row>
    <row r="57" spans="1:1" s="135" customFormat="1" ht="14.45" customHeight="1">
      <c r="A57" s="229"/>
    </row>
    <row r="58" spans="1:1" s="135" customFormat="1" ht="14.45" customHeight="1">
      <c r="A58" s="229"/>
    </row>
    <row r="59" spans="1:1" s="135" customFormat="1" ht="14.45" customHeight="1">
      <c r="A59" s="232"/>
    </row>
    <row r="60" spans="1:1" s="135" customFormat="1" ht="14.45" customHeight="1">
      <c r="A60" s="231"/>
    </row>
    <row r="61" spans="1:1" s="135" customFormat="1" ht="14.45" customHeight="1">
      <c r="A61" s="229"/>
    </row>
    <row r="62" spans="1:1" s="135" customFormat="1" ht="14.45" customHeight="1">
      <c r="A62" s="229"/>
    </row>
    <row r="63" spans="1:1" s="135" customFormat="1" ht="14.45" customHeight="1">
      <c r="A63" s="232"/>
    </row>
    <row r="64" spans="1:1" s="135" customFormat="1" ht="14.45" customHeight="1">
      <c r="A64" s="231"/>
    </row>
    <row r="65" spans="1:1" s="135" customFormat="1" ht="14.45" customHeight="1">
      <c r="A65" s="229"/>
    </row>
    <row r="66" spans="1:1" s="135" customFormat="1" ht="14.45" customHeight="1">
      <c r="A66" s="229"/>
    </row>
    <row r="67" spans="1:1" s="135" customFormat="1" ht="14.45" customHeight="1">
      <c r="A67" s="232"/>
    </row>
    <row r="68" spans="1:1" s="135" customFormat="1" ht="14.45" customHeight="1">
      <c r="A68" s="232"/>
    </row>
    <row r="69" spans="1:1" s="135" customFormat="1" ht="14.45" customHeight="1">
      <c r="A69" s="232"/>
    </row>
    <row r="70" spans="1:1" s="135" customFormat="1" ht="14.45" customHeight="1">
      <c r="A70" s="232"/>
    </row>
    <row r="71" spans="1:1" s="135" customFormat="1" ht="14.45" customHeight="1"/>
    <row r="72" spans="1:1" s="135" customFormat="1" ht="14.45" customHeight="1"/>
    <row r="73" spans="1:1" ht="14.45" customHeight="1"/>
    <row r="74" spans="1:1" ht="14.45" customHeight="1"/>
    <row r="75" spans="1:1" ht="14.45" customHeight="1"/>
    <row r="76" spans="1:1" ht="14.45" customHeight="1"/>
    <row r="77" spans="1:1" ht="14.45" customHeight="1"/>
    <row r="78" spans="1:1" ht="14.45" customHeight="1"/>
    <row r="79" spans="1:1" ht="14.45" customHeight="1"/>
    <row r="80" spans="1:1" ht="14.45" customHeight="1"/>
    <row r="81" ht="14.45" customHeight="1"/>
    <row r="82" ht="14.45" customHeight="1"/>
    <row r="83" ht="14.45" customHeight="1"/>
    <row r="84" ht="14.45" customHeight="1"/>
    <row r="85" ht="14.45" customHeight="1"/>
    <row r="86" ht="14.45" customHeight="1"/>
    <row r="87" ht="14.45" customHeight="1"/>
  </sheetData>
  <sheetProtection algorithmName="SHA-512" hashValue="o1A8tyyL0/OeW9WfTwbhPYubiL1BrKV9rZg8d2NzuQB2Vx5RNSyQmTccKNC69h3dbGqb/5qpt0Dag/fxE+FNwQ==" saltValue="IQDhS5FgY5Pq+/gHiRvQOQ==" spinCount="100000" sheet="1" objects="1" scenarios="1" formatColumns="0" formatRows="0"/>
  <mergeCells count="100">
    <mergeCell ref="P6:Q8"/>
    <mergeCell ref="I39:J39"/>
    <mergeCell ref="N25:O25"/>
    <mergeCell ref="P25:Q25"/>
    <mergeCell ref="S1:T1"/>
    <mergeCell ref="S4:T4"/>
    <mergeCell ref="S5:T8"/>
    <mergeCell ref="A1:Q1"/>
    <mergeCell ref="H4:I4"/>
    <mergeCell ref="H6:J6"/>
    <mergeCell ref="H5:I5"/>
    <mergeCell ref="H8:J8"/>
    <mergeCell ref="F9:J9"/>
    <mergeCell ref="F10:J10"/>
    <mergeCell ref="F11:J11"/>
    <mergeCell ref="F12:J12"/>
    <mergeCell ref="P4:Q5"/>
    <mergeCell ref="L25:M25"/>
    <mergeCell ref="S44:T44"/>
    <mergeCell ref="L29:M29"/>
    <mergeCell ref="E34:H34"/>
    <mergeCell ref="E35:H35"/>
    <mergeCell ref="E36:H36"/>
    <mergeCell ref="E37:H37"/>
    <mergeCell ref="E29:H29"/>
    <mergeCell ref="E30:H30"/>
    <mergeCell ref="E31:H31"/>
    <mergeCell ref="E32:H32"/>
    <mergeCell ref="E33:H33"/>
    <mergeCell ref="S32:T40"/>
    <mergeCell ref="I40:J40"/>
    <mergeCell ref="A44:J44"/>
    <mergeCell ref="K44:Q44"/>
    <mergeCell ref="S17:T17"/>
    <mergeCell ref="S18:T23"/>
    <mergeCell ref="S27:T31"/>
    <mergeCell ref="N21:O21"/>
    <mergeCell ref="P21:Q21"/>
    <mergeCell ref="S24:T26"/>
    <mergeCell ref="N16:O17"/>
    <mergeCell ref="N19:O19"/>
    <mergeCell ref="P17:Q17"/>
    <mergeCell ref="N30:O30"/>
    <mergeCell ref="N29:O29"/>
    <mergeCell ref="N28:O28"/>
    <mergeCell ref="L28:M28"/>
    <mergeCell ref="P22:Q22"/>
    <mergeCell ref="L30:M30"/>
    <mergeCell ref="C21:D21"/>
    <mergeCell ref="I19:J19"/>
    <mergeCell ref="I20:J20"/>
    <mergeCell ref="I18:J18"/>
    <mergeCell ref="I21:J21"/>
    <mergeCell ref="B20:D20"/>
    <mergeCell ref="B18:D18"/>
    <mergeCell ref="B19:D19"/>
    <mergeCell ref="E18:H18"/>
    <mergeCell ref="E17:H17"/>
    <mergeCell ref="E19:H19"/>
    <mergeCell ref="E20:H20"/>
    <mergeCell ref="E21:H21"/>
    <mergeCell ref="P18:Q18"/>
    <mergeCell ref="P20:Q20"/>
    <mergeCell ref="P19:Q19"/>
    <mergeCell ref="N18:O18"/>
    <mergeCell ref="N20:O20"/>
    <mergeCell ref="I29:J29"/>
    <mergeCell ref="I27:J27"/>
    <mergeCell ref="N22:O22"/>
    <mergeCell ref="I22:J22"/>
    <mergeCell ref="P23:Q23"/>
    <mergeCell ref="I23:J23"/>
    <mergeCell ref="N23:O23"/>
    <mergeCell ref="I34:J34"/>
    <mergeCell ref="I32:J32"/>
    <mergeCell ref="I33:J33"/>
    <mergeCell ref="I31:J31"/>
    <mergeCell ref="I35:J35"/>
    <mergeCell ref="I38:J38"/>
    <mergeCell ref="I37:J37"/>
    <mergeCell ref="C37:D37"/>
    <mergeCell ref="C35:D35"/>
    <mergeCell ref="C36:D36"/>
    <mergeCell ref="I36:J36"/>
    <mergeCell ref="I13:J13"/>
    <mergeCell ref="B30:D30"/>
    <mergeCell ref="B29:D29"/>
    <mergeCell ref="B31:D31"/>
    <mergeCell ref="B28:D28"/>
    <mergeCell ref="B27:D27"/>
    <mergeCell ref="H16:I16"/>
    <mergeCell ref="I17:J17"/>
    <mergeCell ref="E22:H22"/>
    <mergeCell ref="E23:H23"/>
    <mergeCell ref="E27:H27"/>
    <mergeCell ref="E28:H28"/>
    <mergeCell ref="F25:G25"/>
    <mergeCell ref="I25:J25"/>
    <mergeCell ref="I30:J30"/>
    <mergeCell ref="I28:J28"/>
  </mergeCells>
  <phoneticPr fontId="7" type="noConversion"/>
  <conditionalFormatting sqref="B18:D20">
    <cfRule type="cellIs" dxfId="82" priority="4" stopIfTrue="1" operator="equal">
      <formula>"Make a selection FIRST --&gt;"</formula>
    </cfRule>
  </conditionalFormatting>
  <conditionalFormatting sqref="J26">
    <cfRule type="cellIs" dxfId="81" priority="3" operator="equal">
      <formula>"No"</formula>
    </cfRule>
  </conditionalFormatting>
  <conditionalFormatting sqref="J24">
    <cfRule type="cellIs" dxfId="80" priority="2" operator="equal">
      <formula>"No"</formula>
    </cfRule>
  </conditionalFormatting>
  <conditionalFormatting sqref="P25:Q25">
    <cfRule type="cellIs" dxfId="79" priority="1" operator="notEqual">
      <formula>0</formula>
    </cfRule>
  </conditionalFormatting>
  <dataValidations xWindow="265" yWindow="773" count="4">
    <dataValidation type="list" allowBlank="1" showInputMessage="1" showErrorMessage="1" sqref="B4:B6 B10:B12 E8:E9 E11 L6:L8 L10 L12:L13 O4" xr:uid="{00000000-0002-0000-0400-000000000000}">
      <formula1>"Yes, No"</formula1>
    </dataValidation>
    <dataValidation type="list" showInputMessage="1" showErrorMessage="1" sqref="B13 E13 O6 E7 B7:B9 E4:E5 L4:L5 L11 L9" xr:uid="{00000000-0002-0000-0400-000001000000}">
      <formula1>"Yes, No"</formula1>
    </dataValidation>
    <dataValidation type="list" allowBlank="1" showInputMessage="1" showErrorMessage="1" sqref="P18:Q22" xr:uid="{00000000-0002-0000-0400-000002000000}">
      <formula1>"Amortizing, DCA HOME IPS, Cash Flow, Adjusted Interest"</formula1>
    </dataValidation>
    <dataValidation type="list" allowBlank="1" showInputMessage="1" showErrorMessage="1" sqref="P23:Q24 P26:Q26" xr:uid="{00000000-0002-0000-0400-000003000000}">
      <formula1>"Amortizing, Cash Flow"</formula1>
    </dataValidation>
  </dataValidations>
  <printOptions horizontalCentered="1"/>
  <pageMargins left="0.25" right="0.25" top="0.5" bottom="0.5" header="0.25" footer="0.25"/>
  <pageSetup fitToHeight="0" orientation="landscape" r:id="rId1"/>
  <headerFooter alignWithMargins="0">
    <oddHeader>&amp;L&amp;11Georgia Department of Community Affairs&amp;C&amp;11OHF Final Cost Certification Application&amp;R&amp;11Housing Finance and Development Division</oddHeader>
    <oddFooter>&amp;L&amp;"Arial Narrow,Regular"&amp;G &amp;F&amp;C&amp;"Arial Narrow,Regular"&amp;A&amp;R&amp;P of &amp;N</oddFooter>
  </headerFooter>
  <rowBreaks count="1" manualBreakCount="1">
    <brk id="41"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Q744"/>
  <sheetViews>
    <sheetView showGridLines="0" workbookViewId="0">
      <selection sqref="A1:F1"/>
    </sheetView>
  </sheetViews>
  <sheetFormatPr defaultColWidth="8.85546875" defaultRowHeight="12.75"/>
  <cols>
    <col min="1" max="1" width="17.7109375" style="7" customWidth="1"/>
    <col min="2" max="5" width="16.85546875" style="7" customWidth="1"/>
    <col min="6" max="6" width="4.85546875" style="7" bestFit="1" customWidth="1"/>
    <col min="7" max="7" width="11.28515625" style="7" customWidth="1"/>
    <col min="8" max="8" width="12.140625" style="7" bestFit="1" customWidth="1"/>
    <col min="9" max="9" width="12.42578125" style="7" bestFit="1" customWidth="1"/>
    <col min="10" max="10" width="11.7109375" style="7" bestFit="1" customWidth="1"/>
    <col min="11" max="11" width="15.140625" style="7" bestFit="1" customWidth="1"/>
    <col min="12" max="16384" width="8.85546875" style="7"/>
  </cols>
  <sheetData>
    <row r="1" spans="1:17" s="50" customFormat="1" ht="16.149999999999999" customHeight="1">
      <c r="A1" s="2132" t="str">
        <f>CONCATENATE("PART III B: USD 538 LOAN","  -  ",'Part I-Project Information'!$O$4," ",'Part I-Project Information'!$F$24,", ",'Part I-Project Information'!$F$27,", ",'Part I-Project Information'!$J$28," County")</f>
        <v>PART III B: USD 538 LOAN  -  20##-### SB OHF Test Villas, Peachtree Corners, Gwinnett County</v>
      </c>
      <c r="B1" s="2133"/>
      <c r="C1" s="2133"/>
      <c r="D1" s="2133"/>
      <c r="E1" s="2133"/>
      <c r="F1" s="2134"/>
      <c r="G1" s="49"/>
      <c r="H1" s="49"/>
      <c r="I1" s="49"/>
      <c r="J1" s="49"/>
      <c r="K1" s="49"/>
      <c r="L1" s="49"/>
      <c r="M1" s="49"/>
      <c r="N1" s="49"/>
      <c r="O1" s="49"/>
      <c r="P1" s="49"/>
      <c r="Q1" s="49"/>
    </row>
    <row r="2" spans="1:17" ht="10.9" customHeight="1">
      <c r="A2" s="71"/>
      <c r="B2" s="71"/>
      <c r="C2" s="71"/>
      <c r="D2" s="71"/>
      <c r="E2" s="71"/>
      <c r="F2" s="71"/>
      <c r="G2" s="71"/>
      <c r="H2" s="71"/>
    </row>
    <row r="3" spans="1:17" ht="14.45" customHeight="1">
      <c r="A3" s="2141" t="s">
        <v>197</v>
      </c>
      <c r="B3" s="2141"/>
      <c r="C3" s="2141"/>
      <c r="D3" s="2141"/>
      <c r="E3" s="2141"/>
      <c r="F3" s="2141"/>
      <c r="G3" s="71"/>
      <c r="H3" s="71"/>
    </row>
    <row r="4" spans="1:17" s="59" customFormat="1" ht="6" customHeight="1"/>
    <row r="5" spans="1:17">
      <c r="A5" s="10" t="s">
        <v>2000</v>
      </c>
      <c r="B5" s="10"/>
      <c r="C5" s="126"/>
      <c r="D5" s="127">
        <f>IF(C5&gt;1500000,1500000,0)</f>
        <v>0</v>
      </c>
      <c r="E5" s="128">
        <f>IF(C5&gt;1500000,C5-1500000,0)</f>
        <v>0</v>
      </c>
    </row>
    <row r="6" spans="1:17">
      <c r="A6" s="10" t="s">
        <v>2182</v>
      </c>
      <c r="B6" s="92" t="s">
        <v>474</v>
      </c>
      <c r="C6" s="129">
        <v>0</v>
      </c>
      <c r="D6" s="29" t="s">
        <v>475</v>
      </c>
      <c r="E6" s="10"/>
    </row>
    <row r="7" spans="1:17">
      <c r="A7" s="10"/>
      <c r="B7" s="92" t="s">
        <v>2198</v>
      </c>
      <c r="C7" s="130"/>
      <c r="D7" s="29" t="s">
        <v>1493</v>
      </c>
      <c r="E7" s="10"/>
    </row>
    <row r="8" spans="1:17" ht="13.15" customHeight="1">
      <c r="A8" s="10" t="s">
        <v>2186</v>
      </c>
      <c r="B8" s="10"/>
      <c r="C8" s="129">
        <v>0</v>
      </c>
      <c r="D8" s="29" t="s">
        <v>1494</v>
      </c>
      <c r="E8" s="10"/>
    </row>
    <row r="9" spans="1:17">
      <c r="A9" s="10" t="s">
        <v>1282</v>
      </c>
      <c r="B9" s="10"/>
      <c r="C9" s="131"/>
      <c r="D9" s="10"/>
      <c r="E9" s="10"/>
    </row>
    <row r="10" spans="1:17">
      <c r="A10" s="10" t="s">
        <v>1283</v>
      </c>
      <c r="B10" s="10"/>
      <c r="C10" s="131"/>
      <c r="D10" s="10"/>
      <c r="E10" s="10"/>
    </row>
    <row r="11" spans="1:17">
      <c r="A11" s="10" t="s">
        <v>1280</v>
      </c>
      <c r="B11" s="10"/>
      <c r="C11" s="132" t="e">
        <f>PMT(C7/12,C10*12,-C5,0,0)*12</f>
        <v>#NUM!</v>
      </c>
      <c r="D11" s="127" t="e">
        <f>PMT($C$7/12,$C$10*12,-D5,0,0)*12</f>
        <v>#NUM!</v>
      </c>
      <c r="E11" s="127" t="e">
        <f>PMT($C$7/12,$C$10*12,-E5,0,0)*12</f>
        <v>#NUM!</v>
      </c>
    </row>
    <row r="12" spans="1:17">
      <c r="A12" s="10" t="s">
        <v>1281</v>
      </c>
      <c r="B12" s="10"/>
      <c r="C12" s="133" t="e">
        <f>C11/12</f>
        <v>#NUM!</v>
      </c>
      <c r="D12" s="127" t="e">
        <f>D11/12</f>
        <v>#NUM!</v>
      </c>
      <c r="E12" s="127" t="e">
        <f>E11/12</f>
        <v>#NUM!</v>
      </c>
    </row>
    <row r="13" spans="1:17" ht="10.9" customHeight="1">
      <c r="A13" s="71"/>
      <c r="B13" s="71"/>
      <c r="C13" s="71"/>
      <c r="D13" s="71"/>
      <c r="E13" s="71"/>
      <c r="F13" s="71"/>
      <c r="G13" s="71"/>
      <c r="H13" s="71"/>
    </row>
    <row r="14" spans="1:17" ht="12.6" customHeight="1">
      <c r="A14" s="2142" t="s">
        <v>115</v>
      </c>
      <c r="B14" s="2142"/>
      <c r="C14" s="2142"/>
      <c r="D14" s="2142"/>
      <c r="E14" s="2142"/>
      <c r="F14" s="2142"/>
      <c r="G14" s="71"/>
      <c r="H14" s="71"/>
    </row>
    <row r="15" spans="1:17" ht="5.45" customHeight="1">
      <c r="A15" s="8"/>
      <c r="E15" s="82"/>
      <c r="F15" s="71"/>
      <c r="G15" s="71"/>
      <c r="H15" s="71"/>
    </row>
    <row r="16" spans="1:17" ht="13.15" customHeight="1">
      <c r="A16" s="84" t="s">
        <v>2199</v>
      </c>
      <c r="B16" s="85" t="s">
        <v>2196</v>
      </c>
      <c r="C16" s="85" t="s">
        <v>2197</v>
      </c>
      <c r="D16" s="2138" t="s">
        <v>1999</v>
      </c>
      <c r="E16" s="2138"/>
      <c r="F16" s="71"/>
      <c r="G16" s="71"/>
      <c r="H16" s="71"/>
    </row>
    <row r="17" spans="1:8" ht="12.6" customHeight="1">
      <c r="A17" s="19">
        <v>1</v>
      </c>
      <c r="B17" s="60">
        <f>IF(A17&gt;$C$9,0,SUM(C64:C75)*($C$6/$C$7))</f>
        <v>0</v>
      </c>
      <c r="C17" s="83">
        <f>IF(A17&gt;C9,0,(E63+K63)*$C$8)</f>
        <v>0</v>
      </c>
      <c r="D17" s="2143">
        <f t="shared" ref="D17:D56" si="0">IF(A17&gt;$C$9,0,$C$11+C17)</f>
        <v>0</v>
      </c>
      <c r="E17" s="2143"/>
      <c r="F17" s="71"/>
      <c r="G17" s="71"/>
      <c r="H17" s="71"/>
    </row>
    <row r="18" spans="1:8" ht="12.6" customHeight="1">
      <c r="A18" s="19">
        <v>2</v>
      </c>
      <c r="B18" s="60">
        <f>IF(A18&gt;C9,0,SUM(C76:C87)*($C$6/$C$7))</f>
        <v>0</v>
      </c>
      <c r="C18" s="90">
        <f>IF(A18&gt;C9,0,(E75+K75)*$C$8)</f>
        <v>0</v>
      </c>
      <c r="D18" s="2135">
        <f t="shared" si="0"/>
        <v>0</v>
      </c>
      <c r="E18" s="2135"/>
      <c r="F18" s="71"/>
      <c r="G18" s="71"/>
      <c r="H18" s="71"/>
    </row>
    <row r="19" spans="1:8" ht="12.6" customHeight="1">
      <c r="A19" s="19">
        <v>3</v>
      </c>
      <c r="B19" s="60">
        <f>IF(A19&gt;C9,0,SUM(C88:C99)*($C$6/$C$7))</f>
        <v>0</v>
      </c>
      <c r="C19" s="83">
        <f>IF(A19&gt;C9,0,(E87+K87)*$C$8)</f>
        <v>0</v>
      </c>
      <c r="D19" s="2135">
        <f t="shared" si="0"/>
        <v>0</v>
      </c>
      <c r="E19" s="2135"/>
      <c r="F19" s="71"/>
      <c r="G19" s="71"/>
      <c r="H19" s="71"/>
    </row>
    <row r="20" spans="1:8" ht="12.6" customHeight="1">
      <c r="A20" s="19">
        <v>4</v>
      </c>
      <c r="B20" s="60">
        <f>IF(A20&gt;C9,0,SUM(C100:C111)*($C$6/$C$7))</f>
        <v>0</v>
      </c>
      <c r="C20" s="83">
        <f>IF(A20&gt;C9,0,(E99+K99)*$C$8)</f>
        <v>0</v>
      </c>
      <c r="D20" s="2135">
        <f t="shared" si="0"/>
        <v>0</v>
      </c>
      <c r="E20" s="2135"/>
      <c r="F20" s="71"/>
      <c r="G20" s="71"/>
      <c r="H20" s="71"/>
    </row>
    <row r="21" spans="1:8" ht="12.6" customHeight="1">
      <c r="A21" s="19">
        <v>5</v>
      </c>
      <c r="B21" s="60">
        <f>IF(A21&gt;C9,0,SUM(C112:C123)*($C$6/$C$7))</f>
        <v>0</v>
      </c>
      <c r="C21" s="83">
        <f>IF(A21&gt;C9,0,(E111+K111)*$C$8)</f>
        <v>0</v>
      </c>
      <c r="D21" s="2136">
        <f t="shared" si="0"/>
        <v>0</v>
      </c>
      <c r="E21" s="2136"/>
      <c r="F21" s="71"/>
      <c r="G21" s="71"/>
      <c r="H21" s="71"/>
    </row>
    <row r="22" spans="1:8" ht="12.6" customHeight="1">
      <c r="A22" s="61">
        <v>6</v>
      </c>
      <c r="B22" s="62">
        <f>IF(A22&gt;C9,0,SUM(C124:C135)*($C$6/$C$7))</f>
        <v>0</v>
      </c>
      <c r="C22" s="87">
        <f>IF(A22&gt;C9,0,(E123+K123)*$C$8)</f>
        <v>0</v>
      </c>
      <c r="D22" s="2135">
        <f t="shared" si="0"/>
        <v>0</v>
      </c>
      <c r="E22" s="2135"/>
      <c r="F22" s="71"/>
      <c r="G22" s="71"/>
      <c r="H22" s="71"/>
    </row>
    <row r="23" spans="1:8" ht="12.6" customHeight="1">
      <c r="A23" s="63">
        <v>7</v>
      </c>
      <c r="B23" s="64">
        <f>IF(A23&gt;C9,0,SUM(C136:C147)*($C$6/$C$7))</f>
        <v>0</v>
      </c>
      <c r="C23" s="65">
        <f>IF(A23&gt;C9,0,(E135+K135)*$C$8)</f>
        <v>0</v>
      </c>
      <c r="D23" s="2135">
        <f t="shared" si="0"/>
        <v>0</v>
      </c>
      <c r="E23" s="2135"/>
      <c r="F23" s="71"/>
      <c r="G23" s="71"/>
      <c r="H23" s="71"/>
    </row>
    <row r="24" spans="1:8" ht="12.6" customHeight="1">
      <c r="A24" s="63">
        <v>8</v>
      </c>
      <c r="B24" s="64">
        <f>IF(A24&gt;C9,0,SUM(C148:C159)*($C$6/$C$7))</f>
        <v>0</v>
      </c>
      <c r="C24" s="65">
        <f>IF(A24&gt;C9,0,(E147+K147)*$C$8)</f>
        <v>0</v>
      </c>
      <c r="D24" s="2135">
        <f t="shared" si="0"/>
        <v>0</v>
      </c>
      <c r="E24" s="2135"/>
      <c r="F24" s="71"/>
      <c r="G24" s="71"/>
      <c r="H24" s="71"/>
    </row>
    <row r="25" spans="1:8" ht="12.6" customHeight="1">
      <c r="A25" s="63">
        <v>9</v>
      </c>
      <c r="B25" s="64">
        <f>IF(A25&gt;C9,0,SUM(C160:C171)*($C$6/$C$7))</f>
        <v>0</v>
      </c>
      <c r="C25" s="65">
        <f>IF(A25&gt;C9,0,(E159+K159)*$C$8)</f>
        <v>0</v>
      </c>
      <c r="D25" s="2135">
        <f t="shared" si="0"/>
        <v>0</v>
      </c>
      <c r="E25" s="2135"/>
      <c r="F25" s="71"/>
      <c r="G25" s="71"/>
      <c r="H25" s="71"/>
    </row>
    <row r="26" spans="1:8" ht="12.6" customHeight="1">
      <c r="A26" s="66">
        <v>10</v>
      </c>
      <c r="B26" s="67">
        <f>IF(A26&gt;C9,0,SUM(C172:C183)*($C$6/$C$7))</f>
        <v>0</v>
      </c>
      <c r="C26" s="86">
        <f>IF(A26&gt;C9,0,(E171+K171)*$C$8)</f>
        <v>0</v>
      </c>
      <c r="D26" s="2136">
        <f t="shared" si="0"/>
        <v>0</v>
      </c>
      <c r="E26" s="2136"/>
      <c r="F26" s="71"/>
      <c r="G26" s="71"/>
      <c r="H26" s="71"/>
    </row>
    <row r="27" spans="1:8" ht="12.6" customHeight="1">
      <c r="A27" s="68">
        <v>11</v>
      </c>
      <c r="B27" s="60">
        <f>IF(A27&gt;C9,0,SUM(C184:C195)*($C$6/$C$7))</f>
        <v>0</v>
      </c>
      <c r="C27" s="83">
        <f>IF(A27&gt;C9,0,(E183+K183)*$C$8)</f>
        <v>0</v>
      </c>
      <c r="D27" s="2135">
        <f t="shared" si="0"/>
        <v>0</v>
      </c>
      <c r="E27" s="2135"/>
      <c r="F27" s="71"/>
      <c r="G27" s="71"/>
      <c r="H27" s="71"/>
    </row>
    <row r="28" spans="1:8" ht="12.6" customHeight="1">
      <c r="A28" s="68">
        <v>12</v>
      </c>
      <c r="B28" s="60">
        <f>IF(A28&gt;C9,0,SUM(C196:C207)*($C$6/$C$7))</f>
        <v>0</v>
      </c>
      <c r="C28" s="83">
        <f>IF(A28&gt;C9,0,(E195+K195)*$C$8)</f>
        <v>0</v>
      </c>
      <c r="D28" s="2135">
        <f t="shared" si="0"/>
        <v>0</v>
      </c>
      <c r="E28" s="2135"/>
      <c r="F28" s="71"/>
      <c r="G28" s="71"/>
      <c r="H28" s="71"/>
    </row>
    <row r="29" spans="1:8" ht="12.6" customHeight="1">
      <c r="A29" s="68">
        <v>13</v>
      </c>
      <c r="B29" s="60">
        <f>IF(A29&gt;C9,0,SUM(C208:C219)*($C$6/$C$7))</f>
        <v>0</v>
      </c>
      <c r="C29" s="83">
        <f>IF(A29&gt;C9,0,(E207+K207)*$C$8)</f>
        <v>0</v>
      </c>
      <c r="D29" s="2135">
        <f t="shared" si="0"/>
        <v>0</v>
      </c>
      <c r="E29" s="2135"/>
      <c r="F29" s="71"/>
      <c r="G29" s="71"/>
      <c r="H29" s="71"/>
    </row>
    <row r="30" spans="1:8" ht="12.6" customHeight="1">
      <c r="A30" s="68">
        <v>14</v>
      </c>
      <c r="B30" s="60">
        <f>IF(A30&gt;C9,0,SUM(C220:C231)*($C$6/$C$7))</f>
        <v>0</v>
      </c>
      <c r="C30" s="83">
        <f>IF(A30&gt;C9,0,(E219+K219)*$C$8)</f>
        <v>0</v>
      </c>
      <c r="D30" s="2135">
        <f t="shared" si="0"/>
        <v>0</v>
      </c>
      <c r="E30" s="2135"/>
      <c r="F30" s="71"/>
      <c r="G30" s="71"/>
      <c r="H30" s="71"/>
    </row>
    <row r="31" spans="1:8" ht="12.6" customHeight="1">
      <c r="A31" s="68">
        <v>15</v>
      </c>
      <c r="B31" s="60">
        <f>IF(A31&gt;C9,0,SUM(C232:C243)*($C$6/$C$7))</f>
        <v>0</v>
      </c>
      <c r="C31" s="83">
        <f>IF(A31&gt;C9,0,(E231+K231)*$C$8)</f>
        <v>0</v>
      </c>
      <c r="D31" s="2136">
        <f t="shared" si="0"/>
        <v>0</v>
      </c>
      <c r="E31" s="2136"/>
      <c r="F31" s="71"/>
      <c r="G31" s="71"/>
      <c r="H31" s="71"/>
    </row>
    <row r="32" spans="1:8" ht="12.6" customHeight="1">
      <c r="A32" s="70">
        <v>16</v>
      </c>
      <c r="B32" s="62">
        <f>IF(A32&gt;C9,0,SUM(C244:C255)*($C$6/$C$7))</f>
        <v>0</v>
      </c>
      <c r="C32" s="87">
        <f>IF(A32&gt;C9,0,(E243+K243)*$C$8)</f>
        <v>0</v>
      </c>
      <c r="D32" s="2135">
        <f t="shared" si="0"/>
        <v>0</v>
      </c>
      <c r="E32" s="2135"/>
      <c r="F32" s="71"/>
      <c r="G32" s="71"/>
      <c r="H32" s="71"/>
    </row>
    <row r="33" spans="1:8" ht="12.6" customHeight="1">
      <c r="A33" s="63">
        <v>17</v>
      </c>
      <c r="B33" s="64">
        <f>IF(A33&gt;C9,0,SUM(C256:C267)*($C$6/$C$7))</f>
        <v>0</v>
      </c>
      <c r="C33" s="65">
        <f>IF(A33&gt;C9,0,(E255+K255)*$C$8)</f>
        <v>0</v>
      </c>
      <c r="D33" s="2135">
        <f t="shared" si="0"/>
        <v>0</v>
      </c>
      <c r="E33" s="2135"/>
      <c r="F33" s="71"/>
      <c r="G33" s="71"/>
      <c r="H33" s="71"/>
    </row>
    <row r="34" spans="1:8" ht="12.6" customHeight="1">
      <c r="A34" s="63">
        <v>18</v>
      </c>
      <c r="B34" s="64">
        <f>IF(A34&gt;C9,0,SUM(C268:C279)*($C$6/$C$7))</f>
        <v>0</v>
      </c>
      <c r="C34" s="65">
        <f>IF(A34&gt;C9,0,(E267+K267)*$C$8)</f>
        <v>0</v>
      </c>
      <c r="D34" s="2135">
        <f t="shared" si="0"/>
        <v>0</v>
      </c>
      <c r="E34" s="2135"/>
      <c r="F34" s="71"/>
      <c r="G34" s="71"/>
      <c r="H34" s="71"/>
    </row>
    <row r="35" spans="1:8" ht="12.6" customHeight="1">
      <c r="A35" s="63">
        <v>19</v>
      </c>
      <c r="B35" s="64">
        <f>IF(A35&gt;C9,0,SUM(C280:C291)*($C$6/$C$7))</f>
        <v>0</v>
      </c>
      <c r="C35" s="65">
        <f>IF(A35&gt;C9,0,(E279+K279)*$C$8)</f>
        <v>0</v>
      </c>
      <c r="D35" s="2135">
        <f t="shared" si="0"/>
        <v>0</v>
      </c>
      <c r="E35" s="2135"/>
      <c r="F35" s="71"/>
      <c r="G35" s="71"/>
      <c r="H35" s="71"/>
    </row>
    <row r="36" spans="1:8" ht="12.6" customHeight="1">
      <c r="A36" s="66">
        <v>20</v>
      </c>
      <c r="B36" s="67">
        <f>IF(A36&gt;C9,0,SUM(C292:C303)*($C$6/$C$7))</f>
        <v>0</v>
      </c>
      <c r="C36" s="86">
        <f>IF(A36&gt;C9,0,(E291+K291)*$C$8)</f>
        <v>0</v>
      </c>
      <c r="D36" s="2136">
        <f t="shared" si="0"/>
        <v>0</v>
      </c>
      <c r="E36" s="2136"/>
      <c r="F36" s="71"/>
      <c r="G36" s="71"/>
      <c r="H36" s="71"/>
    </row>
    <row r="37" spans="1:8" ht="12.6" customHeight="1">
      <c r="A37" s="19">
        <v>21</v>
      </c>
      <c r="B37" s="62">
        <f>IF(A37&gt;C9,0,SUM(C293:C304)*($C$6/$C$7))</f>
        <v>0</v>
      </c>
      <c r="C37" s="87">
        <f>IF(A37&gt;C9,0,(E303+K303)*$C$8)</f>
        <v>0</v>
      </c>
      <c r="D37" s="2137">
        <f t="shared" si="0"/>
        <v>0</v>
      </c>
      <c r="E37" s="2137"/>
      <c r="F37" s="71"/>
      <c r="G37" s="71"/>
      <c r="H37" s="71"/>
    </row>
    <row r="38" spans="1:8" ht="12.6" customHeight="1">
      <c r="A38" s="19">
        <v>22</v>
      </c>
      <c r="B38" s="64">
        <f>IF(A38&gt;C9,0,SUM(C294:C305)*($C$6/$C$7))</f>
        <v>0</v>
      </c>
      <c r="C38" s="65">
        <f>IF(A38&gt;C9,0,(E315+K315)*$C$8)</f>
        <v>0</v>
      </c>
      <c r="D38" s="2135">
        <f t="shared" si="0"/>
        <v>0</v>
      </c>
      <c r="E38" s="2135"/>
      <c r="F38" s="71"/>
      <c r="G38" s="71"/>
      <c r="H38" s="71"/>
    </row>
    <row r="39" spans="1:8" ht="12.6" customHeight="1">
      <c r="A39" s="19">
        <v>23</v>
      </c>
      <c r="B39" s="64">
        <f>IF(A39&gt;C9,0,SUM(C295:C306)*($C$6/$C$7))</f>
        <v>0</v>
      </c>
      <c r="C39" s="65">
        <f>IF(A39&gt;C9,0,(E327+K327)*$C$8)</f>
        <v>0</v>
      </c>
      <c r="D39" s="2135">
        <f t="shared" si="0"/>
        <v>0</v>
      </c>
      <c r="E39" s="2135"/>
      <c r="F39" s="71"/>
      <c r="G39" s="71"/>
      <c r="H39" s="71"/>
    </row>
    <row r="40" spans="1:8" ht="12.6" customHeight="1">
      <c r="A40" s="19">
        <v>24</v>
      </c>
      <c r="B40" s="64">
        <f>IF(A40&gt;C9,0,SUM(C296:C307)*($C$6/$C$7))</f>
        <v>0</v>
      </c>
      <c r="C40" s="65">
        <f>IF(A40&gt;C9,0,(E339+K339)*$C$8)</f>
        <v>0</v>
      </c>
      <c r="D40" s="2135">
        <f t="shared" si="0"/>
        <v>0</v>
      </c>
      <c r="E40" s="2135"/>
      <c r="F40" s="71"/>
      <c r="G40" s="71"/>
      <c r="H40" s="71"/>
    </row>
    <row r="41" spans="1:8" ht="12.6" customHeight="1">
      <c r="A41" s="19">
        <v>25</v>
      </c>
      <c r="B41" s="67">
        <f>IF(A41&gt;C9,0,SUM(C297:C308)*($C$6/$C$7))</f>
        <v>0</v>
      </c>
      <c r="C41" s="86">
        <f>IF(A41&gt;C9,0,(E351+K351)*$C$8)</f>
        <v>0</v>
      </c>
      <c r="D41" s="2136">
        <f t="shared" si="0"/>
        <v>0</v>
      </c>
      <c r="E41" s="2136"/>
      <c r="F41" s="71"/>
      <c r="G41" s="71"/>
      <c r="H41" s="71"/>
    </row>
    <row r="42" spans="1:8" ht="12.6" customHeight="1">
      <c r="A42" s="61">
        <v>26</v>
      </c>
      <c r="B42" s="62">
        <f>IF(A42&gt;C9,0,SUM(C298:C309)*($C$6/$C$7))</f>
        <v>0</v>
      </c>
      <c r="C42" s="87">
        <f>IF(A42&gt;C9,0,(E363+K363)*$C$8)</f>
        <v>0</v>
      </c>
      <c r="D42" s="2137">
        <f t="shared" si="0"/>
        <v>0</v>
      </c>
      <c r="E42" s="2137"/>
      <c r="F42" s="71"/>
      <c r="G42" s="71"/>
      <c r="H42" s="71"/>
    </row>
    <row r="43" spans="1:8" ht="12.6" customHeight="1">
      <c r="A43" s="63">
        <v>27</v>
      </c>
      <c r="B43" s="64">
        <f>IF(A43&gt;C9,0,SUM(C299:C310)*($C$6/$C$7))</f>
        <v>0</v>
      </c>
      <c r="C43" s="65">
        <f>IF(A43&gt;C9,0,(E375+K375)*$C$8)</f>
        <v>0</v>
      </c>
      <c r="D43" s="2135">
        <f t="shared" si="0"/>
        <v>0</v>
      </c>
      <c r="E43" s="2135"/>
      <c r="F43" s="71"/>
      <c r="G43" s="71"/>
      <c r="H43" s="71"/>
    </row>
    <row r="44" spans="1:8" ht="12.6" customHeight="1">
      <c r="A44" s="63">
        <v>28</v>
      </c>
      <c r="B44" s="64">
        <f>IF(A44&gt;C9,0,SUM(C300:C311)*($C$6/$C$7))</f>
        <v>0</v>
      </c>
      <c r="C44" s="65">
        <f>IF(A44&gt;C9,0,(E387+K387)*$C$8)</f>
        <v>0</v>
      </c>
      <c r="D44" s="2135">
        <f t="shared" si="0"/>
        <v>0</v>
      </c>
      <c r="E44" s="2135"/>
      <c r="F44" s="71"/>
      <c r="G44" s="71"/>
      <c r="H44" s="71"/>
    </row>
    <row r="45" spans="1:8" ht="12.6" customHeight="1">
      <c r="A45" s="63">
        <v>29</v>
      </c>
      <c r="B45" s="64">
        <f>IF(A45&gt;C9,0,SUM(C301:C312)*($C$6/$C$7))</f>
        <v>0</v>
      </c>
      <c r="C45" s="65">
        <f>IF(A45&gt;C9,0,(E411+K411)*$C$8)</f>
        <v>0</v>
      </c>
      <c r="D45" s="2135">
        <f t="shared" si="0"/>
        <v>0</v>
      </c>
      <c r="E45" s="2135"/>
      <c r="F45" s="71"/>
      <c r="G45" s="71"/>
      <c r="H45" s="71"/>
    </row>
    <row r="46" spans="1:8" ht="12.6" customHeight="1">
      <c r="A46" s="66">
        <v>30</v>
      </c>
      <c r="B46" s="67">
        <f>IF(A46&gt;C9,0,SUM(C302:C313)*($C$6/$C$7))</f>
        <v>0</v>
      </c>
      <c r="C46" s="86">
        <f>IF(A46&gt;C9,0,(E423+K423)*$C$8)</f>
        <v>0</v>
      </c>
      <c r="D46" s="2136">
        <f t="shared" si="0"/>
        <v>0</v>
      </c>
      <c r="E46" s="2136"/>
      <c r="F46" s="71"/>
      <c r="G46" s="71"/>
      <c r="H46" s="71"/>
    </row>
    <row r="47" spans="1:8" ht="12.6" customHeight="1">
      <c r="A47" s="70">
        <v>31</v>
      </c>
      <c r="B47" s="62">
        <f>IF(A47&gt;C9,0,SUM(C303:C314)*($C$6/$C$7))</f>
        <v>0</v>
      </c>
      <c r="C47" s="87">
        <f>IF(A47&gt;C9,0,(E435+K435)*$C$8)</f>
        <v>0</v>
      </c>
      <c r="D47" s="2137">
        <f t="shared" si="0"/>
        <v>0</v>
      </c>
      <c r="E47" s="2137"/>
      <c r="F47" s="71"/>
      <c r="G47" s="71"/>
      <c r="H47" s="71"/>
    </row>
    <row r="48" spans="1:8" ht="12.6" customHeight="1">
      <c r="A48" s="63">
        <v>32</v>
      </c>
      <c r="B48" s="64">
        <f>IF(A48&gt;C9,0,SUM(C304:C315)*($C$6/$C$7))</f>
        <v>0</v>
      </c>
      <c r="C48" s="65">
        <f>IF(A48&gt;C9,0,(E447+K447)*$C$8)</f>
        <v>0</v>
      </c>
      <c r="D48" s="2135">
        <f t="shared" si="0"/>
        <v>0</v>
      </c>
      <c r="E48" s="2135"/>
      <c r="F48" s="71"/>
      <c r="G48" s="71"/>
      <c r="H48" s="71"/>
    </row>
    <row r="49" spans="1:12" ht="12.6" customHeight="1">
      <c r="A49" s="63">
        <v>33</v>
      </c>
      <c r="B49" s="64">
        <f>IF(A49&gt;C9,0,SUM(C305:C316)*($C$6/$C$7))</f>
        <v>0</v>
      </c>
      <c r="C49" s="65">
        <f>IF(A49&gt;C9,0,(E459+K459)*$C$8)</f>
        <v>0</v>
      </c>
      <c r="D49" s="2135">
        <f t="shared" si="0"/>
        <v>0</v>
      </c>
      <c r="E49" s="2135"/>
      <c r="F49" s="71"/>
      <c r="G49" s="71"/>
      <c r="H49" s="71"/>
    </row>
    <row r="50" spans="1:12" ht="12.6" customHeight="1">
      <c r="A50" s="63">
        <v>34</v>
      </c>
      <c r="B50" s="64">
        <f>IF(A50&gt;C9,0,SUM(C306:C317)*($C$6/$C$7))</f>
        <v>0</v>
      </c>
      <c r="C50" s="65">
        <f>IF(A50&gt;C9,0,(E471+K471)*$C$8)</f>
        <v>0</v>
      </c>
      <c r="D50" s="2135">
        <f t="shared" si="0"/>
        <v>0</v>
      </c>
      <c r="E50" s="2135"/>
      <c r="F50" s="71"/>
      <c r="G50" s="71"/>
      <c r="H50" s="71"/>
    </row>
    <row r="51" spans="1:12" ht="12.6" customHeight="1">
      <c r="A51" s="66">
        <v>35</v>
      </c>
      <c r="B51" s="67">
        <f>IF(A51&gt;C9,0,SUM(C307:C318)*($C$6/$C$7))</f>
        <v>0</v>
      </c>
      <c r="C51" s="86">
        <f>IF(A51&gt;C9,0,(E483+K483)*$C$8)</f>
        <v>0</v>
      </c>
      <c r="D51" s="2136">
        <f t="shared" si="0"/>
        <v>0</v>
      </c>
      <c r="E51" s="2136"/>
      <c r="F51" s="71"/>
      <c r="G51" s="71"/>
      <c r="H51" s="71"/>
    </row>
    <row r="52" spans="1:12" ht="12.6" customHeight="1">
      <c r="A52" s="70">
        <v>36</v>
      </c>
      <c r="B52" s="62">
        <f>IF(A52&gt;C9,0,SUM(C308:C319)*($C$6/$C$7))</f>
        <v>0</v>
      </c>
      <c r="C52" s="87">
        <f>IF(A52&gt;C9,0,(E495+K495)*$C$8)</f>
        <v>0</v>
      </c>
      <c r="D52" s="2137">
        <f t="shared" si="0"/>
        <v>0</v>
      </c>
      <c r="E52" s="2137"/>
      <c r="F52" s="71"/>
      <c r="G52" s="71"/>
      <c r="H52" s="71"/>
    </row>
    <row r="53" spans="1:12" ht="12.6" customHeight="1">
      <c r="A53" s="63">
        <v>37</v>
      </c>
      <c r="B53" s="64">
        <f>IF(A53&gt;C9,0,SUM(C309:C320)*($C$6/$C$7))</f>
        <v>0</v>
      </c>
      <c r="C53" s="65">
        <f>IF(A53&gt;C9,0,(E507+K507)*$C$8)</f>
        <v>0</v>
      </c>
      <c r="D53" s="2135">
        <f t="shared" si="0"/>
        <v>0</v>
      </c>
      <c r="E53" s="2135"/>
      <c r="F53" s="71"/>
      <c r="G53" s="71"/>
      <c r="H53" s="71"/>
    </row>
    <row r="54" spans="1:12" ht="12.6" customHeight="1">
      <c r="A54" s="63">
        <v>38</v>
      </c>
      <c r="B54" s="64">
        <f>IF(A54&gt;C9,0,SUM(C310:C321)*($C$6/$C$7))</f>
        <v>0</v>
      </c>
      <c r="C54" s="65">
        <f>IF(A54&gt;C9,0,(E519+K519)*$C$8)</f>
        <v>0</v>
      </c>
      <c r="D54" s="2135">
        <f t="shared" si="0"/>
        <v>0</v>
      </c>
      <c r="E54" s="2135"/>
      <c r="F54" s="71"/>
      <c r="G54" s="71"/>
      <c r="H54" s="71"/>
    </row>
    <row r="55" spans="1:12" ht="12.6" customHeight="1">
      <c r="A55" s="63">
        <v>39</v>
      </c>
      <c r="B55" s="64">
        <f>IF(A55&gt;C9,0,SUM(C311:C322)*($C$6/$C$7))</f>
        <v>0</v>
      </c>
      <c r="C55" s="65">
        <f>IF(A55&gt;C9,0,(E531+K531)*$C$8)</f>
        <v>0</v>
      </c>
      <c r="D55" s="2135">
        <f t="shared" si="0"/>
        <v>0</v>
      </c>
      <c r="E55" s="2135"/>
      <c r="F55" s="71"/>
      <c r="G55" s="71"/>
      <c r="H55" s="71"/>
    </row>
    <row r="56" spans="1:12" ht="12.6" customHeight="1">
      <c r="A56" s="66">
        <v>40</v>
      </c>
      <c r="B56" s="67">
        <f>IF(A56&gt;C9,0,SUM(C312:C323)*($C$6/$C$7))</f>
        <v>0</v>
      </c>
      <c r="C56" s="86">
        <f>IF(A56&gt;C9,0,(E543+K543)*$C$8)</f>
        <v>0</v>
      </c>
      <c r="D56" s="2136">
        <f t="shared" si="0"/>
        <v>0</v>
      </c>
      <c r="E56" s="2136"/>
      <c r="F56" s="71"/>
      <c r="G56" s="71"/>
      <c r="H56" s="71"/>
    </row>
    <row r="57" spans="1:12" ht="3" customHeight="1">
      <c r="A57" s="71"/>
      <c r="B57" s="71"/>
      <c r="C57" s="71"/>
      <c r="D57" s="71"/>
      <c r="E57" s="71"/>
      <c r="F57" s="71"/>
      <c r="G57" s="71"/>
      <c r="H57" s="71"/>
    </row>
    <row r="58" spans="1:12" ht="13.15" customHeight="1">
      <c r="A58" s="2139" t="str">
        <f>CONCATENATE('Part I-Project Information'!$O$4," ",'Part I-Project Information'!$F$24,", ",'Part I-Project Information'!$F$27,", ",'Part I-Project Information'!$J$28," County")</f>
        <v>20##-### SB OHF Test Villas, Peachtree Corners, Gwinnett County</v>
      </c>
      <c r="B58" s="2139"/>
      <c r="C58" s="2139"/>
      <c r="D58" s="2139"/>
      <c r="E58" s="2139"/>
      <c r="F58" s="2139"/>
      <c r="G58" s="2139" t="str">
        <f>CONCATENATE('Part I-Project Information'!$O$4," ",'Part I-Project Information'!$F$24,", ",'Part I-Project Information'!$F$27,", ",'Part I-Project Information'!$J$28," County")</f>
        <v>20##-### SB OHF Test Villas, Peachtree Corners, Gwinnett County</v>
      </c>
      <c r="H58" s="2139"/>
      <c r="I58" s="2139"/>
      <c r="J58" s="2139"/>
      <c r="K58" s="2139"/>
      <c r="L58" s="2139"/>
    </row>
    <row r="59" spans="1:12" ht="15">
      <c r="A59" s="2140" t="s">
        <v>2190</v>
      </c>
      <c r="B59" s="2140"/>
      <c r="C59" s="2140"/>
      <c r="D59" s="2140"/>
      <c r="E59" s="2140"/>
      <c r="F59" s="2140"/>
      <c r="G59" s="2140" t="s">
        <v>2190</v>
      </c>
      <c r="H59" s="2140"/>
      <c r="I59" s="2140"/>
      <c r="J59" s="2140"/>
      <c r="K59" s="2140"/>
      <c r="L59" s="2140"/>
    </row>
    <row r="60" spans="1:12" ht="6" customHeight="1">
      <c r="C60" s="69"/>
      <c r="D60" s="69"/>
      <c r="I60" s="69"/>
      <c r="J60" s="69"/>
    </row>
    <row r="61" spans="1:12">
      <c r="A61" s="72" t="s">
        <v>2191</v>
      </c>
      <c r="B61" s="73" t="s">
        <v>2192</v>
      </c>
      <c r="C61" s="73" t="s">
        <v>1196</v>
      </c>
      <c r="D61" s="73" t="s">
        <v>2193</v>
      </c>
      <c r="E61" s="72" t="s">
        <v>2194</v>
      </c>
      <c r="F61" s="97" t="s">
        <v>2199</v>
      </c>
      <c r="G61" s="72" t="s">
        <v>2191</v>
      </c>
      <c r="H61" s="73" t="s">
        <v>2192</v>
      </c>
      <c r="I61" s="73" t="s">
        <v>1196</v>
      </c>
      <c r="J61" s="73" t="s">
        <v>2193</v>
      </c>
      <c r="K61" s="72" t="s">
        <v>2194</v>
      </c>
      <c r="L61" s="97" t="s">
        <v>2199</v>
      </c>
    </row>
    <row r="62" spans="1:12" ht="3.6" customHeight="1">
      <c r="A62" s="75"/>
      <c r="B62" s="28"/>
      <c r="C62" s="28"/>
      <c r="D62" s="28"/>
      <c r="E62" s="28"/>
      <c r="F62" s="19"/>
      <c r="G62" s="75"/>
      <c r="H62" s="28"/>
      <c r="I62" s="28"/>
      <c r="J62" s="28"/>
      <c r="K62" s="28"/>
      <c r="L62" s="19"/>
    </row>
    <row r="63" spans="1:12">
      <c r="A63" s="76" t="s">
        <v>2195</v>
      </c>
      <c r="B63" s="77"/>
      <c r="C63" s="77"/>
      <c r="D63" s="77"/>
      <c r="E63" s="78">
        <f>IF($C$5&gt;1500000,$D$5,$C$5)</f>
        <v>0</v>
      </c>
      <c r="F63" s="19"/>
      <c r="G63" s="76" t="s">
        <v>2195</v>
      </c>
      <c r="H63" s="77"/>
      <c r="I63" s="77"/>
      <c r="J63" s="77"/>
      <c r="K63" s="78">
        <f>IF($C$5&gt;1500000,$E$5,0)</f>
        <v>0</v>
      </c>
      <c r="L63" s="19"/>
    </row>
    <row r="64" spans="1:12">
      <c r="A64" s="79">
        <v>1</v>
      </c>
      <c r="B64" s="80">
        <f t="shared" ref="B64:B127" si="1">IF(A64&gt;12*$C$9,0,IF($C$5&gt;1500000,$D$12,$C$12))</f>
        <v>0</v>
      </c>
      <c r="C64" s="80">
        <f t="shared" ref="C64:C127" si="2">IF(A64&gt;12*$C$9,0,E63*$C$7/12)</f>
        <v>0</v>
      </c>
      <c r="D64" s="80">
        <f t="shared" ref="D64:D127" si="3">IF(A64&gt;12*$C$9,0,B64-C64)</f>
        <v>0</v>
      </c>
      <c r="E64" s="80">
        <f t="shared" ref="E64:E127" si="4">IF(A64&gt;12*$C$9,0,E63-D64)</f>
        <v>0</v>
      </c>
      <c r="F64" s="79"/>
      <c r="G64" s="79">
        <v>1</v>
      </c>
      <c r="H64" s="80">
        <f t="shared" ref="H64:H127" si="5">IF(G64&gt;12*$C$9,0,IF($C$5&gt;1500000,$E$12,0))</f>
        <v>0</v>
      </c>
      <c r="I64" s="80">
        <f t="shared" ref="I64:I127" si="6">IF(G64&gt;12*$C$9,0,K63*$C$7/12)</f>
        <v>0</v>
      </c>
      <c r="J64" s="80">
        <f t="shared" ref="J64:J127" si="7">IF(G64&gt;12*$C$9,0,H64-I64)</f>
        <v>0</v>
      </c>
      <c r="K64" s="80">
        <f t="shared" ref="K64:K127" si="8">IF(G64&gt;12*$C$9,0,K63-J64)</f>
        <v>0</v>
      </c>
      <c r="L64" s="79"/>
    </row>
    <row r="65" spans="1:12">
      <c r="A65" s="79">
        <v>2</v>
      </c>
      <c r="B65" s="80">
        <f t="shared" si="1"/>
        <v>0</v>
      </c>
      <c r="C65" s="80">
        <f t="shared" si="2"/>
        <v>0</v>
      </c>
      <c r="D65" s="80">
        <f t="shared" si="3"/>
        <v>0</v>
      </c>
      <c r="E65" s="80">
        <f t="shared" si="4"/>
        <v>0</v>
      </c>
      <c r="F65" s="79"/>
      <c r="G65" s="79">
        <v>2</v>
      </c>
      <c r="H65" s="80">
        <f t="shared" si="5"/>
        <v>0</v>
      </c>
      <c r="I65" s="80">
        <f t="shared" si="6"/>
        <v>0</v>
      </c>
      <c r="J65" s="80">
        <f t="shared" si="7"/>
        <v>0</v>
      </c>
      <c r="K65" s="80">
        <f t="shared" si="8"/>
        <v>0</v>
      </c>
      <c r="L65" s="79"/>
    </row>
    <row r="66" spans="1:12">
      <c r="A66" s="79">
        <v>3</v>
      </c>
      <c r="B66" s="80">
        <f t="shared" si="1"/>
        <v>0</v>
      </c>
      <c r="C66" s="80">
        <f t="shared" si="2"/>
        <v>0</v>
      </c>
      <c r="D66" s="80">
        <f t="shared" si="3"/>
        <v>0</v>
      </c>
      <c r="E66" s="80">
        <f t="shared" si="4"/>
        <v>0</v>
      </c>
      <c r="F66" s="79"/>
      <c r="G66" s="79">
        <v>3</v>
      </c>
      <c r="H66" s="80">
        <f t="shared" si="5"/>
        <v>0</v>
      </c>
      <c r="I66" s="80">
        <f t="shared" si="6"/>
        <v>0</v>
      </c>
      <c r="J66" s="80">
        <f t="shared" si="7"/>
        <v>0</v>
      </c>
      <c r="K66" s="80">
        <f t="shared" si="8"/>
        <v>0</v>
      </c>
      <c r="L66" s="79"/>
    </row>
    <row r="67" spans="1:12">
      <c r="A67" s="79">
        <v>4</v>
      </c>
      <c r="B67" s="80">
        <f t="shared" si="1"/>
        <v>0</v>
      </c>
      <c r="C67" s="80">
        <f t="shared" si="2"/>
        <v>0</v>
      </c>
      <c r="D67" s="80">
        <f t="shared" si="3"/>
        <v>0</v>
      </c>
      <c r="E67" s="80">
        <f t="shared" si="4"/>
        <v>0</v>
      </c>
      <c r="F67" s="79"/>
      <c r="G67" s="79">
        <v>4</v>
      </c>
      <c r="H67" s="80">
        <f t="shared" si="5"/>
        <v>0</v>
      </c>
      <c r="I67" s="80">
        <f t="shared" si="6"/>
        <v>0</v>
      </c>
      <c r="J67" s="80">
        <f t="shared" si="7"/>
        <v>0</v>
      </c>
      <c r="K67" s="80">
        <f t="shared" si="8"/>
        <v>0</v>
      </c>
      <c r="L67" s="79"/>
    </row>
    <row r="68" spans="1:12">
      <c r="A68" s="79">
        <v>5</v>
      </c>
      <c r="B68" s="80">
        <f t="shared" si="1"/>
        <v>0</v>
      </c>
      <c r="C68" s="80">
        <f t="shared" si="2"/>
        <v>0</v>
      </c>
      <c r="D68" s="80">
        <f t="shared" si="3"/>
        <v>0</v>
      </c>
      <c r="E68" s="80">
        <f t="shared" si="4"/>
        <v>0</v>
      </c>
      <c r="F68" s="79"/>
      <c r="G68" s="79">
        <v>5</v>
      </c>
      <c r="H68" s="80">
        <f t="shared" si="5"/>
        <v>0</v>
      </c>
      <c r="I68" s="80">
        <f t="shared" si="6"/>
        <v>0</v>
      </c>
      <c r="J68" s="80">
        <f t="shared" si="7"/>
        <v>0</v>
      </c>
      <c r="K68" s="80">
        <f t="shared" si="8"/>
        <v>0</v>
      </c>
      <c r="L68" s="79"/>
    </row>
    <row r="69" spans="1:12">
      <c r="A69" s="79">
        <v>6</v>
      </c>
      <c r="B69" s="80">
        <f t="shared" si="1"/>
        <v>0</v>
      </c>
      <c r="C69" s="80">
        <f t="shared" si="2"/>
        <v>0</v>
      </c>
      <c r="D69" s="80">
        <f t="shared" si="3"/>
        <v>0</v>
      </c>
      <c r="E69" s="80">
        <f t="shared" si="4"/>
        <v>0</v>
      </c>
      <c r="F69" s="79"/>
      <c r="G69" s="79">
        <v>6</v>
      </c>
      <c r="H69" s="80">
        <f t="shared" si="5"/>
        <v>0</v>
      </c>
      <c r="I69" s="80">
        <f t="shared" si="6"/>
        <v>0</v>
      </c>
      <c r="J69" s="80">
        <f t="shared" si="7"/>
        <v>0</v>
      </c>
      <c r="K69" s="80">
        <f t="shared" si="8"/>
        <v>0</v>
      </c>
      <c r="L69" s="79"/>
    </row>
    <row r="70" spans="1:12">
      <c r="A70" s="79">
        <v>7</v>
      </c>
      <c r="B70" s="80">
        <f t="shared" si="1"/>
        <v>0</v>
      </c>
      <c r="C70" s="80">
        <f t="shared" si="2"/>
        <v>0</v>
      </c>
      <c r="D70" s="80">
        <f t="shared" si="3"/>
        <v>0</v>
      </c>
      <c r="E70" s="80">
        <f t="shared" si="4"/>
        <v>0</v>
      </c>
      <c r="F70" s="79"/>
      <c r="G70" s="79">
        <v>7</v>
      </c>
      <c r="H70" s="80">
        <f t="shared" si="5"/>
        <v>0</v>
      </c>
      <c r="I70" s="80">
        <f t="shared" si="6"/>
        <v>0</v>
      </c>
      <c r="J70" s="80">
        <f t="shared" si="7"/>
        <v>0</v>
      </c>
      <c r="K70" s="80">
        <f t="shared" si="8"/>
        <v>0</v>
      </c>
      <c r="L70" s="79"/>
    </row>
    <row r="71" spans="1:12">
      <c r="A71" s="79">
        <v>8</v>
      </c>
      <c r="B71" s="80">
        <f t="shared" si="1"/>
        <v>0</v>
      </c>
      <c r="C71" s="80">
        <f t="shared" si="2"/>
        <v>0</v>
      </c>
      <c r="D71" s="80">
        <f t="shared" si="3"/>
        <v>0</v>
      </c>
      <c r="E71" s="80">
        <f t="shared" si="4"/>
        <v>0</v>
      </c>
      <c r="F71" s="79"/>
      <c r="G71" s="79">
        <v>8</v>
      </c>
      <c r="H71" s="80">
        <f t="shared" si="5"/>
        <v>0</v>
      </c>
      <c r="I71" s="80">
        <f t="shared" si="6"/>
        <v>0</v>
      </c>
      <c r="J71" s="80">
        <f t="shared" si="7"/>
        <v>0</v>
      </c>
      <c r="K71" s="80">
        <f t="shared" si="8"/>
        <v>0</v>
      </c>
      <c r="L71" s="79"/>
    </row>
    <row r="72" spans="1:12">
      <c r="A72" s="79">
        <v>9</v>
      </c>
      <c r="B72" s="80">
        <f t="shared" si="1"/>
        <v>0</v>
      </c>
      <c r="C72" s="80">
        <f t="shared" si="2"/>
        <v>0</v>
      </c>
      <c r="D72" s="80">
        <f t="shared" si="3"/>
        <v>0</v>
      </c>
      <c r="E72" s="80">
        <f t="shared" si="4"/>
        <v>0</v>
      </c>
      <c r="F72" s="79"/>
      <c r="G72" s="79">
        <v>9</v>
      </c>
      <c r="H72" s="80">
        <f t="shared" si="5"/>
        <v>0</v>
      </c>
      <c r="I72" s="80">
        <f t="shared" si="6"/>
        <v>0</v>
      </c>
      <c r="J72" s="80">
        <f t="shared" si="7"/>
        <v>0</v>
      </c>
      <c r="K72" s="80">
        <f t="shared" si="8"/>
        <v>0</v>
      </c>
      <c r="L72" s="79"/>
    </row>
    <row r="73" spans="1:12">
      <c r="A73" s="79">
        <v>10</v>
      </c>
      <c r="B73" s="80">
        <f t="shared" si="1"/>
        <v>0</v>
      </c>
      <c r="C73" s="80">
        <f t="shared" si="2"/>
        <v>0</v>
      </c>
      <c r="D73" s="80">
        <f t="shared" si="3"/>
        <v>0</v>
      </c>
      <c r="E73" s="80">
        <f t="shared" si="4"/>
        <v>0</v>
      </c>
      <c r="F73" s="79"/>
      <c r="G73" s="79">
        <v>10</v>
      </c>
      <c r="H73" s="80">
        <f t="shared" si="5"/>
        <v>0</v>
      </c>
      <c r="I73" s="80">
        <f t="shared" si="6"/>
        <v>0</v>
      </c>
      <c r="J73" s="80">
        <f t="shared" si="7"/>
        <v>0</v>
      </c>
      <c r="K73" s="80">
        <f t="shared" si="8"/>
        <v>0</v>
      </c>
      <c r="L73" s="79"/>
    </row>
    <row r="74" spans="1:12">
      <c r="A74" s="79">
        <v>11</v>
      </c>
      <c r="B74" s="80">
        <f t="shared" si="1"/>
        <v>0</v>
      </c>
      <c r="C74" s="80">
        <f t="shared" si="2"/>
        <v>0</v>
      </c>
      <c r="D74" s="80">
        <f t="shared" si="3"/>
        <v>0</v>
      </c>
      <c r="E74" s="80">
        <f t="shared" si="4"/>
        <v>0</v>
      </c>
      <c r="F74" s="79"/>
      <c r="G74" s="79">
        <v>11</v>
      </c>
      <c r="H74" s="80">
        <f t="shared" si="5"/>
        <v>0</v>
      </c>
      <c r="I74" s="80">
        <f t="shared" si="6"/>
        <v>0</v>
      </c>
      <c r="J74" s="80">
        <f t="shared" si="7"/>
        <v>0</v>
      </c>
      <c r="K74" s="80">
        <f t="shared" si="8"/>
        <v>0</v>
      </c>
      <c r="L74" s="79"/>
    </row>
    <row r="75" spans="1:12">
      <c r="A75" s="79">
        <v>12</v>
      </c>
      <c r="B75" s="80">
        <f t="shared" si="1"/>
        <v>0</v>
      </c>
      <c r="C75" s="80">
        <f t="shared" si="2"/>
        <v>0</v>
      </c>
      <c r="D75" s="80">
        <f t="shared" si="3"/>
        <v>0</v>
      </c>
      <c r="E75" s="80">
        <f t="shared" si="4"/>
        <v>0</v>
      </c>
      <c r="F75" s="79">
        <v>1</v>
      </c>
      <c r="G75" s="79">
        <v>12</v>
      </c>
      <c r="H75" s="80">
        <f t="shared" si="5"/>
        <v>0</v>
      </c>
      <c r="I75" s="80">
        <f t="shared" si="6"/>
        <v>0</v>
      </c>
      <c r="J75" s="80">
        <f t="shared" si="7"/>
        <v>0</v>
      </c>
      <c r="K75" s="80">
        <f t="shared" si="8"/>
        <v>0</v>
      </c>
      <c r="L75" s="79">
        <v>1</v>
      </c>
    </row>
    <row r="76" spans="1:12">
      <c r="A76" s="79">
        <v>13</v>
      </c>
      <c r="B76" s="80">
        <f t="shared" si="1"/>
        <v>0</v>
      </c>
      <c r="C76" s="80">
        <f t="shared" si="2"/>
        <v>0</v>
      </c>
      <c r="D76" s="80">
        <f t="shared" si="3"/>
        <v>0</v>
      </c>
      <c r="E76" s="80">
        <f t="shared" si="4"/>
        <v>0</v>
      </c>
      <c r="F76" s="79"/>
      <c r="G76" s="79">
        <v>13</v>
      </c>
      <c r="H76" s="80">
        <f t="shared" si="5"/>
        <v>0</v>
      </c>
      <c r="I76" s="80">
        <f t="shared" si="6"/>
        <v>0</v>
      </c>
      <c r="J76" s="80">
        <f t="shared" si="7"/>
        <v>0</v>
      </c>
      <c r="K76" s="80">
        <f t="shared" si="8"/>
        <v>0</v>
      </c>
      <c r="L76" s="79"/>
    </row>
    <row r="77" spans="1:12">
      <c r="A77" s="79">
        <v>14</v>
      </c>
      <c r="B77" s="80">
        <f t="shared" si="1"/>
        <v>0</v>
      </c>
      <c r="C77" s="80">
        <f t="shared" si="2"/>
        <v>0</v>
      </c>
      <c r="D77" s="80">
        <f t="shared" si="3"/>
        <v>0</v>
      </c>
      <c r="E77" s="80">
        <f t="shared" si="4"/>
        <v>0</v>
      </c>
      <c r="F77" s="79"/>
      <c r="G77" s="79">
        <v>14</v>
      </c>
      <c r="H77" s="80">
        <f t="shared" si="5"/>
        <v>0</v>
      </c>
      <c r="I77" s="80">
        <f t="shared" si="6"/>
        <v>0</v>
      </c>
      <c r="J77" s="80">
        <f t="shared" si="7"/>
        <v>0</v>
      </c>
      <c r="K77" s="80">
        <f t="shared" si="8"/>
        <v>0</v>
      </c>
      <c r="L77" s="79"/>
    </row>
    <row r="78" spans="1:12">
      <c r="A78" s="79">
        <v>15</v>
      </c>
      <c r="B78" s="80">
        <f t="shared" si="1"/>
        <v>0</v>
      </c>
      <c r="C78" s="80">
        <f t="shared" si="2"/>
        <v>0</v>
      </c>
      <c r="D78" s="80">
        <f t="shared" si="3"/>
        <v>0</v>
      </c>
      <c r="E78" s="80">
        <f t="shared" si="4"/>
        <v>0</v>
      </c>
      <c r="F78" s="79"/>
      <c r="G78" s="79">
        <v>15</v>
      </c>
      <c r="H78" s="80">
        <f t="shared" si="5"/>
        <v>0</v>
      </c>
      <c r="I78" s="80">
        <f t="shared" si="6"/>
        <v>0</v>
      </c>
      <c r="J78" s="80">
        <f t="shared" si="7"/>
        <v>0</v>
      </c>
      <c r="K78" s="80">
        <f t="shared" si="8"/>
        <v>0</v>
      </c>
      <c r="L78" s="79"/>
    </row>
    <row r="79" spans="1:12">
      <c r="A79" s="79">
        <v>16</v>
      </c>
      <c r="B79" s="80">
        <f t="shared" si="1"/>
        <v>0</v>
      </c>
      <c r="C79" s="80">
        <f t="shared" si="2"/>
        <v>0</v>
      </c>
      <c r="D79" s="80">
        <f t="shared" si="3"/>
        <v>0</v>
      </c>
      <c r="E79" s="80">
        <f t="shared" si="4"/>
        <v>0</v>
      </c>
      <c r="F79" s="79"/>
      <c r="G79" s="79">
        <v>16</v>
      </c>
      <c r="H79" s="80">
        <f t="shared" si="5"/>
        <v>0</v>
      </c>
      <c r="I79" s="80">
        <f t="shared" si="6"/>
        <v>0</v>
      </c>
      <c r="J79" s="80">
        <f t="shared" si="7"/>
        <v>0</v>
      </c>
      <c r="K79" s="80">
        <f t="shared" si="8"/>
        <v>0</v>
      </c>
      <c r="L79" s="79"/>
    </row>
    <row r="80" spans="1:12">
      <c r="A80" s="79">
        <v>17</v>
      </c>
      <c r="B80" s="80">
        <f t="shared" si="1"/>
        <v>0</v>
      </c>
      <c r="C80" s="80">
        <f t="shared" si="2"/>
        <v>0</v>
      </c>
      <c r="D80" s="80">
        <f t="shared" si="3"/>
        <v>0</v>
      </c>
      <c r="E80" s="80">
        <f t="shared" si="4"/>
        <v>0</v>
      </c>
      <c r="F80" s="79"/>
      <c r="G80" s="79">
        <v>17</v>
      </c>
      <c r="H80" s="80">
        <f t="shared" si="5"/>
        <v>0</v>
      </c>
      <c r="I80" s="80">
        <f t="shared" si="6"/>
        <v>0</v>
      </c>
      <c r="J80" s="80">
        <f t="shared" si="7"/>
        <v>0</v>
      </c>
      <c r="K80" s="80">
        <f t="shared" si="8"/>
        <v>0</v>
      </c>
      <c r="L80" s="79"/>
    </row>
    <row r="81" spans="1:12">
      <c r="A81" s="79">
        <v>18</v>
      </c>
      <c r="B81" s="80">
        <f t="shared" si="1"/>
        <v>0</v>
      </c>
      <c r="C81" s="80">
        <f t="shared" si="2"/>
        <v>0</v>
      </c>
      <c r="D81" s="80">
        <f t="shared" si="3"/>
        <v>0</v>
      </c>
      <c r="E81" s="80">
        <f t="shared" si="4"/>
        <v>0</v>
      </c>
      <c r="F81" s="79"/>
      <c r="G81" s="79">
        <v>18</v>
      </c>
      <c r="H81" s="80">
        <f t="shared" si="5"/>
        <v>0</v>
      </c>
      <c r="I81" s="80">
        <f t="shared" si="6"/>
        <v>0</v>
      </c>
      <c r="J81" s="80">
        <f t="shared" si="7"/>
        <v>0</v>
      </c>
      <c r="K81" s="80">
        <f t="shared" si="8"/>
        <v>0</v>
      </c>
      <c r="L81" s="79"/>
    </row>
    <row r="82" spans="1:12">
      <c r="A82" s="79">
        <v>19</v>
      </c>
      <c r="B82" s="80">
        <f t="shared" si="1"/>
        <v>0</v>
      </c>
      <c r="C82" s="80">
        <f t="shared" si="2"/>
        <v>0</v>
      </c>
      <c r="D82" s="80">
        <f t="shared" si="3"/>
        <v>0</v>
      </c>
      <c r="E82" s="80">
        <f t="shared" si="4"/>
        <v>0</v>
      </c>
      <c r="F82" s="79"/>
      <c r="G82" s="79">
        <v>19</v>
      </c>
      <c r="H82" s="80">
        <f t="shared" si="5"/>
        <v>0</v>
      </c>
      <c r="I82" s="80">
        <f t="shared" si="6"/>
        <v>0</v>
      </c>
      <c r="J82" s="80">
        <f t="shared" si="7"/>
        <v>0</v>
      </c>
      <c r="K82" s="80">
        <f t="shared" si="8"/>
        <v>0</v>
      </c>
      <c r="L82" s="79"/>
    </row>
    <row r="83" spans="1:12">
      <c r="A83" s="79">
        <v>20</v>
      </c>
      <c r="B83" s="80">
        <f t="shared" si="1"/>
        <v>0</v>
      </c>
      <c r="C83" s="80">
        <f t="shared" si="2"/>
        <v>0</v>
      </c>
      <c r="D83" s="80">
        <f t="shared" si="3"/>
        <v>0</v>
      </c>
      <c r="E83" s="80">
        <f t="shared" si="4"/>
        <v>0</v>
      </c>
      <c r="F83" s="79"/>
      <c r="G83" s="79">
        <v>20</v>
      </c>
      <c r="H83" s="80">
        <f t="shared" si="5"/>
        <v>0</v>
      </c>
      <c r="I83" s="80">
        <f t="shared" si="6"/>
        <v>0</v>
      </c>
      <c r="J83" s="80">
        <f t="shared" si="7"/>
        <v>0</v>
      </c>
      <c r="K83" s="80">
        <f t="shared" si="8"/>
        <v>0</v>
      </c>
      <c r="L83" s="79"/>
    </row>
    <row r="84" spans="1:12">
      <c r="A84" s="79">
        <v>21</v>
      </c>
      <c r="B84" s="80">
        <f t="shared" si="1"/>
        <v>0</v>
      </c>
      <c r="C84" s="80">
        <f t="shared" si="2"/>
        <v>0</v>
      </c>
      <c r="D84" s="80">
        <f t="shared" si="3"/>
        <v>0</v>
      </c>
      <c r="E84" s="80">
        <f t="shared" si="4"/>
        <v>0</v>
      </c>
      <c r="F84" s="79"/>
      <c r="G84" s="79">
        <v>21</v>
      </c>
      <c r="H84" s="80">
        <f t="shared" si="5"/>
        <v>0</v>
      </c>
      <c r="I84" s="80">
        <f t="shared" si="6"/>
        <v>0</v>
      </c>
      <c r="J84" s="80">
        <f t="shared" si="7"/>
        <v>0</v>
      </c>
      <c r="K84" s="80">
        <f t="shared" si="8"/>
        <v>0</v>
      </c>
      <c r="L84" s="79"/>
    </row>
    <row r="85" spans="1:12">
      <c r="A85" s="79">
        <v>22</v>
      </c>
      <c r="B85" s="80">
        <f t="shared" si="1"/>
        <v>0</v>
      </c>
      <c r="C85" s="80">
        <f t="shared" si="2"/>
        <v>0</v>
      </c>
      <c r="D85" s="80">
        <f t="shared" si="3"/>
        <v>0</v>
      </c>
      <c r="E85" s="80">
        <f t="shared" si="4"/>
        <v>0</v>
      </c>
      <c r="F85" s="79"/>
      <c r="G85" s="79">
        <v>22</v>
      </c>
      <c r="H85" s="80">
        <f t="shared" si="5"/>
        <v>0</v>
      </c>
      <c r="I85" s="80">
        <f t="shared" si="6"/>
        <v>0</v>
      </c>
      <c r="J85" s="80">
        <f t="shared" si="7"/>
        <v>0</v>
      </c>
      <c r="K85" s="80">
        <f t="shared" si="8"/>
        <v>0</v>
      </c>
      <c r="L85" s="79"/>
    </row>
    <row r="86" spans="1:12">
      <c r="A86" s="79">
        <v>23</v>
      </c>
      <c r="B86" s="80">
        <f t="shared" si="1"/>
        <v>0</v>
      </c>
      <c r="C86" s="80">
        <f t="shared" si="2"/>
        <v>0</v>
      </c>
      <c r="D86" s="80">
        <f t="shared" si="3"/>
        <v>0</v>
      </c>
      <c r="E86" s="80">
        <f t="shared" si="4"/>
        <v>0</v>
      </c>
      <c r="F86" s="79"/>
      <c r="G86" s="79">
        <v>23</v>
      </c>
      <c r="H86" s="80">
        <f t="shared" si="5"/>
        <v>0</v>
      </c>
      <c r="I86" s="80">
        <f t="shared" si="6"/>
        <v>0</v>
      </c>
      <c r="J86" s="80">
        <f t="shared" si="7"/>
        <v>0</v>
      </c>
      <c r="K86" s="80">
        <f t="shared" si="8"/>
        <v>0</v>
      </c>
      <c r="L86" s="79"/>
    </row>
    <row r="87" spans="1:12">
      <c r="A87" s="79">
        <v>24</v>
      </c>
      <c r="B87" s="80">
        <f t="shared" si="1"/>
        <v>0</v>
      </c>
      <c r="C87" s="80">
        <f t="shared" si="2"/>
        <v>0</v>
      </c>
      <c r="D87" s="80">
        <f t="shared" si="3"/>
        <v>0</v>
      </c>
      <c r="E87" s="80">
        <f t="shared" si="4"/>
        <v>0</v>
      </c>
      <c r="F87" s="79">
        <v>2</v>
      </c>
      <c r="G87" s="79">
        <v>24</v>
      </c>
      <c r="H87" s="80">
        <f t="shared" si="5"/>
        <v>0</v>
      </c>
      <c r="I87" s="80">
        <f t="shared" si="6"/>
        <v>0</v>
      </c>
      <c r="J87" s="80">
        <f t="shared" si="7"/>
        <v>0</v>
      </c>
      <c r="K87" s="80">
        <f t="shared" si="8"/>
        <v>0</v>
      </c>
      <c r="L87" s="79">
        <v>2</v>
      </c>
    </row>
    <row r="88" spans="1:12">
      <c r="A88" s="79">
        <v>25</v>
      </c>
      <c r="B88" s="80">
        <f t="shared" si="1"/>
        <v>0</v>
      </c>
      <c r="C88" s="80">
        <f t="shared" si="2"/>
        <v>0</v>
      </c>
      <c r="D88" s="80">
        <f t="shared" si="3"/>
        <v>0</v>
      </c>
      <c r="E88" s="80">
        <f t="shared" si="4"/>
        <v>0</v>
      </c>
      <c r="F88" s="79"/>
      <c r="G88" s="79">
        <v>25</v>
      </c>
      <c r="H88" s="80">
        <f t="shared" si="5"/>
        <v>0</v>
      </c>
      <c r="I88" s="80">
        <f t="shared" si="6"/>
        <v>0</v>
      </c>
      <c r="J88" s="80">
        <f t="shared" si="7"/>
        <v>0</v>
      </c>
      <c r="K88" s="80">
        <f t="shared" si="8"/>
        <v>0</v>
      </c>
      <c r="L88" s="79"/>
    </row>
    <row r="89" spans="1:12">
      <c r="A89" s="79">
        <v>26</v>
      </c>
      <c r="B89" s="80">
        <f t="shared" si="1"/>
        <v>0</v>
      </c>
      <c r="C89" s="80">
        <f t="shared" si="2"/>
        <v>0</v>
      </c>
      <c r="D89" s="80">
        <f t="shared" si="3"/>
        <v>0</v>
      </c>
      <c r="E89" s="80">
        <f t="shared" si="4"/>
        <v>0</v>
      </c>
      <c r="F89" s="79"/>
      <c r="G89" s="79">
        <v>26</v>
      </c>
      <c r="H89" s="80">
        <f t="shared" si="5"/>
        <v>0</v>
      </c>
      <c r="I89" s="80">
        <f t="shared" si="6"/>
        <v>0</v>
      </c>
      <c r="J89" s="80">
        <f t="shared" si="7"/>
        <v>0</v>
      </c>
      <c r="K89" s="80">
        <f t="shared" si="8"/>
        <v>0</v>
      </c>
      <c r="L89" s="79"/>
    </row>
    <row r="90" spans="1:12">
      <c r="A90" s="79">
        <v>27</v>
      </c>
      <c r="B90" s="80">
        <f t="shared" si="1"/>
        <v>0</v>
      </c>
      <c r="C90" s="80">
        <f t="shared" si="2"/>
        <v>0</v>
      </c>
      <c r="D90" s="80">
        <f t="shared" si="3"/>
        <v>0</v>
      </c>
      <c r="E90" s="80">
        <f t="shared" si="4"/>
        <v>0</v>
      </c>
      <c r="F90" s="79"/>
      <c r="G90" s="79">
        <v>27</v>
      </c>
      <c r="H90" s="80">
        <f t="shared" si="5"/>
        <v>0</v>
      </c>
      <c r="I90" s="80">
        <f t="shared" si="6"/>
        <v>0</v>
      </c>
      <c r="J90" s="80">
        <f t="shared" si="7"/>
        <v>0</v>
      </c>
      <c r="K90" s="80">
        <f t="shared" si="8"/>
        <v>0</v>
      </c>
      <c r="L90" s="79"/>
    </row>
    <row r="91" spans="1:12">
      <c r="A91" s="79">
        <v>28</v>
      </c>
      <c r="B91" s="80">
        <f t="shared" si="1"/>
        <v>0</v>
      </c>
      <c r="C91" s="80">
        <f t="shared" si="2"/>
        <v>0</v>
      </c>
      <c r="D91" s="80">
        <f t="shared" si="3"/>
        <v>0</v>
      </c>
      <c r="E91" s="80">
        <f t="shared" si="4"/>
        <v>0</v>
      </c>
      <c r="F91" s="79"/>
      <c r="G91" s="79">
        <v>28</v>
      </c>
      <c r="H91" s="80">
        <f t="shared" si="5"/>
        <v>0</v>
      </c>
      <c r="I91" s="80">
        <f t="shared" si="6"/>
        <v>0</v>
      </c>
      <c r="J91" s="80">
        <f t="shared" si="7"/>
        <v>0</v>
      </c>
      <c r="K91" s="80">
        <f t="shared" si="8"/>
        <v>0</v>
      </c>
      <c r="L91" s="79"/>
    </row>
    <row r="92" spans="1:12">
      <c r="A92" s="79">
        <v>29</v>
      </c>
      <c r="B92" s="80">
        <f t="shared" si="1"/>
        <v>0</v>
      </c>
      <c r="C92" s="80">
        <f t="shared" si="2"/>
        <v>0</v>
      </c>
      <c r="D92" s="80">
        <f t="shared" si="3"/>
        <v>0</v>
      </c>
      <c r="E92" s="80">
        <f t="shared" si="4"/>
        <v>0</v>
      </c>
      <c r="F92" s="79"/>
      <c r="G92" s="79">
        <v>29</v>
      </c>
      <c r="H92" s="80">
        <f t="shared" si="5"/>
        <v>0</v>
      </c>
      <c r="I92" s="80">
        <f t="shared" si="6"/>
        <v>0</v>
      </c>
      <c r="J92" s="80">
        <f t="shared" si="7"/>
        <v>0</v>
      </c>
      <c r="K92" s="80">
        <f t="shared" si="8"/>
        <v>0</v>
      </c>
      <c r="L92" s="79"/>
    </row>
    <row r="93" spans="1:12">
      <c r="A93" s="79">
        <v>30</v>
      </c>
      <c r="B93" s="80">
        <f t="shared" si="1"/>
        <v>0</v>
      </c>
      <c r="C93" s="80">
        <f t="shared" si="2"/>
        <v>0</v>
      </c>
      <c r="D93" s="80">
        <f t="shared" si="3"/>
        <v>0</v>
      </c>
      <c r="E93" s="80">
        <f t="shared" si="4"/>
        <v>0</v>
      </c>
      <c r="F93" s="79"/>
      <c r="G93" s="79">
        <v>30</v>
      </c>
      <c r="H93" s="80">
        <f t="shared" si="5"/>
        <v>0</v>
      </c>
      <c r="I93" s="80">
        <f t="shared" si="6"/>
        <v>0</v>
      </c>
      <c r="J93" s="80">
        <f t="shared" si="7"/>
        <v>0</v>
      </c>
      <c r="K93" s="80">
        <f t="shared" si="8"/>
        <v>0</v>
      </c>
      <c r="L93" s="79"/>
    </row>
    <row r="94" spans="1:12">
      <c r="A94" s="79">
        <v>31</v>
      </c>
      <c r="B94" s="80">
        <f t="shared" si="1"/>
        <v>0</v>
      </c>
      <c r="C94" s="80">
        <f t="shared" si="2"/>
        <v>0</v>
      </c>
      <c r="D94" s="80">
        <f t="shared" si="3"/>
        <v>0</v>
      </c>
      <c r="E94" s="80">
        <f t="shared" si="4"/>
        <v>0</v>
      </c>
      <c r="F94" s="79"/>
      <c r="G94" s="79">
        <v>31</v>
      </c>
      <c r="H94" s="80">
        <f t="shared" si="5"/>
        <v>0</v>
      </c>
      <c r="I94" s="80">
        <f t="shared" si="6"/>
        <v>0</v>
      </c>
      <c r="J94" s="80">
        <f t="shared" si="7"/>
        <v>0</v>
      </c>
      <c r="K94" s="80">
        <f t="shared" si="8"/>
        <v>0</v>
      </c>
      <c r="L94" s="79"/>
    </row>
    <row r="95" spans="1:12">
      <c r="A95" s="79">
        <v>32</v>
      </c>
      <c r="B95" s="80">
        <f t="shared" si="1"/>
        <v>0</v>
      </c>
      <c r="C95" s="80">
        <f t="shared" si="2"/>
        <v>0</v>
      </c>
      <c r="D95" s="80">
        <f t="shared" si="3"/>
        <v>0</v>
      </c>
      <c r="E95" s="80">
        <f t="shared" si="4"/>
        <v>0</v>
      </c>
      <c r="F95" s="79"/>
      <c r="G95" s="79">
        <v>32</v>
      </c>
      <c r="H95" s="80">
        <f t="shared" si="5"/>
        <v>0</v>
      </c>
      <c r="I95" s="80">
        <f t="shared" si="6"/>
        <v>0</v>
      </c>
      <c r="J95" s="80">
        <f t="shared" si="7"/>
        <v>0</v>
      </c>
      <c r="K95" s="80">
        <f t="shared" si="8"/>
        <v>0</v>
      </c>
      <c r="L95" s="79"/>
    </row>
    <row r="96" spans="1:12">
      <c r="A96" s="79">
        <v>33</v>
      </c>
      <c r="B96" s="80">
        <f t="shared" si="1"/>
        <v>0</v>
      </c>
      <c r="C96" s="80">
        <f t="shared" si="2"/>
        <v>0</v>
      </c>
      <c r="D96" s="80">
        <f t="shared" si="3"/>
        <v>0</v>
      </c>
      <c r="E96" s="80">
        <f t="shared" si="4"/>
        <v>0</v>
      </c>
      <c r="F96" s="79"/>
      <c r="G96" s="79">
        <v>33</v>
      </c>
      <c r="H96" s="80">
        <f t="shared" si="5"/>
        <v>0</v>
      </c>
      <c r="I96" s="80">
        <f t="shared" si="6"/>
        <v>0</v>
      </c>
      <c r="J96" s="80">
        <f t="shared" si="7"/>
        <v>0</v>
      </c>
      <c r="K96" s="80">
        <f t="shared" si="8"/>
        <v>0</v>
      </c>
      <c r="L96" s="79"/>
    </row>
    <row r="97" spans="1:12">
      <c r="A97" s="79">
        <v>34</v>
      </c>
      <c r="B97" s="80">
        <f t="shared" si="1"/>
        <v>0</v>
      </c>
      <c r="C97" s="80">
        <f t="shared" si="2"/>
        <v>0</v>
      </c>
      <c r="D97" s="80">
        <f t="shared" si="3"/>
        <v>0</v>
      </c>
      <c r="E97" s="80">
        <f t="shared" si="4"/>
        <v>0</v>
      </c>
      <c r="F97" s="79"/>
      <c r="G97" s="79">
        <v>34</v>
      </c>
      <c r="H97" s="80">
        <f t="shared" si="5"/>
        <v>0</v>
      </c>
      <c r="I97" s="80">
        <f t="shared" si="6"/>
        <v>0</v>
      </c>
      <c r="J97" s="80">
        <f t="shared" si="7"/>
        <v>0</v>
      </c>
      <c r="K97" s="80">
        <f t="shared" si="8"/>
        <v>0</v>
      </c>
      <c r="L97" s="79"/>
    </row>
    <row r="98" spans="1:12">
      <c r="A98" s="79">
        <v>35</v>
      </c>
      <c r="B98" s="80">
        <f t="shared" si="1"/>
        <v>0</v>
      </c>
      <c r="C98" s="80">
        <f t="shared" si="2"/>
        <v>0</v>
      </c>
      <c r="D98" s="80">
        <f t="shared" si="3"/>
        <v>0</v>
      </c>
      <c r="E98" s="80">
        <f t="shared" si="4"/>
        <v>0</v>
      </c>
      <c r="F98" s="79"/>
      <c r="G98" s="79">
        <v>35</v>
      </c>
      <c r="H98" s="80">
        <f t="shared" si="5"/>
        <v>0</v>
      </c>
      <c r="I98" s="80">
        <f t="shared" si="6"/>
        <v>0</v>
      </c>
      <c r="J98" s="80">
        <f t="shared" si="7"/>
        <v>0</v>
      </c>
      <c r="K98" s="80">
        <f t="shared" si="8"/>
        <v>0</v>
      </c>
      <c r="L98" s="79"/>
    </row>
    <row r="99" spans="1:12">
      <c r="A99" s="79">
        <v>36</v>
      </c>
      <c r="B99" s="80">
        <f t="shared" si="1"/>
        <v>0</v>
      </c>
      <c r="C99" s="80">
        <f t="shared" si="2"/>
        <v>0</v>
      </c>
      <c r="D99" s="80">
        <f t="shared" si="3"/>
        <v>0</v>
      </c>
      <c r="E99" s="80">
        <f t="shared" si="4"/>
        <v>0</v>
      </c>
      <c r="F99" s="79">
        <v>3</v>
      </c>
      <c r="G99" s="79">
        <v>36</v>
      </c>
      <c r="H99" s="80">
        <f t="shared" si="5"/>
        <v>0</v>
      </c>
      <c r="I99" s="80">
        <f t="shared" si="6"/>
        <v>0</v>
      </c>
      <c r="J99" s="80">
        <f t="shared" si="7"/>
        <v>0</v>
      </c>
      <c r="K99" s="80">
        <f t="shared" si="8"/>
        <v>0</v>
      </c>
      <c r="L99" s="79">
        <v>3</v>
      </c>
    </row>
    <row r="100" spans="1:12">
      <c r="A100" s="79">
        <v>37</v>
      </c>
      <c r="B100" s="80">
        <f t="shared" si="1"/>
        <v>0</v>
      </c>
      <c r="C100" s="80">
        <f t="shared" si="2"/>
        <v>0</v>
      </c>
      <c r="D100" s="80">
        <f t="shared" si="3"/>
        <v>0</v>
      </c>
      <c r="E100" s="80">
        <f t="shared" si="4"/>
        <v>0</v>
      </c>
      <c r="F100" s="79"/>
      <c r="G100" s="79">
        <v>37</v>
      </c>
      <c r="H100" s="80">
        <f t="shared" si="5"/>
        <v>0</v>
      </c>
      <c r="I100" s="80">
        <f t="shared" si="6"/>
        <v>0</v>
      </c>
      <c r="J100" s="80">
        <f t="shared" si="7"/>
        <v>0</v>
      </c>
      <c r="K100" s="80">
        <f t="shared" si="8"/>
        <v>0</v>
      </c>
      <c r="L100" s="79"/>
    </row>
    <row r="101" spans="1:12">
      <c r="A101" s="79">
        <v>38</v>
      </c>
      <c r="B101" s="80">
        <f t="shared" si="1"/>
        <v>0</v>
      </c>
      <c r="C101" s="80">
        <f t="shared" si="2"/>
        <v>0</v>
      </c>
      <c r="D101" s="80">
        <f t="shared" si="3"/>
        <v>0</v>
      </c>
      <c r="E101" s="80">
        <f t="shared" si="4"/>
        <v>0</v>
      </c>
      <c r="F101" s="79"/>
      <c r="G101" s="79">
        <v>38</v>
      </c>
      <c r="H101" s="80">
        <f t="shared" si="5"/>
        <v>0</v>
      </c>
      <c r="I101" s="80">
        <f t="shared" si="6"/>
        <v>0</v>
      </c>
      <c r="J101" s="80">
        <f t="shared" si="7"/>
        <v>0</v>
      </c>
      <c r="K101" s="80">
        <f t="shared" si="8"/>
        <v>0</v>
      </c>
      <c r="L101" s="79"/>
    </row>
    <row r="102" spans="1:12">
      <c r="A102" s="79">
        <v>39</v>
      </c>
      <c r="B102" s="80">
        <f t="shared" si="1"/>
        <v>0</v>
      </c>
      <c r="C102" s="80">
        <f t="shared" si="2"/>
        <v>0</v>
      </c>
      <c r="D102" s="80">
        <f t="shared" si="3"/>
        <v>0</v>
      </c>
      <c r="E102" s="80">
        <f t="shared" si="4"/>
        <v>0</v>
      </c>
      <c r="F102" s="79"/>
      <c r="G102" s="79">
        <v>39</v>
      </c>
      <c r="H102" s="80">
        <f t="shared" si="5"/>
        <v>0</v>
      </c>
      <c r="I102" s="80">
        <f t="shared" si="6"/>
        <v>0</v>
      </c>
      <c r="J102" s="80">
        <f t="shared" si="7"/>
        <v>0</v>
      </c>
      <c r="K102" s="80">
        <f t="shared" si="8"/>
        <v>0</v>
      </c>
      <c r="L102" s="79"/>
    </row>
    <row r="103" spans="1:12">
      <c r="A103" s="79">
        <v>40</v>
      </c>
      <c r="B103" s="80">
        <f t="shared" si="1"/>
        <v>0</v>
      </c>
      <c r="C103" s="80">
        <f t="shared" si="2"/>
        <v>0</v>
      </c>
      <c r="D103" s="80">
        <f t="shared" si="3"/>
        <v>0</v>
      </c>
      <c r="E103" s="80">
        <f t="shared" si="4"/>
        <v>0</v>
      </c>
      <c r="F103" s="79"/>
      <c r="G103" s="79">
        <v>40</v>
      </c>
      <c r="H103" s="80">
        <f t="shared" si="5"/>
        <v>0</v>
      </c>
      <c r="I103" s="80">
        <f t="shared" si="6"/>
        <v>0</v>
      </c>
      <c r="J103" s="80">
        <f t="shared" si="7"/>
        <v>0</v>
      </c>
      <c r="K103" s="80">
        <f t="shared" si="8"/>
        <v>0</v>
      </c>
      <c r="L103" s="79"/>
    </row>
    <row r="104" spans="1:12">
      <c r="A104" s="79">
        <v>41</v>
      </c>
      <c r="B104" s="80">
        <f t="shared" si="1"/>
        <v>0</v>
      </c>
      <c r="C104" s="80">
        <f t="shared" si="2"/>
        <v>0</v>
      </c>
      <c r="D104" s="80">
        <f t="shared" si="3"/>
        <v>0</v>
      </c>
      <c r="E104" s="80">
        <f t="shared" si="4"/>
        <v>0</v>
      </c>
      <c r="F104" s="79"/>
      <c r="G104" s="79">
        <v>41</v>
      </c>
      <c r="H104" s="80">
        <f t="shared" si="5"/>
        <v>0</v>
      </c>
      <c r="I104" s="80">
        <f t="shared" si="6"/>
        <v>0</v>
      </c>
      <c r="J104" s="80">
        <f t="shared" si="7"/>
        <v>0</v>
      </c>
      <c r="K104" s="80">
        <f t="shared" si="8"/>
        <v>0</v>
      </c>
      <c r="L104" s="79"/>
    </row>
    <row r="105" spans="1:12">
      <c r="A105" s="79">
        <v>42</v>
      </c>
      <c r="B105" s="80">
        <f t="shared" si="1"/>
        <v>0</v>
      </c>
      <c r="C105" s="80">
        <f t="shared" si="2"/>
        <v>0</v>
      </c>
      <c r="D105" s="80">
        <f t="shared" si="3"/>
        <v>0</v>
      </c>
      <c r="E105" s="80">
        <f t="shared" si="4"/>
        <v>0</v>
      </c>
      <c r="F105" s="79"/>
      <c r="G105" s="79">
        <v>42</v>
      </c>
      <c r="H105" s="80">
        <f t="shared" si="5"/>
        <v>0</v>
      </c>
      <c r="I105" s="80">
        <f t="shared" si="6"/>
        <v>0</v>
      </c>
      <c r="J105" s="80">
        <f t="shared" si="7"/>
        <v>0</v>
      </c>
      <c r="K105" s="80">
        <f t="shared" si="8"/>
        <v>0</v>
      </c>
      <c r="L105" s="79"/>
    </row>
    <row r="106" spans="1:12">
      <c r="A106" s="79">
        <v>43</v>
      </c>
      <c r="B106" s="80">
        <f t="shared" si="1"/>
        <v>0</v>
      </c>
      <c r="C106" s="80">
        <f t="shared" si="2"/>
        <v>0</v>
      </c>
      <c r="D106" s="80">
        <f t="shared" si="3"/>
        <v>0</v>
      </c>
      <c r="E106" s="80">
        <f t="shared" si="4"/>
        <v>0</v>
      </c>
      <c r="F106" s="79"/>
      <c r="G106" s="79">
        <v>43</v>
      </c>
      <c r="H106" s="80">
        <f t="shared" si="5"/>
        <v>0</v>
      </c>
      <c r="I106" s="80">
        <f t="shared" si="6"/>
        <v>0</v>
      </c>
      <c r="J106" s="80">
        <f t="shared" si="7"/>
        <v>0</v>
      </c>
      <c r="K106" s="80">
        <f t="shared" si="8"/>
        <v>0</v>
      </c>
      <c r="L106" s="79"/>
    </row>
    <row r="107" spans="1:12">
      <c r="A107" s="79">
        <v>44</v>
      </c>
      <c r="B107" s="80">
        <f t="shared" si="1"/>
        <v>0</v>
      </c>
      <c r="C107" s="80">
        <f t="shared" si="2"/>
        <v>0</v>
      </c>
      <c r="D107" s="80">
        <f t="shared" si="3"/>
        <v>0</v>
      </c>
      <c r="E107" s="80">
        <f t="shared" si="4"/>
        <v>0</v>
      </c>
      <c r="F107" s="79"/>
      <c r="G107" s="79">
        <v>44</v>
      </c>
      <c r="H107" s="80">
        <f t="shared" si="5"/>
        <v>0</v>
      </c>
      <c r="I107" s="80">
        <f t="shared" si="6"/>
        <v>0</v>
      </c>
      <c r="J107" s="80">
        <f t="shared" si="7"/>
        <v>0</v>
      </c>
      <c r="K107" s="80">
        <f t="shared" si="8"/>
        <v>0</v>
      </c>
      <c r="L107" s="79"/>
    </row>
    <row r="108" spans="1:12">
      <c r="A108" s="79">
        <v>45</v>
      </c>
      <c r="B108" s="80">
        <f t="shared" si="1"/>
        <v>0</v>
      </c>
      <c r="C108" s="80">
        <f t="shared" si="2"/>
        <v>0</v>
      </c>
      <c r="D108" s="80">
        <f t="shared" si="3"/>
        <v>0</v>
      </c>
      <c r="E108" s="80">
        <f t="shared" si="4"/>
        <v>0</v>
      </c>
      <c r="F108" s="79"/>
      <c r="G108" s="79">
        <v>45</v>
      </c>
      <c r="H108" s="80">
        <f t="shared" si="5"/>
        <v>0</v>
      </c>
      <c r="I108" s="80">
        <f t="shared" si="6"/>
        <v>0</v>
      </c>
      <c r="J108" s="80">
        <f t="shared" si="7"/>
        <v>0</v>
      </c>
      <c r="K108" s="80">
        <f t="shared" si="8"/>
        <v>0</v>
      </c>
      <c r="L108" s="79"/>
    </row>
    <row r="109" spans="1:12">
      <c r="A109" s="79">
        <v>46</v>
      </c>
      <c r="B109" s="80">
        <f t="shared" si="1"/>
        <v>0</v>
      </c>
      <c r="C109" s="80">
        <f t="shared" si="2"/>
        <v>0</v>
      </c>
      <c r="D109" s="80">
        <f t="shared" si="3"/>
        <v>0</v>
      </c>
      <c r="E109" s="80">
        <f t="shared" si="4"/>
        <v>0</v>
      </c>
      <c r="F109" s="79"/>
      <c r="G109" s="79">
        <v>46</v>
      </c>
      <c r="H109" s="80">
        <f t="shared" si="5"/>
        <v>0</v>
      </c>
      <c r="I109" s="80">
        <f t="shared" si="6"/>
        <v>0</v>
      </c>
      <c r="J109" s="80">
        <f t="shared" si="7"/>
        <v>0</v>
      </c>
      <c r="K109" s="80">
        <f t="shared" si="8"/>
        <v>0</v>
      </c>
      <c r="L109" s="79"/>
    </row>
    <row r="110" spans="1:12">
      <c r="A110" s="79">
        <v>47</v>
      </c>
      <c r="B110" s="80">
        <f t="shared" si="1"/>
        <v>0</v>
      </c>
      <c r="C110" s="80">
        <f t="shared" si="2"/>
        <v>0</v>
      </c>
      <c r="D110" s="80">
        <f t="shared" si="3"/>
        <v>0</v>
      </c>
      <c r="E110" s="80">
        <f t="shared" si="4"/>
        <v>0</v>
      </c>
      <c r="F110" s="79"/>
      <c r="G110" s="79">
        <v>47</v>
      </c>
      <c r="H110" s="80">
        <f t="shared" si="5"/>
        <v>0</v>
      </c>
      <c r="I110" s="80">
        <f t="shared" si="6"/>
        <v>0</v>
      </c>
      <c r="J110" s="80">
        <f t="shared" si="7"/>
        <v>0</v>
      </c>
      <c r="K110" s="80">
        <f t="shared" si="8"/>
        <v>0</v>
      </c>
      <c r="L110" s="79"/>
    </row>
    <row r="111" spans="1:12">
      <c r="A111" s="79">
        <v>48</v>
      </c>
      <c r="B111" s="80">
        <f t="shared" si="1"/>
        <v>0</v>
      </c>
      <c r="C111" s="80">
        <f t="shared" si="2"/>
        <v>0</v>
      </c>
      <c r="D111" s="80">
        <f t="shared" si="3"/>
        <v>0</v>
      </c>
      <c r="E111" s="80">
        <f t="shared" si="4"/>
        <v>0</v>
      </c>
      <c r="F111" s="79">
        <v>4</v>
      </c>
      <c r="G111" s="79">
        <v>48</v>
      </c>
      <c r="H111" s="80">
        <f t="shared" si="5"/>
        <v>0</v>
      </c>
      <c r="I111" s="80">
        <f t="shared" si="6"/>
        <v>0</v>
      </c>
      <c r="J111" s="80">
        <f t="shared" si="7"/>
        <v>0</v>
      </c>
      <c r="K111" s="80">
        <f t="shared" si="8"/>
        <v>0</v>
      </c>
      <c r="L111" s="79">
        <v>4</v>
      </c>
    </row>
    <row r="112" spans="1:12">
      <c r="A112" s="79">
        <v>49</v>
      </c>
      <c r="B112" s="80">
        <f t="shared" si="1"/>
        <v>0</v>
      </c>
      <c r="C112" s="80">
        <f t="shared" si="2"/>
        <v>0</v>
      </c>
      <c r="D112" s="80">
        <f t="shared" si="3"/>
        <v>0</v>
      </c>
      <c r="E112" s="80">
        <f t="shared" si="4"/>
        <v>0</v>
      </c>
      <c r="F112" s="79"/>
      <c r="G112" s="79">
        <v>49</v>
      </c>
      <c r="H112" s="80">
        <f t="shared" si="5"/>
        <v>0</v>
      </c>
      <c r="I112" s="80">
        <f t="shared" si="6"/>
        <v>0</v>
      </c>
      <c r="J112" s="80">
        <f t="shared" si="7"/>
        <v>0</v>
      </c>
      <c r="K112" s="80">
        <f t="shared" si="8"/>
        <v>0</v>
      </c>
      <c r="L112" s="79"/>
    </row>
    <row r="113" spans="1:12">
      <c r="A113" s="79">
        <v>50</v>
      </c>
      <c r="B113" s="80">
        <f t="shared" si="1"/>
        <v>0</v>
      </c>
      <c r="C113" s="80">
        <f t="shared" si="2"/>
        <v>0</v>
      </c>
      <c r="D113" s="80">
        <f t="shared" si="3"/>
        <v>0</v>
      </c>
      <c r="E113" s="80">
        <f t="shared" si="4"/>
        <v>0</v>
      </c>
      <c r="F113" s="79"/>
      <c r="G113" s="79">
        <v>50</v>
      </c>
      <c r="H113" s="80">
        <f t="shared" si="5"/>
        <v>0</v>
      </c>
      <c r="I113" s="80">
        <f t="shared" si="6"/>
        <v>0</v>
      </c>
      <c r="J113" s="80">
        <f t="shared" si="7"/>
        <v>0</v>
      </c>
      <c r="K113" s="80">
        <f t="shared" si="8"/>
        <v>0</v>
      </c>
      <c r="L113" s="79"/>
    </row>
    <row r="114" spans="1:12">
      <c r="A114" s="79">
        <v>51</v>
      </c>
      <c r="B114" s="80">
        <f t="shared" si="1"/>
        <v>0</v>
      </c>
      <c r="C114" s="80">
        <f t="shared" si="2"/>
        <v>0</v>
      </c>
      <c r="D114" s="80">
        <f t="shared" si="3"/>
        <v>0</v>
      </c>
      <c r="E114" s="80">
        <f t="shared" si="4"/>
        <v>0</v>
      </c>
      <c r="F114" s="79"/>
      <c r="G114" s="79">
        <v>51</v>
      </c>
      <c r="H114" s="80">
        <f t="shared" si="5"/>
        <v>0</v>
      </c>
      <c r="I114" s="80">
        <f t="shared" si="6"/>
        <v>0</v>
      </c>
      <c r="J114" s="80">
        <f t="shared" si="7"/>
        <v>0</v>
      </c>
      <c r="K114" s="80">
        <f t="shared" si="8"/>
        <v>0</v>
      </c>
      <c r="L114" s="79"/>
    </row>
    <row r="115" spans="1:12">
      <c r="A115" s="79">
        <v>52</v>
      </c>
      <c r="B115" s="80">
        <f t="shared" si="1"/>
        <v>0</v>
      </c>
      <c r="C115" s="80">
        <f t="shared" si="2"/>
        <v>0</v>
      </c>
      <c r="D115" s="80">
        <f t="shared" si="3"/>
        <v>0</v>
      </c>
      <c r="E115" s="80">
        <f t="shared" si="4"/>
        <v>0</v>
      </c>
      <c r="F115" s="79"/>
      <c r="G115" s="79">
        <v>52</v>
      </c>
      <c r="H115" s="80">
        <f t="shared" si="5"/>
        <v>0</v>
      </c>
      <c r="I115" s="80">
        <f t="shared" si="6"/>
        <v>0</v>
      </c>
      <c r="J115" s="80">
        <f t="shared" si="7"/>
        <v>0</v>
      </c>
      <c r="K115" s="80">
        <f t="shared" si="8"/>
        <v>0</v>
      </c>
      <c r="L115" s="79"/>
    </row>
    <row r="116" spans="1:12">
      <c r="A116" s="79">
        <v>53</v>
      </c>
      <c r="B116" s="80">
        <f t="shared" si="1"/>
        <v>0</v>
      </c>
      <c r="C116" s="80">
        <f t="shared" si="2"/>
        <v>0</v>
      </c>
      <c r="D116" s="80">
        <f t="shared" si="3"/>
        <v>0</v>
      </c>
      <c r="E116" s="80">
        <f t="shared" si="4"/>
        <v>0</v>
      </c>
      <c r="F116" s="79"/>
      <c r="G116" s="79">
        <v>53</v>
      </c>
      <c r="H116" s="80">
        <f t="shared" si="5"/>
        <v>0</v>
      </c>
      <c r="I116" s="80">
        <f t="shared" si="6"/>
        <v>0</v>
      </c>
      <c r="J116" s="80">
        <f t="shared" si="7"/>
        <v>0</v>
      </c>
      <c r="K116" s="80">
        <f t="shared" si="8"/>
        <v>0</v>
      </c>
      <c r="L116" s="79"/>
    </row>
    <row r="117" spans="1:12">
      <c r="A117" s="79">
        <v>54</v>
      </c>
      <c r="B117" s="80">
        <f t="shared" si="1"/>
        <v>0</v>
      </c>
      <c r="C117" s="80">
        <f t="shared" si="2"/>
        <v>0</v>
      </c>
      <c r="D117" s="80">
        <f t="shared" si="3"/>
        <v>0</v>
      </c>
      <c r="E117" s="80">
        <f t="shared" si="4"/>
        <v>0</v>
      </c>
      <c r="F117" s="79"/>
      <c r="G117" s="79">
        <v>54</v>
      </c>
      <c r="H117" s="80">
        <f t="shared" si="5"/>
        <v>0</v>
      </c>
      <c r="I117" s="80">
        <f t="shared" si="6"/>
        <v>0</v>
      </c>
      <c r="J117" s="80">
        <f t="shared" si="7"/>
        <v>0</v>
      </c>
      <c r="K117" s="80">
        <f t="shared" si="8"/>
        <v>0</v>
      </c>
      <c r="L117" s="79"/>
    </row>
    <row r="118" spans="1:12">
      <c r="A118" s="79">
        <v>55</v>
      </c>
      <c r="B118" s="80">
        <f t="shared" si="1"/>
        <v>0</v>
      </c>
      <c r="C118" s="80">
        <f t="shared" si="2"/>
        <v>0</v>
      </c>
      <c r="D118" s="80">
        <f t="shared" si="3"/>
        <v>0</v>
      </c>
      <c r="E118" s="80">
        <f t="shared" si="4"/>
        <v>0</v>
      </c>
      <c r="F118" s="79"/>
      <c r="G118" s="79">
        <v>55</v>
      </c>
      <c r="H118" s="80">
        <f t="shared" si="5"/>
        <v>0</v>
      </c>
      <c r="I118" s="80">
        <f t="shared" si="6"/>
        <v>0</v>
      </c>
      <c r="J118" s="80">
        <f t="shared" si="7"/>
        <v>0</v>
      </c>
      <c r="K118" s="80">
        <f t="shared" si="8"/>
        <v>0</v>
      </c>
      <c r="L118" s="79"/>
    </row>
    <row r="119" spans="1:12">
      <c r="A119" s="79">
        <v>56</v>
      </c>
      <c r="B119" s="80">
        <f t="shared" si="1"/>
        <v>0</v>
      </c>
      <c r="C119" s="80">
        <f t="shared" si="2"/>
        <v>0</v>
      </c>
      <c r="D119" s="80">
        <f t="shared" si="3"/>
        <v>0</v>
      </c>
      <c r="E119" s="80">
        <f t="shared" si="4"/>
        <v>0</v>
      </c>
      <c r="F119" s="79"/>
      <c r="G119" s="79">
        <v>56</v>
      </c>
      <c r="H119" s="80">
        <f t="shared" si="5"/>
        <v>0</v>
      </c>
      <c r="I119" s="80">
        <f t="shared" si="6"/>
        <v>0</v>
      </c>
      <c r="J119" s="80">
        <f t="shared" si="7"/>
        <v>0</v>
      </c>
      <c r="K119" s="80">
        <f t="shared" si="8"/>
        <v>0</v>
      </c>
      <c r="L119" s="79"/>
    </row>
    <row r="120" spans="1:12">
      <c r="A120" s="79">
        <v>57</v>
      </c>
      <c r="B120" s="80">
        <f t="shared" si="1"/>
        <v>0</v>
      </c>
      <c r="C120" s="80">
        <f t="shared" si="2"/>
        <v>0</v>
      </c>
      <c r="D120" s="80">
        <f t="shared" si="3"/>
        <v>0</v>
      </c>
      <c r="E120" s="80">
        <f t="shared" si="4"/>
        <v>0</v>
      </c>
      <c r="F120" s="79"/>
      <c r="G120" s="79">
        <v>57</v>
      </c>
      <c r="H120" s="80">
        <f t="shared" si="5"/>
        <v>0</v>
      </c>
      <c r="I120" s="80">
        <f t="shared" si="6"/>
        <v>0</v>
      </c>
      <c r="J120" s="80">
        <f t="shared" si="7"/>
        <v>0</v>
      </c>
      <c r="K120" s="80">
        <f t="shared" si="8"/>
        <v>0</v>
      </c>
      <c r="L120" s="79"/>
    </row>
    <row r="121" spans="1:12">
      <c r="A121" s="79">
        <v>58</v>
      </c>
      <c r="B121" s="80">
        <f t="shared" si="1"/>
        <v>0</v>
      </c>
      <c r="C121" s="80">
        <f t="shared" si="2"/>
        <v>0</v>
      </c>
      <c r="D121" s="80">
        <f t="shared" si="3"/>
        <v>0</v>
      </c>
      <c r="E121" s="80">
        <f t="shared" si="4"/>
        <v>0</v>
      </c>
      <c r="F121" s="79"/>
      <c r="G121" s="79">
        <v>58</v>
      </c>
      <c r="H121" s="80">
        <f t="shared" si="5"/>
        <v>0</v>
      </c>
      <c r="I121" s="80">
        <f t="shared" si="6"/>
        <v>0</v>
      </c>
      <c r="J121" s="80">
        <f t="shared" si="7"/>
        <v>0</v>
      </c>
      <c r="K121" s="80">
        <f t="shared" si="8"/>
        <v>0</v>
      </c>
      <c r="L121" s="79"/>
    </row>
    <row r="122" spans="1:12">
      <c r="A122" s="79">
        <v>59</v>
      </c>
      <c r="B122" s="80">
        <f t="shared" si="1"/>
        <v>0</v>
      </c>
      <c r="C122" s="80">
        <f t="shared" si="2"/>
        <v>0</v>
      </c>
      <c r="D122" s="80">
        <f t="shared" si="3"/>
        <v>0</v>
      </c>
      <c r="E122" s="80">
        <f t="shared" si="4"/>
        <v>0</v>
      </c>
      <c r="F122" s="79"/>
      <c r="G122" s="79">
        <v>59</v>
      </c>
      <c r="H122" s="80">
        <f t="shared" si="5"/>
        <v>0</v>
      </c>
      <c r="I122" s="80">
        <f t="shared" si="6"/>
        <v>0</v>
      </c>
      <c r="J122" s="80">
        <f t="shared" si="7"/>
        <v>0</v>
      </c>
      <c r="K122" s="80">
        <f t="shared" si="8"/>
        <v>0</v>
      </c>
      <c r="L122" s="79"/>
    </row>
    <row r="123" spans="1:12">
      <c r="A123" s="79">
        <v>60</v>
      </c>
      <c r="B123" s="80">
        <f t="shared" si="1"/>
        <v>0</v>
      </c>
      <c r="C123" s="80">
        <f t="shared" si="2"/>
        <v>0</v>
      </c>
      <c r="D123" s="80">
        <f t="shared" si="3"/>
        <v>0</v>
      </c>
      <c r="E123" s="80">
        <f t="shared" si="4"/>
        <v>0</v>
      </c>
      <c r="F123" s="79"/>
      <c r="G123" s="79">
        <v>60</v>
      </c>
      <c r="H123" s="80">
        <f t="shared" si="5"/>
        <v>0</v>
      </c>
      <c r="I123" s="80">
        <f t="shared" si="6"/>
        <v>0</v>
      </c>
      <c r="J123" s="80">
        <f t="shared" si="7"/>
        <v>0</v>
      </c>
      <c r="K123" s="80">
        <f t="shared" si="8"/>
        <v>0</v>
      </c>
      <c r="L123" s="79"/>
    </row>
    <row r="124" spans="1:12">
      <c r="A124" s="79">
        <v>61</v>
      </c>
      <c r="B124" s="80">
        <f t="shared" si="1"/>
        <v>0</v>
      </c>
      <c r="C124" s="80">
        <f t="shared" si="2"/>
        <v>0</v>
      </c>
      <c r="D124" s="80">
        <f t="shared" si="3"/>
        <v>0</v>
      </c>
      <c r="E124" s="80">
        <f t="shared" si="4"/>
        <v>0</v>
      </c>
      <c r="F124" s="79"/>
      <c r="G124" s="79">
        <v>61</v>
      </c>
      <c r="H124" s="80">
        <f t="shared" si="5"/>
        <v>0</v>
      </c>
      <c r="I124" s="80">
        <f t="shared" si="6"/>
        <v>0</v>
      </c>
      <c r="J124" s="80">
        <f t="shared" si="7"/>
        <v>0</v>
      </c>
      <c r="K124" s="80">
        <f t="shared" si="8"/>
        <v>0</v>
      </c>
      <c r="L124" s="79"/>
    </row>
    <row r="125" spans="1:12">
      <c r="A125" s="79">
        <v>62</v>
      </c>
      <c r="B125" s="80">
        <f t="shared" si="1"/>
        <v>0</v>
      </c>
      <c r="C125" s="80">
        <f t="shared" si="2"/>
        <v>0</v>
      </c>
      <c r="D125" s="80">
        <f t="shared" si="3"/>
        <v>0</v>
      </c>
      <c r="E125" s="80">
        <f t="shared" si="4"/>
        <v>0</v>
      </c>
      <c r="F125" s="79">
        <v>5</v>
      </c>
      <c r="G125" s="79">
        <v>62</v>
      </c>
      <c r="H125" s="80">
        <f t="shared" si="5"/>
        <v>0</v>
      </c>
      <c r="I125" s="80">
        <f t="shared" si="6"/>
        <v>0</v>
      </c>
      <c r="J125" s="80">
        <f t="shared" si="7"/>
        <v>0</v>
      </c>
      <c r="K125" s="80">
        <f t="shared" si="8"/>
        <v>0</v>
      </c>
      <c r="L125" s="79">
        <v>5</v>
      </c>
    </row>
    <row r="126" spans="1:12">
      <c r="A126" s="79">
        <v>63</v>
      </c>
      <c r="B126" s="80">
        <f t="shared" si="1"/>
        <v>0</v>
      </c>
      <c r="C126" s="80">
        <f t="shared" si="2"/>
        <v>0</v>
      </c>
      <c r="D126" s="80">
        <f t="shared" si="3"/>
        <v>0</v>
      </c>
      <c r="E126" s="80">
        <f t="shared" si="4"/>
        <v>0</v>
      </c>
      <c r="F126" s="79"/>
      <c r="G126" s="79">
        <v>63</v>
      </c>
      <c r="H126" s="80">
        <f t="shared" si="5"/>
        <v>0</v>
      </c>
      <c r="I126" s="80">
        <f t="shared" si="6"/>
        <v>0</v>
      </c>
      <c r="J126" s="80">
        <f t="shared" si="7"/>
        <v>0</v>
      </c>
      <c r="K126" s="80">
        <f t="shared" si="8"/>
        <v>0</v>
      </c>
      <c r="L126" s="79"/>
    </row>
    <row r="127" spans="1:12">
      <c r="A127" s="79">
        <v>64</v>
      </c>
      <c r="B127" s="80">
        <f t="shared" si="1"/>
        <v>0</v>
      </c>
      <c r="C127" s="80">
        <f t="shared" si="2"/>
        <v>0</v>
      </c>
      <c r="D127" s="80">
        <f t="shared" si="3"/>
        <v>0</v>
      </c>
      <c r="E127" s="80">
        <f t="shared" si="4"/>
        <v>0</v>
      </c>
      <c r="F127" s="79"/>
      <c r="G127" s="79">
        <v>64</v>
      </c>
      <c r="H127" s="80">
        <f t="shared" si="5"/>
        <v>0</v>
      </c>
      <c r="I127" s="80">
        <f t="shared" si="6"/>
        <v>0</v>
      </c>
      <c r="J127" s="80">
        <f t="shared" si="7"/>
        <v>0</v>
      </c>
      <c r="K127" s="80">
        <f t="shared" si="8"/>
        <v>0</v>
      </c>
      <c r="L127" s="79"/>
    </row>
    <row r="128" spans="1:12">
      <c r="A128" s="79">
        <v>65</v>
      </c>
      <c r="B128" s="80">
        <f t="shared" ref="B128:B191" si="9">IF(A128&gt;12*$C$9,0,IF($C$5&gt;1500000,$D$12,$C$12))</f>
        <v>0</v>
      </c>
      <c r="C128" s="80">
        <f t="shared" ref="C128:C191" si="10">IF(A128&gt;12*$C$9,0,E127*$C$7/12)</f>
        <v>0</v>
      </c>
      <c r="D128" s="80">
        <f t="shared" ref="D128:D191" si="11">IF(A128&gt;12*$C$9,0,B128-C128)</f>
        <v>0</v>
      </c>
      <c r="E128" s="80">
        <f t="shared" ref="E128:E191" si="12">IF(A128&gt;12*$C$9,0,E127-D128)</f>
        <v>0</v>
      </c>
      <c r="F128" s="79"/>
      <c r="G128" s="79">
        <v>65</v>
      </c>
      <c r="H128" s="80">
        <f t="shared" ref="H128:H191" si="13">IF(G128&gt;12*$C$9,0,IF($C$5&gt;1500000,$E$12,0))</f>
        <v>0</v>
      </c>
      <c r="I128" s="80">
        <f t="shared" ref="I128:I191" si="14">IF(G128&gt;12*$C$9,0,K127*$C$7/12)</f>
        <v>0</v>
      </c>
      <c r="J128" s="80">
        <f t="shared" ref="J128:J191" si="15">IF(G128&gt;12*$C$9,0,H128-I128)</f>
        <v>0</v>
      </c>
      <c r="K128" s="80">
        <f t="shared" ref="K128:K191" si="16">IF(G128&gt;12*$C$9,0,K127-J128)</f>
        <v>0</v>
      </c>
      <c r="L128" s="79"/>
    </row>
    <row r="129" spans="1:12">
      <c r="A129" s="79">
        <v>66</v>
      </c>
      <c r="B129" s="80">
        <f t="shared" si="9"/>
        <v>0</v>
      </c>
      <c r="C129" s="80">
        <f t="shared" si="10"/>
        <v>0</v>
      </c>
      <c r="D129" s="80">
        <f t="shared" si="11"/>
        <v>0</v>
      </c>
      <c r="E129" s="80">
        <f t="shared" si="12"/>
        <v>0</v>
      </c>
      <c r="F129" s="79"/>
      <c r="G129" s="79">
        <v>66</v>
      </c>
      <c r="H129" s="80">
        <f t="shared" si="13"/>
        <v>0</v>
      </c>
      <c r="I129" s="80">
        <f t="shared" si="14"/>
        <v>0</v>
      </c>
      <c r="J129" s="80">
        <f t="shared" si="15"/>
        <v>0</v>
      </c>
      <c r="K129" s="80">
        <f t="shared" si="16"/>
        <v>0</v>
      </c>
      <c r="L129" s="79"/>
    </row>
    <row r="130" spans="1:12">
      <c r="A130" s="79">
        <v>67</v>
      </c>
      <c r="B130" s="80">
        <f t="shared" si="9"/>
        <v>0</v>
      </c>
      <c r="C130" s="80">
        <f t="shared" si="10"/>
        <v>0</v>
      </c>
      <c r="D130" s="80">
        <f t="shared" si="11"/>
        <v>0</v>
      </c>
      <c r="E130" s="80">
        <f t="shared" si="12"/>
        <v>0</v>
      </c>
      <c r="F130" s="79"/>
      <c r="G130" s="79">
        <v>67</v>
      </c>
      <c r="H130" s="80">
        <f t="shared" si="13"/>
        <v>0</v>
      </c>
      <c r="I130" s="80">
        <f t="shared" si="14"/>
        <v>0</v>
      </c>
      <c r="J130" s="80">
        <f t="shared" si="15"/>
        <v>0</v>
      </c>
      <c r="K130" s="80">
        <f t="shared" si="16"/>
        <v>0</v>
      </c>
      <c r="L130" s="79"/>
    </row>
    <row r="131" spans="1:12">
      <c r="A131" s="79">
        <v>68</v>
      </c>
      <c r="B131" s="80">
        <f t="shared" si="9"/>
        <v>0</v>
      </c>
      <c r="C131" s="80">
        <f t="shared" si="10"/>
        <v>0</v>
      </c>
      <c r="D131" s="80">
        <f t="shared" si="11"/>
        <v>0</v>
      </c>
      <c r="E131" s="80">
        <f t="shared" si="12"/>
        <v>0</v>
      </c>
      <c r="F131" s="79"/>
      <c r="G131" s="79">
        <v>68</v>
      </c>
      <c r="H131" s="80">
        <f t="shared" si="13"/>
        <v>0</v>
      </c>
      <c r="I131" s="80">
        <f t="shared" si="14"/>
        <v>0</v>
      </c>
      <c r="J131" s="80">
        <f t="shared" si="15"/>
        <v>0</v>
      </c>
      <c r="K131" s="80">
        <f t="shared" si="16"/>
        <v>0</v>
      </c>
      <c r="L131" s="79"/>
    </row>
    <row r="132" spans="1:12">
      <c r="A132" s="79">
        <v>69</v>
      </c>
      <c r="B132" s="80">
        <f t="shared" si="9"/>
        <v>0</v>
      </c>
      <c r="C132" s="80">
        <f t="shared" si="10"/>
        <v>0</v>
      </c>
      <c r="D132" s="80">
        <f t="shared" si="11"/>
        <v>0</v>
      </c>
      <c r="E132" s="80">
        <f t="shared" si="12"/>
        <v>0</v>
      </c>
      <c r="F132" s="79"/>
      <c r="G132" s="79">
        <v>69</v>
      </c>
      <c r="H132" s="80">
        <f t="shared" si="13"/>
        <v>0</v>
      </c>
      <c r="I132" s="80">
        <f t="shared" si="14"/>
        <v>0</v>
      </c>
      <c r="J132" s="80">
        <f t="shared" si="15"/>
        <v>0</v>
      </c>
      <c r="K132" s="80">
        <f t="shared" si="16"/>
        <v>0</v>
      </c>
      <c r="L132" s="79"/>
    </row>
    <row r="133" spans="1:12">
      <c r="A133" s="79">
        <v>70</v>
      </c>
      <c r="B133" s="80">
        <f t="shared" si="9"/>
        <v>0</v>
      </c>
      <c r="C133" s="80">
        <f t="shared" si="10"/>
        <v>0</v>
      </c>
      <c r="D133" s="80">
        <f t="shared" si="11"/>
        <v>0</v>
      </c>
      <c r="E133" s="80">
        <f t="shared" si="12"/>
        <v>0</v>
      </c>
      <c r="F133" s="79"/>
      <c r="G133" s="79">
        <v>70</v>
      </c>
      <c r="H133" s="80">
        <f t="shared" si="13"/>
        <v>0</v>
      </c>
      <c r="I133" s="80">
        <f t="shared" si="14"/>
        <v>0</v>
      </c>
      <c r="J133" s="80">
        <f t="shared" si="15"/>
        <v>0</v>
      </c>
      <c r="K133" s="80">
        <f t="shared" si="16"/>
        <v>0</v>
      </c>
      <c r="L133" s="79"/>
    </row>
    <row r="134" spans="1:12">
      <c r="A134" s="79">
        <v>71</v>
      </c>
      <c r="B134" s="80">
        <f t="shared" si="9"/>
        <v>0</v>
      </c>
      <c r="C134" s="80">
        <f t="shared" si="10"/>
        <v>0</v>
      </c>
      <c r="D134" s="80">
        <f t="shared" si="11"/>
        <v>0</v>
      </c>
      <c r="E134" s="80">
        <f t="shared" si="12"/>
        <v>0</v>
      </c>
      <c r="F134" s="79"/>
      <c r="G134" s="79">
        <v>71</v>
      </c>
      <c r="H134" s="80">
        <f t="shared" si="13"/>
        <v>0</v>
      </c>
      <c r="I134" s="80">
        <f t="shared" si="14"/>
        <v>0</v>
      </c>
      <c r="J134" s="80">
        <f t="shared" si="15"/>
        <v>0</v>
      </c>
      <c r="K134" s="80">
        <f t="shared" si="16"/>
        <v>0</v>
      </c>
      <c r="L134" s="79"/>
    </row>
    <row r="135" spans="1:12">
      <c r="A135" s="79">
        <v>72</v>
      </c>
      <c r="B135" s="80">
        <f t="shared" si="9"/>
        <v>0</v>
      </c>
      <c r="C135" s="80">
        <f t="shared" si="10"/>
        <v>0</v>
      </c>
      <c r="D135" s="80">
        <f t="shared" si="11"/>
        <v>0</v>
      </c>
      <c r="E135" s="80">
        <f t="shared" si="12"/>
        <v>0</v>
      </c>
      <c r="F135" s="79"/>
      <c r="G135" s="79">
        <v>72</v>
      </c>
      <c r="H135" s="80">
        <f t="shared" si="13"/>
        <v>0</v>
      </c>
      <c r="I135" s="80">
        <f t="shared" si="14"/>
        <v>0</v>
      </c>
      <c r="J135" s="80">
        <f t="shared" si="15"/>
        <v>0</v>
      </c>
      <c r="K135" s="80">
        <f t="shared" si="16"/>
        <v>0</v>
      </c>
      <c r="L135" s="79"/>
    </row>
    <row r="136" spans="1:12">
      <c r="A136" s="79">
        <v>73</v>
      </c>
      <c r="B136" s="80">
        <f t="shared" si="9"/>
        <v>0</v>
      </c>
      <c r="C136" s="80">
        <f t="shared" si="10"/>
        <v>0</v>
      </c>
      <c r="D136" s="80">
        <f t="shared" si="11"/>
        <v>0</v>
      </c>
      <c r="E136" s="80">
        <f t="shared" si="12"/>
        <v>0</v>
      </c>
      <c r="F136" s="79"/>
      <c r="G136" s="79">
        <v>73</v>
      </c>
      <c r="H136" s="80">
        <f t="shared" si="13"/>
        <v>0</v>
      </c>
      <c r="I136" s="80">
        <f t="shared" si="14"/>
        <v>0</v>
      </c>
      <c r="J136" s="80">
        <f t="shared" si="15"/>
        <v>0</v>
      </c>
      <c r="K136" s="80">
        <f t="shared" si="16"/>
        <v>0</v>
      </c>
      <c r="L136" s="79"/>
    </row>
    <row r="137" spans="1:12">
      <c r="A137" s="79">
        <v>74</v>
      </c>
      <c r="B137" s="80">
        <f t="shared" si="9"/>
        <v>0</v>
      </c>
      <c r="C137" s="80">
        <f t="shared" si="10"/>
        <v>0</v>
      </c>
      <c r="D137" s="80">
        <f t="shared" si="11"/>
        <v>0</v>
      </c>
      <c r="E137" s="80">
        <f t="shared" si="12"/>
        <v>0</v>
      </c>
      <c r="F137" s="79">
        <v>6</v>
      </c>
      <c r="G137" s="79">
        <v>74</v>
      </c>
      <c r="H137" s="80">
        <f t="shared" si="13"/>
        <v>0</v>
      </c>
      <c r="I137" s="80">
        <f t="shared" si="14"/>
        <v>0</v>
      </c>
      <c r="J137" s="80">
        <f t="shared" si="15"/>
        <v>0</v>
      </c>
      <c r="K137" s="80">
        <f t="shared" si="16"/>
        <v>0</v>
      </c>
      <c r="L137" s="79">
        <v>6</v>
      </c>
    </row>
    <row r="138" spans="1:12">
      <c r="A138" s="79">
        <v>75</v>
      </c>
      <c r="B138" s="80">
        <f t="shared" si="9"/>
        <v>0</v>
      </c>
      <c r="C138" s="80">
        <f t="shared" si="10"/>
        <v>0</v>
      </c>
      <c r="D138" s="80">
        <f t="shared" si="11"/>
        <v>0</v>
      </c>
      <c r="E138" s="80">
        <f t="shared" si="12"/>
        <v>0</v>
      </c>
      <c r="F138" s="79"/>
      <c r="G138" s="79">
        <v>75</v>
      </c>
      <c r="H138" s="80">
        <f t="shared" si="13"/>
        <v>0</v>
      </c>
      <c r="I138" s="80">
        <f t="shared" si="14"/>
        <v>0</v>
      </c>
      <c r="J138" s="80">
        <f t="shared" si="15"/>
        <v>0</v>
      </c>
      <c r="K138" s="80">
        <f t="shared" si="16"/>
        <v>0</v>
      </c>
      <c r="L138" s="79"/>
    </row>
    <row r="139" spans="1:12">
      <c r="A139" s="79">
        <v>76</v>
      </c>
      <c r="B139" s="80">
        <f t="shared" si="9"/>
        <v>0</v>
      </c>
      <c r="C139" s="80">
        <f t="shared" si="10"/>
        <v>0</v>
      </c>
      <c r="D139" s="80">
        <f t="shared" si="11"/>
        <v>0</v>
      </c>
      <c r="E139" s="80">
        <f t="shared" si="12"/>
        <v>0</v>
      </c>
      <c r="F139" s="79"/>
      <c r="G139" s="79">
        <v>76</v>
      </c>
      <c r="H139" s="80">
        <f t="shared" si="13"/>
        <v>0</v>
      </c>
      <c r="I139" s="80">
        <f t="shared" si="14"/>
        <v>0</v>
      </c>
      <c r="J139" s="80">
        <f t="shared" si="15"/>
        <v>0</v>
      </c>
      <c r="K139" s="80">
        <f t="shared" si="16"/>
        <v>0</v>
      </c>
      <c r="L139" s="79"/>
    </row>
    <row r="140" spans="1:12">
      <c r="A140" s="79">
        <v>77</v>
      </c>
      <c r="B140" s="80">
        <f t="shared" si="9"/>
        <v>0</v>
      </c>
      <c r="C140" s="80">
        <f t="shared" si="10"/>
        <v>0</v>
      </c>
      <c r="D140" s="80">
        <f t="shared" si="11"/>
        <v>0</v>
      </c>
      <c r="E140" s="80">
        <f t="shared" si="12"/>
        <v>0</v>
      </c>
      <c r="F140" s="79"/>
      <c r="G140" s="79">
        <v>77</v>
      </c>
      <c r="H140" s="80">
        <f t="shared" si="13"/>
        <v>0</v>
      </c>
      <c r="I140" s="80">
        <f t="shared" si="14"/>
        <v>0</v>
      </c>
      <c r="J140" s="80">
        <f t="shared" si="15"/>
        <v>0</v>
      </c>
      <c r="K140" s="80">
        <f t="shared" si="16"/>
        <v>0</v>
      </c>
      <c r="L140" s="79"/>
    </row>
    <row r="141" spans="1:12">
      <c r="A141" s="79">
        <v>78</v>
      </c>
      <c r="B141" s="80">
        <f t="shared" si="9"/>
        <v>0</v>
      </c>
      <c r="C141" s="80">
        <f t="shared" si="10"/>
        <v>0</v>
      </c>
      <c r="D141" s="80">
        <f t="shared" si="11"/>
        <v>0</v>
      </c>
      <c r="E141" s="80">
        <f t="shared" si="12"/>
        <v>0</v>
      </c>
      <c r="F141" s="79"/>
      <c r="G141" s="79">
        <v>78</v>
      </c>
      <c r="H141" s="80">
        <f t="shared" si="13"/>
        <v>0</v>
      </c>
      <c r="I141" s="80">
        <f t="shared" si="14"/>
        <v>0</v>
      </c>
      <c r="J141" s="80">
        <f t="shared" si="15"/>
        <v>0</v>
      </c>
      <c r="K141" s="80">
        <f t="shared" si="16"/>
        <v>0</v>
      </c>
      <c r="L141" s="79"/>
    </row>
    <row r="142" spans="1:12">
      <c r="A142" s="79">
        <v>79</v>
      </c>
      <c r="B142" s="80">
        <f t="shared" si="9"/>
        <v>0</v>
      </c>
      <c r="C142" s="80">
        <f t="shared" si="10"/>
        <v>0</v>
      </c>
      <c r="D142" s="80">
        <f t="shared" si="11"/>
        <v>0</v>
      </c>
      <c r="E142" s="80">
        <f t="shared" si="12"/>
        <v>0</v>
      </c>
      <c r="F142" s="79"/>
      <c r="G142" s="79">
        <v>79</v>
      </c>
      <c r="H142" s="80">
        <f t="shared" si="13"/>
        <v>0</v>
      </c>
      <c r="I142" s="80">
        <f t="shared" si="14"/>
        <v>0</v>
      </c>
      <c r="J142" s="80">
        <f t="shared" si="15"/>
        <v>0</v>
      </c>
      <c r="K142" s="80">
        <f t="shared" si="16"/>
        <v>0</v>
      </c>
      <c r="L142" s="79"/>
    </row>
    <row r="143" spans="1:12">
      <c r="A143" s="79">
        <v>80</v>
      </c>
      <c r="B143" s="80">
        <f t="shared" si="9"/>
        <v>0</v>
      </c>
      <c r="C143" s="80">
        <f t="shared" si="10"/>
        <v>0</v>
      </c>
      <c r="D143" s="80">
        <f t="shared" si="11"/>
        <v>0</v>
      </c>
      <c r="E143" s="80">
        <f t="shared" si="12"/>
        <v>0</v>
      </c>
      <c r="F143" s="79"/>
      <c r="G143" s="79">
        <v>80</v>
      </c>
      <c r="H143" s="80">
        <f t="shared" si="13"/>
        <v>0</v>
      </c>
      <c r="I143" s="80">
        <f t="shared" si="14"/>
        <v>0</v>
      </c>
      <c r="J143" s="80">
        <f t="shared" si="15"/>
        <v>0</v>
      </c>
      <c r="K143" s="80">
        <f t="shared" si="16"/>
        <v>0</v>
      </c>
      <c r="L143" s="79"/>
    </row>
    <row r="144" spans="1:12">
      <c r="A144" s="79">
        <v>81</v>
      </c>
      <c r="B144" s="80">
        <f t="shared" si="9"/>
        <v>0</v>
      </c>
      <c r="C144" s="80">
        <f t="shared" si="10"/>
        <v>0</v>
      </c>
      <c r="D144" s="80">
        <f t="shared" si="11"/>
        <v>0</v>
      </c>
      <c r="E144" s="80">
        <f t="shared" si="12"/>
        <v>0</v>
      </c>
      <c r="F144" s="79"/>
      <c r="G144" s="79">
        <v>81</v>
      </c>
      <c r="H144" s="80">
        <f t="shared" si="13"/>
        <v>0</v>
      </c>
      <c r="I144" s="80">
        <f t="shared" si="14"/>
        <v>0</v>
      </c>
      <c r="J144" s="80">
        <f t="shared" si="15"/>
        <v>0</v>
      </c>
      <c r="K144" s="80">
        <f t="shared" si="16"/>
        <v>0</v>
      </c>
      <c r="L144" s="79"/>
    </row>
    <row r="145" spans="1:12">
      <c r="A145" s="79">
        <v>82</v>
      </c>
      <c r="B145" s="80">
        <f t="shared" si="9"/>
        <v>0</v>
      </c>
      <c r="C145" s="80">
        <f t="shared" si="10"/>
        <v>0</v>
      </c>
      <c r="D145" s="80">
        <f t="shared" si="11"/>
        <v>0</v>
      </c>
      <c r="E145" s="80">
        <f t="shared" si="12"/>
        <v>0</v>
      </c>
      <c r="F145" s="79"/>
      <c r="G145" s="79">
        <v>82</v>
      </c>
      <c r="H145" s="80">
        <f t="shared" si="13"/>
        <v>0</v>
      </c>
      <c r="I145" s="80">
        <f t="shared" si="14"/>
        <v>0</v>
      </c>
      <c r="J145" s="80">
        <f t="shared" si="15"/>
        <v>0</v>
      </c>
      <c r="K145" s="80">
        <f t="shared" si="16"/>
        <v>0</v>
      </c>
      <c r="L145" s="79"/>
    </row>
    <row r="146" spans="1:12">
      <c r="A146" s="79">
        <v>83</v>
      </c>
      <c r="B146" s="80">
        <f t="shared" si="9"/>
        <v>0</v>
      </c>
      <c r="C146" s="80">
        <f t="shared" si="10"/>
        <v>0</v>
      </c>
      <c r="D146" s="80">
        <f t="shared" si="11"/>
        <v>0</v>
      </c>
      <c r="E146" s="80">
        <f t="shared" si="12"/>
        <v>0</v>
      </c>
      <c r="F146" s="79"/>
      <c r="G146" s="79">
        <v>83</v>
      </c>
      <c r="H146" s="80">
        <f t="shared" si="13"/>
        <v>0</v>
      </c>
      <c r="I146" s="80">
        <f t="shared" si="14"/>
        <v>0</v>
      </c>
      <c r="J146" s="80">
        <f t="shared" si="15"/>
        <v>0</v>
      </c>
      <c r="K146" s="80">
        <f t="shared" si="16"/>
        <v>0</v>
      </c>
      <c r="L146" s="79"/>
    </row>
    <row r="147" spans="1:12">
      <c r="A147" s="79">
        <v>84</v>
      </c>
      <c r="B147" s="80">
        <f t="shared" si="9"/>
        <v>0</v>
      </c>
      <c r="C147" s="80">
        <f t="shared" si="10"/>
        <v>0</v>
      </c>
      <c r="D147" s="80">
        <f t="shared" si="11"/>
        <v>0</v>
      </c>
      <c r="E147" s="80">
        <f t="shared" si="12"/>
        <v>0</v>
      </c>
      <c r="F147" s="79">
        <v>7</v>
      </c>
      <c r="G147" s="79">
        <v>84</v>
      </c>
      <c r="H147" s="80">
        <f t="shared" si="13"/>
        <v>0</v>
      </c>
      <c r="I147" s="80">
        <f t="shared" si="14"/>
        <v>0</v>
      </c>
      <c r="J147" s="80">
        <f t="shared" si="15"/>
        <v>0</v>
      </c>
      <c r="K147" s="80">
        <f t="shared" si="16"/>
        <v>0</v>
      </c>
      <c r="L147" s="79">
        <v>7</v>
      </c>
    </row>
    <row r="148" spans="1:12">
      <c r="A148" s="79">
        <v>85</v>
      </c>
      <c r="B148" s="80">
        <f t="shared" si="9"/>
        <v>0</v>
      </c>
      <c r="C148" s="80">
        <f t="shared" si="10"/>
        <v>0</v>
      </c>
      <c r="D148" s="80">
        <f t="shared" si="11"/>
        <v>0</v>
      </c>
      <c r="E148" s="80">
        <f t="shared" si="12"/>
        <v>0</v>
      </c>
      <c r="F148" s="79"/>
      <c r="G148" s="79">
        <v>85</v>
      </c>
      <c r="H148" s="80">
        <f t="shared" si="13"/>
        <v>0</v>
      </c>
      <c r="I148" s="80">
        <f t="shared" si="14"/>
        <v>0</v>
      </c>
      <c r="J148" s="80">
        <f t="shared" si="15"/>
        <v>0</v>
      </c>
      <c r="K148" s="80">
        <f t="shared" si="16"/>
        <v>0</v>
      </c>
      <c r="L148" s="79"/>
    </row>
    <row r="149" spans="1:12">
      <c r="A149" s="79">
        <v>86</v>
      </c>
      <c r="B149" s="80">
        <f t="shared" si="9"/>
        <v>0</v>
      </c>
      <c r="C149" s="80">
        <f t="shared" si="10"/>
        <v>0</v>
      </c>
      <c r="D149" s="80">
        <f t="shared" si="11"/>
        <v>0</v>
      </c>
      <c r="E149" s="80">
        <f t="shared" si="12"/>
        <v>0</v>
      </c>
      <c r="F149" s="79"/>
      <c r="G149" s="79">
        <v>86</v>
      </c>
      <c r="H149" s="80">
        <f t="shared" si="13"/>
        <v>0</v>
      </c>
      <c r="I149" s="80">
        <f t="shared" si="14"/>
        <v>0</v>
      </c>
      <c r="J149" s="80">
        <f t="shared" si="15"/>
        <v>0</v>
      </c>
      <c r="K149" s="80">
        <f t="shared" si="16"/>
        <v>0</v>
      </c>
      <c r="L149" s="79"/>
    </row>
    <row r="150" spans="1:12">
      <c r="A150" s="79">
        <v>87</v>
      </c>
      <c r="B150" s="80">
        <f t="shared" si="9"/>
        <v>0</v>
      </c>
      <c r="C150" s="80">
        <f t="shared" si="10"/>
        <v>0</v>
      </c>
      <c r="D150" s="80">
        <f t="shared" si="11"/>
        <v>0</v>
      </c>
      <c r="E150" s="80">
        <f t="shared" si="12"/>
        <v>0</v>
      </c>
      <c r="F150" s="79"/>
      <c r="G150" s="79">
        <v>87</v>
      </c>
      <c r="H150" s="80">
        <f t="shared" si="13"/>
        <v>0</v>
      </c>
      <c r="I150" s="80">
        <f t="shared" si="14"/>
        <v>0</v>
      </c>
      <c r="J150" s="80">
        <f t="shared" si="15"/>
        <v>0</v>
      </c>
      <c r="K150" s="80">
        <f t="shared" si="16"/>
        <v>0</v>
      </c>
      <c r="L150" s="79"/>
    </row>
    <row r="151" spans="1:12">
      <c r="A151" s="79">
        <v>88</v>
      </c>
      <c r="B151" s="80">
        <f t="shared" si="9"/>
        <v>0</v>
      </c>
      <c r="C151" s="80">
        <f t="shared" si="10"/>
        <v>0</v>
      </c>
      <c r="D151" s="80">
        <f t="shared" si="11"/>
        <v>0</v>
      </c>
      <c r="E151" s="80">
        <f t="shared" si="12"/>
        <v>0</v>
      </c>
      <c r="F151" s="79"/>
      <c r="G151" s="79">
        <v>88</v>
      </c>
      <c r="H151" s="80">
        <f t="shared" si="13"/>
        <v>0</v>
      </c>
      <c r="I151" s="80">
        <f t="shared" si="14"/>
        <v>0</v>
      </c>
      <c r="J151" s="80">
        <f t="shared" si="15"/>
        <v>0</v>
      </c>
      <c r="K151" s="80">
        <f t="shared" si="16"/>
        <v>0</v>
      </c>
      <c r="L151" s="79"/>
    </row>
    <row r="152" spans="1:12">
      <c r="A152" s="79">
        <v>89</v>
      </c>
      <c r="B152" s="80">
        <f t="shared" si="9"/>
        <v>0</v>
      </c>
      <c r="C152" s="80">
        <f t="shared" si="10"/>
        <v>0</v>
      </c>
      <c r="D152" s="80">
        <f t="shared" si="11"/>
        <v>0</v>
      </c>
      <c r="E152" s="80">
        <f t="shared" si="12"/>
        <v>0</v>
      </c>
      <c r="F152" s="79"/>
      <c r="G152" s="79">
        <v>89</v>
      </c>
      <c r="H152" s="80">
        <f t="shared" si="13"/>
        <v>0</v>
      </c>
      <c r="I152" s="80">
        <f t="shared" si="14"/>
        <v>0</v>
      </c>
      <c r="J152" s="80">
        <f t="shared" si="15"/>
        <v>0</v>
      </c>
      <c r="K152" s="80">
        <f t="shared" si="16"/>
        <v>0</v>
      </c>
      <c r="L152" s="79"/>
    </row>
    <row r="153" spans="1:12">
      <c r="A153" s="79">
        <v>90</v>
      </c>
      <c r="B153" s="80">
        <f t="shared" si="9"/>
        <v>0</v>
      </c>
      <c r="C153" s="80">
        <f t="shared" si="10"/>
        <v>0</v>
      </c>
      <c r="D153" s="80">
        <f t="shared" si="11"/>
        <v>0</v>
      </c>
      <c r="E153" s="80">
        <f t="shared" si="12"/>
        <v>0</v>
      </c>
      <c r="F153" s="79"/>
      <c r="G153" s="79">
        <v>90</v>
      </c>
      <c r="H153" s="80">
        <f t="shared" si="13"/>
        <v>0</v>
      </c>
      <c r="I153" s="80">
        <f t="shared" si="14"/>
        <v>0</v>
      </c>
      <c r="J153" s="80">
        <f t="shared" si="15"/>
        <v>0</v>
      </c>
      <c r="K153" s="80">
        <f t="shared" si="16"/>
        <v>0</v>
      </c>
      <c r="L153" s="79"/>
    </row>
    <row r="154" spans="1:12">
      <c r="A154" s="79">
        <v>91</v>
      </c>
      <c r="B154" s="80">
        <f t="shared" si="9"/>
        <v>0</v>
      </c>
      <c r="C154" s="80">
        <f t="shared" si="10"/>
        <v>0</v>
      </c>
      <c r="D154" s="80">
        <f t="shared" si="11"/>
        <v>0</v>
      </c>
      <c r="E154" s="80">
        <f t="shared" si="12"/>
        <v>0</v>
      </c>
      <c r="F154" s="79"/>
      <c r="G154" s="79">
        <v>91</v>
      </c>
      <c r="H154" s="80">
        <f t="shared" si="13"/>
        <v>0</v>
      </c>
      <c r="I154" s="80">
        <f t="shared" si="14"/>
        <v>0</v>
      </c>
      <c r="J154" s="80">
        <f t="shared" si="15"/>
        <v>0</v>
      </c>
      <c r="K154" s="80">
        <f t="shared" si="16"/>
        <v>0</v>
      </c>
      <c r="L154" s="79"/>
    </row>
    <row r="155" spans="1:12">
      <c r="A155" s="79">
        <v>92</v>
      </c>
      <c r="B155" s="80">
        <f t="shared" si="9"/>
        <v>0</v>
      </c>
      <c r="C155" s="80">
        <f t="shared" si="10"/>
        <v>0</v>
      </c>
      <c r="D155" s="80">
        <f t="shared" si="11"/>
        <v>0</v>
      </c>
      <c r="E155" s="80">
        <f t="shared" si="12"/>
        <v>0</v>
      </c>
      <c r="F155" s="79"/>
      <c r="G155" s="79">
        <v>92</v>
      </c>
      <c r="H155" s="80">
        <f t="shared" si="13"/>
        <v>0</v>
      </c>
      <c r="I155" s="80">
        <f t="shared" si="14"/>
        <v>0</v>
      </c>
      <c r="J155" s="80">
        <f t="shared" si="15"/>
        <v>0</v>
      </c>
      <c r="K155" s="80">
        <f t="shared" si="16"/>
        <v>0</v>
      </c>
      <c r="L155" s="79"/>
    </row>
    <row r="156" spans="1:12">
      <c r="A156" s="79">
        <v>93</v>
      </c>
      <c r="B156" s="80">
        <f t="shared" si="9"/>
        <v>0</v>
      </c>
      <c r="C156" s="80">
        <f t="shared" si="10"/>
        <v>0</v>
      </c>
      <c r="D156" s="80">
        <f t="shared" si="11"/>
        <v>0</v>
      </c>
      <c r="E156" s="80">
        <f t="shared" si="12"/>
        <v>0</v>
      </c>
      <c r="F156" s="79"/>
      <c r="G156" s="79">
        <v>93</v>
      </c>
      <c r="H156" s="80">
        <f t="shared" si="13"/>
        <v>0</v>
      </c>
      <c r="I156" s="80">
        <f t="shared" si="14"/>
        <v>0</v>
      </c>
      <c r="J156" s="80">
        <f t="shared" si="15"/>
        <v>0</v>
      </c>
      <c r="K156" s="80">
        <f t="shared" si="16"/>
        <v>0</v>
      </c>
      <c r="L156" s="79"/>
    </row>
    <row r="157" spans="1:12">
      <c r="A157" s="79">
        <v>94</v>
      </c>
      <c r="B157" s="80">
        <f t="shared" si="9"/>
        <v>0</v>
      </c>
      <c r="C157" s="80">
        <f t="shared" si="10"/>
        <v>0</v>
      </c>
      <c r="D157" s="80">
        <f t="shared" si="11"/>
        <v>0</v>
      </c>
      <c r="E157" s="80">
        <f t="shared" si="12"/>
        <v>0</v>
      </c>
      <c r="F157" s="79"/>
      <c r="G157" s="79">
        <v>94</v>
      </c>
      <c r="H157" s="80">
        <f t="shared" si="13"/>
        <v>0</v>
      </c>
      <c r="I157" s="80">
        <f t="shared" si="14"/>
        <v>0</v>
      </c>
      <c r="J157" s="80">
        <f t="shared" si="15"/>
        <v>0</v>
      </c>
      <c r="K157" s="80">
        <f t="shared" si="16"/>
        <v>0</v>
      </c>
      <c r="L157" s="79"/>
    </row>
    <row r="158" spans="1:12">
      <c r="A158" s="79">
        <v>95</v>
      </c>
      <c r="B158" s="80">
        <f t="shared" si="9"/>
        <v>0</v>
      </c>
      <c r="C158" s="80">
        <f t="shared" si="10"/>
        <v>0</v>
      </c>
      <c r="D158" s="80">
        <f t="shared" si="11"/>
        <v>0</v>
      </c>
      <c r="E158" s="80">
        <f t="shared" si="12"/>
        <v>0</v>
      </c>
      <c r="F158" s="79"/>
      <c r="G158" s="79">
        <v>95</v>
      </c>
      <c r="H158" s="80">
        <f t="shared" si="13"/>
        <v>0</v>
      </c>
      <c r="I158" s="80">
        <f t="shared" si="14"/>
        <v>0</v>
      </c>
      <c r="J158" s="80">
        <f t="shared" si="15"/>
        <v>0</v>
      </c>
      <c r="K158" s="80">
        <f t="shared" si="16"/>
        <v>0</v>
      </c>
      <c r="L158" s="79"/>
    </row>
    <row r="159" spans="1:12">
      <c r="A159" s="79">
        <v>96</v>
      </c>
      <c r="B159" s="80">
        <f t="shared" si="9"/>
        <v>0</v>
      </c>
      <c r="C159" s="80">
        <f t="shared" si="10"/>
        <v>0</v>
      </c>
      <c r="D159" s="80">
        <f t="shared" si="11"/>
        <v>0</v>
      </c>
      <c r="E159" s="80">
        <f t="shared" si="12"/>
        <v>0</v>
      </c>
      <c r="F159" s="79">
        <v>8</v>
      </c>
      <c r="G159" s="79">
        <v>96</v>
      </c>
      <c r="H159" s="80">
        <f t="shared" si="13"/>
        <v>0</v>
      </c>
      <c r="I159" s="80">
        <f t="shared" si="14"/>
        <v>0</v>
      </c>
      <c r="J159" s="80">
        <f t="shared" si="15"/>
        <v>0</v>
      </c>
      <c r="K159" s="80">
        <f t="shared" si="16"/>
        <v>0</v>
      </c>
      <c r="L159" s="79">
        <v>8</v>
      </c>
    </row>
    <row r="160" spans="1:12">
      <c r="A160" s="79">
        <v>97</v>
      </c>
      <c r="B160" s="80">
        <f t="shared" si="9"/>
        <v>0</v>
      </c>
      <c r="C160" s="80">
        <f t="shared" si="10"/>
        <v>0</v>
      </c>
      <c r="D160" s="80">
        <f t="shared" si="11"/>
        <v>0</v>
      </c>
      <c r="E160" s="80">
        <f t="shared" si="12"/>
        <v>0</v>
      </c>
      <c r="F160" s="79"/>
      <c r="G160" s="79">
        <v>97</v>
      </c>
      <c r="H160" s="80">
        <f t="shared" si="13"/>
        <v>0</v>
      </c>
      <c r="I160" s="80">
        <f t="shared" si="14"/>
        <v>0</v>
      </c>
      <c r="J160" s="80">
        <f t="shared" si="15"/>
        <v>0</v>
      </c>
      <c r="K160" s="80">
        <f t="shared" si="16"/>
        <v>0</v>
      </c>
      <c r="L160" s="79"/>
    </row>
    <row r="161" spans="1:12">
      <c r="A161" s="79">
        <v>98</v>
      </c>
      <c r="B161" s="80">
        <f t="shared" si="9"/>
        <v>0</v>
      </c>
      <c r="C161" s="80">
        <f t="shared" si="10"/>
        <v>0</v>
      </c>
      <c r="D161" s="80">
        <f t="shared" si="11"/>
        <v>0</v>
      </c>
      <c r="E161" s="80">
        <f t="shared" si="12"/>
        <v>0</v>
      </c>
      <c r="F161" s="79"/>
      <c r="G161" s="79">
        <v>98</v>
      </c>
      <c r="H161" s="80">
        <f t="shared" si="13"/>
        <v>0</v>
      </c>
      <c r="I161" s="80">
        <f t="shared" si="14"/>
        <v>0</v>
      </c>
      <c r="J161" s="80">
        <f t="shared" si="15"/>
        <v>0</v>
      </c>
      <c r="K161" s="80">
        <f t="shared" si="16"/>
        <v>0</v>
      </c>
      <c r="L161" s="79"/>
    </row>
    <row r="162" spans="1:12">
      <c r="A162" s="79">
        <v>99</v>
      </c>
      <c r="B162" s="80">
        <f t="shared" si="9"/>
        <v>0</v>
      </c>
      <c r="C162" s="80">
        <f t="shared" si="10"/>
        <v>0</v>
      </c>
      <c r="D162" s="80">
        <f t="shared" si="11"/>
        <v>0</v>
      </c>
      <c r="E162" s="80">
        <f t="shared" si="12"/>
        <v>0</v>
      </c>
      <c r="F162" s="79"/>
      <c r="G162" s="79">
        <v>99</v>
      </c>
      <c r="H162" s="80">
        <f t="shared" si="13"/>
        <v>0</v>
      </c>
      <c r="I162" s="80">
        <f t="shared" si="14"/>
        <v>0</v>
      </c>
      <c r="J162" s="80">
        <f t="shared" si="15"/>
        <v>0</v>
      </c>
      <c r="K162" s="80">
        <f t="shared" si="16"/>
        <v>0</v>
      </c>
      <c r="L162" s="79"/>
    </row>
    <row r="163" spans="1:12">
      <c r="A163" s="79">
        <v>100</v>
      </c>
      <c r="B163" s="80">
        <f t="shared" si="9"/>
        <v>0</v>
      </c>
      <c r="C163" s="80">
        <f t="shared" si="10"/>
        <v>0</v>
      </c>
      <c r="D163" s="80">
        <f t="shared" si="11"/>
        <v>0</v>
      </c>
      <c r="E163" s="80">
        <f t="shared" si="12"/>
        <v>0</v>
      </c>
      <c r="F163" s="79"/>
      <c r="G163" s="79">
        <v>100</v>
      </c>
      <c r="H163" s="80">
        <f t="shared" si="13"/>
        <v>0</v>
      </c>
      <c r="I163" s="80">
        <f t="shared" si="14"/>
        <v>0</v>
      </c>
      <c r="J163" s="80">
        <f t="shared" si="15"/>
        <v>0</v>
      </c>
      <c r="K163" s="80">
        <f t="shared" si="16"/>
        <v>0</v>
      </c>
      <c r="L163" s="79"/>
    </row>
    <row r="164" spans="1:12">
      <c r="A164" s="79">
        <v>101</v>
      </c>
      <c r="B164" s="80">
        <f t="shared" si="9"/>
        <v>0</v>
      </c>
      <c r="C164" s="80">
        <f t="shared" si="10"/>
        <v>0</v>
      </c>
      <c r="D164" s="80">
        <f t="shared" si="11"/>
        <v>0</v>
      </c>
      <c r="E164" s="80">
        <f t="shared" si="12"/>
        <v>0</v>
      </c>
      <c r="F164" s="79"/>
      <c r="G164" s="79">
        <v>101</v>
      </c>
      <c r="H164" s="80">
        <f t="shared" si="13"/>
        <v>0</v>
      </c>
      <c r="I164" s="80">
        <f t="shared" si="14"/>
        <v>0</v>
      </c>
      <c r="J164" s="80">
        <f t="shared" si="15"/>
        <v>0</v>
      </c>
      <c r="K164" s="80">
        <f t="shared" si="16"/>
        <v>0</v>
      </c>
      <c r="L164" s="79"/>
    </row>
    <row r="165" spans="1:12">
      <c r="A165" s="79">
        <v>102</v>
      </c>
      <c r="B165" s="80">
        <f t="shared" si="9"/>
        <v>0</v>
      </c>
      <c r="C165" s="80">
        <f t="shared" si="10"/>
        <v>0</v>
      </c>
      <c r="D165" s="80">
        <f t="shared" si="11"/>
        <v>0</v>
      </c>
      <c r="E165" s="80">
        <f t="shared" si="12"/>
        <v>0</v>
      </c>
      <c r="F165" s="79"/>
      <c r="G165" s="79">
        <v>102</v>
      </c>
      <c r="H165" s="80">
        <f t="shared" si="13"/>
        <v>0</v>
      </c>
      <c r="I165" s="80">
        <f t="shared" si="14"/>
        <v>0</v>
      </c>
      <c r="J165" s="80">
        <f t="shared" si="15"/>
        <v>0</v>
      </c>
      <c r="K165" s="80">
        <f t="shared" si="16"/>
        <v>0</v>
      </c>
      <c r="L165" s="79"/>
    </row>
    <row r="166" spans="1:12">
      <c r="A166" s="79">
        <v>103</v>
      </c>
      <c r="B166" s="80">
        <f t="shared" si="9"/>
        <v>0</v>
      </c>
      <c r="C166" s="80">
        <f t="shared" si="10"/>
        <v>0</v>
      </c>
      <c r="D166" s="80">
        <f t="shared" si="11"/>
        <v>0</v>
      </c>
      <c r="E166" s="80">
        <f t="shared" si="12"/>
        <v>0</v>
      </c>
      <c r="F166" s="79"/>
      <c r="G166" s="79">
        <v>103</v>
      </c>
      <c r="H166" s="80">
        <f t="shared" si="13"/>
        <v>0</v>
      </c>
      <c r="I166" s="80">
        <f t="shared" si="14"/>
        <v>0</v>
      </c>
      <c r="J166" s="80">
        <f t="shared" si="15"/>
        <v>0</v>
      </c>
      <c r="K166" s="80">
        <f t="shared" si="16"/>
        <v>0</v>
      </c>
      <c r="L166" s="79"/>
    </row>
    <row r="167" spans="1:12">
      <c r="A167" s="79">
        <v>104</v>
      </c>
      <c r="B167" s="80">
        <f t="shared" si="9"/>
        <v>0</v>
      </c>
      <c r="C167" s="80">
        <f t="shared" si="10"/>
        <v>0</v>
      </c>
      <c r="D167" s="80">
        <f t="shared" si="11"/>
        <v>0</v>
      </c>
      <c r="E167" s="80">
        <f t="shared" si="12"/>
        <v>0</v>
      </c>
      <c r="F167" s="79"/>
      <c r="G167" s="79">
        <v>104</v>
      </c>
      <c r="H167" s="80">
        <f t="shared" si="13"/>
        <v>0</v>
      </c>
      <c r="I167" s="80">
        <f t="shared" si="14"/>
        <v>0</v>
      </c>
      <c r="J167" s="80">
        <f t="shared" si="15"/>
        <v>0</v>
      </c>
      <c r="K167" s="80">
        <f t="shared" si="16"/>
        <v>0</v>
      </c>
      <c r="L167" s="79"/>
    </row>
    <row r="168" spans="1:12">
      <c r="A168" s="79">
        <v>105</v>
      </c>
      <c r="B168" s="80">
        <f t="shared" si="9"/>
        <v>0</v>
      </c>
      <c r="C168" s="80">
        <f t="shared" si="10"/>
        <v>0</v>
      </c>
      <c r="D168" s="80">
        <f t="shared" si="11"/>
        <v>0</v>
      </c>
      <c r="E168" s="80">
        <f t="shared" si="12"/>
        <v>0</v>
      </c>
      <c r="F168" s="79"/>
      <c r="G168" s="79">
        <v>105</v>
      </c>
      <c r="H168" s="80">
        <f t="shared" si="13"/>
        <v>0</v>
      </c>
      <c r="I168" s="80">
        <f t="shared" si="14"/>
        <v>0</v>
      </c>
      <c r="J168" s="80">
        <f t="shared" si="15"/>
        <v>0</v>
      </c>
      <c r="K168" s="80">
        <f t="shared" si="16"/>
        <v>0</v>
      </c>
      <c r="L168" s="79"/>
    </row>
    <row r="169" spans="1:12">
      <c r="A169" s="79">
        <v>106</v>
      </c>
      <c r="B169" s="80">
        <f t="shared" si="9"/>
        <v>0</v>
      </c>
      <c r="C169" s="80">
        <f t="shared" si="10"/>
        <v>0</v>
      </c>
      <c r="D169" s="80">
        <f t="shared" si="11"/>
        <v>0</v>
      </c>
      <c r="E169" s="80">
        <f t="shared" si="12"/>
        <v>0</v>
      </c>
      <c r="F169" s="79"/>
      <c r="G169" s="79">
        <v>106</v>
      </c>
      <c r="H169" s="80">
        <f t="shared" si="13"/>
        <v>0</v>
      </c>
      <c r="I169" s="80">
        <f t="shared" si="14"/>
        <v>0</v>
      </c>
      <c r="J169" s="80">
        <f t="shared" si="15"/>
        <v>0</v>
      </c>
      <c r="K169" s="80">
        <f t="shared" si="16"/>
        <v>0</v>
      </c>
      <c r="L169" s="79"/>
    </row>
    <row r="170" spans="1:12">
      <c r="A170" s="79">
        <v>107</v>
      </c>
      <c r="B170" s="80">
        <f t="shared" si="9"/>
        <v>0</v>
      </c>
      <c r="C170" s="80">
        <f t="shared" si="10"/>
        <v>0</v>
      </c>
      <c r="D170" s="80">
        <f t="shared" si="11"/>
        <v>0</v>
      </c>
      <c r="E170" s="80">
        <f t="shared" si="12"/>
        <v>0</v>
      </c>
      <c r="F170" s="79"/>
      <c r="G170" s="79">
        <v>107</v>
      </c>
      <c r="H170" s="80">
        <f t="shared" si="13"/>
        <v>0</v>
      </c>
      <c r="I170" s="80">
        <f t="shared" si="14"/>
        <v>0</v>
      </c>
      <c r="J170" s="80">
        <f t="shared" si="15"/>
        <v>0</v>
      </c>
      <c r="K170" s="80">
        <f t="shared" si="16"/>
        <v>0</v>
      </c>
      <c r="L170" s="79"/>
    </row>
    <row r="171" spans="1:12">
      <c r="A171" s="79">
        <v>108</v>
      </c>
      <c r="B171" s="80">
        <f t="shared" si="9"/>
        <v>0</v>
      </c>
      <c r="C171" s="80">
        <f t="shared" si="10"/>
        <v>0</v>
      </c>
      <c r="D171" s="80">
        <f t="shared" si="11"/>
        <v>0</v>
      </c>
      <c r="E171" s="80">
        <f t="shared" si="12"/>
        <v>0</v>
      </c>
      <c r="F171" s="79">
        <v>9</v>
      </c>
      <c r="G171" s="79">
        <v>108</v>
      </c>
      <c r="H171" s="80">
        <f t="shared" si="13"/>
        <v>0</v>
      </c>
      <c r="I171" s="80">
        <f t="shared" si="14"/>
        <v>0</v>
      </c>
      <c r="J171" s="80">
        <f t="shared" si="15"/>
        <v>0</v>
      </c>
      <c r="K171" s="80">
        <f t="shared" si="16"/>
        <v>0</v>
      </c>
      <c r="L171" s="79">
        <v>9</v>
      </c>
    </row>
    <row r="172" spans="1:12">
      <c r="A172" s="79">
        <v>109</v>
      </c>
      <c r="B172" s="80">
        <f t="shared" si="9"/>
        <v>0</v>
      </c>
      <c r="C172" s="80">
        <f t="shared" si="10"/>
        <v>0</v>
      </c>
      <c r="D172" s="80">
        <f t="shared" si="11"/>
        <v>0</v>
      </c>
      <c r="E172" s="80">
        <f t="shared" si="12"/>
        <v>0</v>
      </c>
      <c r="F172" s="79"/>
      <c r="G172" s="79">
        <v>109</v>
      </c>
      <c r="H172" s="80">
        <f t="shared" si="13"/>
        <v>0</v>
      </c>
      <c r="I172" s="80">
        <f t="shared" si="14"/>
        <v>0</v>
      </c>
      <c r="J172" s="80">
        <f t="shared" si="15"/>
        <v>0</v>
      </c>
      <c r="K172" s="80">
        <f t="shared" si="16"/>
        <v>0</v>
      </c>
      <c r="L172" s="79"/>
    </row>
    <row r="173" spans="1:12">
      <c r="A173" s="79">
        <v>110</v>
      </c>
      <c r="B173" s="80">
        <f t="shared" si="9"/>
        <v>0</v>
      </c>
      <c r="C173" s="80">
        <f t="shared" si="10"/>
        <v>0</v>
      </c>
      <c r="D173" s="80">
        <f t="shared" si="11"/>
        <v>0</v>
      </c>
      <c r="E173" s="80">
        <f t="shared" si="12"/>
        <v>0</v>
      </c>
      <c r="F173" s="79"/>
      <c r="G173" s="79">
        <v>110</v>
      </c>
      <c r="H173" s="80">
        <f t="shared" si="13"/>
        <v>0</v>
      </c>
      <c r="I173" s="80">
        <f t="shared" si="14"/>
        <v>0</v>
      </c>
      <c r="J173" s="80">
        <f t="shared" si="15"/>
        <v>0</v>
      </c>
      <c r="K173" s="80">
        <f t="shared" si="16"/>
        <v>0</v>
      </c>
      <c r="L173" s="79"/>
    </row>
    <row r="174" spans="1:12">
      <c r="A174" s="79">
        <v>111</v>
      </c>
      <c r="B174" s="80">
        <f t="shared" si="9"/>
        <v>0</v>
      </c>
      <c r="C174" s="80">
        <f t="shared" si="10"/>
        <v>0</v>
      </c>
      <c r="D174" s="80">
        <f t="shared" si="11"/>
        <v>0</v>
      </c>
      <c r="E174" s="80">
        <f t="shared" si="12"/>
        <v>0</v>
      </c>
      <c r="F174" s="79"/>
      <c r="G174" s="79">
        <v>111</v>
      </c>
      <c r="H174" s="80">
        <f t="shared" si="13"/>
        <v>0</v>
      </c>
      <c r="I174" s="80">
        <f t="shared" si="14"/>
        <v>0</v>
      </c>
      <c r="J174" s="80">
        <f t="shared" si="15"/>
        <v>0</v>
      </c>
      <c r="K174" s="80">
        <f t="shared" si="16"/>
        <v>0</v>
      </c>
      <c r="L174" s="79"/>
    </row>
    <row r="175" spans="1:12">
      <c r="A175" s="79">
        <v>112</v>
      </c>
      <c r="B175" s="80">
        <f t="shared" si="9"/>
        <v>0</v>
      </c>
      <c r="C175" s="80">
        <f t="shared" si="10"/>
        <v>0</v>
      </c>
      <c r="D175" s="80">
        <f t="shared" si="11"/>
        <v>0</v>
      </c>
      <c r="E175" s="80">
        <f t="shared" si="12"/>
        <v>0</v>
      </c>
      <c r="F175" s="79"/>
      <c r="G175" s="79">
        <v>112</v>
      </c>
      <c r="H175" s="80">
        <f t="shared" si="13"/>
        <v>0</v>
      </c>
      <c r="I175" s="80">
        <f t="shared" si="14"/>
        <v>0</v>
      </c>
      <c r="J175" s="80">
        <f t="shared" si="15"/>
        <v>0</v>
      </c>
      <c r="K175" s="80">
        <f t="shared" si="16"/>
        <v>0</v>
      </c>
      <c r="L175" s="79"/>
    </row>
    <row r="176" spans="1:12">
      <c r="A176" s="79">
        <v>113</v>
      </c>
      <c r="B176" s="80">
        <f t="shared" si="9"/>
        <v>0</v>
      </c>
      <c r="C176" s="80">
        <f t="shared" si="10"/>
        <v>0</v>
      </c>
      <c r="D176" s="80">
        <f t="shared" si="11"/>
        <v>0</v>
      </c>
      <c r="E176" s="80">
        <f t="shared" si="12"/>
        <v>0</v>
      </c>
      <c r="F176" s="79"/>
      <c r="G176" s="79">
        <v>113</v>
      </c>
      <c r="H176" s="80">
        <f t="shared" si="13"/>
        <v>0</v>
      </c>
      <c r="I176" s="80">
        <f t="shared" si="14"/>
        <v>0</v>
      </c>
      <c r="J176" s="80">
        <f t="shared" si="15"/>
        <v>0</v>
      </c>
      <c r="K176" s="80">
        <f t="shared" si="16"/>
        <v>0</v>
      </c>
      <c r="L176" s="79"/>
    </row>
    <row r="177" spans="1:12">
      <c r="A177" s="79">
        <v>114</v>
      </c>
      <c r="B177" s="80">
        <f t="shared" si="9"/>
        <v>0</v>
      </c>
      <c r="C177" s="80">
        <f t="shared" si="10"/>
        <v>0</v>
      </c>
      <c r="D177" s="80">
        <f t="shared" si="11"/>
        <v>0</v>
      </c>
      <c r="E177" s="80">
        <f t="shared" si="12"/>
        <v>0</v>
      </c>
      <c r="F177" s="79"/>
      <c r="G177" s="79">
        <v>114</v>
      </c>
      <c r="H177" s="80">
        <f t="shared" si="13"/>
        <v>0</v>
      </c>
      <c r="I177" s="80">
        <f t="shared" si="14"/>
        <v>0</v>
      </c>
      <c r="J177" s="80">
        <f t="shared" si="15"/>
        <v>0</v>
      </c>
      <c r="K177" s="80">
        <f t="shared" si="16"/>
        <v>0</v>
      </c>
      <c r="L177" s="79"/>
    </row>
    <row r="178" spans="1:12">
      <c r="A178" s="79">
        <v>115</v>
      </c>
      <c r="B178" s="80">
        <f t="shared" si="9"/>
        <v>0</v>
      </c>
      <c r="C178" s="80">
        <f t="shared" si="10"/>
        <v>0</v>
      </c>
      <c r="D178" s="80">
        <f t="shared" si="11"/>
        <v>0</v>
      </c>
      <c r="E178" s="80">
        <f t="shared" si="12"/>
        <v>0</v>
      </c>
      <c r="F178" s="79"/>
      <c r="G178" s="79">
        <v>115</v>
      </c>
      <c r="H178" s="80">
        <f t="shared" si="13"/>
        <v>0</v>
      </c>
      <c r="I178" s="80">
        <f t="shared" si="14"/>
        <v>0</v>
      </c>
      <c r="J178" s="80">
        <f t="shared" si="15"/>
        <v>0</v>
      </c>
      <c r="K178" s="80">
        <f t="shared" si="16"/>
        <v>0</v>
      </c>
      <c r="L178" s="79"/>
    </row>
    <row r="179" spans="1:12">
      <c r="A179" s="79">
        <v>116</v>
      </c>
      <c r="B179" s="80">
        <f t="shared" si="9"/>
        <v>0</v>
      </c>
      <c r="C179" s="80">
        <f t="shared" si="10"/>
        <v>0</v>
      </c>
      <c r="D179" s="80">
        <f t="shared" si="11"/>
        <v>0</v>
      </c>
      <c r="E179" s="80">
        <f t="shared" si="12"/>
        <v>0</v>
      </c>
      <c r="F179" s="79"/>
      <c r="G179" s="79">
        <v>116</v>
      </c>
      <c r="H179" s="80">
        <f t="shared" si="13"/>
        <v>0</v>
      </c>
      <c r="I179" s="80">
        <f t="shared" si="14"/>
        <v>0</v>
      </c>
      <c r="J179" s="80">
        <f t="shared" si="15"/>
        <v>0</v>
      </c>
      <c r="K179" s="80">
        <f t="shared" si="16"/>
        <v>0</v>
      </c>
      <c r="L179" s="79"/>
    </row>
    <row r="180" spans="1:12">
      <c r="A180" s="79">
        <v>117</v>
      </c>
      <c r="B180" s="80">
        <f t="shared" si="9"/>
        <v>0</v>
      </c>
      <c r="C180" s="80">
        <f t="shared" si="10"/>
        <v>0</v>
      </c>
      <c r="D180" s="80">
        <f t="shared" si="11"/>
        <v>0</v>
      </c>
      <c r="E180" s="80">
        <f t="shared" si="12"/>
        <v>0</v>
      </c>
      <c r="F180" s="79"/>
      <c r="G180" s="79">
        <v>117</v>
      </c>
      <c r="H180" s="80">
        <f t="shared" si="13"/>
        <v>0</v>
      </c>
      <c r="I180" s="80">
        <f t="shared" si="14"/>
        <v>0</v>
      </c>
      <c r="J180" s="80">
        <f t="shared" si="15"/>
        <v>0</v>
      </c>
      <c r="K180" s="80">
        <f t="shared" si="16"/>
        <v>0</v>
      </c>
      <c r="L180" s="79"/>
    </row>
    <row r="181" spans="1:12">
      <c r="A181" s="79">
        <v>118</v>
      </c>
      <c r="B181" s="80">
        <f t="shared" si="9"/>
        <v>0</v>
      </c>
      <c r="C181" s="80">
        <f t="shared" si="10"/>
        <v>0</v>
      </c>
      <c r="D181" s="80">
        <f t="shared" si="11"/>
        <v>0</v>
      </c>
      <c r="E181" s="80">
        <f t="shared" si="12"/>
        <v>0</v>
      </c>
      <c r="F181" s="79"/>
      <c r="G181" s="79">
        <v>118</v>
      </c>
      <c r="H181" s="80">
        <f t="shared" si="13"/>
        <v>0</v>
      </c>
      <c r="I181" s="80">
        <f t="shared" si="14"/>
        <v>0</v>
      </c>
      <c r="J181" s="80">
        <f t="shared" si="15"/>
        <v>0</v>
      </c>
      <c r="K181" s="80">
        <f t="shared" si="16"/>
        <v>0</v>
      </c>
      <c r="L181" s="79"/>
    </row>
    <row r="182" spans="1:12">
      <c r="A182" s="79">
        <v>119</v>
      </c>
      <c r="B182" s="80">
        <f t="shared" si="9"/>
        <v>0</v>
      </c>
      <c r="C182" s="80">
        <f t="shared" si="10"/>
        <v>0</v>
      </c>
      <c r="D182" s="80">
        <f t="shared" si="11"/>
        <v>0</v>
      </c>
      <c r="E182" s="80">
        <f t="shared" si="12"/>
        <v>0</v>
      </c>
      <c r="F182" s="79"/>
      <c r="G182" s="79">
        <v>119</v>
      </c>
      <c r="H182" s="80">
        <f t="shared" si="13"/>
        <v>0</v>
      </c>
      <c r="I182" s="80">
        <f t="shared" si="14"/>
        <v>0</v>
      </c>
      <c r="J182" s="80">
        <f t="shared" si="15"/>
        <v>0</v>
      </c>
      <c r="K182" s="80">
        <f t="shared" si="16"/>
        <v>0</v>
      </c>
      <c r="L182" s="79"/>
    </row>
    <row r="183" spans="1:12">
      <c r="A183" s="79">
        <v>120</v>
      </c>
      <c r="B183" s="80">
        <f t="shared" si="9"/>
        <v>0</v>
      </c>
      <c r="C183" s="80">
        <f t="shared" si="10"/>
        <v>0</v>
      </c>
      <c r="D183" s="80">
        <f t="shared" si="11"/>
        <v>0</v>
      </c>
      <c r="E183" s="80">
        <f t="shared" si="12"/>
        <v>0</v>
      </c>
      <c r="F183" s="79">
        <v>10</v>
      </c>
      <c r="G183" s="79">
        <v>120</v>
      </c>
      <c r="H183" s="80">
        <f t="shared" si="13"/>
        <v>0</v>
      </c>
      <c r="I183" s="80">
        <f t="shared" si="14"/>
        <v>0</v>
      </c>
      <c r="J183" s="80">
        <f t="shared" si="15"/>
        <v>0</v>
      </c>
      <c r="K183" s="80">
        <f t="shared" si="16"/>
        <v>0</v>
      </c>
      <c r="L183" s="79">
        <v>10</v>
      </c>
    </row>
    <row r="184" spans="1:12">
      <c r="A184" s="79">
        <v>121</v>
      </c>
      <c r="B184" s="80">
        <f t="shared" si="9"/>
        <v>0</v>
      </c>
      <c r="C184" s="80">
        <f t="shared" si="10"/>
        <v>0</v>
      </c>
      <c r="D184" s="80">
        <f t="shared" si="11"/>
        <v>0</v>
      </c>
      <c r="E184" s="80">
        <f t="shared" si="12"/>
        <v>0</v>
      </c>
      <c r="F184" s="79"/>
      <c r="G184" s="79">
        <v>121</v>
      </c>
      <c r="H184" s="80">
        <f t="shared" si="13"/>
        <v>0</v>
      </c>
      <c r="I184" s="80">
        <f t="shared" si="14"/>
        <v>0</v>
      </c>
      <c r="J184" s="80">
        <f t="shared" si="15"/>
        <v>0</v>
      </c>
      <c r="K184" s="80">
        <f t="shared" si="16"/>
        <v>0</v>
      </c>
      <c r="L184" s="79"/>
    </row>
    <row r="185" spans="1:12">
      <c r="A185" s="79">
        <v>122</v>
      </c>
      <c r="B185" s="80">
        <f t="shared" si="9"/>
        <v>0</v>
      </c>
      <c r="C185" s="80">
        <f t="shared" si="10"/>
        <v>0</v>
      </c>
      <c r="D185" s="80">
        <f t="shared" si="11"/>
        <v>0</v>
      </c>
      <c r="E185" s="80">
        <f t="shared" si="12"/>
        <v>0</v>
      </c>
      <c r="F185" s="79"/>
      <c r="G185" s="79">
        <v>122</v>
      </c>
      <c r="H185" s="80">
        <f t="shared" si="13"/>
        <v>0</v>
      </c>
      <c r="I185" s="80">
        <f t="shared" si="14"/>
        <v>0</v>
      </c>
      <c r="J185" s="80">
        <f t="shared" si="15"/>
        <v>0</v>
      </c>
      <c r="K185" s="80">
        <f t="shared" si="16"/>
        <v>0</v>
      </c>
      <c r="L185" s="79"/>
    </row>
    <row r="186" spans="1:12">
      <c r="A186" s="79">
        <v>123</v>
      </c>
      <c r="B186" s="80">
        <f t="shared" si="9"/>
        <v>0</v>
      </c>
      <c r="C186" s="80">
        <f t="shared" si="10"/>
        <v>0</v>
      </c>
      <c r="D186" s="80">
        <f t="shared" si="11"/>
        <v>0</v>
      </c>
      <c r="E186" s="80">
        <f t="shared" si="12"/>
        <v>0</v>
      </c>
      <c r="F186" s="79"/>
      <c r="G186" s="79">
        <v>123</v>
      </c>
      <c r="H186" s="80">
        <f t="shared" si="13"/>
        <v>0</v>
      </c>
      <c r="I186" s="80">
        <f t="shared" si="14"/>
        <v>0</v>
      </c>
      <c r="J186" s="80">
        <f t="shared" si="15"/>
        <v>0</v>
      </c>
      <c r="K186" s="80">
        <f t="shared" si="16"/>
        <v>0</v>
      </c>
      <c r="L186" s="79"/>
    </row>
    <row r="187" spans="1:12">
      <c r="A187" s="79">
        <v>124</v>
      </c>
      <c r="B187" s="80">
        <f t="shared" si="9"/>
        <v>0</v>
      </c>
      <c r="C187" s="80">
        <f t="shared" si="10"/>
        <v>0</v>
      </c>
      <c r="D187" s="80">
        <f t="shared" si="11"/>
        <v>0</v>
      </c>
      <c r="E187" s="80">
        <f t="shared" si="12"/>
        <v>0</v>
      </c>
      <c r="F187" s="79"/>
      <c r="G187" s="79">
        <v>124</v>
      </c>
      <c r="H187" s="80">
        <f t="shared" si="13"/>
        <v>0</v>
      </c>
      <c r="I187" s="80">
        <f t="shared" si="14"/>
        <v>0</v>
      </c>
      <c r="J187" s="80">
        <f t="shared" si="15"/>
        <v>0</v>
      </c>
      <c r="K187" s="80">
        <f t="shared" si="16"/>
        <v>0</v>
      </c>
      <c r="L187" s="79"/>
    </row>
    <row r="188" spans="1:12">
      <c r="A188" s="79">
        <v>125</v>
      </c>
      <c r="B188" s="80">
        <f t="shared" si="9"/>
        <v>0</v>
      </c>
      <c r="C188" s="80">
        <f t="shared" si="10"/>
        <v>0</v>
      </c>
      <c r="D188" s="80">
        <f t="shared" si="11"/>
        <v>0</v>
      </c>
      <c r="E188" s="80">
        <f t="shared" si="12"/>
        <v>0</v>
      </c>
      <c r="F188" s="79"/>
      <c r="G188" s="79">
        <v>125</v>
      </c>
      <c r="H188" s="80">
        <f t="shared" si="13"/>
        <v>0</v>
      </c>
      <c r="I188" s="80">
        <f t="shared" si="14"/>
        <v>0</v>
      </c>
      <c r="J188" s="80">
        <f t="shared" si="15"/>
        <v>0</v>
      </c>
      <c r="K188" s="80">
        <f t="shared" si="16"/>
        <v>0</v>
      </c>
      <c r="L188" s="79"/>
    </row>
    <row r="189" spans="1:12">
      <c r="A189" s="79">
        <v>126</v>
      </c>
      <c r="B189" s="80">
        <f t="shared" si="9"/>
        <v>0</v>
      </c>
      <c r="C189" s="80">
        <f t="shared" si="10"/>
        <v>0</v>
      </c>
      <c r="D189" s="80">
        <f t="shared" si="11"/>
        <v>0</v>
      </c>
      <c r="E189" s="80">
        <f t="shared" si="12"/>
        <v>0</v>
      </c>
      <c r="F189" s="79"/>
      <c r="G189" s="79">
        <v>126</v>
      </c>
      <c r="H189" s="80">
        <f t="shared" si="13"/>
        <v>0</v>
      </c>
      <c r="I189" s="80">
        <f t="shared" si="14"/>
        <v>0</v>
      </c>
      <c r="J189" s="80">
        <f t="shared" si="15"/>
        <v>0</v>
      </c>
      <c r="K189" s="80">
        <f t="shared" si="16"/>
        <v>0</v>
      </c>
      <c r="L189" s="79"/>
    </row>
    <row r="190" spans="1:12">
      <c r="A190" s="79">
        <v>127</v>
      </c>
      <c r="B190" s="80">
        <f t="shared" si="9"/>
        <v>0</v>
      </c>
      <c r="C190" s="80">
        <f t="shared" si="10"/>
        <v>0</v>
      </c>
      <c r="D190" s="80">
        <f t="shared" si="11"/>
        <v>0</v>
      </c>
      <c r="E190" s="80">
        <f t="shared" si="12"/>
        <v>0</v>
      </c>
      <c r="F190" s="79"/>
      <c r="G190" s="79">
        <v>127</v>
      </c>
      <c r="H190" s="80">
        <f t="shared" si="13"/>
        <v>0</v>
      </c>
      <c r="I190" s="80">
        <f t="shared" si="14"/>
        <v>0</v>
      </c>
      <c r="J190" s="80">
        <f t="shared" si="15"/>
        <v>0</v>
      </c>
      <c r="K190" s="80">
        <f t="shared" si="16"/>
        <v>0</v>
      </c>
      <c r="L190" s="79"/>
    </row>
    <row r="191" spans="1:12">
      <c r="A191" s="79">
        <v>128</v>
      </c>
      <c r="B191" s="80">
        <f t="shared" si="9"/>
        <v>0</v>
      </c>
      <c r="C191" s="80">
        <f t="shared" si="10"/>
        <v>0</v>
      </c>
      <c r="D191" s="80">
        <f t="shared" si="11"/>
        <v>0</v>
      </c>
      <c r="E191" s="80">
        <f t="shared" si="12"/>
        <v>0</v>
      </c>
      <c r="F191" s="79"/>
      <c r="G191" s="79">
        <v>128</v>
      </c>
      <c r="H191" s="80">
        <f t="shared" si="13"/>
        <v>0</v>
      </c>
      <c r="I191" s="80">
        <f t="shared" si="14"/>
        <v>0</v>
      </c>
      <c r="J191" s="80">
        <f t="shared" si="15"/>
        <v>0</v>
      </c>
      <c r="K191" s="80">
        <f t="shared" si="16"/>
        <v>0</v>
      </c>
      <c r="L191" s="79"/>
    </row>
    <row r="192" spans="1:12">
      <c r="A192" s="79">
        <v>129</v>
      </c>
      <c r="B192" s="80">
        <f t="shared" ref="B192:B255" si="17">IF(A192&gt;12*$C$9,0,IF($C$5&gt;1500000,$D$12,$C$12))</f>
        <v>0</v>
      </c>
      <c r="C192" s="80">
        <f t="shared" ref="C192:C255" si="18">IF(A192&gt;12*$C$9,0,E191*$C$7/12)</f>
        <v>0</v>
      </c>
      <c r="D192" s="80">
        <f t="shared" ref="D192:D255" si="19">IF(A192&gt;12*$C$9,0,B192-C192)</f>
        <v>0</v>
      </c>
      <c r="E192" s="80">
        <f t="shared" ref="E192:E255" si="20">IF(A192&gt;12*$C$9,0,E191-D192)</f>
        <v>0</v>
      </c>
      <c r="F192" s="79"/>
      <c r="G192" s="79">
        <v>129</v>
      </c>
      <c r="H192" s="80">
        <f t="shared" ref="H192:H255" si="21">IF(G192&gt;12*$C$9,0,IF($C$5&gt;1500000,$E$12,0))</f>
        <v>0</v>
      </c>
      <c r="I192" s="80">
        <f t="shared" ref="I192:I255" si="22">IF(G192&gt;12*$C$9,0,K191*$C$7/12)</f>
        <v>0</v>
      </c>
      <c r="J192" s="80">
        <f t="shared" ref="J192:J255" si="23">IF(G192&gt;12*$C$9,0,H192-I192)</f>
        <v>0</v>
      </c>
      <c r="K192" s="80">
        <f t="shared" ref="K192:K255" si="24">IF(G192&gt;12*$C$9,0,K191-J192)</f>
        <v>0</v>
      </c>
      <c r="L192" s="79"/>
    </row>
    <row r="193" spans="1:12">
      <c r="A193" s="79">
        <v>130</v>
      </c>
      <c r="B193" s="80">
        <f t="shared" si="17"/>
        <v>0</v>
      </c>
      <c r="C193" s="80">
        <f t="shared" si="18"/>
        <v>0</v>
      </c>
      <c r="D193" s="80">
        <f t="shared" si="19"/>
        <v>0</v>
      </c>
      <c r="E193" s="80">
        <f t="shared" si="20"/>
        <v>0</v>
      </c>
      <c r="F193" s="79"/>
      <c r="G193" s="79">
        <v>130</v>
      </c>
      <c r="H193" s="80">
        <f t="shared" si="21"/>
        <v>0</v>
      </c>
      <c r="I193" s="80">
        <f t="shared" si="22"/>
        <v>0</v>
      </c>
      <c r="J193" s="80">
        <f t="shared" si="23"/>
        <v>0</v>
      </c>
      <c r="K193" s="80">
        <f t="shared" si="24"/>
        <v>0</v>
      </c>
      <c r="L193" s="79"/>
    </row>
    <row r="194" spans="1:12">
      <c r="A194" s="79">
        <v>131</v>
      </c>
      <c r="B194" s="80">
        <f t="shared" si="17"/>
        <v>0</v>
      </c>
      <c r="C194" s="80">
        <f t="shared" si="18"/>
        <v>0</v>
      </c>
      <c r="D194" s="80">
        <f t="shared" si="19"/>
        <v>0</v>
      </c>
      <c r="E194" s="80">
        <f t="shared" si="20"/>
        <v>0</v>
      </c>
      <c r="F194" s="79"/>
      <c r="G194" s="79">
        <v>131</v>
      </c>
      <c r="H194" s="80">
        <f t="shared" si="21"/>
        <v>0</v>
      </c>
      <c r="I194" s="80">
        <f t="shared" si="22"/>
        <v>0</v>
      </c>
      <c r="J194" s="80">
        <f t="shared" si="23"/>
        <v>0</v>
      </c>
      <c r="K194" s="80">
        <f t="shared" si="24"/>
        <v>0</v>
      </c>
      <c r="L194" s="79"/>
    </row>
    <row r="195" spans="1:12">
      <c r="A195" s="79">
        <v>132</v>
      </c>
      <c r="B195" s="80">
        <f t="shared" si="17"/>
        <v>0</v>
      </c>
      <c r="C195" s="80">
        <f t="shared" si="18"/>
        <v>0</v>
      </c>
      <c r="D195" s="80">
        <f t="shared" si="19"/>
        <v>0</v>
      </c>
      <c r="E195" s="80">
        <f t="shared" si="20"/>
        <v>0</v>
      </c>
      <c r="F195" s="79">
        <v>11</v>
      </c>
      <c r="G195" s="79">
        <v>132</v>
      </c>
      <c r="H195" s="80">
        <f t="shared" si="21"/>
        <v>0</v>
      </c>
      <c r="I195" s="80">
        <f t="shared" si="22"/>
        <v>0</v>
      </c>
      <c r="J195" s="80">
        <f t="shared" si="23"/>
        <v>0</v>
      </c>
      <c r="K195" s="80">
        <f t="shared" si="24"/>
        <v>0</v>
      </c>
      <c r="L195" s="79">
        <v>11</v>
      </c>
    </row>
    <row r="196" spans="1:12">
      <c r="A196" s="79">
        <v>133</v>
      </c>
      <c r="B196" s="80">
        <f t="shared" si="17"/>
        <v>0</v>
      </c>
      <c r="C196" s="80">
        <f t="shared" si="18"/>
        <v>0</v>
      </c>
      <c r="D196" s="80">
        <f t="shared" si="19"/>
        <v>0</v>
      </c>
      <c r="E196" s="80">
        <f t="shared" si="20"/>
        <v>0</v>
      </c>
      <c r="F196" s="79"/>
      <c r="G196" s="79">
        <v>133</v>
      </c>
      <c r="H196" s="80">
        <f t="shared" si="21"/>
        <v>0</v>
      </c>
      <c r="I196" s="80">
        <f t="shared" si="22"/>
        <v>0</v>
      </c>
      <c r="J196" s="80">
        <f t="shared" si="23"/>
        <v>0</v>
      </c>
      <c r="K196" s="80">
        <f t="shared" si="24"/>
        <v>0</v>
      </c>
      <c r="L196" s="79"/>
    </row>
    <row r="197" spans="1:12">
      <c r="A197" s="79">
        <v>134</v>
      </c>
      <c r="B197" s="80">
        <f t="shared" si="17"/>
        <v>0</v>
      </c>
      <c r="C197" s="80">
        <f t="shared" si="18"/>
        <v>0</v>
      </c>
      <c r="D197" s="80">
        <f t="shared" si="19"/>
        <v>0</v>
      </c>
      <c r="E197" s="80">
        <f t="shared" si="20"/>
        <v>0</v>
      </c>
      <c r="F197" s="79"/>
      <c r="G197" s="79">
        <v>134</v>
      </c>
      <c r="H197" s="80">
        <f t="shared" si="21"/>
        <v>0</v>
      </c>
      <c r="I197" s="80">
        <f t="shared" si="22"/>
        <v>0</v>
      </c>
      <c r="J197" s="80">
        <f t="shared" si="23"/>
        <v>0</v>
      </c>
      <c r="K197" s="80">
        <f t="shared" si="24"/>
        <v>0</v>
      </c>
      <c r="L197" s="79"/>
    </row>
    <row r="198" spans="1:12">
      <c r="A198" s="79">
        <v>135</v>
      </c>
      <c r="B198" s="80">
        <f t="shared" si="17"/>
        <v>0</v>
      </c>
      <c r="C198" s="80">
        <f t="shared" si="18"/>
        <v>0</v>
      </c>
      <c r="D198" s="80">
        <f t="shared" si="19"/>
        <v>0</v>
      </c>
      <c r="E198" s="80">
        <f t="shared" si="20"/>
        <v>0</v>
      </c>
      <c r="F198" s="79"/>
      <c r="G198" s="79">
        <v>135</v>
      </c>
      <c r="H198" s="80">
        <f t="shared" si="21"/>
        <v>0</v>
      </c>
      <c r="I198" s="80">
        <f t="shared" si="22"/>
        <v>0</v>
      </c>
      <c r="J198" s="80">
        <f t="shared" si="23"/>
        <v>0</v>
      </c>
      <c r="K198" s="80">
        <f t="shared" si="24"/>
        <v>0</v>
      </c>
      <c r="L198" s="79"/>
    </row>
    <row r="199" spans="1:12">
      <c r="A199" s="79">
        <v>136</v>
      </c>
      <c r="B199" s="80">
        <f t="shared" si="17"/>
        <v>0</v>
      </c>
      <c r="C199" s="80">
        <f t="shared" si="18"/>
        <v>0</v>
      </c>
      <c r="D199" s="80">
        <f t="shared" si="19"/>
        <v>0</v>
      </c>
      <c r="E199" s="80">
        <f t="shared" si="20"/>
        <v>0</v>
      </c>
      <c r="F199" s="79"/>
      <c r="G199" s="79">
        <v>136</v>
      </c>
      <c r="H199" s="80">
        <f t="shared" si="21"/>
        <v>0</v>
      </c>
      <c r="I199" s="80">
        <f t="shared" si="22"/>
        <v>0</v>
      </c>
      <c r="J199" s="80">
        <f t="shared" si="23"/>
        <v>0</v>
      </c>
      <c r="K199" s="80">
        <f t="shared" si="24"/>
        <v>0</v>
      </c>
      <c r="L199" s="79"/>
    </row>
    <row r="200" spans="1:12">
      <c r="A200" s="79">
        <v>137</v>
      </c>
      <c r="B200" s="80">
        <f t="shared" si="17"/>
        <v>0</v>
      </c>
      <c r="C200" s="80">
        <f t="shared" si="18"/>
        <v>0</v>
      </c>
      <c r="D200" s="80">
        <f t="shared" si="19"/>
        <v>0</v>
      </c>
      <c r="E200" s="80">
        <f t="shared" si="20"/>
        <v>0</v>
      </c>
      <c r="F200" s="79"/>
      <c r="G200" s="79">
        <v>137</v>
      </c>
      <c r="H200" s="80">
        <f t="shared" si="21"/>
        <v>0</v>
      </c>
      <c r="I200" s="80">
        <f t="shared" si="22"/>
        <v>0</v>
      </c>
      <c r="J200" s="80">
        <f t="shared" si="23"/>
        <v>0</v>
      </c>
      <c r="K200" s="80">
        <f t="shared" si="24"/>
        <v>0</v>
      </c>
      <c r="L200" s="79"/>
    </row>
    <row r="201" spans="1:12">
      <c r="A201" s="79">
        <v>138</v>
      </c>
      <c r="B201" s="80">
        <f t="shared" si="17"/>
        <v>0</v>
      </c>
      <c r="C201" s="80">
        <f t="shared" si="18"/>
        <v>0</v>
      </c>
      <c r="D201" s="80">
        <f t="shared" si="19"/>
        <v>0</v>
      </c>
      <c r="E201" s="80">
        <f t="shared" si="20"/>
        <v>0</v>
      </c>
      <c r="F201" s="79"/>
      <c r="G201" s="79">
        <v>138</v>
      </c>
      <c r="H201" s="80">
        <f t="shared" si="21"/>
        <v>0</v>
      </c>
      <c r="I201" s="80">
        <f t="shared" si="22"/>
        <v>0</v>
      </c>
      <c r="J201" s="80">
        <f t="shared" si="23"/>
        <v>0</v>
      </c>
      <c r="K201" s="80">
        <f t="shared" si="24"/>
        <v>0</v>
      </c>
      <c r="L201" s="79"/>
    </row>
    <row r="202" spans="1:12">
      <c r="A202" s="79">
        <v>139</v>
      </c>
      <c r="B202" s="80">
        <f t="shared" si="17"/>
        <v>0</v>
      </c>
      <c r="C202" s="80">
        <f t="shared" si="18"/>
        <v>0</v>
      </c>
      <c r="D202" s="80">
        <f t="shared" si="19"/>
        <v>0</v>
      </c>
      <c r="E202" s="80">
        <f t="shared" si="20"/>
        <v>0</v>
      </c>
      <c r="F202" s="79"/>
      <c r="G202" s="79">
        <v>139</v>
      </c>
      <c r="H202" s="80">
        <f t="shared" si="21"/>
        <v>0</v>
      </c>
      <c r="I202" s="80">
        <f t="shared" si="22"/>
        <v>0</v>
      </c>
      <c r="J202" s="80">
        <f t="shared" si="23"/>
        <v>0</v>
      </c>
      <c r="K202" s="80">
        <f t="shared" si="24"/>
        <v>0</v>
      </c>
      <c r="L202" s="79"/>
    </row>
    <row r="203" spans="1:12">
      <c r="A203" s="79">
        <v>140</v>
      </c>
      <c r="B203" s="80">
        <f t="shared" si="17"/>
        <v>0</v>
      </c>
      <c r="C203" s="80">
        <f t="shared" si="18"/>
        <v>0</v>
      </c>
      <c r="D203" s="80">
        <f t="shared" si="19"/>
        <v>0</v>
      </c>
      <c r="E203" s="80">
        <f t="shared" si="20"/>
        <v>0</v>
      </c>
      <c r="F203" s="79"/>
      <c r="G203" s="79">
        <v>140</v>
      </c>
      <c r="H203" s="80">
        <f t="shared" si="21"/>
        <v>0</v>
      </c>
      <c r="I203" s="80">
        <f t="shared" si="22"/>
        <v>0</v>
      </c>
      <c r="J203" s="80">
        <f t="shared" si="23"/>
        <v>0</v>
      </c>
      <c r="K203" s="80">
        <f t="shared" si="24"/>
        <v>0</v>
      </c>
      <c r="L203" s="79"/>
    </row>
    <row r="204" spans="1:12">
      <c r="A204" s="79">
        <v>141</v>
      </c>
      <c r="B204" s="80">
        <f t="shared" si="17"/>
        <v>0</v>
      </c>
      <c r="C204" s="80">
        <f t="shared" si="18"/>
        <v>0</v>
      </c>
      <c r="D204" s="80">
        <f t="shared" si="19"/>
        <v>0</v>
      </c>
      <c r="E204" s="80">
        <f t="shared" si="20"/>
        <v>0</v>
      </c>
      <c r="F204" s="79"/>
      <c r="G204" s="79">
        <v>141</v>
      </c>
      <c r="H204" s="80">
        <f t="shared" si="21"/>
        <v>0</v>
      </c>
      <c r="I204" s="80">
        <f t="shared" si="22"/>
        <v>0</v>
      </c>
      <c r="J204" s="80">
        <f t="shared" si="23"/>
        <v>0</v>
      </c>
      <c r="K204" s="80">
        <f t="shared" si="24"/>
        <v>0</v>
      </c>
      <c r="L204" s="79"/>
    </row>
    <row r="205" spans="1:12">
      <c r="A205" s="79">
        <v>142</v>
      </c>
      <c r="B205" s="80">
        <f t="shared" si="17"/>
        <v>0</v>
      </c>
      <c r="C205" s="80">
        <f t="shared" si="18"/>
        <v>0</v>
      </c>
      <c r="D205" s="80">
        <f t="shared" si="19"/>
        <v>0</v>
      </c>
      <c r="E205" s="80">
        <f t="shared" si="20"/>
        <v>0</v>
      </c>
      <c r="F205" s="79"/>
      <c r="G205" s="79">
        <v>142</v>
      </c>
      <c r="H205" s="80">
        <f t="shared" si="21"/>
        <v>0</v>
      </c>
      <c r="I205" s="80">
        <f t="shared" si="22"/>
        <v>0</v>
      </c>
      <c r="J205" s="80">
        <f t="shared" si="23"/>
        <v>0</v>
      </c>
      <c r="K205" s="80">
        <f t="shared" si="24"/>
        <v>0</v>
      </c>
      <c r="L205" s="79"/>
    </row>
    <row r="206" spans="1:12">
      <c r="A206" s="79">
        <v>143</v>
      </c>
      <c r="B206" s="80">
        <f t="shared" si="17"/>
        <v>0</v>
      </c>
      <c r="C206" s="80">
        <f t="shared" si="18"/>
        <v>0</v>
      </c>
      <c r="D206" s="80">
        <f t="shared" si="19"/>
        <v>0</v>
      </c>
      <c r="E206" s="80">
        <f t="shared" si="20"/>
        <v>0</v>
      </c>
      <c r="F206" s="79"/>
      <c r="G206" s="79">
        <v>143</v>
      </c>
      <c r="H206" s="80">
        <f t="shared" si="21"/>
        <v>0</v>
      </c>
      <c r="I206" s="80">
        <f t="shared" si="22"/>
        <v>0</v>
      </c>
      <c r="J206" s="80">
        <f t="shared" si="23"/>
        <v>0</v>
      </c>
      <c r="K206" s="80">
        <f t="shared" si="24"/>
        <v>0</v>
      </c>
      <c r="L206" s="79"/>
    </row>
    <row r="207" spans="1:12">
      <c r="A207" s="81">
        <v>144</v>
      </c>
      <c r="B207" s="80">
        <f t="shared" si="17"/>
        <v>0</v>
      </c>
      <c r="C207" s="80">
        <f t="shared" si="18"/>
        <v>0</v>
      </c>
      <c r="D207" s="80">
        <f t="shared" si="19"/>
        <v>0</v>
      </c>
      <c r="E207" s="80">
        <f t="shared" si="20"/>
        <v>0</v>
      </c>
      <c r="F207" s="81">
        <v>12</v>
      </c>
      <c r="G207" s="81">
        <v>144</v>
      </c>
      <c r="H207" s="80">
        <f t="shared" si="21"/>
        <v>0</v>
      </c>
      <c r="I207" s="80">
        <f t="shared" si="22"/>
        <v>0</v>
      </c>
      <c r="J207" s="80">
        <f t="shared" si="23"/>
        <v>0</v>
      </c>
      <c r="K207" s="80">
        <f t="shared" si="24"/>
        <v>0</v>
      </c>
      <c r="L207" s="81">
        <v>12</v>
      </c>
    </row>
    <row r="208" spans="1:12">
      <c r="A208" s="79">
        <v>145</v>
      </c>
      <c r="B208" s="80">
        <f t="shared" si="17"/>
        <v>0</v>
      </c>
      <c r="C208" s="80">
        <f t="shared" si="18"/>
        <v>0</v>
      </c>
      <c r="D208" s="80">
        <f t="shared" si="19"/>
        <v>0</v>
      </c>
      <c r="E208" s="80">
        <f t="shared" si="20"/>
        <v>0</v>
      </c>
      <c r="F208" s="79"/>
      <c r="G208" s="79">
        <v>145</v>
      </c>
      <c r="H208" s="80">
        <f t="shared" si="21"/>
        <v>0</v>
      </c>
      <c r="I208" s="80">
        <f t="shared" si="22"/>
        <v>0</v>
      </c>
      <c r="J208" s="80">
        <f t="shared" si="23"/>
        <v>0</v>
      </c>
      <c r="K208" s="80">
        <f t="shared" si="24"/>
        <v>0</v>
      </c>
      <c r="L208" s="79"/>
    </row>
    <row r="209" spans="1:12" s="59" customFormat="1">
      <c r="A209" s="79">
        <v>146</v>
      </c>
      <c r="B209" s="80">
        <f t="shared" si="17"/>
        <v>0</v>
      </c>
      <c r="C209" s="80">
        <f t="shared" si="18"/>
        <v>0</v>
      </c>
      <c r="D209" s="80">
        <f t="shared" si="19"/>
        <v>0</v>
      </c>
      <c r="E209" s="80">
        <f t="shared" si="20"/>
        <v>0</v>
      </c>
      <c r="F209" s="79"/>
      <c r="G209" s="79">
        <v>146</v>
      </c>
      <c r="H209" s="80">
        <f t="shared" si="21"/>
        <v>0</v>
      </c>
      <c r="I209" s="80">
        <f t="shared" si="22"/>
        <v>0</v>
      </c>
      <c r="J209" s="80">
        <f t="shared" si="23"/>
        <v>0</v>
      </c>
      <c r="K209" s="80">
        <f t="shared" si="24"/>
        <v>0</v>
      </c>
      <c r="L209" s="79"/>
    </row>
    <row r="210" spans="1:12">
      <c r="A210" s="79">
        <v>147</v>
      </c>
      <c r="B210" s="80">
        <f t="shared" si="17"/>
        <v>0</v>
      </c>
      <c r="C210" s="80">
        <f t="shared" si="18"/>
        <v>0</v>
      </c>
      <c r="D210" s="80">
        <f t="shared" si="19"/>
        <v>0</v>
      </c>
      <c r="E210" s="80">
        <f t="shared" si="20"/>
        <v>0</v>
      </c>
      <c r="F210" s="79"/>
      <c r="G210" s="79">
        <v>147</v>
      </c>
      <c r="H210" s="80">
        <f t="shared" si="21"/>
        <v>0</v>
      </c>
      <c r="I210" s="80">
        <f t="shared" si="22"/>
        <v>0</v>
      </c>
      <c r="J210" s="80">
        <f t="shared" si="23"/>
        <v>0</v>
      </c>
      <c r="K210" s="80">
        <f t="shared" si="24"/>
        <v>0</v>
      </c>
      <c r="L210" s="79"/>
    </row>
    <row r="211" spans="1:12">
      <c r="A211" s="79">
        <v>148</v>
      </c>
      <c r="B211" s="80">
        <f t="shared" si="17"/>
        <v>0</v>
      </c>
      <c r="C211" s="80">
        <f t="shared" si="18"/>
        <v>0</v>
      </c>
      <c r="D211" s="80">
        <f t="shared" si="19"/>
        <v>0</v>
      </c>
      <c r="E211" s="80">
        <f t="shared" si="20"/>
        <v>0</v>
      </c>
      <c r="F211" s="79"/>
      <c r="G211" s="79">
        <v>148</v>
      </c>
      <c r="H211" s="80">
        <f t="shared" si="21"/>
        <v>0</v>
      </c>
      <c r="I211" s="80">
        <f t="shared" si="22"/>
        <v>0</v>
      </c>
      <c r="J211" s="80">
        <f t="shared" si="23"/>
        <v>0</v>
      </c>
      <c r="K211" s="80">
        <f t="shared" si="24"/>
        <v>0</v>
      </c>
      <c r="L211" s="79"/>
    </row>
    <row r="212" spans="1:12">
      <c r="A212" s="79">
        <v>149</v>
      </c>
      <c r="B212" s="80">
        <f t="shared" si="17"/>
        <v>0</v>
      </c>
      <c r="C212" s="80">
        <f t="shared" si="18"/>
        <v>0</v>
      </c>
      <c r="D212" s="80">
        <f t="shared" si="19"/>
        <v>0</v>
      </c>
      <c r="E212" s="80">
        <f t="shared" si="20"/>
        <v>0</v>
      </c>
      <c r="F212" s="79"/>
      <c r="G212" s="79">
        <v>149</v>
      </c>
      <c r="H212" s="80">
        <f t="shared" si="21"/>
        <v>0</v>
      </c>
      <c r="I212" s="80">
        <f t="shared" si="22"/>
        <v>0</v>
      </c>
      <c r="J212" s="80">
        <f t="shared" si="23"/>
        <v>0</v>
      </c>
      <c r="K212" s="80">
        <f t="shared" si="24"/>
        <v>0</v>
      </c>
      <c r="L212" s="79"/>
    </row>
    <row r="213" spans="1:12">
      <c r="A213" s="79">
        <v>150</v>
      </c>
      <c r="B213" s="80">
        <f t="shared" si="17"/>
        <v>0</v>
      </c>
      <c r="C213" s="80">
        <f t="shared" si="18"/>
        <v>0</v>
      </c>
      <c r="D213" s="80">
        <f t="shared" si="19"/>
        <v>0</v>
      </c>
      <c r="E213" s="80">
        <f t="shared" si="20"/>
        <v>0</v>
      </c>
      <c r="F213" s="79"/>
      <c r="G213" s="79">
        <v>150</v>
      </c>
      <c r="H213" s="80">
        <f t="shared" si="21"/>
        <v>0</v>
      </c>
      <c r="I213" s="80">
        <f t="shared" si="22"/>
        <v>0</v>
      </c>
      <c r="J213" s="80">
        <f t="shared" si="23"/>
        <v>0</v>
      </c>
      <c r="K213" s="80">
        <f t="shared" si="24"/>
        <v>0</v>
      </c>
      <c r="L213" s="79"/>
    </row>
    <row r="214" spans="1:12">
      <c r="A214" s="79">
        <v>151</v>
      </c>
      <c r="B214" s="80">
        <f t="shared" si="17"/>
        <v>0</v>
      </c>
      <c r="C214" s="80">
        <f t="shared" si="18"/>
        <v>0</v>
      </c>
      <c r="D214" s="80">
        <f t="shared" si="19"/>
        <v>0</v>
      </c>
      <c r="E214" s="80">
        <f t="shared" si="20"/>
        <v>0</v>
      </c>
      <c r="F214" s="79"/>
      <c r="G214" s="79">
        <v>151</v>
      </c>
      <c r="H214" s="80">
        <f t="shared" si="21"/>
        <v>0</v>
      </c>
      <c r="I214" s="80">
        <f t="shared" si="22"/>
        <v>0</v>
      </c>
      <c r="J214" s="80">
        <f t="shared" si="23"/>
        <v>0</v>
      </c>
      <c r="K214" s="80">
        <f t="shared" si="24"/>
        <v>0</v>
      </c>
      <c r="L214" s="79"/>
    </row>
    <row r="215" spans="1:12">
      <c r="A215" s="79">
        <v>152</v>
      </c>
      <c r="B215" s="80">
        <f t="shared" si="17"/>
        <v>0</v>
      </c>
      <c r="C215" s="80">
        <f t="shared" si="18"/>
        <v>0</v>
      </c>
      <c r="D215" s="80">
        <f t="shared" si="19"/>
        <v>0</v>
      </c>
      <c r="E215" s="80">
        <f t="shared" si="20"/>
        <v>0</v>
      </c>
      <c r="F215" s="79"/>
      <c r="G215" s="79">
        <v>152</v>
      </c>
      <c r="H215" s="80">
        <f t="shared" si="21"/>
        <v>0</v>
      </c>
      <c r="I215" s="80">
        <f t="shared" si="22"/>
        <v>0</v>
      </c>
      <c r="J215" s="80">
        <f t="shared" si="23"/>
        <v>0</v>
      </c>
      <c r="K215" s="80">
        <f t="shared" si="24"/>
        <v>0</v>
      </c>
      <c r="L215" s="79"/>
    </row>
    <row r="216" spans="1:12">
      <c r="A216" s="79">
        <v>153</v>
      </c>
      <c r="B216" s="80">
        <f t="shared" si="17"/>
        <v>0</v>
      </c>
      <c r="C216" s="80">
        <f t="shared" si="18"/>
        <v>0</v>
      </c>
      <c r="D216" s="80">
        <f t="shared" si="19"/>
        <v>0</v>
      </c>
      <c r="E216" s="80">
        <f t="shared" si="20"/>
        <v>0</v>
      </c>
      <c r="F216" s="79"/>
      <c r="G216" s="79">
        <v>153</v>
      </c>
      <c r="H216" s="80">
        <f t="shared" si="21"/>
        <v>0</v>
      </c>
      <c r="I216" s="80">
        <f t="shared" si="22"/>
        <v>0</v>
      </c>
      <c r="J216" s="80">
        <f t="shared" si="23"/>
        <v>0</v>
      </c>
      <c r="K216" s="80">
        <f t="shared" si="24"/>
        <v>0</v>
      </c>
      <c r="L216" s="79"/>
    </row>
    <row r="217" spans="1:12">
      <c r="A217" s="79">
        <v>154</v>
      </c>
      <c r="B217" s="80">
        <f t="shared" si="17"/>
        <v>0</v>
      </c>
      <c r="C217" s="80">
        <f t="shared" si="18"/>
        <v>0</v>
      </c>
      <c r="D217" s="80">
        <f t="shared" si="19"/>
        <v>0</v>
      </c>
      <c r="E217" s="80">
        <f t="shared" si="20"/>
        <v>0</v>
      </c>
      <c r="F217" s="79"/>
      <c r="G217" s="79">
        <v>154</v>
      </c>
      <c r="H217" s="80">
        <f t="shared" si="21"/>
        <v>0</v>
      </c>
      <c r="I217" s="80">
        <f t="shared" si="22"/>
        <v>0</v>
      </c>
      <c r="J217" s="80">
        <f t="shared" si="23"/>
        <v>0</v>
      </c>
      <c r="K217" s="80">
        <f t="shared" si="24"/>
        <v>0</v>
      </c>
      <c r="L217" s="79"/>
    </row>
    <row r="218" spans="1:12">
      <c r="A218" s="79">
        <v>155</v>
      </c>
      <c r="B218" s="80">
        <f t="shared" si="17"/>
        <v>0</v>
      </c>
      <c r="C218" s="80">
        <f t="shared" si="18"/>
        <v>0</v>
      </c>
      <c r="D218" s="80">
        <f t="shared" si="19"/>
        <v>0</v>
      </c>
      <c r="E218" s="80">
        <f t="shared" si="20"/>
        <v>0</v>
      </c>
      <c r="F218" s="79"/>
      <c r="G218" s="79">
        <v>155</v>
      </c>
      <c r="H218" s="80">
        <f t="shared" si="21"/>
        <v>0</v>
      </c>
      <c r="I218" s="80">
        <f t="shared" si="22"/>
        <v>0</v>
      </c>
      <c r="J218" s="80">
        <f t="shared" si="23"/>
        <v>0</v>
      </c>
      <c r="K218" s="80">
        <f t="shared" si="24"/>
        <v>0</v>
      </c>
      <c r="L218" s="79"/>
    </row>
    <row r="219" spans="1:12">
      <c r="A219" s="81">
        <v>156</v>
      </c>
      <c r="B219" s="80">
        <f t="shared" si="17"/>
        <v>0</v>
      </c>
      <c r="C219" s="80">
        <f t="shared" si="18"/>
        <v>0</v>
      </c>
      <c r="D219" s="80">
        <f t="shared" si="19"/>
        <v>0</v>
      </c>
      <c r="E219" s="80">
        <f t="shared" si="20"/>
        <v>0</v>
      </c>
      <c r="F219" s="81">
        <v>13</v>
      </c>
      <c r="G219" s="81">
        <v>156</v>
      </c>
      <c r="H219" s="80">
        <f t="shared" si="21"/>
        <v>0</v>
      </c>
      <c r="I219" s="80">
        <f t="shared" si="22"/>
        <v>0</v>
      </c>
      <c r="J219" s="80">
        <f t="shared" si="23"/>
        <v>0</v>
      </c>
      <c r="K219" s="80">
        <f t="shared" si="24"/>
        <v>0</v>
      </c>
      <c r="L219" s="81">
        <v>13</v>
      </c>
    </row>
    <row r="220" spans="1:12">
      <c r="A220" s="79">
        <v>157</v>
      </c>
      <c r="B220" s="80">
        <f t="shared" si="17"/>
        <v>0</v>
      </c>
      <c r="C220" s="80">
        <f t="shared" si="18"/>
        <v>0</v>
      </c>
      <c r="D220" s="80">
        <f t="shared" si="19"/>
        <v>0</v>
      </c>
      <c r="E220" s="80">
        <f t="shared" si="20"/>
        <v>0</v>
      </c>
      <c r="F220" s="79"/>
      <c r="G220" s="79">
        <v>157</v>
      </c>
      <c r="H220" s="80">
        <f t="shared" si="21"/>
        <v>0</v>
      </c>
      <c r="I220" s="80">
        <f t="shared" si="22"/>
        <v>0</v>
      </c>
      <c r="J220" s="80">
        <f t="shared" si="23"/>
        <v>0</v>
      </c>
      <c r="K220" s="80">
        <f t="shared" si="24"/>
        <v>0</v>
      </c>
      <c r="L220" s="79"/>
    </row>
    <row r="221" spans="1:12" s="59" customFormat="1">
      <c r="A221" s="79">
        <v>158</v>
      </c>
      <c r="B221" s="80">
        <f t="shared" si="17"/>
        <v>0</v>
      </c>
      <c r="C221" s="80">
        <f t="shared" si="18"/>
        <v>0</v>
      </c>
      <c r="D221" s="80">
        <f t="shared" si="19"/>
        <v>0</v>
      </c>
      <c r="E221" s="80">
        <f t="shared" si="20"/>
        <v>0</v>
      </c>
      <c r="F221" s="79"/>
      <c r="G221" s="79">
        <v>158</v>
      </c>
      <c r="H221" s="80">
        <f t="shared" si="21"/>
        <v>0</v>
      </c>
      <c r="I221" s="80">
        <f t="shared" si="22"/>
        <v>0</v>
      </c>
      <c r="J221" s="80">
        <f t="shared" si="23"/>
        <v>0</v>
      </c>
      <c r="K221" s="80">
        <f t="shared" si="24"/>
        <v>0</v>
      </c>
      <c r="L221" s="79"/>
    </row>
    <row r="222" spans="1:12">
      <c r="A222" s="79">
        <v>159</v>
      </c>
      <c r="B222" s="80">
        <f t="shared" si="17"/>
        <v>0</v>
      </c>
      <c r="C222" s="80">
        <f t="shared" si="18"/>
        <v>0</v>
      </c>
      <c r="D222" s="80">
        <f t="shared" si="19"/>
        <v>0</v>
      </c>
      <c r="E222" s="80">
        <f t="shared" si="20"/>
        <v>0</v>
      </c>
      <c r="F222" s="79"/>
      <c r="G222" s="79">
        <v>159</v>
      </c>
      <c r="H222" s="80">
        <f t="shared" si="21"/>
        <v>0</v>
      </c>
      <c r="I222" s="80">
        <f t="shared" si="22"/>
        <v>0</v>
      </c>
      <c r="J222" s="80">
        <f t="shared" si="23"/>
        <v>0</v>
      </c>
      <c r="K222" s="80">
        <f t="shared" si="24"/>
        <v>0</v>
      </c>
      <c r="L222" s="79"/>
    </row>
    <row r="223" spans="1:12">
      <c r="A223" s="79">
        <v>160</v>
      </c>
      <c r="B223" s="80">
        <f t="shared" si="17"/>
        <v>0</v>
      </c>
      <c r="C223" s="80">
        <f t="shared" si="18"/>
        <v>0</v>
      </c>
      <c r="D223" s="80">
        <f t="shared" si="19"/>
        <v>0</v>
      </c>
      <c r="E223" s="80">
        <f t="shared" si="20"/>
        <v>0</v>
      </c>
      <c r="F223" s="79"/>
      <c r="G223" s="79">
        <v>160</v>
      </c>
      <c r="H223" s="80">
        <f t="shared" si="21"/>
        <v>0</v>
      </c>
      <c r="I223" s="80">
        <f t="shared" si="22"/>
        <v>0</v>
      </c>
      <c r="J223" s="80">
        <f t="shared" si="23"/>
        <v>0</v>
      </c>
      <c r="K223" s="80">
        <f t="shared" si="24"/>
        <v>0</v>
      </c>
      <c r="L223" s="79"/>
    </row>
    <row r="224" spans="1:12">
      <c r="A224" s="79">
        <v>161</v>
      </c>
      <c r="B224" s="80">
        <f t="shared" si="17"/>
        <v>0</v>
      </c>
      <c r="C224" s="80">
        <f t="shared" si="18"/>
        <v>0</v>
      </c>
      <c r="D224" s="80">
        <f t="shared" si="19"/>
        <v>0</v>
      </c>
      <c r="E224" s="80">
        <f t="shared" si="20"/>
        <v>0</v>
      </c>
      <c r="F224" s="79"/>
      <c r="G224" s="79">
        <v>161</v>
      </c>
      <c r="H224" s="80">
        <f t="shared" si="21"/>
        <v>0</v>
      </c>
      <c r="I224" s="80">
        <f t="shared" si="22"/>
        <v>0</v>
      </c>
      <c r="J224" s="80">
        <f t="shared" si="23"/>
        <v>0</v>
      </c>
      <c r="K224" s="80">
        <f t="shared" si="24"/>
        <v>0</v>
      </c>
      <c r="L224" s="79"/>
    </row>
    <row r="225" spans="1:12">
      <c r="A225" s="79">
        <v>162</v>
      </c>
      <c r="B225" s="80">
        <f t="shared" si="17"/>
        <v>0</v>
      </c>
      <c r="C225" s="80">
        <f t="shared" si="18"/>
        <v>0</v>
      </c>
      <c r="D225" s="80">
        <f t="shared" si="19"/>
        <v>0</v>
      </c>
      <c r="E225" s="80">
        <f t="shared" si="20"/>
        <v>0</v>
      </c>
      <c r="F225" s="79"/>
      <c r="G225" s="79">
        <v>162</v>
      </c>
      <c r="H225" s="80">
        <f t="shared" si="21"/>
        <v>0</v>
      </c>
      <c r="I225" s="80">
        <f t="shared" si="22"/>
        <v>0</v>
      </c>
      <c r="J225" s="80">
        <f t="shared" si="23"/>
        <v>0</v>
      </c>
      <c r="K225" s="80">
        <f t="shared" si="24"/>
        <v>0</v>
      </c>
      <c r="L225" s="79"/>
    </row>
    <row r="226" spans="1:12">
      <c r="A226" s="79">
        <v>163</v>
      </c>
      <c r="B226" s="80">
        <f t="shared" si="17"/>
        <v>0</v>
      </c>
      <c r="C226" s="80">
        <f t="shared" si="18"/>
        <v>0</v>
      </c>
      <c r="D226" s="80">
        <f t="shared" si="19"/>
        <v>0</v>
      </c>
      <c r="E226" s="80">
        <f t="shared" si="20"/>
        <v>0</v>
      </c>
      <c r="F226" s="79"/>
      <c r="G226" s="79">
        <v>163</v>
      </c>
      <c r="H226" s="80">
        <f t="shared" si="21"/>
        <v>0</v>
      </c>
      <c r="I226" s="80">
        <f t="shared" si="22"/>
        <v>0</v>
      </c>
      <c r="J226" s="80">
        <f t="shared" si="23"/>
        <v>0</v>
      </c>
      <c r="K226" s="80">
        <f t="shared" si="24"/>
        <v>0</v>
      </c>
      <c r="L226" s="79"/>
    </row>
    <row r="227" spans="1:12">
      <c r="A227" s="79">
        <v>164</v>
      </c>
      <c r="B227" s="80">
        <f t="shared" si="17"/>
        <v>0</v>
      </c>
      <c r="C227" s="80">
        <f t="shared" si="18"/>
        <v>0</v>
      </c>
      <c r="D227" s="80">
        <f t="shared" si="19"/>
        <v>0</v>
      </c>
      <c r="E227" s="80">
        <f t="shared" si="20"/>
        <v>0</v>
      </c>
      <c r="F227" s="79"/>
      <c r="G227" s="79">
        <v>164</v>
      </c>
      <c r="H227" s="80">
        <f t="shared" si="21"/>
        <v>0</v>
      </c>
      <c r="I227" s="80">
        <f t="shared" si="22"/>
        <v>0</v>
      </c>
      <c r="J227" s="80">
        <f t="shared" si="23"/>
        <v>0</v>
      </c>
      <c r="K227" s="80">
        <f t="shared" si="24"/>
        <v>0</v>
      </c>
      <c r="L227" s="79"/>
    </row>
    <row r="228" spans="1:12">
      <c r="A228" s="79">
        <v>165</v>
      </c>
      <c r="B228" s="80">
        <f t="shared" si="17"/>
        <v>0</v>
      </c>
      <c r="C228" s="80">
        <f t="shared" si="18"/>
        <v>0</v>
      </c>
      <c r="D228" s="80">
        <f t="shared" si="19"/>
        <v>0</v>
      </c>
      <c r="E228" s="80">
        <f t="shared" si="20"/>
        <v>0</v>
      </c>
      <c r="F228" s="79"/>
      <c r="G228" s="79">
        <v>165</v>
      </c>
      <c r="H228" s="80">
        <f t="shared" si="21"/>
        <v>0</v>
      </c>
      <c r="I228" s="80">
        <f t="shared" si="22"/>
        <v>0</v>
      </c>
      <c r="J228" s="80">
        <f t="shared" si="23"/>
        <v>0</v>
      </c>
      <c r="K228" s="80">
        <f t="shared" si="24"/>
        <v>0</v>
      </c>
      <c r="L228" s="79"/>
    </row>
    <row r="229" spans="1:12">
      <c r="A229" s="79">
        <v>166</v>
      </c>
      <c r="B229" s="80">
        <f t="shared" si="17"/>
        <v>0</v>
      </c>
      <c r="C229" s="80">
        <f t="shared" si="18"/>
        <v>0</v>
      </c>
      <c r="D229" s="80">
        <f t="shared" si="19"/>
        <v>0</v>
      </c>
      <c r="E229" s="80">
        <f t="shared" si="20"/>
        <v>0</v>
      </c>
      <c r="F229" s="79"/>
      <c r="G229" s="79">
        <v>166</v>
      </c>
      <c r="H229" s="80">
        <f t="shared" si="21"/>
        <v>0</v>
      </c>
      <c r="I229" s="80">
        <f t="shared" si="22"/>
        <v>0</v>
      </c>
      <c r="J229" s="80">
        <f t="shared" si="23"/>
        <v>0</v>
      </c>
      <c r="K229" s="80">
        <f t="shared" si="24"/>
        <v>0</v>
      </c>
      <c r="L229" s="79"/>
    </row>
    <row r="230" spans="1:12">
      <c r="A230" s="79">
        <v>167</v>
      </c>
      <c r="B230" s="80">
        <f t="shared" si="17"/>
        <v>0</v>
      </c>
      <c r="C230" s="80">
        <f t="shared" si="18"/>
        <v>0</v>
      </c>
      <c r="D230" s="80">
        <f t="shared" si="19"/>
        <v>0</v>
      </c>
      <c r="E230" s="80">
        <f t="shared" si="20"/>
        <v>0</v>
      </c>
      <c r="F230" s="79"/>
      <c r="G230" s="79">
        <v>167</v>
      </c>
      <c r="H230" s="80">
        <f t="shared" si="21"/>
        <v>0</v>
      </c>
      <c r="I230" s="80">
        <f t="shared" si="22"/>
        <v>0</v>
      </c>
      <c r="J230" s="80">
        <f t="shared" si="23"/>
        <v>0</v>
      </c>
      <c r="K230" s="80">
        <f t="shared" si="24"/>
        <v>0</v>
      </c>
      <c r="L230" s="79"/>
    </row>
    <row r="231" spans="1:12">
      <c r="A231" s="81">
        <v>168</v>
      </c>
      <c r="B231" s="80">
        <f t="shared" si="17"/>
        <v>0</v>
      </c>
      <c r="C231" s="80">
        <f t="shared" si="18"/>
        <v>0</v>
      </c>
      <c r="D231" s="80">
        <f t="shared" si="19"/>
        <v>0</v>
      </c>
      <c r="E231" s="80">
        <f t="shared" si="20"/>
        <v>0</v>
      </c>
      <c r="F231" s="81">
        <v>14</v>
      </c>
      <c r="G231" s="81">
        <v>168</v>
      </c>
      <c r="H231" s="80">
        <f t="shared" si="21"/>
        <v>0</v>
      </c>
      <c r="I231" s="80">
        <f t="shared" si="22"/>
        <v>0</v>
      </c>
      <c r="J231" s="80">
        <f t="shared" si="23"/>
        <v>0</v>
      </c>
      <c r="K231" s="80">
        <f t="shared" si="24"/>
        <v>0</v>
      </c>
      <c r="L231" s="81">
        <v>14</v>
      </c>
    </row>
    <row r="232" spans="1:12">
      <c r="A232" s="79">
        <v>169</v>
      </c>
      <c r="B232" s="80">
        <f t="shared" si="17"/>
        <v>0</v>
      </c>
      <c r="C232" s="80">
        <f t="shared" si="18"/>
        <v>0</v>
      </c>
      <c r="D232" s="80">
        <f t="shared" si="19"/>
        <v>0</v>
      </c>
      <c r="E232" s="80">
        <f t="shared" si="20"/>
        <v>0</v>
      </c>
      <c r="F232" s="79"/>
      <c r="G232" s="79">
        <v>169</v>
      </c>
      <c r="H232" s="80">
        <f t="shared" si="21"/>
        <v>0</v>
      </c>
      <c r="I232" s="80">
        <f t="shared" si="22"/>
        <v>0</v>
      </c>
      <c r="J232" s="80">
        <f t="shared" si="23"/>
        <v>0</v>
      </c>
      <c r="K232" s="80">
        <f t="shared" si="24"/>
        <v>0</v>
      </c>
      <c r="L232" s="79"/>
    </row>
    <row r="233" spans="1:12" s="59" customFormat="1">
      <c r="A233" s="79">
        <v>170</v>
      </c>
      <c r="B233" s="80">
        <f t="shared" si="17"/>
        <v>0</v>
      </c>
      <c r="C233" s="80">
        <f t="shared" si="18"/>
        <v>0</v>
      </c>
      <c r="D233" s="80">
        <f t="shared" si="19"/>
        <v>0</v>
      </c>
      <c r="E233" s="80">
        <f t="shared" si="20"/>
        <v>0</v>
      </c>
      <c r="F233" s="79"/>
      <c r="G233" s="79">
        <v>170</v>
      </c>
      <c r="H233" s="80">
        <f t="shared" si="21"/>
        <v>0</v>
      </c>
      <c r="I233" s="80">
        <f t="shared" si="22"/>
        <v>0</v>
      </c>
      <c r="J233" s="80">
        <f t="shared" si="23"/>
        <v>0</v>
      </c>
      <c r="K233" s="80">
        <f t="shared" si="24"/>
        <v>0</v>
      </c>
      <c r="L233" s="79"/>
    </row>
    <row r="234" spans="1:12">
      <c r="A234" s="79">
        <v>171</v>
      </c>
      <c r="B234" s="80">
        <f t="shared" si="17"/>
        <v>0</v>
      </c>
      <c r="C234" s="80">
        <f t="shared" si="18"/>
        <v>0</v>
      </c>
      <c r="D234" s="80">
        <f t="shared" si="19"/>
        <v>0</v>
      </c>
      <c r="E234" s="80">
        <f t="shared" si="20"/>
        <v>0</v>
      </c>
      <c r="F234" s="79"/>
      <c r="G234" s="79">
        <v>171</v>
      </c>
      <c r="H234" s="80">
        <f t="shared" si="21"/>
        <v>0</v>
      </c>
      <c r="I234" s="80">
        <f t="shared" si="22"/>
        <v>0</v>
      </c>
      <c r="J234" s="80">
        <f t="shared" si="23"/>
        <v>0</v>
      </c>
      <c r="K234" s="80">
        <f t="shared" si="24"/>
        <v>0</v>
      </c>
      <c r="L234" s="79"/>
    </row>
    <row r="235" spans="1:12">
      <c r="A235" s="79">
        <v>172</v>
      </c>
      <c r="B235" s="80">
        <f t="shared" si="17"/>
        <v>0</v>
      </c>
      <c r="C235" s="80">
        <f t="shared" si="18"/>
        <v>0</v>
      </c>
      <c r="D235" s="80">
        <f t="shared" si="19"/>
        <v>0</v>
      </c>
      <c r="E235" s="80">
        <f t="shared" si="20"/>
        <v>0</v>
      </c>
      <c r="F235" s="79"/>
      <c r="G235" s="79">
        <v>172</v>
      </c>
      <c r="H235" s="80">
        <f t="shared" si="21"/>
        <v>0</v>
      </c>
      <c r="I235" s="80">
        <f t="shared" si="22"/>
        <v>0</v>
      </c>
      <c r="J235" s="80">
        <f t="shared" si="23"/>
        <v>0</v>
      </c>
      <c r="K235" s="80">
        <f t="shared" si="24"/>
        <v>0</v>
      </c>
      <c r="L235" s="79"/>
    </row>
    <row r="236" spans="1:12">
      <c r="A236" s="79">
        <v>173</v>
      </c>
      <c r="B236" s="80">
        <f t="shared" si="17"/>
        <v>0</v>
      </c>
      <c r="C236" s="80">
        <f t="shared" si="18"/>
        <v>0</v>
      </c>
      <c r="D236" s="80">
        <f t="shared" si="19"/>
        <v>0</v>
      </c>
      <c r="E236" s="80">
        <f t="shared" si="20"/>
        <v>0</v>
      </c>
      <c r="F236" s="79"/>
      <c r="G236" s="79">
        <v>173</v>
      </c>
      <c r="H236" s="80">
        <f t="shared" si="21"/>
        <v>0</v>
      </c>
      <c r="I236" s="80">
        <f t="shared" si="22"/>
        <v>0</v>
      </c>
      <c r="J236" s="80">
        <f t="shared" si="23"/>
        <v>0</v>
      </c>
      <c r="K236" s="80">
        <f t="shared" si="24"/>
        <v>0</v>
      </c>
      <c r="L236" s="79"/>
    </row>
    <row r="237" spans="1:12">
      <c r="A237" s="79">
        <v>174</v>
      </c>
      <c r="B237" s="80">
        <f t="shared" si="17"/>
        <v>0</v>
      </c>
      <c r="C237" s="80">
        <f t="shared" si="18"/>
        <v>0</v>
      </c>
      <c r="D237" s="80">
        <f t="shared" si="19"/>
        <v>0</v>
      </c>
      <c r="E237" s="80">
        <f t="shared" si="20"/>
        <v>0</v>
      </c>
      <c r="F237" s="79"/>
      <c r="G237" s="79">
        <v>174</v>
      </c>
      <c r="H237" s="80">
        <f t="shared" si="21"/>
        <v>0</v>
      </c>
      <c r="I237" s="80">
        <f t="shared" si="22"/>
        <v>0</v>
      </c>
      <c r="J237" s="80">
        <f t="shared" si="23"/>
        <v>0</v>
      </c>
      <c r="K237" s="80">
        <f t="shared" si="24"/>
        <v>0</v>
      </c>
      <c r="L237" s="79"/>
    </row>
    <row r="238" spans="1:12">
      <c r="A238" s="79">
        <v>175</v>
      </c>
      <c r="B238" s="80">
        <f t="shared" si="17"/>
        <v>0</v>
      </c>
      <c r="C238" s="80">
        <f t="shared" si="18"/>
        <v>0</v>
      </c>
      <c r="D238" s="80">
        <f t="shared" si="19"/>
        <v>0</v>
      </c>
      <c r="E238" s="80">
        <f t="shared" si="20"/>
        <v>0</v>
      </c>
      <c r="F238" s="79"/>
      <c r="G238" s="79">
        <v>175</v>
      </c>
      <c r="H238" s="80">
        <f t="shared" si="21"/>
        <v>0</v>
      </c>
      <c r="I238" s="80">
        <f t="shared" si="22"/>
        <v>0</v>
      </c>
      <c r="J238" s="80">
        <f t="shared" si="23"/>
        <v>0</v>
      </c>
      <c r="K238" s="80">
        <f t="shared" si="24"/>
        <v>0</v>
      </c>
      <c r="L238" s="79"/>
    </row>
    <row r="239" spans="1:12">
      <c r="A239" s="79">
        <v>176</v>
      </c>
      <c r="B239" s="80">
        <f t="shared" si="17"/>
        <v>0</v>
      </c>
      <c r="C239" s="80">
        <f t="shared" si="18"/>
        <v>0</v>
      </c>
      <c r="D239" s="80">
        <f t="shared" si="19"/>
        <v>0</v>
      </c>
      <c r="E239" s="80">
        <f t="shared" si="20"/>
        <v>0</v>
      </c>
      <c r="F239" s="79"/>
      <c r="G239" s="79">
        <v>176</v>
      </c>
      <c r="H239" s="80">
        <f t="shared" si="21"/>
        <v>0</v>
      </c>
      <c r="I239" s="80">
        <f t="shared" si="22"/>
        <v>0</v>
      </c>
      <c r="J239" s="80">
        <f t="shared" si="23"/>
        <v>0</v>
      </c>
      <c r="K239" s="80">
        <f t="shared" si="24"/>
        <v>0</v>
      </c>
      <c r="L239" s="79"/>
    </row>
    <row r="240" spans="1:12">
      <c r="A240" s="79">
        <v>177</v>
      </c>
      <c r="B240" s="80">
        <f t="shared" si="17"/>
        <v>0</v>
      </c>
      <c r="C240" s="80">
        <f t="shared" si="18"/>
        <v>0</v>
      </c>
      <c r="D240" s="80">
        <f t="shared" si="19"/>
        <v>0</v>
      </c>
      <c r="E240" s="80">
        <f t="shared" si="20"/>
        <v>0</v>
      </c>
      <c r="F240" s="79"/>
      <c r="G240" s="79">
        <v>177</v>
      </c>
      <c r="H240" s="80">
        <f t="shared" si="21"/>
        <v>0</v>
      </c>
      <c r="I240" s="80">
        <f t="shared" si="22"/>
        <v>0</v>
      </c>
      <c r="J240" s="80">
        <f t="shared" si="23"/>
        <v>0</v>
      </c>
      <c r="K240" s="80">
        <f t="shared" si="24"/>
        <v>0</v>
      </c>
      <c r="L240" s="79"/>
    </row>
    <row r="241" spans="1:12">
      <c r="A241" s="79">
        <v>178</v>
      </c>
      <c r="B241" s="80">
        <f t="shared" si="17"/>
        <v>0</v>
      </c>
      <c r="C241" s="80">
        <f t="shared" si="18"/>
        <v>0</v>
      </c>
      <c r="D241" s="80">
        <f t="shared" si="19"/>
        <v>0</v>
      </c>
      <c r="E241" s="80">
        <f t="shared" si="20"/>
        <v>0</v>
      </c>
      <c r="F241" s="79"/>
      <c r="G241" s="79">
        <v>178</v>
      </c>
      <c r="H241" s="80">
        <f t="shared" si="21"/>
        <v>0</v>
      </c>
      <c r="I241" s="80">
        <f t="shared" si="22"/>
        <v>0</v>
      </c>
      <c r="J241" s="80">
        <f t="shared" si="23"/>
        <v>0</v>
      </c>
      <c r="K241" s="80">
        <f t="shared" si="24"/>
        <v>0</v>
      </c>
      <c r="L241" s="79"/>
    </row>
    <row r="242" spans="1:12">
      <c r="A242" s="79">
        <v>179</v>
      </c>
      <c r="B242" s="80">
        <f t="shared" si="17"/>
        <v>0</v>
      </c>
      <c r="C242" s="80">
        <f t="shared" si="18"/>
        <v>0</v>
      </c>
      <c r="D242" s="80">
        <f t="shared" si="19"/>
        <v>0</v>
      </c>
      <c r="E242" s="80">
        <f t="shared" si="20"/>
        <v>0</v>
      </c>
      <c r="F242" s="79"/>
      <c r="G242" s="79">
        <v>179</v>
      </c>
      <c r="H242" s="80">
        <f t="shared" si="21"/>
        <v>0</v>
      </c>
      <c r="I242" s="80">
        <f t="shared" si="22"/>
        <v>0</v>
      </c>
      <c r="J242" s="80">
        <f t="shared" si="23"/>
        <v>0</v>
      </c>
      <c r="K242" s="80">
        <f t="shared" si="24"/>
        <v>0</v>
      </c>
      <c r="L242" s="79"/>
    </row>
    <row r="243" spans="1:12">
      <c r="A243" s="81">
        <v>180</v>
      </c>
      <c r="B243" s="80">
        <f t="shared" si="17"/>
        <v>0</v>
      </c>
      <c r="C243" s="80">
        <f t="shared" si="18"/>
        <v>0</v>
      </c>
      <c r="D243" s="80">
        <f t="shared" si="19"/>
        <v>0</v>
      </c>
      <c r="E243" s="80">
        <f t="shared" si="20"/>
        <v>0</v>
      </c>
      <c r="F243" s="81">
        <v>15</v>
      </c>
      <c r="G243" s="81">
        <v>180</v>
      </c>
      <c r="H243" s="80">
        <f t="shared" si="21"/>
        <v>0</v>
      </c>
      <c r="I243" s="80">
        <f t="shared" si="22"/>
        <v>0</v>
      </c>
      <c r="J243" s="80">
        <f t="shared" si="23"/>
        <v>0</v>
      </c>
      <c r="K243" s="80">
        <f t="shared" si="24"/>
        <v>0</v>
      </c>
      <c r="L243" s="81">
        <v>15</v>
      </c>
    </row>
    <row r="244" spans="1:12">
      <c r="A244" s="79">
        <v>181</v>
      </c>
      <c r="B244" s="80">
        <f t="shared" si="17"/>
        <v>0</v>
      </c>
      <c r="C244" s="80">
        <f t="shared" si="18"/>
        <v>0</v>
      </c>
      <c r="D244" s="80">
        <f t="shared" si="19"/>
        <v>0</v>
      </c>
      <c r="E244" s="80">
        <f t="shared" si="20"/>
        <v>0</v>
      </c>
      <c r="F244" s="79"/>
      <c r="G244" s="79">
        <v>181</v>
      </c>
      <c r="H244" s="80">
        <f t="shared" si="21"/>
        <v>0</v>
      </c>
      <c r="I244" s="80">
        <f t="shared" si="22"/>
        <v>0</v>
      </c>
      <c r="J244" s="80">
        <f t="shared" si="23"/>
        <v>0</v>
      </c>
      <c r="K244" s="80">
        <f t="shared" si="24"/>
        <v>0</v>
      </c>
      <c r="L244" s="79"/>
    </row>
    <row r="245" spans="1:12" s="59" customFormat="1">
      <c r="A245" s="81">
        <v>182</v>
      </c>
      <c r="B245" s="80">
        <f t="shared" si="17"/>
        <v>0</v>
      </c>
      <c r="C245" s="80">
        <f t="shared" si="18"/>
        <v>0</v>
      </c>
      <c r="D245" s="80">
        <f t="shared" si="19"/>
        <v>0</v>
      </c>
      <c r="E245" s="80">
        <f t="shared" si="20"/>
        <v>0</v>
      </c>
      <c r="F245" s="79"/>
      <c r="G245" s="81">
        <v>182</v>
      </c>
      <c r="H245" s="80">
        <f t="shared" si="21"/>
        <v>0</v>
      </c>
      <c r="I245" s="80">
        <f t="shared" si="22"/>
        <v>0</v>
      </c>
      <c r="J245" s="80">
        <f t="shared" si="23"/>
        <v>0</v>
      </c>
      <c r="K245" s="80">
        <f t="shared" si="24"/>
        <v>0</v>
      </c>
      <c r="L245" s="79"/>
    </row>
    <row r="246" spans="1:12">
      <c r="A246" s="81">
        <v>183</v>
      </c>
      <c r="B246" s="80">
        <f t="shared" si="17"/>
        <v>0</v>
      </c>
      <c r="C246" s="80">
        <f t="shared" si="18"/>
        <v>0</v>
      </c>
      <c r="D246" s="80">
        <f t="shared" si="19"/>
        <v>0</v>
      </c>
      <c r="E246" s="80">
        <f t="shared" si="20"/>
        <v>0</v>
      </c>
      <c r="F246" s="79"/>
      <c r="G246" s="81">
        <v>183</v>
      </c>
      <c r="H246" s="80">
        <f t="shared" si="21"/>
        <v>0</v>
      </c>
      <c r="I246" s="80">
        <f t="shared" si="22"/>
        <v>0</v>
      </c>
      <c r="J246" s="80">
        <f t="shared" si="23"/>
        <v>0</v>
      </c>
      <c r="K246" s="80">
        <f t="shared" si="24"/>
        <v>0</v>
      </c>
      <c r="L246" s="79"/>
    </row>
    <row r="247" spans="1:12">
      <c r="A247" s="81">
        <v>184</v>
      </c>
      <c r="B247" s="80">
        <f t="shared" si="17"/>
        <v>0</v>
      </c>
      <c r="C247" s="80">
        <f t="shared" si="18"/>
        <v>0</v>
      </c>
      <c r="D247" s="80">
        <f t="shared" si="19"/>
        <v>0</v>
      </c>
      <c r="E247" s="80">
        <f t="shared" si="20"/>
        <v>0</v>
      </c>
      <c r="F247" s="79"/>
      <c r="G247" s="81">
        <v>184</v>
      </c>
      <c r="H247" s="80">
        <f t="shared" si="21"/>
        <v>0</v>
      </c>
      <c r="I247" s="80">
        <f t="shared" si="22"/>
        <v>0</v>
      </c>
      <c r="J247" s="80">
        <f t="shared" si="23"/>
        <v>0</v>
      </c>
      <c r="K247" s="80">
        <f t="shared" si="24"/>
        <v>0</v>
      </c>
      <c r="L247" s="79"/>
    </row>
    <row r="248" spans="1:12">
      <c r="A248" s="81">
        <v>185</v>
      </c>
      <c r="B248" s="80">
        <f t="shared" si="17"/>
        <v>0</v>
      </c>
      <c r="C248" s="80">
        <f t="shared" si="18"/>
        <v>0</v>
      </c>
      <c r="D248" s="80">
        <f t="shared" si="19"/>
        <v>0</v>
      </c>
      <c r="E248" s="80">
        <f t="shared" si="20"/>
        <v>0</v>
      </c>
      <c r="F248" s="79"/>
      <c r="G248" s="81">
        <v>185</v>
      </c>
      <c r="H248" s="80">
        <f t="shared" si="21"/>
        <v>0</v>
      </c>
      <c r="I248" s="80">
        <f t="shared" si="22"/>
        <v>0</v>
      </c>
      <c r="J248" s="80">
        <f t="shared" si="23"/>
        <v>0</v>
      </c>
      <c r="K248" s="80">
        <f t="shared" si="24"/>
        <v>0</v>
      </c>
      <c r="L248" s="79"/>
    </row>
    <row r="249" spans="1:12">
      <c r="A249" s="81">
        <v>186</v>
      </c>
      <c r="B249" s="80">
        <f t="shared" si="17"/>
        <v>0</v>
      </c>
      <c r="C249" s="80">
        <f t="shared" si="18"/>
        <v>0</v>
      </c>
      <c r="D249" s="80">
        <f t="shared" si="19"/>
        <v>0</v>
      </c>
      <c r="E249" s="80">
        <f t="shared" si="20"/>
        <v>0</v>
      </c>
      <c r="F249" s="79"/>
      <c r="G249" s="81">
        <v>186</v>
      </c>
      <c r="H249" s="80">
        <f t="shared" si="21"/>
        <v>0</v>
      </c>
      <c r="I249" s="80">
        <f t="shared" si="22"/>
        <v>0</v>
      </c>
      <c r="J249" s="80">
        <f t="shared" si="23"/>
        <v>0</v>
      </c>
      <c r="K249" s="80">
        <f t="shared" si="24"/>
        <v>0</v>
      </c>
      <c r="L249" s="79"/>
    </row>
    <row r="250" spans="1:12">
      <c r="A250" s="81">
        <v>187</v>
      </c>
      <c r="B250" s="80">
        <f t="shared" si="17"/>
        <v>0</v>
      </c>
      <c r="C250" s="80">
        <f t="shared" si="18"/>
        <v>0</v>
      </c>
      <c r="D250" s="80">
        <f t="shared" si="19"/>
        <v>0</v>
      </c>
      <c r="E250" s="80">
        <f t="shared" si="20"/>
        <v>0</v>
      </c>
      <c r="F250" s="79"/>
      <c r="G250" s="81">
        <v>187</v>
      </c>
      <c r="H250" s="80">
        <f t="shared" si="21"/>
        <v>0</v>
      </c>
      <c r="I250" s="80">
        <f t="shared" si="22"/>
        <v>0</v>
      </c>
      <c r="J250" s="80">
        <f t="shared" si="23"/>
        <v>0</v>
      </c>
      <c r="K250" s="80">
        <f t="shared" si="24"/>
        <v>0</v>
      </c>
      <c r="L250" s="79"/>
    </row>
    <row r="251" spans="1:12">
      <c r="A251" s="81">
        <v>188</v>
      </c>
      <c r="B251" s="80">
        <f t="shared" si="17"/>
        <v>0</v>
      </c>
      <c r="C251" s="80">
        <f t="shared" si="18"/>
        <v>0</v>
      </c>
      <c r="D251" s="80">
        <f t="shared" si="19"/>
        <v>0</v>
      </c>
      <c r="E251" s="80">
        <f t="shared" si="20"/>
        <v>0</v>
      </c>
      <c r="F251" s="79"/>
      <c r="G251" s="81">
        <v>188</v>
      </c>
      <c r="H251" s="80">
        <f t="shared" si="21"/>
        <v>0</v>
      </c>
      <c r="I251" s="80">
        <f t="shared" si="22"/>
        <v>0</v>
      </c>
      <c r="J251" s="80">
        <f t="shared" si="23"/>
        <v>0</v>
      </c>
      <c r="K251" s="80">
        <f t="shared" si="24"/>
        <v>0</v>
      </c>
      <c r="L251" s="79"/>
    </row>
    <row r="252" spans="1:12">
      <c r="A252" s="81">
        <v>189</v>
      </c>
      <c r="B252" s="80">
        <f t="shared" si="17"/>
        <v>0</v>
      </c>
      <c r="C252" s="80">
        <f t="shared" si="18"/>
        <v>0</v>
      </c>
      <c r="D252" s="80">
        <f t="shared" si="19"/>
        <v>0</v>
      </c>
      <c r="E252" s="80">
        <f t="shared" si="20"/>
        <v>0</v>
      </c>
      <c r="F252" s="79"/>
      <c r="G252" s="81">
        <v>189</v>
      </c>
      <c r="H252" s="80">
        <f t="shared" si="21"/>
        <v>0</v>
      </c>
      <c r="I252" s="80">
        <f t="shared" si="22"/>
        <v>0</v>
      </c>
      <c r="J252" s="80">
        <f t="shared" si="23"/>
        <v>0</v>
      </c>
      <c r="K252" s="80">
        <f t="shared" si="24"/>
        <v>0</v>
      </c>
      <c r="L252" s="79"/>
    </row>
    <row r="253" spans="1:12">
      <c r="A253" s="81">
        <v>190</v>
      </c>
      <c r="B253" s="80">
        <f t="shared" si="17"/>
        <v>0</v>
      </c>
      <c r="C253" s="80">
        <f t="shared" si="18"/>
        <v>0</v>
      </c>
      <c r="D253" s="80">
        <f t="shared" si="19"/>
        <v>0</v>
      </c>
      <c r="E253" s="80">
        <f t="shared" si="20"/>
        <v>0</v>
      </c>
      <c r="F253" s="79"/>
      <c r="G253" s="81">
        <v>190</v>
      </c>
      <c r="H253" s="80">
        <f t="shared" si="21"/>
        <v>0</v>
      </c>
      <c r="I253" s="80">
        <f t="shared" si="22"/>
        <v>0</v>
      </c>
      <c r="J253" s="80">
        <f t="shared" si="23"/>
        <v>0</v>
      </c>
      <c r="K253" s="80">
        <f t="shared" si="24"/>
        <v>0</v>
      </c>
      <c r="L253" s="79"/>
    </row>
    <row r="254" spans="1:12">
      <c r="A254" s="81">
        <v>191</v>
      </c>
      <c r="B254" s="80">
        <f t="shared" si="17"/>
        <v>0</v>
      </c>
      <c r="C254" s="80">
        <f t="shared" si="18"/>
        <v>0</v>
      </c>
      <c r="D254" s="80">
        <f t="shared" si="19"/>
        <v>0</v>
      </c>
      <c r="E254" s="80">
        <f t="shared" si="20"/>
        <v>0</v>
      </c>
      <c r="F254" s="79"/>
      <c r="G254" s="81">
        <v>191</v>
      </c>
      <c r="H254" s="80">
        <f t="shared" si="21"/>
        <v>0</v>
      </c>
      <c r="I254" s="80">
        <f t="shared" si="22"/>
        <v>0</v>
      </c>
      <c r="J254" s="80">
        <f t="shared" si="23"/>
        <v>0</v>
      </c>
      <c r="K254" s="80">
        <f t="shared" si="24"/>
        <v>0</v>
      </c>
      <c r="L254" s="79"/>
    </row>
    <row r="255" spans="1:12">
      <c r="A255" s="81">
        <v>192</v>
      </c>
      <c r="B255" s="80">
        <f t="shared" si="17"/>
        <v>0</v>
      </c>
      <c r="C255" s="80">
        <f t="shared" si="18"/>
        <v>0</v>
      </c>
      <c r="D255" s="80">
        <f t="shared" si="19"/>
        <v>0</v>
      </c>
      <c r="E255" s="80">
        <f t="shared" si="20"/>
        <v>0</v>
      </c>
      <c r="F255" s="79">
        <v>16</v>
      </c>
      <c r="G255" s="81">
        <v>192</v>
      </c>
      <c r="H255" s="80">
        <f t="shared" si="21"/>
        <v>0</v>
      </c>
      <c r="I255" s="80">
        <f t="shared" si="22"/>
        <v>0</v>
      </c>
      <c r="J255" s="80">
        <f t="shared" si="23"/>
        <v>0</v>
      </c>
      <c r="K255" s="80">
        <f t="shared" si="24"/>
        <v>0</v>
      </c>
      <c r="L255" s="79">
        <v>16</v>
      </c>
    </row>
    <row r="256" spans="1:12">
      <c r="A256" s="81">
        <v>193</v>
      </c>
      <c r="B256" s="80">
        <f t="shared" ref="B256:B319" si="25">IF(A256&gt;12*$C$9,0,IF($C$5&gt;1500000,$D$12,$C$12))</f>
        <v>0</v>
      </c>
      <c r="C256" s="80">
        <f t="shared" ref="C256:C319" si="26">IF(A256&gt;12*$C$9,0,E255*$C$7/12)</f>
        <v>0</v>
      </c>
      <c r="D256" s="80">
        <f t="shared" ref="D256:D319" si="27">IF(A256&gt;12*$C$9,0,B256-C256)</f>
        <v>0</v>
      </c>
      <c r="E256" s="80">
        <f t="shared" ref="E256:E319" si="28">IF(A256&gt;12*$C$9,0,E255-D256)</f>
        <v>0</v>
      </c>
      <c r="F256" s="79"/>
      <c r="G256" s="81">
        <v>193</v>
      </c>
      <c r="H256" s="80">
        <f t="shared" ref="H256:H319" si="29">IF(G256&gt;12*$C$9,0,IF($C$5&gt;1500000,$E$12,0))</f>
        <v>0</v>
      </c>
      <c r="I256" s="80">
        <f t="shared" ref="I256:I319" si="30">IF(G256&gt;12*$C$9,0,K255*$C$7/12)</f>
        <v>0</v>
      </c>
      <c r="J256" s="80">
        <f t="shared" ref="J256:J319" si="31">IF(G256&gt;12*$C$9,0,H256-I256)</f>
        <v>0</v>
      </c>
      <c r="K256" s="80">
        <f t="shared" ref="K256:K319" si="32">IF(G256&gt;12*$C$9,0,K255-J256)</f>
        <v>0</v>
      </c>
      <c r="L256" s="79"/>
    </row>
    <row r="257" spans="1:12">
      <c r="A257" s="81">
        <v>194</v>
      </c>
      <c r="B257" s="80">
        <f t="shared" si="25"/>
        <v>0</v>
      </c>
      <c r="C257" s="80">
        <f t="shared" si="26"/>
        <v>0</v>
      </c>
      <c r="D257" s="80">
        <f t="shared" si="27"/>
        <v>0</v>
      </c>
      <c r="E257" s="80">
        <f t="shared" si="28"/>
        <v>0</v>
      </c>
      <c r="F257" s="79"/>
      <c r="G257" s="81">
        <v>194</v>
      </c>
      <c r="H257" s="80">
        <f t="shared" si="29"/>
        <v>0</v>
      </c>
      <c r="I257" s="80">
        <f t="shared" si="30"/>
        <v>0</v>
      </c>
      <c r="J257" s="80">
        <f t="shared" si="31"/>
        <v>0</v>
      </c>
      <c r="K257" s="80">
        <f t="shared" si="32"/>
        <v>0</v>
      </c>
      <c r="L257" s="79"/>
    </row>
    <row r="258" spans="1:12">
      <c r="A258" s="81">
        <v>195</v>
      </c>
      <c r="B258" s="80">
        <f t="shared" si="25"/>
        <v>0</v>
      </c>
      <c r="C258" s="80">
        <f t="shared" si="26"/>
        <v>0</v>
      </c>
      <c r="D258" s="80">
        <f t="shared" si="27"/>
        <v>0</v>
      </c>
      <c r="E258" s="80">
        <f t="shared" si="28"/>
        <v>0</v>
      </c>
      <c r="F258" s="79"/>
      <c r="G258" s="81">
        <v>195</v>
      </c>
      <c r="H258" s="80">
        <f t="shared" si="29"/>
        <v>0</v>
      </c>
      <c r="I258" s="80">
        <f t="shared" si="30"/>
        <v>0</v>
      </c>
      <c r="J258" s="80">
        <f t="shared" si="31"/>
        <v>0</v>
      </c>
      <c r="K258" s="80">
        <f t="shared" si="32"/>
        <v>0</v>
      </c>
      <c r="L258" s="79"/>
    </row>
    <row r="259" spans="1:12">
      <c r="A259" s="81">
        <v>196</v>
      </c>
      <c r="B259" s="80">
        <f t="shared" si="25"/>
        <v>0</v>
      </c>
      <c r="C259" s="80">
        <f t="shared" si="26"/>
        <v>0</v>
      </c>
      <c r="D259" s="80">
        <f t="shared" si="27"/>
        <v>0</v>
      </c>
      <c r="E259" s="80">
        <f t="shared" si="28"/>
        <v>0</v>
      </c>
      <c r="F259" s="79"/>
      <c r="G259" s="81">
        <v>196</v>
      </c>
      <c r="H259" s="80">
        <f t="shared" si="29"/>
        <v>0</v>
      </c>
      <c r="I259" s="80">
        <f t="shared" si="30"/>
        <v>0</v>
      </c>
      <c r="J259" s="80">
        <f t="shared" si="31"/>
        <v>0</v>
      </c>
      <c r="K259" s="80">
        <f t="shared" si="32"/>
        <v>0</v>
      </c>
      <c r="L259" s="79"/>
    </row>
    <row r="260" spans="1:12">
      <c r="A260" s="81">
        <v>197</v>
      </c>
      <c r="B260" s="80">
        <f t="shared" si="25"/>
        <v>0</v>
      </c>
      <c r="C260" s="80">
        <f t="shared" si="26"/>
        <v>0</v>
      </c>
      <c r="D260" s="80">
        <f t="shared" si="27"/>
        <v>0</v>
      </c>
      <c r="E260" s="80">
        <f t="shared" si="28"/>
        <v>0</v>
      </c>
      <c r="F260" s="79"/>
      <c r="G260" s="81">
        <v>197</v>
      </c>
      <c r="H260" s="80">
        <f t="shared" si="29"/>
        <v>0</v>
      </c>
      <c r="I260" s="80">
        <f t="shared" si="30"/>
        <v>0</v>
      </c>
      <c r="J260" s="80">
        <f t="shared" si="31"/>
        <v>0</v>
      </c>
      <c r="K260" s="80">
        <f t="shared" si="32"/>
        <v>0</v>
      </c>
      <c r="L260" s="79"/>
    </row>
    <row r="261" spans="1:12">
      <c r="A261" s="81">
        <v>198</v>
      </c>
      <c r="B261" s="80">
        <f t="shared" si="25"/>
        <v>0</v>
      </c>
      <c r="C261" s="80">
        <f t="shared" si="26"/>
        <v>0</v>
      </c>
      <c r="D261" s="80">
        <f t="shared" si="27"/>
        <v>0</v>
      </c>
      <c r="E261" s="80">
        <f t="shared" si="28"/>
        <v>0</v>
      </c>
      <c r="F261" s="79"/>
      <c r="G261" s="81">
        <v>198</v>
      </c>
      <c r="H261" s="80">
        <f t="shared" si="29"/>
        <v>0</v>
      </c>
      <c r="I261" s="80">
        <f t="shared" si="30"/>
        <v>0</v>
      </c>
      <c r="J261" s="80">
        <f t="shared" si="31"/>
        <v>0</v>
      </c>
      <c r="K261" s="80">
        <f t="shared" si="32"/>
        <v>0</v>
      </c>
      <c r="L261" s="79"/>
    </row>
    <row r="262" spans="1:12">
      <c r="A262" s="81">
        <v>199</v>
      </c>
      <c r="B262" s="80">
        <f t="shared" si="25"/>
        <v>0</v>
      </c>
      <c r="C262" s="80">
        <f t="shared" si="26"/>
        <v>0</v>
      </c>
      <c r="D262" s="80">
        <f t="shared" si="27"/>
        <v>0</v>
      </c>
      <c r="E262" s="80">
        <f t="shared" si="28"/>
        <v>0</v>
      </c>
      <c r="F262" s="79"/>
      <c r="G262" s="81">
        <v>199</v>
      </c>
      <c r="H262" s="80">
        <f t="shared" si="29"/>
        <v>0</v>
      </c>
      <c r="I262" s="80">
        <f t="shared" si="30"/>
        <v>0</v>
      </c>
      <c r="J262" s="80">
        <f t="shared" si="31"/>
        <v>0</v>
      </c>
      <c r="K262" s="80">
        <f t="shared" si="32"/>
        <v>0</v>
      </c>
      <c r="L262" s="79"/>
    </row>
    <row r="263" spans="1:12">
      <c r="A263" s="81">
        <v>200</v>
      </c>
      <c r="B263" s="80">
        <f t="shared" si="25"/>
        <v>0</v>
      </c>
      <c r="C263" s="80">
        <f t="shared" si="26"/>
        <v>0</v>
      </c>
      <c r="D263" s="80">
        <f t="shared" si="27"/>
        <v>0</v>
      </c>
      <c r="E263" s="80">
        <f t="shared" si="28"/>
        <v>0</v>
      </c>
      <c r="F263" s="79"/>
      <c r="G263" s="81">
        <v>200</v>
      </c>
      <c r="H263" s="80">
        <f t="shared" si="29"/>
        <v>0</v>
      </c>
      <c r="I263" s="80">
        <f t="shared" si="30"/>
        <v>0</v>
      </c>
      <c r="J263" s="80">
        <f t="shared" si="31"/>
        <v>0</v>
      </c>
      <c r="K263" s="80">
        <f t="shared" si="32"/>
        <v>0</v>
      </c>
      <c r="L263" s="79"/>
    </row>
    <row r="264" spans="1:12">
      <c r="A264" s="81">
        <v>201</v>
      </c>
      <c r="B264" s="80">
        <f t="shared" si="25"/>
        <v>0</v>
      </c>
      <c r="C264" s="80">
        <f t="shared" si="26"/>
        <v>0</v>
      </c>
      <c r="D264" s="80">
        <f t="shared" si="27"/>
        <v>0</v>
      </c>
      <c r="E264" s="80">
        <f t="shared" si="28"/>
        <v>0</v>
      </c>
      <c r="F264" s="79"/>
      <c r="G264" s="81">
        <v>201</v>
      </c>
      <c r="H264" s="80">
        <f t="shared" si="29"/>
        <v>0</v>
      </c>
      <c r="I264" s="80">
        <f t="shared" si="30"/>
        <v>0</v>
      </c>
      <c r="J264" s="80">
        <f t="shared" si="31"/>
        <v>0</v>
      </c>
      <c r="K264" s="80">
        <f t="shared" si="32"/>
        <v>0</v>
      </c>
      <c r="L264" s="79"/>
    </row>
    <row r="265" spans="1:12">
      <c r="A265" s="81">
        <v>202</v>
      </c>
      <c r="B265" s="80">
        <f t="shared" si="25"/>
        <v>0</v>
      </c>
      <c r="C265" s="80">
        <f t="shared" si="26"/>
        <v>0</v>
      </c>
      <c r="D265" s="80">
        <f t="shared" si="27"/>
        <v>0</v>
      </c>
      <c r="E265" s="80">
        <f t="shared" si="28"/>
        <v>0</v>
      </c>
      <c r="F265" s="79"/>
      <c r="G265" s="81">
        <v>202</v>
      </c>
      <c r="H265" s="80">
        <f t="shared" si="29"/>
        <v>0</v>
      </c>
      <c r="I265" s="80">
        <f t="shared" si="30"/>
        <v>0</v>
      </c>
      <c r="J265" s="80">
        <f t="shared" si="31"/>
        <v>0</v>
      </c>
      <c r="K265" s="80">
        <f t="shared" si="32"/>
        <v>0</v>
      </c>
      <c r="L265" s="79"/>
    </row>
    <row r="266" spans="1:12">
      <c r="A266" s="81">
        <v>203</v>
      </c>
      <c r="B266" s="80">
        <f t="shared" si="25"/>
        <v>0</v>
      </c>
      <c r="C266" s="80">
        <f t="shared" si="26"/>
        <v>0</v>
      </c>
      <c r="D266" s="80">
        <f t="shared" si="27"/>
        <v>0</v>
      </c>
      <c r="E266" s="80">
        <f t="shared" si="28"/>
        <v>0</v>
      </c>
      <c r="F266" s="79"/>
      <c r="G266" s="81">
        <v>203</v>
      </c>
      <c r="H266" s="80">
        <f t="shared" si="29"/>
        <v>0</v>
      </c>
      <c r="I266" s="80">
        <f t="shared" si="30"/>
        <v>0</v>
      </c>
      <c r="J266" s="80">
        <f t="shared" si="31"/>
        <v>0</v>
      </c>
      <c r="K266" s="80">
        <f t="shared" si="32"/>
        <v>0</v>
      </c>
      <c r="L266" s="79"/>
    </row>
    <row r="267" spans="1:12">
      <c r="A267" s="81">
        <v>204</v>
      </c>
      <c r="B267" s="80">
        <f t="shared" si="25"/>
        <v>0</v>
      </c>
      <c r="C267" s="80">
        <f t="shared" si="26"/>
        <v>0</v>
      </c>
      <c r="D267" s="80">
        <f t="shared" si="27"/>
        <v>0</v>
      </c>
      <c r="E267" s="80">
        <f t="shared" si="28"/>
        <v>0</v>
      </c>
      <c r="F267" s="79">
        <v>17</v>
      </c>
      <c r="G267" s="81">
        <v>204</v>
      </c>
      <c r="H267" s="80">
        <f t="shared" si="29"/>
        <v>0</v>
      </c>
      <c r="I267" s="80">
        <f t="shared" si="30"/>
        <v>0</v>
      </c>
      <c r="J267" s="80">
        <f t="shared" si="31"/>
        <v>0</v>
      </c>
      <c r="K267" s="80">
        <f t="shared" si="32"/>
        <v>0</v>
      </c>
      <c r="L267" s="79">
        <v>17</v>
      </c>
    </row>
    <row r="268" spans="1:12">
      <c r="A268" s="81">
        <v>205</v>
      </c>
      <c r="B268" s="80">
        <f t="shared" si="25"/>
        <v>0</v>
      </c>
      <c r="C268" s="80">
        <f t="shared" si="26"/>
        <v>0</v>
      </c>
      <c r="D268" s="80">
        <f t="shared" si="27"/>
        <v>0</v>
      </c>
      <c r="E268" s="80">
        <f t="shared" si="28"/>
        <v>0</v>
      </c>
      <c r="F268" s="79"/>
      <c r="G268" s="81">
        <v>205</v>
      </c>
      <c r="H268" s="80">
        <f t="shared" si="29"/>
        <v>0</v>
      </c>
      <c r="I268" s="80">
        <f t="shared" si="30"/>
        <v>0</v>
      </c>
      <c r="J268" s="80">
        <f t="shared" si="31"/>
        <v>0</v>
      </c>
      <c r="K268" s="80">
        <f t="shared" si="32"/>
        <v>0</v>
      </c>
      <c r="L268" s="79"/>
    </row>
    <row r="269" spans="1:12">
      <c r="A269" s="81">
        <v>206</v>
      </c>
      <c r="B269" s="80">
        <f t="shared" si="25"/>
        <v>0</v>
      </c>
      <c r="C269" s="80">
        <f t="shared" si="26"/>
        <v>0</v>
      </c>
      <c r="D269" s="80">
        <f t="shared" si="27"/>
        <v>0</v>
      </c>
      <c r="E269" s="80">
        <f t="shared" si="28"/>
        <v>0</v>
      </c>
      <c r="F269" s="79"/>
      <c r="G269" s="81">
        <v>206</v>
      </c>
      <c r="H269" s="80">
        <f t="shared" si="29"/>
        <v>0</v>
      </c>
      <c r="I269" s="80">
        <f t="shared" si="30"/>
        <v>0</v>
      </c>
      <c r="J269" s="80">
        <f t="shared" si="31"/>
        <v>0</v>
      </c>
      <c r="K269" s="80">
        <f t="shared" si="32"/>
        <v>0</v>
      </c>
      <c r="L269" s="79"/>
    </row>
    <row r="270" spans="1:12">
      <c r="A270" s="81">
        <v>207</v>
      </c>
      <c r="B270" s="80">
        <f t="shared" si="25"/>
        <v>0</v>
      </c>
      <c r="C270" s="80">
        <f t="shared" si="26"/>
        <v>0</v>
      </c>
      <c r="D270" s="80">
        <f t="shared" si="27"/>
        <v>0</v>
      </c>
      <c r="E270" s="80">
        <f t="shared" si="28"/>
        <v>0</v>
      </c>
      <c r="F270" s="79"/>
      <c r="G270" s="81">
        <v>207</v>
      </c>
      <c r="H270" s="80">
        <f t="shared" si="29"/>
        <v>0</v>
      </c>
      <c r="I270" s="80">
        <f t="shared" si="30"/>
        <v>0</v>
      </c>
      <c r="J270" s="80">
        <f t="shared" si="31"/>
        <v>0</v>
      </c>
      <c r="K270" s="80">
        <f t="shared" si="32"/>
        <v>0</v>
      </c>
      <c r="L270" s="79"/>
    </row>
    <row r="271" spans="1:12">
      <c r="A271" s="81">
        <v>208</v>
      </c>
      <c r="B271" s="80">
        <f t="shared" si="25"/>
        <v>0</v>
      </c>
      <c r="C271" s="80">
        <f t="shared" si="26"/>
        <v>0</v>
      </c>
      <c r="D271" s="80">
        <f t="shared" si="27"/>
        <v>0</v>
      </c>
      <c r="E271" s="80">
        <f t="shared" si="28"/>
        <v>0</v>
      </c>
      <c r="F271" s="79"/>
      <c r="G271" s="81">
        <v>208</v>
      </c>
      <c r="H271" s="80">
        <f t="shared" si="29"/>
        <v>0</v>
      </c>
      <c r="I271" s="80">
        <f t="shared" si="30"/>
        <v>0</v>
      </c>
      <c r="J271" s="80">
        <f t="shared" si="31"/>
        <v>0</v>
      </c>
      <c r="K271" s="80">
        <f t="shared" si="32"/>
        <v>0</v>
      </c>
      <c r="L271" s="79"/>
    </row>
    <row r="272" spans="1:12">
      <c r="A272" s="81">
        <v>209</v>
      </c>
      <c r="B272" s="80">
        <f t="shared" si="25"/>
        <v>0</v>
      </c>
      <c r="C272" s="80">
        <f t="shared" si="26"/>
        <v>0</v>
      </c>
      <c r="D272" s="80">
        <f t="shared" si="27"/>
        <v>0</v>
      </c>
      <c r="E272" s="80">
        <f t="shared" si="28"/>
        <v>0</v>
      </c>
      <c r="F272" s="79"/>
      <c r="G272" s="81">
        <v>209</v>
      </c>
      <c r="H272" s="80">
        <f t="shared" si="29"/>
        <v>0</v>
      </c>
      <c r="I272" s="80">
        <f t="shared" si="30"/>
        <v>0</v>
      </c>
      <c r="J272" s="80">
        <f t="shared" si="31"/>
        <v>0</v>
      </c>
      <c r="K272" s="80">
        <f t="shared" si="32"/>
        <v>0</v>
      </c>
      <c r="L272" s="79"/>
    </row>
    <row r="273" spans="1:12">
      <c r="A273" s="81">
        <v>210</v>
      </c>
      <c r="B273" s="80">
        <f t="shared" si="25"/>
        <v>0</v>
      </c>
      <c r="C273" s="80">
        <f t="shared" si="26"/>
        <v>0</v>
      </c>
      <c r="D273" s="80">
        <f t="shared" si="27"/>
        <v>0</v>
      </c>
      <c r="E273" s="80">
        <f t="shared" si="28"/>
        <v>0</v>
      </c>
      <c r="F273" s="79"/>
      <c r="G273" s="81">
        <v>210</v>
      </c>
      <c r="H273" s="80">
        <f t="shared" si="29"/>
        <v>0</v>
      </c>
      <c r="I273" s="80">
        <f t="shared" si="30"/>
        <v>0</v>
      </c>
      <c r="J273" s="80">
        <f t="shared" si="31"/>
        <v>0</v>
      </c>
      <c r="K273" s="80">
        <f t="shared" si="32"/>
        <v>0</v>
      </c>
      <c r="L273" s="79"/>
    </row>
    <row r="274" spans="1:12">
      <c r="A274" s="81">
        <v>211</v>
      </c>
      <c r="B274" s="80">
        <f t="shared" si="25"/>
        <v>0</v>
      </c>
      <c r="C274" s="80">
        <f t="shared" si="26"/>
        <v>0</v>
      </c>
      <c r="D274" s="80">
        <f t="shared" si="27"/>
        <v>0</v>
      </c>
      <c r="E274" s="80">
        <f t="shared" si="28"/>
        <v>0</v>
      </c>
      <c r="F274" s="79"/>
      <c r="G274" s="81">
        <v>211</v>
      </c>
      <c r="H274" s="80">
        <f t="shared" si="29"/>
        <v>0</v>
      </c>
      <c r="I274" s="80">
        <f t="shared" si="30"/>
        <v>0</v>
      </c>
      <c r="J274" s="80">
        <f t="shared" si="31"/>
        <v>0</v>
      </c>
      <c r="K274" s="80">
        <f t="shared" si="32"/>
        <v>0</v>
      </c>
      <c r="L274" s="79"/>
    </row>
    <row r="275" spans="1:12">
      <c r="A275" s="81">
        <v>212</v>
      </c>
      <c r="B275" s="80">
        <f t="shared" si="25"/>
        <v>0</v>
      </c>
      <c r="C275" s="80">
        <f t="shared" si="26"/>
        <v>0</v>
      </c>
      <c r="D275" s="80">
        <f t="shared" si="27"/>
        <v>0</v>
      </c>
      <c r="E275" s="80">
        <f t="shared" si="28"/>
        <v>0</v>
      </c>
      <c r="F275" s="79"/>
      <c r="G275" s="81">
        <v>212</v>
      </c>
      <c r="H275" s="80">
        <f t="shared" si="29"/>
        <v>0</v>
      </c>
      <c r="I275" s="80">
        <f t="shared" si="30"/>
        <v>0</v>
      </c>
      <c r="J275" s="80">
        <f t="shared" si="31"/>
        <v>0</v>
      </c>
      <c r="K275" s="80">
        <f t="shared" si="32"/>
        <v>0</v>
      </c>
      <c r="L275" s="79"/>
    </row>
    <row r="276" spans="1:12">
      <c r="A276" s="81">
        <v>213</v>
      </c>
      <c r="B276" s="80">
        <f t="shared" si="25"/>
        <v>0</v>
      </c>
      <c r="C276" s="80">
        <f t="shared" si="26"/>
        <v>0</v>
      </c>
      <c r="D276" s="80">
        <f t="shared" si="27"/>
        <v>0</v>
      </c>
      <c r="E276" s="80">
        <f t="shared" si="28"/>
        <v>0</v>
      </c>
      <c r="F276" s="79"/>
      <c r="G276" s="81">
        <v>213</v>
      </c>
      <c r="H276" s="80">
        <f t="shared" si="29"/>
        <v>0</v>
      </c>
      <c r="I276" s="80">
        <f t="shared" si="30"/>
        <v>0</v>
      </c>
      <c r="J276" s="80">
        <f t="shared" si="31"/>
        <v>0</v>
      </c>
      <c r="K276" s="80">
        <f t="shared" si="32"/>
        <v>0</v>
      </c>
      <c r="L276" s="79"/>
    </row>
    <row r="277" spans="1:12">
      <c r="A277" s="81">
        <v>214</v>
      </c>
      <c r="B277" s="80">
        <f t="shared" si="25"/>
        <v>0</v>
      </c>
      <c r="C277" s="80">
        <f t="shared" si="26"/>
        <v>0</v>
      </c>
      <c r="D277" s="80">
        <f t="shared" si="27"/>
        <v>0</v>
      </c>
      <c r="E277" s="80">
        <f t="shared" si="28"/>
        <v>0</v>
      </c>
      <c r="F277" s="79"/>
      <c r="G277" s="81">
        <v>214</v>
      </c>
      <c r="H277" s="80">
        <f t="shared" si="29"/>
        <v>0</v>
      </c>
      <c r="I277" s="80">
        <f t="shared" si="30"/>
        <v>0</v>
      </c>
      <c r="J277" s="80">
        <f t="shared" si="31"/>
        <v>0</v>
      </c>
      <c r="K277" s="80">
        <f t="shared" si="32"/>
        <v>0</v>
      </c>
      <c r="L277" s="79"/>
    </row>
    <row r="278" spans="1:12">
      <c r="A278" s="81">
        <v>215</v>
      </c>
      <c r="B278" s="80">
        <f t="shared" si="25"/>
        <v>0</v>
      </c>
      <c r="C278" s="80">
        <f t="shared" si="26"/>
        <v>0</v>
      </c>
      <c r="D278" s="80">
        <f t="shared" si="27"/>
        <v>0</v>
      </c>
      <c r="E278" s="80">
        <f t="shared" si="28"/>
        <v>0</v>
      </c>
      <c r="F278" s="79"/>
      <c r="G278" s="81">
        <v>215</v>
      </c>
      <c r="H278" s="80">
        <f t="shared" si="29"/>
        <v>0</v>
      </c>
      <c r="I278" s="80">
        <f t="shared" si="30"/>
        <v>0</v>
      </c>
      <c r="J278" s="80">
        <f t="shared" si="31"/>
        <v>0</v>
      </c>
      <c r="K278" s="80">
        <f t="shared" si="32"/>
        <v>0</v>
      </c>
      <c r="L278" s="79"/>
    </row>
    <row r="279" spans="1:12">
      <c r="A279" s="81">
        <v>216</v>
      </c>
      <c r="B279" s="80">
        <f t="shared" si="25"/>
        <v>0</v>
      </c>
      <c r="C279" s="80">
        <f t="shared" si="26"/>
        <v>0</v>
      </c>
      <c r="D279" s="80">
        <f t="shared" si="27"/>
        <v>0</v>
      </c>
      <c r="E279" s="80">
        <f t="shared" si="28"/>
        <v>0</v>
      </c>
      <c r="F279" s="79">
        <v>18</v>
      </c>
      <c r="G279" s="81">
        <v>216</v>
      </c>
      <c r="H279" s="80">
        <f t="shared" si="29"/>
        <v>0</v>
      </c>
      <c r="I279" s="80">
        <f t="shared" si="30"/>
        <v>0</v>
      </c>
      <c r="J279" s="80">
        <f t="shared" si="31"/>
        <v>0</v>
      </c>
      <c r="K279" s="80">
        <f t="shared" si="32"/>
        <v>0</v>
      </c>
      <c r="L279" s="79">
        <v>18</v>
      </c>
    </row>
    <row r="280" spans="1:12">
      <c r="A280" s="81">
        <v>217</v>
      </c>
      <c r="B280" s="80">
        <f t="shared" si="25"/>
        <v>0</v>
      </c>
      <c r="C280" s="80">
        <f t="shared" si="26"/>
        <v>0</v>
      </c>
      <c r="D280" s="80">
        <f t="shared" si="27"/>
        <v>0</v>
      </c>
      <c r="E280" s="80">
        <f t="shared" si="28"/>
        <v>0</v>
      </c>
      <c r="F280" s="79"/>
      <c r="G280" s="81">
        <v>217</v>
      </c>
      <c r="H280" s="80">
        <f t="shared" si="29"/>
        <v>0</v>
      </c>
      <c r="I280" s="80">
        <f t="shared" si="30"/>
        <v>0</v>
      </c>
      <c r="J280" s="80">
        <f t="shared" si="31"/>
        <v>0</v>
      </c>
      <c r="K280" s="80">
        <f t="shared" si="32"/>
        <v>0</v>
      </c>
      <c r="L280" s="79"/>
    </row>
    <row r="281" spans="1:12">
      <c r="A281" s="81">
        <v>218</v>
      </c>
      <c r="B281" s="80">
        <f t="shared" si="25"/>
        <v>0</v>
      </c>
      <c r="C281" s="80">
        <f t="shared" si="26"/>
        <v>0</v>
      </c>
      <c r="D281" s="80">
        <f t="shared" si="27"/>
        <v>0</v>
      </c>
      <c r="E281" s="80">
        <f t="shared" si="28"/>
        <v>0</v>
      </c>
      <c r="F281" s="79"/>
      <c r="G281" s="81">
        <v>218</v>
      </c>
      <c r="H281" s="80">
        <f t="shared" si="29"/>
        <v>0</v>
      </c>
      <c r="I281" s="80">
        <f t="shared" si="30"/>
        <v>0</v>
      </c>
      <c r="J281" s="80">
        <f t="shared" si="31"/>
        <v>0</v>
      </c>
      <c r="K281" s="80">
        <f t="shared" si="32"/>
        <v>0</v>
      </c>
      <c r="L281" s="79"/>
    </row>
    <row r="282" spans="1:12">
      <c r="A282" s="81">
        <v>219</v>
      </c>
      <c r="B282" s="80">
        <f t="shared" si="25"/>
        <v>0</v>
      </c>
      <c r="C282" s="80">
        <f t="shared" si="26"/>
        <v>0</v>
      </c>
      <c r="D282" s="80">
        <f t="shared" si="27"/>
        <v>0</v>
      </c>
      <c r="E282" s="80">
        <f t="shared" si="28"/>
        <v>0</v>
      </c>
      <c r="F282" s="79"/>
      <c r="G282" s="81">
        <v>219</v>
      </c>
      <c r="H282" s="80">
        <f t="shared" si="29"/>
        <v>0</v>
      </c>
      <c r="I282" s="80">
        <f t="shared" si="30"/>
        <v>0</v>
      </c>
      <c r="J282" s="80">
        <f t="shared" si="31"/>
        <v>0</v>
      </c>
      <c r="K282" s="80">
        <f t="shared" si="32"/>
        <v>0</v>
      </c>
      <c r="L282" s="79"/>
    </row>
    <row r="283" spans="1:12">
      <c r="A283" s="81">
        <v>220</v>
      </c>
      <c r="B283" s="80">
        <f t="shared" si="25"/>
        <v>0</v>
      </c>
      <c r="C283" s="80">
        <f t="shared" si="26"/>
        <v>0</v>
      </c>
      <c r="D283" s="80">
        <f t="shared" si="27"/>
        <v>0</v>
      </c>
      <c r="E283" s="80">
        <f t="shared" si="28"/>
        <v>0</v>
      </c>
      <c r="F283" s="79"/>
      <c r="G283" s="81">
        <v>220</v>
      </c>
      <c r="H283" s="80">
        <f t="shared" si="29"/>
        <v>0</v>
      </c>
      <c r="I283" s="80">
        <f t="shared" si="30"/>
        <v>0</v>
      </c>
      <c r="J283" s="80">
        <f t="shared" si="31"/>
        <v>0</v>
      </c>
      <c r="K283" s="80">
        <f t="shared" si="32"/>
        <v>0</v>
      </c>
      <c r="L283" s="79"/>
    </row>
    <row r="284" spans="1:12">
      <c r="A284" s="81">
        <v>221</v>
      </c>
      <c r="B284" s="80">
        <f t="shared" si="25"/>
        <v>0</v>
      </c>
      <c r="C284" s="80">
        <f t="shared" si="26"/>
        <v>0</v>
      </c>
      <c r="D284" s="80">
        <f t="shared" si="27"/>
        <v>0</v>
      </c>
      <c r="E284" s="80">
        <f t="shared" si="28"/>
        <v>0</v>
      </c>
      <c r="F284" s="79"/>
      <c r="G284" s="81">
        <v>221</v>
      </c>
      <c r="H284" s="80">
        <f t="shared" si="29"/>
        <v>0</v>
      </c>
      <c r="I284" s="80">
        <f t="shared" si="30"/>
        <v>0</v>
      </c>
      <c r="J284" s="80">
        <f t="shared" si="31"/>
        <v>0</v>
      </c>
      <c r="K284" s="80">
        <f t="shared" si="32"/>
        <v>0</v>
      </c>
      <c r="L284" s="79"/>
    </row>
    <row r="285" spans="1:12">
      <c r="A285" s="81">
        <v>222</v>
      </c>
      <c r="B285" s="80">
        <f t="shared" si="25"/>
        <v>0</v>
      </c>
      <c r="C285" s="80">
        <f t="shared" si="26"/>
        <v>0</v>
      </c>
      <c r="D285" s="80">
        <f t="shared" si="27"/>
        <v>0</v>
      </c>
      <c r="E285" s="80">
        <f t="shared" si="28"/>
        <v>0</v>
      </c>
      <c r="F285" s="79"/>
      <c r="G285" s="81">
        <v>222</v>
      </c>
      <c r="H285" s="80">
        <f t="shared" si="29"/>
        <v>0</v>
      </c>
      <c r="I285" s="80">
        <f t="shared" si="30"/>
        <v>0</v>
      </c>
      <c r="J285" s="80">
        <f t="shared" si="31"/>
        <v>0</v>
      </c>
      <c r="K285" s="80">
        <f t="shared" si="32"/>
        <v>0</v>
      </c>
      <c r="L285" s="79"/>
    </row>
    <row r="286" spans="1:12">
      <c r="A286" s="81">
        <v>223</v>
      </c>
      <c r="B286" s="80">
        <f t="shared" si="25"/>
        <v>0</v>
      </c>
      <c r="C286" s="80">
        <f t="shared" si="26"/>
        <v>0</v>
      </c>
      <c r="D286" s="80">
        <f t="shared" si="27"/>
        <v>0</v>
      </c>
      <c r="E286" s="80">
        <f t="shared" si="28"/>
        <v>0</v>
      </c>
      <c r="F286" s="79"/>
      <c r="G286" s="81">
        <v>223</v>
      </c>
      <c r="H286" s="80">
        <f t="shared" si="29"/>
        <v>0</v>
      </c>
      <c r="I286" s="80">
        <f t="shared" si="30"/>
        <v>0</v>
      </c>
      <c r="J286" s="80">
        <f t="shared" si="31"/>
        <v>0</v>
      </c>
      <c r="K286" s="80">
        <f t="shared" si="32"/>
        <v>0</v>
      </c>
      <c r="L286" s="79"/>
    </row>
    <row r="287" spans="1:12">
      <c r="A287" s="81">
        <v>224</v>
      </c>
      <c r="B287" s="80">
        <f t="shared" si="25"/>
        <v>0</v>
      </c>
      <c r="C287" s="80">
        <f t="shared" si="26"/>
        <v>0</v>
      </c>
      <c r="D287" s="80">
        <f t="shared" si="27"/>
        <v>0</v>
      </c>
      <c r="E287" s="80">
        <f t="shared" si="28"/>
        <v>0</v>
      </c>
      <c r="F287" s="79"/>
      <c r="G287" s="81">
        <v>224</v>
      </c>
      <c r="H287" s="80">
        <f t="shared" si="29"/>
        <v>0</v>
      </c>
      <c r="I287" s="80">
        <f t="shared" si="30"/>
        <v>0</v>
      </c>
      <c r="J287" s="80">
        <f t="shared" si="31"/>
        <v>0</v>
      </c>
      <c r="K287" s="80">
        <f t="shared" si="32"/>
        <v>0</v>
      </c>
      <c r="L287" s="79"/>
    </row>
    <row r="288" spans="1:12">
      <c r="A288" s="81">
        <v>225</v>
      </c>
      <c r="B288" s="80">
        <f t="shared" si="25"/>
        <v>0</v>
      </c>
      <c r="C288" s="80">
        <f t="shared" si="26"/>
        <v>0</v>
      </c>
      <c r="D288" s="80">
        <f t="shared" si="27"/>
        <v>0</v>
      </c>
      <c r="E288" s="80">
        <f t="shared" si="28"/>
        <v>0</v>
      </c>
      <c r="F288" s="79"/>
      <c r="G288" s="81">
        <v>225</v>
      </c>
      <c r="H288" s="80">
        <f t="shared" si="29"/>
        <v>0</v>
      </c>
      <c r="I288" s="80">
        <f t="shared" si="30"/>
        <v>0</v>
      </c>
      <c r="J288" s="80">
        <f t="shared" si="31"/>
        <v>0</v>
      </c>
      <c r="K288" s="80">
        <f t="shared" si="32"/>
        <v>0</v>
      </c>
      <c r="L288" s="79"/>
    </row>
    <row r="289" spans="1:12">
      <c r="A289" s="81">
        <v>226</v>
      </c>
      <c r="B289" s="80">
        <f t="shared" si="25"/>
        <v>0</v>
      </c>
      <c r="C289" s="80">
        <f t="shared" si="26"/>
        <v>0</v>
      </c>
      <c r="D289" s="80">
        <f t="shared" si="27"/>
        <v>0</v>
      </c>
      <c r="E289" s="80">
        <f t="shared" si="28"/>
        <v>0</v>
      </c>
      <c r="F289" s="79"/>
      <c r="G289" s="81">
        <v>226</v>
      </c>
      <c r="H289" s="80">
        <f t="shared" si="29"/>
        <v>0</v>
      </c>
      <c r="I289" s="80">
        <f t="shared" si="30"/>
        <v>0</v>
      </c>
      <c r="J289" s="80">
        <f t="shared" si="31"/>
        <v>0</v>
      </c>
      <c r="K289" s="80">
        <f t="shared" si="32"/>
        <v>0</v>
      </c>
      <c r="L289" s="79"/>
    </row>
    <row r="290" spans="1:12">
      <c r="A290" s="81">
        <v>227</v>
      </c>
      <c r="B290" s="80">
        <f t="shared" si="25"/>
        <v>0</v>
      </c>
      <c r="C290" s="80">
        <f t="shared" si="26"/>
        <v>0</v>
      </c>
      <c r="D290" s="80">
        <f t="shared" si="27"/>
        <v>0</v>
      </c>
      <c r="E290" s="80">
        <f t="shared" si="28"/>
        <v>0</v>
      </c>
      <c r="F290" s="79"/>
      <c r="G290" s="81">
        <v>227</v>
      </c>
      <c r="H290" s="80">
        <f t="shared" si="29"/>
        <v>0</v>
      </c>
      <c r="I290" s="80">
        <f t="shared" si="30"/>
        <v>0</v>
      </c>
      <c r="J290" s="80">
        <f t="shared" si="31"/>
        <v>0</v>
      </c>
      <c r="K290" s="80">
        <f t="shared" si="32"/>
        <v>0</v>
      </c>
      <c r="L290" s="79"/>
    </row>
    <row r="291" spans="1:12">
      <c r="A291" s="81">
        <v>228</v>
      </c>
      <c r="B291" s="80">
        <f t="shared" si="25"/>
        <v>0</v>
      </c>
      <c r="C291" s="80">
        <f t="shared" si="26"/>
        <v>0</v>
      </c>
      <c r="D291" s="80">
        <f t="shared" si="27"/>
        <v>0</v>
      </c>
      <c r="E291" s="80">
        <f t="shared" si="28"/>
        <v>0</v>
      </c>
      <c r="F291" s="79">
        <v>19</v>
      </c>
      <c r="G291" s="81">
        <v>228</v>
      </c>
      <c r="H291" s="80">
        <f t="shared" si="29"/>
        <v>0</v>
      </c>
      <c r="I291" s="80">
        <f t="shared" si="30"/>
        <v>0</v>
      </c>
      <c r="J291" s="80">
        <f t="shared" si="31"/>
        <v>0</v>
      </c>
      <c r="K291" s="80">
        <f t="shared" si="32"/>
        <v>0</v>
      </c>
      <c r="L291" s="79">
        <v>19</v>
      </c>
    </row>
    <row r="292" spans="1:12">
      <c r="A292" s="81">
        <v>229</v>
      </c>
      <c r="B292" s="80">
        <f t="shared" si="25"/>
        <v>0</v>
      </c>
      <c r="C292" s="80">
        <f t="shared" si="26"/>
        <v>0</v>
      </c>
      <c r="D292" s="80">
        <f t="shared" si="27"/>
        <v>0</v>
      </c>
      <c r="E292" s="80">
        <f t="shared" si="28"/>
        <v>0</v>
      </c>
      <c r="F292" s="79"/>
      <c r="G292" s="81">
        <v>229</v>
      </c>
      <c r="H292" s="80">
        <f t="shared" si="29"/>
        <v>0</v>
      </c>
      <c r="I292" s="80">
        <f t="shared" si="30"/>
        <v>0</v>
      </c>
      <c r="J292" s="80">
        <f t="shared" si="31"/>
        <v>0</v>
      </c>
      <c r="K292" s="80">
        <f t="shared" si="32"/>
        <v>0</v>
      </c>
      <c r="L292" s="79"/>
    </row>
    <row r="293" spans="1:12">
      <c r="A293" s="81">
        <v>230</v>
      </c>
      <c r="B293" s="80">
        <f t="shared" si="25"/>
        <v>0</v>
      </c>
      <c r="C293" s="80">
        <f t="shared" si="26"/>
        <v>0</v>
      </c>
      <c r="D293" s="80">
        <f t="shared" si="27"/>
        <v>0</v>
      </c>
      <c r="E293" s="80">
        <f t="shared" si="28"/>
        <v>0</v>
      </c>
      <c r="F293" s="79"/>
      <c r="G293" s="81">
        <v>230</v>
      </c>
      <c r="H293" s="80">
        <f t="shared" si="29"/>
        <v>0</v>
      </c>
      <c r="I293" s="80">
        <f t="shared" si="30"/>
        <v>0</v>
      </c>
      <c r="J293" s="80">
        <f t="shared" si="31"/>
        <v>0</v>
      </c>
      <c r="K293" s="80">
        <f t="shared" si="32"/>
        <v>0</v>
      </c>
      <c r="L293" s="79"/>
    </row>
    <row r="294" spans="1:12">
      <c r="A294" s="81">
        <v>231</v>
      </c>
      <c r="B294" s="80">
        <f t="shared" si="25"/>
        <v>0</v>
      </c>
      <c r="C294" s="80">
        <f t="shared" si="26"/>
        <v>0</v>
      </c>
      <c r="D294" s="80">
        <f t="shared" si="27"/>
        <v>0</v>
      </c>
      <c r="E294" s="80">
        <f t="shared" si="28"/>
        <v>0</v>
      </c>
      <c r="F294" s="79"/>
      <c r="G294" s="81">
        <v>231</v>
      </c>
      <c r="H294" s="80">
        <f t="shared" si="29"/>
        <v>0</v>
      </c>
      <c r="I294" s="80">
        <f t="shared" si="30"/>
        <v>0</v>
      </c>
      <c r="J294" s="80">
        <f t="shared" si="31"/>
        <v>0</v>
      </c>
      <c r="K294" s="80">
        <f t="shared" si="32"/>
        <v>0</v>
      </c>
      <c r="L294" s="79"/>
    </row>
    <row r="295" spans="1:12">
      <c r="A295" s="81">
        <v>232</v>
      </c>
      <c r="B295" s="80">
        <f t="shared" si="25"/>
        <v>0</v>
      </c>
      <c r="C295" s="80">
        <f t="shared" si="26"/>
        <v>0</v>
      </c>
      <c r="D295" s="80">
        <f t="shared" si="27"/>
        <v>0</v>
      </c>
      <c r="E295" s="80">
        <f t="shared" si="28"/>
        <v>0</v>
      </c>
      <c r="F295" s="79"/>
      <c r="G295" s="81">
        <v>232</v>
      </c>
      <c r="H295" s="80">
        <f t="shared" si="29"/>
        <v>0</v>
      </c>
      <c r="I295" s="80">
        <f t="shared" si="30"/>
        <v>0</v>
      </c>
      <c r="J295" s="80">
        <f t="shared" si="31"/>
        <v>0</v>
      </c>
      <c r="K295" s="80">
        <f t="shared" si="32"/>
        <v>0</v>
      </c>
      <c r="L295" s="79"/>
    </row>
    <row r="296" spans="1:12">
      <c r="A296" s="81">
        <v>233</v>
      </c>
      <c r="B296" s="80">
        <f t="shared" si="25"/>
        <v>0</v>
      </c>
      <c r="C296" s="80">
        <f t="shared" si="26"/>
        <v>0</v>
      </c>
      <c r="D296" s="80">
        <f t="shared" si="27"/>
        <v>0</v>
      </c>
      <c r="E296" s="80">
        <f t="shared" si="28"/>
        <v>0</v>
      </c>
      <c r="F296" s="79"/>
      <c r="G296" s="81">
        <v>233</v>
      </c>
      <c r="H296" s="80">
        <f t="shared" si="29"/>
        <v>0</v>
      </c>
      <c r="I296" s="80">
        <f t="shared" si="30"/>
        <v>0</v>
      </c>
      <c r="J296" s="80">
        <f t="shared" si="31"/>
        <v>0</v>
      </c>
      <c r="K296" s="80">
        <f t="shared" si="32"/>
        <v>0</v>
      </c>
      <c r="L296" s="79"/>
    </row>
    <row r="297" spans="1:12">
      <c r="A297" s="81">
        <v>234</v>
      </c>
      <c r="B297" s="80">
        <f t="shared" si="25"/>
        <v>0</v>
      </c>
      <c r="C297" s="80">
        <f t="shared" si="26"/>
        <v>0</v>
      </c>
      <c r="D297" s="80">
        <f t="shared" si="27"/>
        <v>0</v>
      </c>
      <c r="E297" s="80">
        <f t="shared" si="28"/>
        <v>0</v>
      </c>
      <c r="F297" s="79"/>
      <c r="G297" s="81">
        <v>234</v>
      </c>
      <c r="H297" s="80">
        <f t="shared" si="29"/>
        <v>0</v>
      </c>
      <c r="I297" s="80">
        <f t="shared" si="30"/>
        <v>0</v>
      </c>
      <c r="J297" s="80">
        <f t="shared" si="31"/>
        <v>0</v>
      </c>
      <c r="K297" s="80">
        <f t="shared" si="32"/>
        <v>0</v>
      </c>
      <c r="L297" s="79"/>
    </row>
    <row r="298" spans="1:12">
      <c r="A298" s="81">
        <v>235</v>
      </c>
      <c r="B298" s="80">
        <f t="shared" si="25"/>
        <v>0</v>
      </c>
      <c r="C298" s="80">
        <f t="shared" si="26"/>
        <v>0</v>
      </c>
      <c r="D298" s="80">
        <f t="shared" si="27"/>
        <v>0</v>
      </c>
      <c r="E298" s="80">
        <f t="shared" si="28"/>
        <v>0</v>
      </c>
      <c r="F298" s="79"/>
      <c r="G298" s="81">
        <v>235</v>
      </c>
      <c r="H298" s="80">
        <f t="shared" si="29"/>
        <v>0</v>
      </c>
      <c r="I298" s="80">
        <f t="shared" si="30"/>
        <v>0</v>
      </c>
      <c r="J298" s="80">
        <f t="shared" si="31"/>
        <v>0</v>
      </c>
      <c r="K298" s="80">
        <f t="shared" si="32"/>
        <v>0</v>
      </c>
      <c r="L298" s="79"/>
    </row>
    <row r="299" spans="1:12">
      <c r="A299" s="81">
        <v>236</v>
      </c>
      <c r="B299" s="80">
        <f t="shared" si="25"/>
        <v>0</v>
      </c>
      <c r="C299" s="80">
        <f t="shared" si="26"/>
        <v>0</v>
      </c>
      <c r="D299" s="80">
        <f t="shared" si="27"/>
        <v>0</v>
      </c>
      <c r="E299" s="80">
        <f t="shared" si="28"/>
        <v>0</v>
      </c>
      <c r="F299" s="79"/>
      <c r="G299" s="81">
        <v>236</v>
      </c>
      <c r="H299" s="80">
        <f t="shared" si="29"/>
        <v>0</v>
      </c>
      <c r="I299" s="80">
        <f t="shared" si="30"/>
        <v>0</v>
      </c>
      <c r="J299" s="80">
        <f t="shared" si="31"/>
        <v>0</v>
      </c>
      <c r="K299" s="80">
        <f t="shared" si="32"/>
        <v>0</v>
      </c>
      <c r="L299" s="79"/>
    </row>
    <row r="300" spans="1:12">
      <c r="A300" s="81">
        <v>237</v>
      </c>
      <c r="B300" s="80">
        <f t="shared" si="25"/>
        <v>0</v>
      </c>
      <c r="C300" s="80">
        <f t="shared" si="26"/>
        <v>0</v>
      </c>
      <c r="D300" s="80">
        <f t="shared" si="27"/>
        <v>0</v>
      </c>
      <c r="E300" s="80">
        <f t="shared" si="28"/>
        <v>0</v>
      </c>
      <c r="F300" s="79"/>
      <c r="G300" s="81">
        <v>237</v>
      </c>
      <c r="H300" s="80">
        <f t="shared" si="29"/>
        <v>0</v>
      </c>
      <c r="I300" s="80">
        <f t="shared" si="30"/>
        <v>0</v>
      </c>
      <c r="J300" s="80">
        <f t="shared" si="31"/>
        <v>0</v>
      </c>
      <c r="K300" s="80">
        <f t="shared" si="32"/>
        <v>0</v>
      </c>
      <c r="L300" s="79"/>
    </row>
    <row r="301" spans="1:12">
      <c r="A301" s="81">
        <v>238</v>
      </c>
      <c r="B301" s="80">
        <f t="shared" si="25"/>
        <v>0</v>
      </c>
      <c r="C301" s="80">
        <f t="shared" si="26"/>
        <v>0</v>
      </c>
      <c r="D301" s="80">
        <f t="shared" si="27"/>
        <v>0</v>
      </c>
      <c r="E301" s="80">
        <f t="shared" si="28"/>
        <v>0</v>
      </c>
      <c r="F301" s="79"/>
      <c r="G301" s="81">
        <v>238</v>
      </c>
      <c r="H301" s="80">
        <f t="shared" si="29"/>
        <v>0</v>
      </c>
      <c r="I301" s="80">
        <f t="shared" si="30"/>
        <v>0</v>
      </c>
      <c r="J301" s="80">
        <f t="shared" si="31"/>
        <v>0</v>
      </c>
      <c r="K301" s="80">
        <f t="shared" si="32"/>
        <v>0</v>
      </c>
      <c r="L301" s="79"/>
    </row>
    <row r="302" spans="1:12">
      <c r="A302" s="81">
        <v>239</v>
      </c>
      <c r="B302" s="80">
        <f t="shared" si="25"/>
        <v>0</v>
      </c>
      <c r="C302" s="80">
        <f t="shared" si="26"/>
        <v>0</v>
      </c>
      <c r="D302" s="80">
        <f t="shared" si="27"/>
        <v>0</v>
      </c>
      <c r="E302" s="80">
        <f t="shared" si="28"/>
        <v>0</v>
      </c>
      <c r="F302" s="79"/>
      <c r="G302" s="81">
        <v>239</v>
      </c>
      <c r="H302" s="80">
        <f t="shared" si="29"/>
        <v>0</v>
      </c>
      <c r="I302" s="80">
        <f t="shared" si="30"/>
        <v>0</v>
      </c>
      <c r="J302" s="80">
        <f t="shared" si="31"/>
        <v>0</v>
      </c>
      <c r="K302" s="80">
        <f t="shared" si="32"/>
        <v>0</v>
      </c>
      <c r="L302" s="79"/>
    </row>
    <row r="303" spans="1:12">
      <c r="A303" s="81">
        <v>240</v>
      </c>
      <c r="B303" s="80">
        <f t="shared" si="25"/>
        <v>0</v>
      </c>
      <c r="C303" s="80">
        <f t="shared" si="26"/>
        <v>0</v>
      </c>
      <c r="D303" s="80">
        <f t="shared" si="27"/>
        <v>0</v>
      </c>
      <c r="E303" s="80">
        <f t="shared" si="28"/>
        <v>0</v>
      </c>
      <c r="F303" s="79">
        <v>20</v>
      </c>
      <c r="G303" s="81">
        <v>240</v>
      </c>
      <c r="H303" s="80">
        <f t="shared" si="29"/>
        <v>0</v>
      </c>
      <c r="I303" s="80">
        <f t="shared" si="30"/>
        <v>0</v>
      </c>
      <c r="J303" s="80">
        <f t="shared" si="31"/>
        <v>0</v>
      </c>
      <c r="K303" s="80">
        <f t="shared" si="32"/>
        <v>0</v>
      </c>
      <c r="L303" s="79">
        <v>20</v>
      </c>
    </row>
    <row r="304" spans="1:12">
      <c r="A304" s="81">
        <v>241</v>
      </c>
      <c r="B304" s="80">
        <f t="shared" si="25"/>
        <v>0</v>
      </c>
      <c r="C304" s="80">
        <f t="shared" si="26"/>
        <v>0</v>
      </c>
      <c r="D304" s="80">
        <f t="shared" si="27"/>
        <v>0</v>
      </c>
      <c r="E304" s="80">
        <f t="shared" si="28"/>
        <v>0</v>
      </c>
      <c r="F304" s="79"/>
      <c r="G304" s="81">
        <v>241</v>
      </c>
      <c r="H304" s="80">
        <f t="shared" si="29"/>
        <v>0</v>
      </c>
      <c r="I304" s="80">
        <f t="shared" si="30"/>
        <v>0</v>
      </c>
      <c r="J304" s="80">
        <f t="shared" si="31"/>
        <v>0</v>
      </c>
      <c r="K304" s="80">
        <f t="shared" si="32"/>
        <v>0</v>
      </c>
      <c r="L304" s="79"/>
    </row>
    <row r="305" spans="1:12">
      <c r="A305" s="81">
        <v>242</v>
      </c>
      <c r="B305" s="80">
        <f t="shared" si="25"/>
        <v>0</v>
      </c>
      <c r="C305" s="80">
        <f t="shared" si="26"/>
        <v>0</v>
      </c>
      <c r="D305" s="80">
        <f t="shared" si="27"/>
        <v>0</v>
      </c>
      <c r="E305" s="80">
        <f t="shared" si="28"/>
        <v>0</v>
      </c>
      <c r="F305" s="79"/>
      <c r="G305" s="81">
        <v>242</v>
      </c>
      <c r="H305" s="80">
        <f t="shared" si="29"/>
        <v>0</v>
      </c>
      <c r="I305" s="80">
        <f t="shared" si="30"/>
        <v>0</v>
      </c>
      <c r="J305" s="80">
        <f t="shared" si="31"/>
        <v>0</v>
      </c>
      <c r="K305" s="80">
        <f t="shared" si="32"/>
        <v>0</v>
      </c>
      <c r="L305" s="79"/>
    </row>
    <row r="306" spans="1:12">
      <c r="A306" s="81">
        <v>243</v>
      </c>
      <c r="B306" s="80">
        <f t="shared" si="25"/>
        <v>0</v>
      </c>
      <c r="C306" s="80">
        <f t="shared" si="26"/>
        <v>0</v>
      </c>
      <c r="D306" s="80">
        <f t="shared" si="27"/>
        <v>0</v>
      </c>
      <c r="E306" s="80">
        <f t="shared" si="28"/>
        <v>0</v>
      </c>
      <c r="F306" s="79"/>
      <c r="G306" s="81">
        <v>243</v>
      </c>
      <c r="H306" s="80">
        <f t="shared" si="29"/>
        <v>0</v>
      </c>
      <c r="I306" s="80">
        <f t="shared" si="30"/>
        <v>0</v>
      </c>
      <c r="J306" s="80">
        <f t="shared" si="31"/>
        <v>0</v>
      </c>
      <c r="K306" s="80">
        <f t="shared" si="32"/>
        <v>0</v>
      </c>
      <c r="L306" s="79"/>
    </row>
    <row r="307" spans="1:12">
      <c r="A307" s="81">
        <v>244</v>
      </c>
      <c r="B307" s="80">
        <f t="shared" si="25"/>
        <v>0</v>
      </c>
      <c r="C307" s="80">
        <f t="shared" si="26"/>
        <v>0</v>
      </c>
      <c r="D307" s="80">
        <f t="shared" si="27"/>
        <v>0</v>
      </c>
      <c r="E307" s="80">
        <f t="shared" si="28"/>
        <v>0</v>
      </c>
      <c r="F307" s="79"/>
      <c r="G307" s="81">
        <v>244</v>
      </c>
      <c r="H307" s="80">
        <f t="shared" si="29"/>
        <v>0</v>
      </c>
      <c r="I307" s="80">
        <f t="shared" si="30"/>
        <v>0</v>
      </c>
      <c r="J307" s="80">
        <f t="shared" si="31"/>
        <v>0</v>
      </c>
      <c r="K307" s="80">
        <f t="shared" si="32"/>
        <v>0</v>
      </c>
      <c r="L307" s="79"/>
    </row>
    <row r="308" spans="1:12">
      <c r="A308" s="81">
        <v>245</v>
      </c>
      <c r="B308" s="80">
        <f t="shared" si="25"/>
        <v>0</v>
      </c>
      <c r="C308" s="80">
        <f t="shared" si="26"/>
        <v>0</v>
      </c>
      <c r="D308" s="80">
        <f t="shared" si="27"/>
        <v>0</v>
      </c>
      <c r="E308" s="80">
        <f t="shared" si="28"/>
        <v>0</v>
      </c>
      <c r="F308" s="79"/>
      <c r="G308" s="81">
        <v>245</v>
      </c>
      <c r="H308" s="80">
        <f t="shared" si="29"/>
        <v>0</v>
      </c>
      <c r="I308" s="80">
        <f t="shared" si="30"/>
        <v>0</v>
      </c>
      <c r="J308" s="80">
        <f t="shared" si="31"/>
        <v>0</v>
      </c>
      <c r="K308" s="80">
        <f t="shared" si="32"/>
        <v>0</v>
      </c>
      <c r="L308" s="79"/>
    </row>
    <row r="309" spans="1:12">
      <c r="A309" s="81">
        <v>246</v>
      </c>
      <c r="B309" s="80">
        <f t="shared" si="25"/>
        <v>0</v>
      </c>
      <c r="C309" s="80">
        <f t="shared" si="26"/>
        <v>0</v>
      </c>
      <c r="D309" s="80">
        <f t="shared" si="27"/>
        <v>0</v>
      </c>
      <c r="E309" s="80">
        <f t="shared" si="28"/>
        <v>0</v>
      </c>
      <c r="F309" s="79"/>
      <c r="G309" s="81">
        <v>246</v>
      </c>
      <c r="H309" s="80">
        <f t="shared" si="29"/>
        <v>0</v>
      </c>
      <c r="I309" s="80">
        <f t="shared" si="30"/>
        <v>0</v>
      </c>
      <c r="J309" s="80">
        <f t="shared" si="31"/>
        <v>0</v>
      </c>
      <c r="K309" s="80">
        <f t="shared" si="32"/>
        <v>0</v>
      </c>
      <c r="L309" s="79"/>
    </row>
    <row r="310" spans="1:12">
      <c r="A310" s="81">
        <v>247</v>
      </c>
      <c r="B310" s="80">
        <f t="shared" si="25"/>
        <v>0</v>
      </c>
      <c r="C310" s="80">
        <f t="shared" si="26"/>
        <v>0</v>
      </c>
      <c r="D310" s="80">
        <f t="shared" si="27"/>
        <v>0</v>
      </c>
      <c r="E310" s="80">
        <f t="shared" si="28"/>
        <v>0</v>
      </c>
      <c r="F310" s="79"/>
      <c r="G310" s="81">
        <v>247</v>
      </c>
      <c r="H310" s="80">
        <f t="shared" si="29"/>
        <v>0</v>
      </c>
      <c r="I310" s="80">
        <f t="shared" si="30"/>
        <v>0</v>
      </c>
      <c r="J310" s="80">
        <f t="shared" si="31"/>
        <v>0</v>
      </c>
      <c r="K310" s="80">
        <f t="shared" si="32"/>
        <v>0</v>
      </c>
      <c r="L310" s="79"/>
    </row>
    <row r="311" spans="1:12">
      <c r="A311" s="81">
        <v>248</v>
      </c>
      <c r="B311" s="80">
        <f t="shared" si="25"/>
        <v>0</v>
      </c>
      <c r="C311" s="80">
        <f t="shared" si="26"/>
        <v>0</v>
      </c>
      <c r="D311" s="80">
        <f t="shared" si="27"/>
        <v>0</v>
      </c>
      <c r="E311" s="80">
        <f t="shared" si="28"/>
        <v>0</v>
      </c>
      <c r="F311" s="79"/>
      <c r="G311" s="81">
        <v>248</v>
      </c>
      <c r="H311" s="80">
        <f t="shared" si="29"/>
        <v>0</v>
      </c>
      <c r="I311" s="80">
        <f t="shared" si="30"/>
        <v>0</v>
      </c>
      <c r="J311" s="80">
        <f t="shared" si="31"/>
        <v>0</v>
      </c>
      <c r="K311" s="80">
        <f t="shared" si="32"/>
        <v>0</v>
      </c>
      <c r="L311" s="79"/>
    </row>
    <row r="312" spans="1:12">
      <c r="A312" s="81">
        <v>249</v>
      </c>
      <c r="B312" s="80">
        <f t="shared" si="25"/>
        <v>0</v>
      </c>
      <c r="C312" s="80">
        <f t="shared" si="26"/>
        <v>0</v>
      </c>
      <c r="D312" s="80">
        <f t="shared" si="27"/>
        <v>0</v>
      </c>
      <c r="E312" s="80">
        <f t="shared" si="28"/>
        <v>0</v>
      </c>
      <c r="F312" s="79"/>
      <c r="G312" s="81">
        <v>249</v>
      </c>
      <c r="H312" s="80">
        <f t="shared" si="29"/>
        <v>0</v>
      </c>
      <c r="I312" s="80">
        <f t="shared" si="30"/>
        <v>0</v>
      </c>
      <c r="J312" s="80">
        <f t="shared" si="31"/>
        <v>0</v>
      </c>
      <c r="K312" s="80">
        <f t="shared" si="32"/>
        <v>0</v>
      </c>
      <c r="L312" s="79"/>
    </row>
    <row r="313" spans="1:12">
      <c r="A313" s="81">
        <v>250</v>
      </c>
      <c r="B313" s="80">
        <f t="shared" si="25"/>
        <v>0</v>
      </c>
      <c r="C313" s="80">
        <f t="shared" si="26"/>
        <v>0</v>
      </c>
      <c r="D313" s="80">
        <f t="shared" si="27"/>
        <v>0</v>
      </c>
      <c r="E313" s="80">
        <f t="shared" si="28"/>
        <v>0</v>
      </c>
      <c r="F313" s="79"/>
      <c r="G313" s="81">
        <v>250</v>
      </c>
      <c r="H313" s="80">
        <f t="shared" si="29"/>
        <v>0</v>
      </c>
      <c r="I313" s="80">
        <f t="shared" si="30"/>
        <v>0</v>
      </c>
      <c r="J313" s="80">
        <f t="shared" si="31"/>
        <v>0</v>
      </c>
      <c r="K313" s="80">
        <f t="shared" si="32"/>
        <v>0</v>
      </c>
      <c r="L313" s="79"/>
    </row>
    <row r="314" spans="1:12">
      <c r="A314" s="81">
        <v>251</v>
      </c>
      <c r="B314" s="80">
        <f t="shared" si="25"/>
        <v>0</v>
      </c>
      <c r="C314" s="80">
        <f t="shared" si="26"/>
        <v>0</v>
      </c>
      <c r="D314" s="80">
        <f t="shared" si="27"/>
        <v>0</v>
      </c>
      <c r="E314" s="80">
        <f t="shared" si="28"/>
        <v>0</v>
      </c>
      <c r="F314" s="79"/>
      <c r="G314" s="81">
        <v>251</v>
      </c>
      <c r="H314" s="80">
        <f t="shared" si="29"/>
        <v>0</v>
      </c>
      <c r="I314" s="80">
        <f t="shared" si="30"/>
        <v>0</v>
      </c>
      <c r="J314" s="80">
        <f t="shared" si="31"/>
        <v>0</v>
      </c>
      <c r="K314" s="80">
        <f t="shared" si="32"/>
        <v>0</v>
      </c>
      <c r="L314" s="79"/>
    </row>
    <row r="315" spans="1:12">
      <c r="A315" s="81">
        <v>252</v>
      </c>
      <c r="B315" s="80">
        <f t="shared" si="25"/>
        <v>0</v>
      </c>
      <c r="C315" s="80">
        <f t="shared" si="26"/>
        <v>0</v>
      </c>
      <c r="D315" s="80">
        <f t="shared" si="27"/>
        <v>0</v>
      </c>
      <c r="E315" s="80">
        <f t="shared" si="28"/>
        <v>0</v>
      </c>
      <c r="F315" s="79">
        <v>21</v>
      </c>
      <c r="G315" s="81">
        <v>252</v>
      </c>
      <c r="H315" s="80">
        <f t="shared" si="29"/>
        <v>0</v>
      </c>
      <c r="I315" s="80">
        <f t="shared" si="30"/>
        <v>0</v>
      </c>
      <c r="J315" s="80">
        <f t="shared" si="31"/>
        <v>0</v>
      </c>
      <c r="K315" s="80">
        <f t="shared" si="32"/>
        <v>0</v>
      </c>
      <c r="L315" s="79">
        <v>21</v>
      </c>
    </row>
    <row r="316" spans="1:12">
      <c r="A316" s="81">
        <v>253</v>
      </c>
      <c r="B316" s="80">
        <f t="shared" si="25"/>
        <v>0</v>
      </c>
      <c r="C316" s="80">
        <f t="shared" si="26"/>
        <v>0</v>
      </c>
      <c r="D316" s="80">
        <f t="shared" si="27"/>
        <v>0</v>
      </c>
      <c r="E316" s="80">
        <f t="shared" si="28"/>
        <v>0</v>
      </c>
      <c r="F316" s="79"/>
      <c r="G316" s="81">
        <v>253</v>
      </c>
      <c r="H316" s="80">
        <f t="shared" si="29"/>
        <v>0</v>
      </c>
      <c r="I316" s="80">
        <f t="shared" si="30"/>
        <v>0</v>
      </c>
      <c r="J316" s="80">
        <f t="shared" si="31"/>
        <v>0</v>
      </c>
      <c r="K316" s="80">
        <f t="shared" si="32"/>
        <v>0</v>
      </c>
      <c r="L316" s="79"/>
    </row>
    <row r="317" spans="1:12">
      <c r="A317" s="81">
        <v>254</v>
      </c>
      <c r="B317" s="80">
        <f t="shared" si="25"/>
        <v>0</v>
      </c>
      <c r="C317" s="80">
        <f t="shared" si="26"/>
        <v>0</v>
      </c>
      <c r="D317" s="80">
        <f t="shared" si="27"/>
        <v>0</v>
      </c>
      <c r="E317" s="80">
        <f t="shared" si="28"/>
        <v>0</v>
      </c>
      <c r="F317" s="79"/>
      <c r="G317" s="81">
        <v>254</v>
      </c>
      <c r="H317" s="80">
        <f t="shared" si="29"/>
        <v>0</v>
      </c>
      <c r="I317" s="80">
        <f t="shared" si="30"/>
        <v>0</v>
      </c>
      <c r="J317" s="80">
        <f t="shared" si="31"/>
        <v>0</v>
      </c>
      <c r="K317" s="80">
        <f t="shared" si="32"/>
        <v>0</v>
      </c>
      <c r="L317" s="79"/>
    </row>
    <row r="318" spans="1:12">
      <c r="A318" s="81">
        <v>255</v>
      </c>
      <c r="B318" s="80">
        <f t="shared" si="25"/>
        <v>0</v>
      </c>
      <c r="C318" s="80">
        <f t="shared" si="26"/>
        <v>0</v>
      </c>
      <c r="D318" s="80">
        <f t="shared" si="27"/>
        <v>0</v>
      </c>
      <c r="E318" s="80">
        <f t="shared" si="28"/>
        <v>0</v>
      </c>
      <c r="F318" s="79"/>
      <c r="G318" s="81">
        <v>255</v>
      </c>
      <c r="H318" s="80">
        <f t="shared" si="29"/>
        <v>0</v>
      </c>
      <c r="I318" s="80">
        <f t="shared" si="30"/>
        <v>0</v>
      </c>
      <c r="J318" s="80">
        <f t="shared" si="31"/>
        <v>0</v>
      </c>
      <c r="K318" s="80">
        <f t="shared" si="32"/>
        <v>0</v>
      </c>
      <c r="L318" s="79"/>
    </row>
    <row r="319" spans="1:12">
      <c r="A319" s="81">
        <v>256</v>
      </c>
      <c r="B319" s="80">
        <f t="shared" si="25"/>
        <v>0</v>
      </c>
      <c r="C319" s="80">
        <f t="shared" si="26"/>
        <v>0</v>
      </c>
      <c r="D319" s="80">
        <f t="shared" si="27"/>
        <v>0</v>
      </c>
      <c r="E319" s="80">
        <f t="shared" si="28"/>
        <v>0</v>
      </c>
      <c r="F319" s="79"/>
      <c r="G319" s="81">
        <v>256</v>
      </c>
      <c r="H319" s="80">
        <f t="shared" si="29"/>
        <v>0</v>
      </c>
      <c r="I319" s="80">
        <f t="shared" si="30"/>
        <v>0</v>
      </c>
      <c r="J319" s="80">
        <f t="shared" si="31"/>
        <v>0</v>
      </c>
      <c r="K319" s="80">
        <f t="shared" si="32"/>
        <v>0</v>
      </c>
      <c r="L319" s="79"/>
    </row>
    <row r="320" spans="1:12">
      <c r="A320" s="81">
        <v>257</v>
      </c>
      <c r="B320" s="80">
        <f t="shared" ref="B320:B383" si="33">IF(A320&gt;12*$C$9,0,IF($C$5&gt;1500000,$D$12,$C$12))</f>
        <v>0</v>
      </c>
      <c r="C320" s="80">
        <f t="shared" ref="C320:C383" si="34">IF(A320&gt;12*$C$9,0,E319*$C$7/12)</f>
        <v>0</v>
      </c>
      <c r="D320" s="80">
        <f t="shared" ref="D320:D383" si="35">IF(A320&gt;12*$C$9,0,B320-C320)</f>
        <v>0</v>
      </c>
      <c r="E320" s="80">
        <f t="shared" ref="E320:E383" si="36">IF(A320&gt;12*$C$9,0,E319-D320)</f>
        <v>0</v>
      </c>
      <c r="F320" s="79"/>
      <c r="G320" s="81">
        <v>257</v>
      </c>
      <c r="H320" s="80">
        <f t="shared" ref="H320:H383" si="37">IF(G320&gt;12*$C$9,0,IF($C$5&gt;1500000,$E$12,0))</f>
        <v>0</v>
      </c>
      <c r="I320" s="80">
        <f t="shared" ref="I320:I383" si="38">IF(G320&gt;12*$C$9,0,K319*$C$7/12)</f>
        <v>0</v>
      </c>
      <c r="J320" s="80">
        <f t="shared" ref="J320:J383" si="39">IF(G320&gt;12*$C$9,0,H320-I320)</f>
        <v>0</v>
      </c>
      <c r="K320" s="80">
        <f t="shared" ref="K320:K383" si="40">IF(G320&gt;12*$C$9,0,K319-J320)</f>
        <v>0</v>
      </c>
      <c r="L320" s="79"/>
    </row>
    <row r="321" spans="1:12">
      <c r="A321" s="81">
        <v>258</v>
      </c>
      <c r="B321" s="80">
        <f t="shared" si="33"/>
        <v>0</v>
      </c>
      <c r="C321" s="80">
        <f t="shared" si="34"/>
        <v>0</v>
      </c>
      <c r="D321" s="80">
        <f t="shared" si="35"/>
        <v>0</v>
      </c>
      <c r="E321" s="80">
        <f t="shared" si="36"/>
        <v>0</v>
      </c>
      <c r="F321" s="79"/>
      <c r="G321" s="81">
        <v>258</v>
      </c>
      <c r="H321" s="80">
        <f t="shared" si="37"/>
        <v>0</v>
      </c>
      <c r="I321" s="80">
        <f t="shared" si="38"/>
        <v>0</v>
      </c>
      <c r="J321" s="80">
        <f t="shared" si="39"/>
        <v>0</v>
      </c>
      <c r="K321" s="80">
        <f t="shared" si="40"/>
        <v>0</v>
      </c>
      <c r="L321" s="79"/>
    </row>
    <row r="322" spans="1:12">
      <c r="A322" s="81">
        <v>259</v>
      </c>
      <c r="B322" s="80">
        <f t="shared" si="33"/>
        <v>0</v>
      </c>
      <c r="C322" s="80">
        <f t="shared" si="34"/>
        <v>0</v>
      </c>
      <c r="D322" s="80">
        <f t="shared" si="35"/>
        <v>0</v>
      </c>
      <c r="E322" s="80">
        <f t="shared" si="36"/>
        <v>0</v>
      </c>
      <c r="F322" s="79"/>
      <c r="G322" s="81">
        <v>259</v>
      </c>
      <c r="H322" s="80">
        <f t="shared" si="37"/>
        <v>0</v>
      </c>
      <c r="I322" s="80">
        <f t="shared" si="38"/>
        <v>0</v>
      </c>
      <c r="J322" s="80">
        <f t="shared" si="39"/>
        <v>0</v>
      </c>
      <c r="K322" s="80">
        <f t="shared" si="40"/>
        <v>0</v>
      </c>
      <c r="L322" s="79"/>
    </row>
    <row r="323" spans="1:12">
      <c r="A323" s="81">
        <v>260</v>
      </c>
      <c r="B323" s="80">
        <f t="shared" si="33"/>
        <v>0</v>
      </c>
      <c r="C323" s="80">
        <f t="shared" si="34"/>
        <v>0</v>
      </c>
      <c r="D323" s="80">
        <f t="shared" si="35"/>
        <v>0</v>
      </c>
      <c r="E323" s="80">
        <f t="shared" si="36"/>
        <v>0</v>
      </c>
      <c r="F323" s="79"/>
      <c r="G323" s="81">
        <v>260</v>
      </c>
      <c r="H323" s="80">
        <f t="shared" si="37"/>
        <v>0</v>
      </c>
      <c r="I323" s="80">
        <f t="shared" si="38"/>
        <v>0</v>
      </c>
      <c r="J323" s="80">
        <f t="shared" si="39"/>
        <v>0</v>
      </c>
      <c r="K323" s="80">
        <f t="shared" si="40"/>
        <v>0</v>
      </c>
      <c r="L323" s="79"/>
    </row>
    <row r="324" spans="1:12">
      <c r="A324" s="81">
        <v>261</v>
      </c>
      <c r="B324" s="80">
        <f t="shared" si="33"/>
        <v>0</v>
      </c>
      <c r="C324" s="80">
        <f t="shared" si="34"/>
        <v>0</v>
      </c>
      <c r="D324" s="80">
        <f t="shared" si="35"/>
        <v>0</v>
      </c>
      <c r="E324" s="80">
        <f t="shared" si="36"/>
        <v>0</v>
      </c>
      <c r="F324" s="79"/>
      <c r="G324" s="81">
        <v>261</v>
      </c>
      <c r="H324" s="80">
        <f t="shared" si="37"/>
        <v>0</v>
      </c>
      <c r="I324" s="80">
        <f t="shared" si="38"/>
        <v>0</v>
      </c>
      <c r="J324" s="80">
        <f t="shared" si="39"/>
        <v>0</v>
      </c>
      <c r="K324" s="80">
        <f t="shared" si="40"/>
        <v>0</v>
      </c>
      <c r="L324" s="79"/>
    </row>
    <row r="325" spans="1:12">
      <c r="A325" s="81">
        <v>262</v>
      </c>
      <c r="B325" s="80">
        <f t="shared" si="33"/>
        <v>0</v>
      </c>
      <c r="C325" s="80">
        <f t="shared" si="34"/>
        <v>0</v>
      </c>
      <c r="D325" s="80">
        <f t="shared" si="35"/>
        <v>0</v>
      </c>
      <c r="E325" s="80">
        <f t="shared" si="36"/>
        <v>0</v>
      </c>
      <c r="F325" s="79"/>
      <c r="G325" s="81">
        <v>262</v>
      </c>
      <c r="H325" s="80">
        <f t="shared" si="37"/>
        <v>0</v>
      </c>
      <c r="I325" s="80">
        <f t="shared" si="38"/>
        <v>0</v>
      </c>
      <c r="J325" s="80">
        <f t="shared" si="39"/>
        <v>0</v>
      </c>
      <c r="K325" s="80">
        <f t="shared" si="40"/>
        <v>0</v>
      </c>
      <c r="L325" s="79"/>
    </row>
    <row r="326" spans="1:12">
      <c r="A326" s="81">
        <v>263</v>
      </c>
      <c r="B326" s="80">
        <f t="shared" si="33"/>
        <v>0</v>
      </c>
      <c r="C326" s="80">
        <f t="shared" si="34"/>
        <v>0</v>
      </c>
      <c r="D326" s="80">
        <f t="shared" si="35"/>
        <v>0</v>
      </c>
      <c r="E326" s="80">
        <f t="shared" si="36"/>
        <v>0</v>
      </c>
      <c r="F326" s="79"/>
      <c r="G326" s="81">
        <v>263</v>
      </c>
      <c r="H326" s="80">
        <f t="shared" si="37"/>
        <v>0</v>
      </c>
      <c r="I326" s="80">
        <f t="shared" si="38"/>
        <v>0</v>
      </c>
      <c r="J326" s="80">
        <f t="shared" si="39"/>
        <v>0</v>
      </c>
      <c r="K326" s="80">
        <f t="shared" si="40"/>
        <v>0</v>
      </c>
      <c r="L326" s="79"/>
    </row>
    <row r="327" spans="1:12">
      <c r="A327" s="81">
        <v>264</v>
      </c>
      <c r="B327" s="80">
        <f t="shared" si="33"/>
        <v>0</v>
      </c>
      <c r="C327" s="80">
        <f t="shared" si="34"/>
        <v>0</v>
      </c>
      <c r="D327" s="80">
        <f t="shared" si="35"/>
        <v>0</v>
      </c>
      <c r="E327" s="80">
        <f t="shared" si="36"/>
        <v>0</v>
      </c>
      <c r="F327" s="79">
        <v>22</v>
      </c>
      <c r="G327" s="81">
        <v>264</v>
      </c>
      <c r="H327" s="80">
        <f t="shared" si="37"/>
        <v>0</v>
      </c>
      <c r="I327" s="80">
        <f t="shared" si="38"/>
        <v>0</v>
      </c>
      <c r="J327" s="80">
        <f t="shared" si="39"/>
        <v>0</v>
      </c>
      <c r="K327" s="80">
        <f t="shared" si="40"/>
        <v>0</v>
      </c>
      <c r="L327" s="79">
        <v>22</v>
      </c>
    </row>
    <row r="328" spans="1:12">
      <c r="A328" s="81">
        <v>265</v>
      </c>
      <c r="B328" s="80">
        <f t="shared" si="33"/>
        <v>0</v>
      </c>
      <c r="C328" s="80">
        <f t="shared" si="34"/>
        <v>0</v>
      </c>
      <c r="D328" s="80">
        <f t="shared" si="35"/>
        <v>0</v>
      </c>
      <c r="E328" s="80">
        <f t="shared" si="36"/>
        <v>0</v>
      </c>
      <c r="F328" s="79"/>
      <c r="G328" s="81">
        <v>265</v>
      </c>
      <c r="H328" s="80">
        <f t="shared" si="37"/>
        <v>0</v>
      </c>
      <c r="I328" s="80">
        <f t="shared" si="38"/>
        <v>0</v>
      </c>
      <c r="J328" s="80">
        <f t="shared" si="39"/>
        <v>0</v>
      </c>
      <c r="K328" s="80">
        <f t="shared" si="40"/>
        <v>0</v>
      </c>
      <c r="L328" s="79"/>
    </row>
    <row r="329" spans="1:12">
      <c r="A329" s="81">
        <v>266</v>
      </c>
      <c r="B329" s="80">
        <f t="shared" si="33"/>
        <v>0</v>
      </c>
      <c r="C329" s="80">
        <f t="shared" si="34"/>
        <v>0</v>
      </c>
      <c r="D329" s="80">
        <f t="shared" si="35"/>
        <v>0</v>
      </c>
      <c r="E329" s="80">
        <f t="shared" si="36"/>
        <v>0</v>
      </c>
      <c r="F329" s="79"/>
      <c r="G329" s="81">
        <v>266</v>
      </c>
      <c r="H329" s="80">
        <f t="shared" si="37"/>
        <v>0</v>
      </c>
      <c r="I329" s="80">
        <f t="shared" si="38"/>
        <v>0</v>
      </c>
      <c r="J329" s="80">
        <f t="shared" si="39"/>
        <v>0</v>
      </c>
      <c r="K329" s="80">
        <f t="shared" si="40"/>
        <v>0</v>
      </c>
      <c r="L329" s="79"/>
    </row>
    <row r="330" spans="1:12">
      <c r="A330" s="81">
        <v>267</v>
      </c>
      <c r="B330" s="80">
        <f t="shared" si="33"/>
        <v>0</v>
      </c>
      <c r="C330" s="80">
        <f t="shared" si="34"/>
        <v>0</v>
      </c>
      <c r="D330" s="80">
        <f t="shared" si="35"/>
        <v>0</v>
      </c>
      <c r="E330" s="80">
        <f t="shared" si="36"/>
        <v>0</v>
      </c>
      <c r="F330" s="79"/>
      <c r="G330" s="81">
        <v>267</v>
      </c>
      <c r="H330" s="80">
        <f t="shared" si="37"/>
        <v>0</v>
      </c>
      <c r="I330" s="80">
        <f t="shared" si="38"/>
        <v>0</v>
      </c>
      <c r="J330" s="80">
        <f t="shared" si="39"/>
        <v>0</v>
      </c>
      <c r="K330" s="80">
        <f t="shared" si="40"/>
        <v>0</v>
      </c>
      <c r="L330" s="79"/>
    </row>
    <row r="331" spans="1:12">
      <c r="A331" s="81">
        <v>268</v>
      </c>
      <c r="B331" s="80">
        <f t="shared" si="33"/>
        <v>0</v>
      </c>
      <c r="C331" s="80">
        <f t="shared" si="34"/>
        <v>0</v>
      </c>
      <c r="D331" s="80">
        <f t="shared" si="35"/>
        <v>0</v>
      </c>
      <c r="E331" s="80">
        <f t="shared" si="36"/>
        <v>0</v>
      </c>
      <c r="F331" s="79"/>
      <c r="G331" s="81">
        <v>268</v>
      </c>
      <c r="H331" s="80">
        <f t="shared" si="37"/>
        <v>0</v>
      </c>
      <c r="I331" s="80">
        <f t="shared" si="38"/>
        <v>0</v>
      </c>
      <c r="J331" s="80">
        <f t="shared" si="39"/>
        <v>0</v>
      </c>
      <c r="K331" s="80">
        <f t="shared" si="40"/>
        <v>0</v>
      </c>
      <c r="L331" s="79"/>
    </row>
    <row r="332" spans="1:12">
      <c r="A332" s="81">
        <v>269</v>
      </c>
      <c r="B332" s="80">
        <f t="shared" si="33"/>
        <v>0</v>
      </c>
      <c r="C332" s="80">
        <f t="shared" si="34"/>
        <v>0</v>
      </c>
      <c r="D332" s="80">
        <f t="shared" si="35"/>
        <v>0</v>
      </c>
      <c r="E332" s="80">
        <f t="shared" si="36"/>
        <v>0</v>
      </c>
      <c r="F332" s="79"/>
      <c r="G332" s="81">
        <v>269</v>
      </c>
      <c r="H332" s="80">
        <f t="shared" si="37"/>
        <v>0</v>
      </c>
      <c r="I332" s="80">
        <f t="shared" si="38"/>
        <v>0</v>
      </c>
      <c r="J332" s="80">
        <f t="shared" si="39"/>
        <v>0</v>
      </c>
      <c r="K332" s="80">
        <f t="shared" si="40"/>
        <v>0</v>
      </c>
      <c r="L332" s="79"/>
    </row>
    <row r="333" spans="1:12">
      <c r="A333" s="81">
        <v>270</v>
      </c>
      <c r="B333" s="80">
        <f t="shared" si="33"/>
        <v>0</v>
      </c>
      <c r="C333" s="80">
        <f t="shared" si="34"/>
        <v>0</v>
      </c>
      <c r="D333" s="80">
        <f t="shared" si="35"/>
        <v>0</v>
      </c>
      <c r="E333" s="80">
        <f t="shared" si="36"/>
        <v>0</v>
      </c>
      <c r="F333" s="79"/>
      <c r="G333" s="81">
        <v>270</v>
      </c>
      <c r="H333" s="80">
        <f t="shared" si="37"/>
        <v>0</v>
      </c>
      <c r="I333" s="80">
        <f t="shared" si="38"/>
        <v>0</v>
      </c>
      <c r="J333" s="80">
        <f t="shared" si="39"/>
        <v>0</v>
      </c>
      <c r="K333" s="80">
        <f t="shared" si="40"/>
        <v>0</v>
      </c>
      <c r="L333" s="79"/>
    </row>
    <row r="334" spans="1:12">
      <c r="A334" s="81">
        <v>271</v>
      </c>
      <c r="B334" s="80">
        <f t="shared" si="33"/>
        <v>0</v>
      </c>
      <c r="C334" s="80">
        <f t="shared" si="34"/>
        <v>0</v>
      </c>
      <c r="D334" s="80">
        <f t="shared" si="35"/>
        <v>0</v>
      </c>
      <c r="E334" s="80">
        <f t="shared" si="36"/>
        <v>0</v>
      </c>
      <c r="F334" s="79"/>
      <c r="G334" s="81">
        <v>271</v>
      </c>
      <c r="H334" s="80">
        <f t="shared" si="37"/>
        <v>0</v>
      </c>
      <c r="I334" s="80">
        <f t="shared" si="38"/>
        <v>0</v>
      </c>
      <c r="J334" s="80">
        <f t="shared" si="39"/>
        <v>0</v>
      </c>
      <c r="K334" s="80">
        <f t="shared" si="40"/>
        <v>0</v>
      </c>
      <c r="L334" s="79"/>
    </row>
    <row r="335" spans="1:12">
      <c r="A335" s="81">
        <v>272</v>
      </c>
      <c r="B335" s="80">
        <f t="shared" si="33"/>
        <v>0</v>
      </c>
      <c r="C335" s="80">
        <f t="shared" si="34"/>
        <v>0</v>
      </c>
      <c r="D335" s="80">
        <f t="shared" si="35"/>
        <v>0</v>
      </c>
      <c r="E335" s="80">
        <f t="shared" si="36"/>
        <v>0</v>
      </c>
      <c r="F335" s="79"/>
      <c r="G335" s="81">
        <v>272</v>
      </c>
      <c r="H335" s="80">
        <f t="shared" si="37"/>
        <v>0</v>
      </c>
      <c r="I335" s="80">
        <f t="shared" si="38"/>
        <v>0</v>
      </c>
      <c r="J335" s="80">
        <f t="shared" si="39"/>
        <v>0</v>
      </c>
      <c r="K335" s="80">
        <f t="shared" si="40"/>
        <v>0</v>
      </c>
      <c r="L335" s="79"/>
    </row>
    <row r="336" spans="1:12">
      <c r="A336" s="81">
        <v>273</v>
      </c>
      <c r="B336" s="80">
        <f t="shared" si="33"/>
        <v>0</v>
      </c>
      <c r="C336" s="80">
        <f t="shared" si="34"/>
        <v>0</v>
      </c>
      <c r="D336" s="80">
        <f t="shared" si="35"/>
        <v>0</v>
      </c>
      <c r="E336" s="80">
        <f t="shared" si="36"/>
        <v>0</v>
      </c>
      <c r="F336" s="79"/>
      <c r="G336" s="81">
        <v>273</v>
      </c>
      <c r="H336" s="80">
        <f t="shared" si="37"/>
        <v>0</v>
      </c>
      <c r="I336" s="80">
        <f t="shared" si="38"/>
        <v>0</v>
      </c>
      <c r="J336" s="80">
        <f t="shared" si="39"/>
        <v>0</v>
      </c>
      <c r="K336" s="80">
        <f t="shared" si="40"/>
        <v>0</v>
      </c>
      <c r="L336" s="79"/>
    </row>
    <row r="337" spans="1:12">
      <c r="A337" s="81">
        <v>274</v>
      </c>
      <c r="B337" s="80">
        <f t="shared" si="33"/>
        <v>0</v>
      </c>
      <c r="C337" s="80">
        <f t="shared" si="34"/>
        <v>0</v>
      </c>
      <c r="D337" s="80">
        <f t="shared" si="35"/>
        <v>0</v>
      </c>
      <c r="E337" s="80">
        <f t="shared" si="36"/>
        <v>0</v>
      </c>
      <c r="F337" s="79"/>
      <c r="G337" s="81">
        <v>274</v>
      </c>
      <c r="H337" s="80">
        <f t="shared" si="37"/>
        <v>0</v>
      </c>
      <c r="I337" s="80">
        <f t="shared" si="38"/>
        <v>0</v>
      </c>
      <c r="J337" s="80">
        <f t="shared" si="39"/>
        <v>0</v>
      </c>
      <c r="K337" s="80">
        <f t="shared" si="40"/>
        <v>0</v>
      </c>
      <c r="L337" s="79"/>
    </row>
    <row r="338" spans="1:12">
      <c r="A338" s="81">
        <v>275</v>
      </c>
      <c r="B338" s="80">
        <f t="shared" si="33"/>
        <v>0</v>
      </c>
      <c r="C338" s="80">
        <f t="shared" si="34"/>
        <v>0</v>
      </c>
      <c r="D338" s="80">
        <f t="shared" si="35"/>
        <v>0</v>
      </c>
      <c r="E338" s="80">
        <f t="shared" si="36"/>
        <v>0</v>
      </c>
      <c r="F338" s="79"/>
      <c r="G338" s="81">
        <v>275</v>
      </c>
      <c r="H338" s="80">
        <f t="shared" si="37"/>
        <v>0</v>
      </c>
      <c r="I338" s="80">
        <f t="shared" si="38"/>
        <v>0</v>
      </c>
      <c r="J338" s="80">
        <f t="shared" si="39"/>
        <v>0</v>
      </c>
      <c r="K338" s="80">
        <f t="shared" si="40"/>
        <v>0</v>
      </c>
      <c r="L338" s="79"/>
    </row>
    <row r="339" spans="1:12">
      <c r="A339" s="81">
        <v>276</v>
      </c>
      <c r="B339" s="80">
        <f t="shared" si="33"/>
        <v>0</v>
      </c>
      <c r="C339" s="80">
        <f t="shared" si="34"/>
        <v>0</v>
      </c>
      <c r="D339" s="80">
        <f t="shared" si="35"/>
        <v>0</v>
      </c>
      <c r="E339" s="80">
        <f t="shared" si="36"/>
        <v>0</v>
      </c>
      <c r="F339" s="79">
        <v>23</v>
      </c>
      <c r="G339" s="81">
        <v>276</v>
      </c>
      <c r="H339" s="80">
        <f t="shared" si="37"/>
        <v>0</v>
      </c>
      <c r="I339" s="80">
        <f t="shared" si="38"/>
        <v>0</v>
      </c>
      <c r="J339" s="80">
        <f t="shared" si="39"/>
        <v>0</v>
      </c>
      <c r="K339" s="80">
        <f t="shared" si="40"/>
        <v>0</v>
      </c>
      <c r="L339" s="79">
        <v>23</v>
      </c>
    </row>
    <row r="340" spans="1:12">
      <c r="A340" s="81">
        <v>277</v>
      </c>
      <c r="B340" s="80">
        <f t="shared" si="33"/>
        <v>0</v>
      </c>
      <c r="C340" s="80">
        <f t="shared" si="34"/>
        <v>0</v>
      </c>
      <c r="D340" s="80">
        <f t="shared" si="35"/>
        <v>0</v>
      </c>
      <c r="E340" s="80">
        <f t="shared" si="36"/>
        <v>0</v>
      </c>
      <c r="F340" s="79"/>
      <c r="G340" s="81">
        <v>277</v>
      </c>
      <c r="H340" s="80">
        <f t="shared" si="37"/>
        <v>0</v>
      </c>
      <c r="I340" s="80">
        <f t="shared" si="38"/>
        <v>0</v>
      </c>
      <c r="J340" s="80">
        <f t="shared" si="39"/>
        <v>0</v>
      </c>
      <c r="K340" s="80">
        <f t="shared" si="40"/>
        <v>0</v>
      </c>
      <c r="L340" s="79"/>
    </row>
    <row r="341" spans="1:12">
      <c r="A341" s="81">
        <v>278</v>
      </c>
      <c r="B341" s="80">
        <f t="shared" si="33"/>
        <v>0</v>
      </c>
      <c r="C341" s="80">
        <f t="shared" si="34"/>
        <v>0</v>
      </c>
      <c r="D341" s="80">
        <f t="shared" si="35"/>
        <v>0</v>
      </c>
      <c r="E341" s="80">
        <f t="shared" si="36"/>
        <v>0</v>
      </c>
      <c r="F341" s="79"/>
      <c r="G341" s="81">
        <v>278</v>
      </c>
      <c r="H341" s="80">
        <f t="shared" si="37"/>
        <v>0</v>
      </c>
      <c r="I341" s="80">
        <f t="shared" si="38"/>
        <v>0</v>
      </c>
      <c r="J341" s="80">
        <f t="shared" si="39"/>
        <v>0</v>
      </c>
      <c r="K341" s="80">
        <f t="shared" si="40"/>
        <v>0</v>
      </c>
      <c r="L341" s="79"/>
    </row>
    <row r="342" spans="1:12">
      <c r="A342" s="81">
        <v>279</v>
      </c>
      <c r="B342" s="80">
        <f t="shared" si="33"/>
        <v>0</v>
      </c>
      <c r="C342" s="80">
        <f t="shared" si="34"/>
        <v>0</v>
      </c>
      <c r="D342" s="80">
        <f t="shared" si="35"/>
        <v>0</v>
      </c>
      <c r="E342" s="80">
        <f t="shared" si="36"/>
        <v>0</v>
      </c>
      <c r="F342" s="79"/>
      <c r="G342" s="81">
        <v>279</v>
      </c>
      <c r="H342" s="80">
        <f t="shared" si="37"/>
        <v>0</v>
      </c>
      <c r="I342" s="80">
        <f t="shared" si="38"/>
        <v>0</v>
      </c>
      <c r="J342" s="80">
        <f t="shared" si="39"/>
        <v>0</v>
      </c>
      <c r="K342" s="80">
        <f t="shared" si="40"/>
        <v>0</v>
      </c>
      <c r="L342" s="79"/>
    </row>
    <row r="343" spans="1:12">
      <c r="A343" s="81">
        <v>280</v>
      </c>
      <c r="B343" s="80">
        <f t="shared" si="33"/>
        <v>0</v>
      </c>
      <c r="C343" s="80">
        <f t="shared" si="34"/>
        <v>0</v>
      </c>
      <c r="D343" s="80">
        <f t="shared" si="35"/>
        <v>0</v>
      </c>
      <c r="E343" s="80">
        <f t="shared" si="36"/>
        <v>0</v>
      </c>
      <c r="F343" s="79"/>
      <c r="G343" s="81">
        <v>280</v>
      </c>
      <c r="H343" s="80">
        <f t="shared" si="37"/>
        <v>0</v>
      </c>
      <c r="I343" s="80">
        <f t="shared" si="38"/>
        <v>0</v>
      </c>
      <c r="J343" s="80">
        <f t="shared" si="39"/>
        <v>0</v>
      </c>
      <c r="K343" s="80">
        <f t="shared" si="40"/>
        <v>0</v>
      </c>
      <c r="L343" s="79"/>
    </row>
    <row r="344" spans="1:12">
      <c r="A344" s="81">
        <v>281</v>
      </c>
      <c r="B344" s="80">
        <f t="shared" si="33"/>
        <v>0</v>
      </c>
      <c r="C344" s="80">
        <f t="shared" si="34"/>
        <v>0</v>
      </c>
      <c r="D344" s="80">
        <f t="shared" si="35"/>
        <v>0</v>
      </c>
      <c r="E344" s="80">
        <f t="shared" si="36"/>
        <v>0</v>
      </c>
      <c r="F344" s="79"/>
      <c r="G344" s="81">
        <v>281</v>
      </c>
      <c r="H344" s="80">
        <f t="shared" si="37"/>
        <v>0</v>
      </c>
      <c r="I344" s="80">
        <f t="shared" si="38"/>
        <v>0</v>
      </c>
      <c r="J344" s="80">
        <f t="shared" si="39"/>
        <v>0</v>
      </c>
      <c r="K344" s="80">
        <f t="shared" si="40"/>
        <v>0</v>
      </c>
      <c r="L344" s="79"/>
    </row>
    <row r="345" spans="1:12">
      <c r="A345" s="81">
        <v>282</v>
      </c>
      <c r="B345" s="80">
        <f t="shared" si="33"/>
        <v>0</v>
      </c>
      <c r="C345" s="80">
        <f t="shared" si="34"/>
        <v>0</v>
      </c>
      <c r="D345" s="80">
        <f t="shared" si="35"/>
        <v>0</v>
      </c>
      <c r="E345" s="80">
        <f t="shared" si="36"/>
        <v>0</v>
      </c>
      <c r="F345" s="79"/>
      <c r="G345" s="81">
        <v>282</v>
      </c>
      <c r="H345" s="80">
        <f t="shared" si="37"/>
        <v>0</v>
      </c>
      <c r="I345" s="80">
        <f t="shared" si="38"/>
        <v>0</v>
      </c>
      <c r="J345" s="80">
        <f t="shared" si="39"/>
        <v>0</v>
      </c>
      <c r="K345" s="80">
        <f t="shared" si="40"/>
        <v>0</v>
      </c>
      <c r="L345" s="79"/>
    </row>
    <row r="346" spans="1:12">
      <c r="A346" s="81">
        <v>283</v>
      </c>
      <c r="B346" s="80">
        <f t="shared" si="33"/>
        <v>0</v>
      </c>
      <c r="C346" s="80">
        <f t="shared" si="34"/>
        <v>0</v>
      </c>
      <c r="D346" s="80">
        <f t="shared" si="35"/>
        <v>0</v>
      </c>
      <c r="E346" s="80">
        <f t="shared" si="36"/>
        <v>0</v>
      </c>
      <c r="F346" s="79"/>
      <c r="G346" s="81">
        <v>283</v>
      </c>
      <c r="H346" s="80">
        <f t="shared" si="37"/>
        <v>0</v>
      </c>
      <c r="I346" s="80">
        <f t="shared" si="38"/>
        <v>0</v>
      </c>
      <c r="J346" s="80">
        <f t="shared" si="39"/>
        <v>0</v>
      </c>
      <c r="K346" s="80">
        <f t="shared" si="40"/>
        <v>0</v>
      </c>
      <c r="L346" s="79"/>
    </row>
    <row r="347" spans="1:12">
      <c r="A347" s="81">
        <v>284</v>
      </c>
      <c r="B347" s="80">
        <f t="shared" si="33"/>
        <v>0</v>
      </c>
      <c r="C347" s="80">
        <f t="shared" si="34"/>
        <v>0</v>
      </c>
      <c r="D347" s="80">
        <f t="shared" si="35"/>
        <v>0</v>
      </c>
      <c r="E347" s="80">
        <f t="shared" si="36"/>
        <v>0</v>
      </c>
      <c r="F347" s="79"/>
      <c r="G347" s="81">
        <v>284</v>
      </c>
      <c r="H347" s="80">
        <f t="shared" si="37"/>
        <v>0</v>
      </c>
      <c r="I347" s="80">
        <f t="shared" si="38"/>
        <v>0</v>
      </c>
      <c r="J347" s="80">
        <f t="shared" si="39"/>
        <v>0</v>
      </c>
      <c r="K347" s="80">
        <f t="shared" si="40"/>
        <v>0</v>
      </c>
      <c r="L347" s="79"/>
    </row>
    <row r="348" spans="1:12">
      <c r="A348" s="81">
        <v>285</v>
      </c>
      <c r="B348" s="80">
        <f t="shared" si="33"/>
        <v>0</v>
      </c>
      <c r="C348" s="80">
        <f t="shared" si="34"/>
        <v>0</v>
      </c>
      <c r="D348" s="80">
        <f t="shared" si="35"/>
        <v>0</v>
      </c>
      <c r="E348" s="80">
        <f t="shared" si="36"/>
        <v>0</v>
      </c>
      <c r="F348" s="79"/>
      <c r="G348" s="81">
        <v>285</v>
      </c>
      <c r="H348" s="80">
        <f t="shared" si="37"/>
        <v>0</v>
      </c>
      <c r="I348" s="80">
        <f t="shared" si="38"/>
        <v>0</v>
      </c>
      <c r="J348" s="80">
        <f t="shared" si="39"/>
        <v>0</v>
      </c>
      <c r="K348" s="80">
        <f t="shared" si="40"/>
        <v>0</v>
      </c>
      <c r="L348" s="79"/>
    </row>
    <row r="349" spans="1:12">
      <c r="A349" s="81">
        <v>286</v>
      </c>
      <c r="B349" s="80">
        <f t="shared" si="33"/>
        <v>0</v>
      </c>
      <c r="C349" s="80">
        <f t="shared" si="34"/>
        <v>0</v>
      </c>
      <c r="D349" s="80">
        <f t="shared" si="35"/>
        <v>0</v>
      </c>
      <c r="E349" s="80">
        <f t="shared" si="36"/>
        <v>0</v>
      </c>
      <c r="F349" s="79"/>
      <c r="G349" s="81">
        <v>286</v>
      </c>
      <c r="H349" s="80">
        <f t="shared" si="37"/>
        <v>0</v>
      </c>
      <c r="I349" s="80">
        <f t="shared" si="38"/>
        <v>0</v>
      </c>
      <c r="J349" s="80">
        <f t="shared" si="39"/>
        <v>0</v>
      </c>
      <c r="K349" s="80">
        <f t="shared" si="40"/>
        <v>0</v>
      </c>
      <c r="L349" s="79"/>
    </row>
    <row r="350" spans="1:12">
      <c r="A350" s="81">
        <v>287</v>
      </c>
      <c r="B350" s="80">
        <f t="shared" si="33"/>
        <v>0</v>
      </c>
      <c r="C350" s="80">
        <f t="shared" si="34"/>
        <v>0</v>
      </c>
      <c r="D350" s="80">
        <f t="shared" si="35"/>
        <v>0</v>
      </c>
      <c r="E350" s="80">
        <f t="shared" si="36"/>
        <v>0</v>
      </c>
      <c r="F350" s="79"/>
      <c r="G350" s="81">
        <v>287</v>
      </c>
      <c r="H350" s="80">
        <f t="shared" si="37"/>
        <v>0</v>
      </c>
      <c r="I350" s="80">
        <f t="shared" si="38"/>
        <v>0</v>
      </c>
      <c r="J350" s="80">
        <f t="shared" si="39"/>
        <v>0</v>
      </c>
      <c r="K350" s="80">
        <f t="shared" si="40"/>
        <v>0</v>
      </c>
      <c r="L350" s="79"/>
    </row>
    <row r="351" spans="1:12">
      <c r="A351" s="81">
        <v>288</v>
      </c>
      <c r="B351" s="80">
        <f t="shared" si="33"/>
        <v>0</v>
      </c>
      <c r="C351" s="80">
        <f t="shared" si="34"/>
        <v>0</v>
      </c>
      <c r="D351" s="80">
        <f t="shared" si="35"/>
        <v>0</v>
      </c>
      <c r="E351" s="80">
        <f t="shared" si="36"/>
        <v>0</v>
      </c>
      <c r="F351" s="79">
        <v>24</v>
      </c>
      <c r="G351" s="81">
        <v>288</v>
      </c>
      <c r="H351" s="80">
        <f t="shared" si="37"/>
        <v>0</v>
      </c>
      <c r="I351" s="80">
        <f t="shared" si="38"/>
        <v>0</v>
      </c>
      <c r="J351" s="80">
        <f t="shared" si="39"/>
        <v>0</v>
      </c>
      <c r="K351" s="80">
        <f t="shared" si="40"/>
        <v>0</v>
      </c>
      <c r="L351" s="79">
        <v>24</v>
      </c>
    </row>
    <row r="352" spans="1:12">
      <c r="A352" s="81">
        <v>289</v>
      </c>
      <c r="B352" s="80">
        <f t="shared" si="33"/>
        <v>0</v>
      </c>
      <c r="C352" s="80">
        <f t="shared" si="34"/>
        <v>0</v>
      </c>
      <c r="D352" s="80">
        <f t="shared" si="35"/>
        <v>0</v>
      </c>
      <c r="E352" s="80">
        <f t="shared" si="36"/>
        <v>0</v>
      </c>
      <c r="F352" s="79"/>
      <c r="G352" s="81">
        <v>289</v>
      </c>
      <c r="H352" s="80">
        <f t="shared" si="37"/>
        <v>0</v>
      </c>
      <c r="I352" s="80">
        <f t="shared" si="38"/>
        <v>0</v>
      </c>
      <c r="J352" s="80">
        <f t="shared" si="39"/>
        <v>0</v>
      </c>
      <c r="K352" s="80">
        <f t="shared" si="40"/>
        <v>0</v>
      </c>
      <c r="L352" s="79"/>
    </row>
    <row r="353" spans="1:12">
      <c r="A353" s="81">
        <v>290</v>
      </c>
      <c r="B353" s="80">
        <f t="shared" si="33"/>
        <v>0</v>
      </c>
      <c r="C353" s="80">
        <f t="shared" si="34"/>
        <v>0</v>
      </c>
      <c r="D353" s="80">
        <f t="shared" si="35"/>
        <v>0</v>
      </c>
      <c r="E353" s="80">
        <f t="shared" si="36"/>
        <v>0</v>
      </c>
      <c r="F353" s="79"/>
      <c r="G353" s="81">
        <v>290</v>
      </c>
      <c r="H353" s="80">
        <f t="shared" si="37"/>
        <v>0</v>
      </c>
      <c r="I353" s="80">
        <f t="shared" si="38"/>
        <v>0</v>
      </c>
      <c r="J353" s="80">
        <f t="shared" si="39"/>
        <v>0</v>
      </c>
      <c r="K353" s="80">
        <f t="shared" si="40"/>
        <v>0</v>
      </c>
      <c r="L353" s="79"/>
    </row>
    <row r="354" spans="1:12">
      <c r="A354" s="81">
        <v>291</v>
      </c>
      <c r="B354" s="80">
        <f t="shared" si="33"/>
        <v>0</v>
      </c>
      <c r="C354" s="80">
        <f t="shared" si="34"/>
        <v>0</v>
      </c>
      <c r="D354" s="80">
        <f t="shared" si="35"/>
        <v>0</v>
      </c>
      <c r="E354" s="80">
        <f t="shared" si="36"/>
        <v>0</v>
      </c>
      <c r="F354" s="79"/>
      <c r="G354" s="81">
        <v>291</v>
      </c>
      <c r="H354" s="80">
        <f t="shared" si="37"/>
        <v>0</v>
      </c>
      <c r="I354" s="80">
        <f t="shared" si="38"/>
        <v>0</v>
      </c>
      <c r="J354" s="80">
        <f t="shared" si="39"/>
        <v>0</v>
      </c>
      <c r="K354" s="80">
        <f t="shared" si="40"/>
        <v>0</v>
      </c>
      <c r="L354" s="79"/>
    </row>
    <row r="355" spans="1:12">
      <c r="A355" s="81">
        <v>292</v>
      </c>
      <c r="B355" s="80">
        <f t="shared" si="33"/>
        <v>0</v>
      </c>
      <c r="C355" s="80">
        <f t="shared" si="34"/>
        <v>0</v>
      </c>
      <c r="D355" s="80">
        <f t="shared" si="35"/>
        <v>0</v>
      </c>
      <c r="E355" s="80">
        <f t="shared" si="36"/>
        <v>0</v>
      </c>
      <c r="F355" s="79"/>
      <c r="G355" s="81">
        <v>292</v>
      </c>
      <c r="H355" s="80">
        <f t="shared" si="37"/>
        <v>0</v>
      </c>
      <c r="I355" s="80">
        <f t="shared" si="38"/>
        <v>0</v>
      </c>
      <c r="J355" s="80">
        <f t="shared" si="39"/>
        <v>0</v>
      </c>
      <c r="K355" s="80">
        <f t="shared" si="40"/>
        <v>0</v>
      </c>
      <c r="L355" s="79"/>
    </row>
    <row r="356" spans="1:12">
      <c r="A356" s="81">
        <v>293</v>
      </c>
      <c r="B356" s="80">
        <f t="shared" si="33"/>
        <v>0</v>
      </c>
      <c r="C356" s="80">
        <f t="shared" si="34"/>
        <v>0</v>
      </c>
      <c r="D356" s="80">
        <f t="shared" si="35"/>
        <v>0</v>
      </c>
      <c r="E356" s="80">
        <f t="shared" si="36"/>
        <v>0</v>
      </c>
      <c r="F356" s="79"/>
      <c r="G356" s="81">
        <v>293</v>
      </c>
      <c r="H356" s="80">
        <f t="shared" si="37"/>
        <v>0</v>
      </c>
      <c r="I356" s="80">
        <f t="shared" si="38"/>
        <v>0</v>
      </c>
      <c r="J356" s="80">
        <f t="shared" si="39"/>
        <v>0</v>
      </c>
      <c r="K356" s="80">
        <f t="shared" si="40"/>
        <v>0</v>
      </c>
      <c r="L356" s="79"/>
    </row>
    <row r="357" spans="1:12">
      <c r="A357" s="81">
        <v>294</v>
      </c>
      <c r="B357" s="80">
        <f t="shared" si="33"/>
        <v>0</v>
      </c>
      <c r="C357" s="80">
        <f t="shared" si="34"/>
        <v>0</v>
      </c>
      <c r="D357" s="80">
        <f t="shared" si="35"/>
        <v>0</v>
      </c>
      <c r="E357" s="80">
        <f t="shared" si="36"/>
        <v>0</v>
      </c>
      <c r="F357" s="79"/>
      <c r="G357" s="81">
        <v>294</v>
      </c>
      <c r="H357" s="80">
        <f t="shared" si="37"/>
        <v>0</v>
      </c>
      <c r="I357" s="80">
        <f t="shared" si="38"/>
        <v>0</v>
      </c>
      <c r="J357" s="80">
        <f t="shared" si="39"/>
        <v>0</v>
      </c>
      <c r="K357" s="80">
        <f t="shared" si="40"/>
        <v>0</v>
      </c>
      <c r="L357" s="79"/>
    </row>
    <row r="358" spans="1:12">
      <c r="A358" s="81">
        <v>295</v>
      </c>
      <c r="B358" s="80">
        <f t="shared" si="33"/>
        <v>0</v>
      </c>
      <c r="C358" s="80">
        <f t="shared" si="34"/>
        <v>0</v>
      </c>
      <c r="D358" s="80">
        <f t="shared" si="35"/>
        <v>0</v>
      </c>
      <c r="E358" s="80">
        <f t="shared" si="36"/>
        <v>0</v>
      </c>
      <c r="F358" s="79"/>
      <c r="G358" s="81">
        <v>295</v>
      </c>
      <c r="H358" s="80">
        <f t="shared" si="37"/>
        <v>0</v>
      </c>
      <c r="I358" s="80">
        <f t="shared" si="38"/>
        <v>0</v>
      </c>
      <c r="J358" s="80">
        <f t="shared" si="39"/>
        <v>0</v>
      </c>
      <c r="K358" s="80">
        <f t="shared" si="40"/>
        <v>0</v>
      </c>
      <c r="L358" s="79"/>
    </row>
    <row r="359" spans="1:12">
      <c r="A359" s="81">
        <v>296</v>
      </c>
      <c r="B359" s="80">
        <f t="shared" si="33"/>
        <v>0</v>
      </c>
      <c r="C359" s="80">
        <f t="shared" si="34"/>
        <v>0</v>
      </c>
      <c r="D359" s="80">
        <f t="shared" si="35"/>
        <v>0</v>
      </c>
      <c r="E359" s="80">
        <f t="shared" si="36"/>
        <v>0</v>
      </c>
      <c r="F359" s="79"/>
      <c r="G359" s="81">
        <v>296</v>
      </c>
      <c r="H359" s="80">
        <f t="shared" si="37"/>
        <v>0</v>
      </c>
      <c r="I359" s="80">
        <f t="shared" si="38"/>
        <v>0</v>
      </c>
      <c r="J359" s="80">
        <f t="shared" si="39"/>
        <v>0</v>
      </c>
      <c r="K359" s="80">
        <f t="shared" si="40"/>
        <v>0</v>
      </c>
      <c r="L359" s="79"/>
    </row>
    <row r="360" spans="1:12">
      <c r="A360" s="81">
        <v>297</v>
      </c>
      <c r="B360" s="80">
        <f t="shared" si="33"/>
        <v>0</v>
      </c>
      <c r="C360" s="80">
        <f t="shared" si="34"/>
        <v>0</v>
      </c>
      <c r="D360" s="80">
        <f t="shared" si="35"/>
        <v>0</v>
      </c>
      <c r="E360" s="80">
        <f t="shared" si="36"/>
        <v>0</v>
      </c>
      <c r="F360" s="79"/>
      <c r="G360" s="81">
        <v>297</v>
      </c>
      <c r="H360" s="80">
        <f t="shared" si="37"/>
        <v>0</v>
      </c>
      <c r="I360" s="80">
        <f t="shared" si="38"/>
        <v>0</v>
      </c>
      <c r="J360" s="80">
        <f t="shared" si="39"/>
        <v>0</v>
      </c>
      <c r="K360" s="80">
        <f t="shared" si="40"/>
        <v>0</v>
      </c>
      <c r="L360" s="79"/>
    </row>
    <row r="361" spans="1:12">
      <c r="A361" s="81">
        <v>298</v>
      </c>
      <c r="B361" s="80">
        <f t="shared" si="33"/>
        <v>0</v>
      </c>
      <c r="C361" s="80">
        <f t="shared" si="34"/>
        <v>0</v>
      </c>
      <c r="D361" s="80">
        <f t="shared" si="35"/>
        <v>0</v>
      </c>
      <c r="E361" s="80">
        <f t="shared" si="36"/>
        <v>0</v>
      </c>
      <c r="F361" s="79"/>
      <c r="G361" s="81">
        <v>298</v>
      </c>
      <c r="H361" s="80">
        <f t="shared" si="37"/>
        <v>0</v>
      </c>
      <c r="I361" s="80">
        <f t="shared" si="38"/>
        <v>0</v>
      </c>
      <c r="J361" s="80">
        <f t="shared" si="39"/>
        <v>0</v>
      </c>
      <c r="K361" s="80">
        <f t="shared" si="40"/>
        <v>0</v>
      </c>
      <c r="L361" s="79"/>
    </row>
    <row r="362" spans="1:12">
      <c r="A362" s="81">
        <v>299</v>
      </c>
      <c r="B362" s="80">
        <f t="shared" si="33"/>
        <v>0</v>
      </c>
      <c r="C362" s="80">
        <f t="shared" si="34"/>
        <v>0</v>
      </c>
      <c r="D362" s="80">
        <f t="shared" si="35"/>
        <v>0</v>
      </c>
      <c r="E362" s="80">
        <f t="shared" si="36"/>
        <v>0</v>
      </c>
      <c r="F362" s="79"/>
      <c r="G362" s="81">
        <v>299</v>
      </c>
      <c r="H362" s="80">
        <f t="shared" si="37"/>
        <v>0</v>
      </c>
      <c r="I362" s="80">
        <f t="shared" si="38"/>
        <v>0</v>
      </c>
      <c r="J362" s="80">
        <f t="shared" si="39"/>
        <v>0</v>
      </c>
      <c r="K362" s="80">
        <f t="shared" si="40"/>
        <v>0</v>
      </c>
      <c r="L362" s="79"/>
    </row>
    <row r="363" spans="1:12">
      <c r="A363" s="81">
        <v>300</v>
      </c>
      <c r="B363" s="80">
        <f t="shared" si="33"/>
        <v>0</v>
      </c>
      <c r="C363" s="80">
        <f t="shared" si="34"/>
        <v>0</v>
      </c>
      <c r="D363" s="80">
        <f t="shared" si="35"/>
        <v>0</v>
      </c>
      <c r="E363" s="80">
        <f t="shared" si="36"/>
        <v>0</v>
      </c>
      <c r="F363" s="79">
        <v>25</v>
      </c>
      <c r="G363" s="81">
        <v>300</v>
      </c>
      <c r="H363" s="80">
        <f t="shared" si="37"/>
        <v>0</v>
      </c>
      <c r="I363" s="80">
        <f t="shared" si="38"/>
        <v>0</v>
      </c>
      <c r="J363" s="80">
        <f t="shared" si="39"/>
        <v>0</v>
      </c>
      <c r="K363" s="80">
        <f t="shared" si="40"/>
        <v>0</v>
      </c>
      <c r="L363" s="79">
        <v>25</v>
      </c>
    </row>
    <row r="364" spans="1:12">
      <c r="A364" s="81">
        <v>301</v>
      </c>
      <c r="B364" s="80">
        <f t="shared" si="33"/>
        <v>0</v>
      </c>
      <c r="C364" s="80">
        <f t="shared" si="34"/>
        <v>0</v>
      </c>
      <c r="D364" s="80">
        <f t="shared" si="35"/>
        <v>0</v>
      </c>
      <c r="E364" s="80">
        <f t="shared" si="36"/>
        <v>0</v>
      </c>
      <c r="F364" s="79"/>
      <c r="G364" s="81">
        <v>301</v>
      </c>
      <c r="H364" s="80">
        <f t="shared" si="37"/>
        <v>0</v>
      </c>
      <c r="I364" s="80">
        <f t="shared" si="38"/>
        <v>0</v>
      </c>
      <c r="J364" s="80">
        <f t="shared" si="39"/>
        <v>0</v>
      </c>
      <c r="K364" s="80">
        <f t="shared" si="40"/>
        <v>0</v>
      </c>
      <c r="L364" s="79"/>
    </row>
    <row r="365" spans="1:12">
      <c r="A365" s="81">
        <v>302</v>
      </c>
      <c r="B365" s="80">
        <f t="shared" si="33"/>
        <v>0</v>
      </c>
      <c r="C365" s="80">
        <f t="shared" si="34"/>
        <v>0</v>
      </c>
      <c r="D365" s="80">
        <f t="shared" si="35"/>
        <v>0</v>
      </c>
      <c r="E365" s="80">
        <f t="shared" si="36"/>
        <v>0</v>
      </c>
      <c r="F365" s="79"/>
      <c r="G365" s="81">
        <v>302</v>
      </c>
      <c r="H365" s="80">
        <f t="shared" si="37"/>
        <v>0</v>
      </c>
      <c r="I365" s="80">
        <f t="shared" si="38"/>
        <v>0</v>
      </c>
      <c r="J365" s="80">
        <f t="shared" si="39"/>
        <v>0</v>
      </c>
      <c r="K365" s="80">
        <f t="shared" si="40"/>
        <v>0</v>
      </c>
      <c r="L365" s="79"/>
    </row>
    <row r="366" spans="1:12">
      <c r="A366" s="81">
        <v>303</v>
      </c>
      <c r="B366" s="80">
        <f t="shared" si="33"/>
        <v>0</v>
      </c>
      <c r="C366" s="80">
        <f t="shared" si="34"/>
        <v>0</v>
      </c>
      <c r="D366" s="80">
        <f t="shared" si="35"/>
        <v>0</v>
      </c>
      <c r="E366" s="80">
        <f t="shared" si="36"/>
        <v>0</v>
      </c>
      <c r="F366" s="79"/>
      <c r="G366" s="81">
        <v>303</v>
      </c>
      <c r="H366" s="80">
        <f t="shared" si="37"/>
        <v>0</v>
      </c>
      <c r="I366" s="80">
        <f t="shared" si="38"/>
        <v>0</v>
      </c>
      <c r="J366" s="80">
        <f t="shared" si="39"/>
        <v>0</v>
      </c>
      <c r="K366" s="80">
        <f t="shared" si="40"/>
        <v>0</v>
      </c>
      <c r="L366" s="79"/>
    </row>
    <row r="367" spans="1:12">
      <c r="A367" s="81">
        <v>304</v>
      </c>
      <c r="B367" s="80">
        <f t="shared" si="33"/>
        <v>0</v>
      </c>
      <c r="C367" s="80">
        <f t="shared" si="34"/>
        <v>0</v>
      </c>
      <c r="D367" s="80">
        <f t="shared" si="35"/>
        <v>0</v>
      </c>
      <c r="E367" s="80">
        <f t="shared" si="36"/>
        <v>0</v>
      </c>
      <c r="F367" s="79"/>
      <c r="G367" s="81">
        <v>304</v>
      </c>
      <c r="H367" s="80">
        <f t="shared" si="37"/>
        <v>0</v>
      </c>
      <c r="I367" s="80">
        <f t="shared" si="38"/>
        <v>0</v>
      </c>
      <c r="J367" s="80">
        <f t="shared" si="39"/>
        <v>0</v>
      </c>
      <c r="K367" s="80">
        <f t="shared" si="40"/>
        <v>0</v>
      </c>
      <c r="L367" s="79"/>
    </row>
    <row r="368" spans="1:12">
      <c r="A368" s="81">
        <v>305</v>
      </c>
      <c r="B368" s="80">
        <f t="shared" si="33"/>
        <v>0</v>
      </c>
      <c r="C368" s="80">
        <f t="shared" si="34"/>
        <v>0</v>
      </c>
      <c r="D368" s="80">
        <f t="shared" si="35"/>
        <v>0</v>
      </c>
      <c r="E368" s="80">
        <f t="shared" si="36"/>
        <v>0</v>
      </c>
      <c r="F368" s="79"/>
      <c r="G368" s="81">
        <v>305</v>
      </c>
      <c r="H368" s="80">
        <f t="shared" si="37"/>
        <v>0</v>
      </c>
      <c r="I368" s="80">
        <f t="shared" si="38"/>
        <v>0</v>
      </c>
      <c r="J368" s="80">
        <f t="shared" si="39"/>
        <v>0</v>
      </c>
      <c r="K368" s="80">
        <f t="shared" si="40"/>
        <v>0</v>
      </c>
      <c r="L368" s="79"/>
    </row>
    <row r="369" spans="1:12">
      <c r="A369" s="81">
        <v>306</v>
      </c>
      <c r="B369" s="80">
        <f t="shared" si="33"/>
        <v>0</v>
      </c>
      <c r="C369" s="80">
        <f t="shared" si="34"/>
        <v>0</v>
      </c>
      <c r="D369" s="80">
        <f t="shared" si="35"/>
        <v>0</v>
      </c>
      <c r="E369" s="80">
        <f t="shared" si="36"/>
        <v>0</v>
      </c>
      <c r="F369" s="79"/>
      <c r="G369" s="81">
        <v>306</v>
      </c>
      <c r="H369" s="80">
        <f t="shared" si="37"/>
        <v>0</v>
      </c>
      <c r="I369" s="80">
        <f t="shared" si="38"/>
        <v>0</v>
      </c>
      <c r="J369" s="80">
        <f t="shared" si="39"/>
        <v>0</v>
      </c>
      <c r="K369" s="80">
        <f t="shared" si="40"/>
        <v>0</v>
      </c>
      <c r="L369" s="79"/>
    </row>
    <row r="370" spans="1:12">
      <c r="A370" s="81">
        <v>307</v>
      </c>
      <c r="B370" s="80">
        <f t="shared" si="33"/>
        <v>0</v>
      </c>
      <c r="C370" s="80">
        <f t="shared" si="34"/>
        <v>0</v>
      </c>
      <c r="D370" s="80">
        <f t="shared" si="35"/>
        <v>0</v>
      </c>
      <c r="E370" s="80">
        <f t="shared" si="36"/>
        <v>0</v>
      </c>
      <c r="F370" s="79"/>
      <c r="G370" s="81">
        <v>307</v>
      </c>
      <c r="H370" s="80">
        <f t="shared" si="37"/>
        <v>0</v>
      </c>
      <c r="I370" s="80">
        <f t="shared" si="38"/>
        <v>0</v>
      </c>
      <c r="J370" s="80">
        <f t="shared" si="39"/>
        <v>0</v>
      </c>
      <c r="K370" s="80">
        <f t="shared" si="40"/>
        <v>0</v>
      </c>
      <c r="L370" s="79"/>
    </row>
    <row r="371" spans="1:12">
      <c r="A371" s="81">
        <v>308</v>
      </c>
      <c r="B371" s="80">
        <f t="shared" si="33"/>
        <v>0</v>
      </c>
      <c r="C371" s="80">
        <f t="shared" si="34"/>
        <v>0</v>
      </c>
      <c r="D371" s="80">
        <f t="shared" si="35"/>
        <v>0</v>
      </c>
      <c r="E371" s="80">
        <f t="shared" si="36"/>
        <v>0</v>
      </c>
      <c r="F371" s="79"/>
      <c r="G371" s="81">
        <v>308</v>
      </c>
      <c r="H371" s="80">
        <f t="shared" si="37"/>
        <v>0</v>
      </c>
      <c r="I371" s="80">
        <f t="shared" si="38"/>
        <v>0</v>
      </c>
      <c r="J371" s="80">
        <f t="shared" si="39"/>
        <v>0</v>
      </c>
      <c r="K371" s="80">
        <f t="shared" si="40"/>
        <v>0</v>
      </c>
      <c r="L371" s="79"/>
    </row>
    <row r="372" spans="1:12">
      <c r="A372" s="81">
        <v>309</v>
      </c>
      <c r="B372" s="80">
        <f t="shared" si="33"/>
        <v>0</v>
      </c>
      <c r="C372" s="80">
        <f t="shared" si="34"/>
        <v>0</v>
      </c>
      <c r="D372" s="80">
        <f t="shared" si="35"/>
        <v>0</v>
      </c>
      <c r="E372" s="80">
        <f t="shared" si="36"/>
        <v>0</v>
      </c>
      <c r="F372" s="79"/>
      <c r="G372" s="81">
        <v>309</v>
      </c>
      <c r="H372" s="80">
        <f t="shared" si="37"/>
        <v>0</v>
      </c>
      <c r="I372" s="80">
        <f t="shared" si="38"/>
        <v>0</v>
      </c>
      <c r="J372" s="80">
        <f t="shared" si="39"/>
        <v>0</v>
      </c>
      <c r="K372" s="80">
        <f t="shared" si="40"/>
        <v>0</v>
      </c>
      <c r="L372" s="79"/>
    </row>
    <row r="373" spans="1:12">
      <c r="A373" s="81">
        <v>310</v>
      </c>
      <c r="B373" s="80">
        <f t="shared" si="33"/>
        <v>0</v>
      </c>
      <c r="C373" s="80">
        <f t="shared" si="34"/>
        <v>0</v>
      </c>
      <c r="D373" s="80">
        <f t="shared" si="35"/>
        <v>0</v>
      </c>
      <c r="E373" s="80">
        <f t="shared" si="36"/>
        <v>0</v>
      </c>
      <c r="F373" s="79"/>
      <c r="G373" s="81">
        <v>310</v>
      </c>
      <c r="H373" s="80">
        <f t="shared" si="37"/>
        <v>0</v>
      </c>
      <c r="I373" s="80">
        <f t="shared" si="38"/>
        <v>0</v>
      </c>
      <c r="J373" s="80">
        <f t="shared" si="39"/>
        <v>0</v>
      </c>
      <c r="K373" s="80">
        <f t="shared" si="40"/>
        <v>0</v>
      </c>
      <c r="L373" s="79"/>
    </row>
    <row r="374" spans="1:12">
      <c r="A374" s="81">
        <v>311</v>
      </c>
      <c r="B374" s="80">
        <f t="shared" si="33"/>
        <v>0</v>
      </c>
      <c r="C374" s="80">
        <f t="shared" si="34"/>
        <v>0</v>
      </c>
      <c r="D374" s="80">
        <f t="shared" si="35"/>
        <v>0</v>
      </c>
      <c r="E374" s="80">
        <f t="shared" si="36"/>
        <v>0</v>
      </c>
      <c r="F374" s="79"/>
      <c r="G374" s="81">
        <v>311</v>
      </c>
      <c r="H374" s="80">
        <f t="shared" si="37"/>
        <v>0</v>
      </c>
      <c r="I374" s="80">
        <f t="shared" si="38"/>
        <v>0</v>
      </c>
      <c r="J374" s="80">
        <f t="shared" si="39"/>
        <v>0</v>
      </c>
      <c r="K374" s="80">
        <f t="shared" si="40"/>
        <v>0</v>
      </c>
      <c r="L374" s="79"/>
    </row>
    <row r="375" spans="1:12">
      <c r="A375" s="81">
        <v>312</v>
      </c>
      <c r="B375" s="80">
        <f t="shared" si="33"/>
        <v>0</v>
      </c>
      <c r="C375" s="80">
        <f t="shared" si="34"/>
        <v>0</v>
      </c>
      <c r="D375" s="80">
        <f t="shared" si="35"/>
        <v>0</v>
      </c>
      <c r="E375" s="80">
        <f t="shared" si="36"/>
        <v>0</v>
      </c>
      <c r="F375" s="79">
        <v>26</v>
      </c>
      <c r="G375" s="81">
        <v>312</v>
      </c>
      <c r="H375" s="80">
        <f t="shared" si="37"/>
        <v>0</v>
      </c>
      <c r="I375" s="80">
        <f t="shared" si="38"/>
        <v>0</v>
      </c>
      <c r="J375" s="80">
        <f t="shared" si="39"/>
        <v>0</v>
      </c>
      <c r="K375" s="80">
        <f t="shared" si="40"/>
        <v>0</v>
      </c>
      <c r="L375" s="79">
        <v>26</v>
      </c>
    </row>
    <row r="376" spans="1:12">
      <c r="A376" s="81">
        <v>313</v>
      </c>
      <c r="B376" s="80">
        <f t="shared" si="33"/>
        <v>0</v>
      </c>
      <c r="C376" s="80">
        <f t="shared" si="34"/>
        <v>0</v>
      </c>
      <c r="D376" s="80">
        <f t="shared" si="35"/>
        <v>0</v>
      </c>
      <c r="E376" s="80">
        <f t="shared" si="36"/>
        <v>0</v>
      </c>
      <c r="F376" s="79"/>
      <c r="G376" s="81">
        <v>313</v>
      </c>
      <c r="H376" s="80">
        <f t="shared" si="37"/>
        <v>0</v>
      </c>
      <c r="I376" s="80">
        <f t="shared" si="38"/>
        <v>0</v>
      </c>
      <c r="J376" s="80">
        <f t="shared" si="39"/>
        <v>0</v>
      </c>
      <c r="K376" s="80">
        <f t="shared" si="40"/>
        <v>0</v>
      </c>
      <c r="L376" s="79"/>
    </row>
    <row r="377" spans="1:12">
      <c r="A377" s="81">
        <v>314</v>
      </c>
      <c r="B377" s="80">
        <f t="shared" si="33"/>
        <v>0</v>
      </c>
      <c r="C377" s="80">
        <f t="shared" si="34"/>
        <v>0</v>
      </c>
      <c r="D377" s="80">
        <f t="shared" si="35"/>
        <v>0</v>
      </c>
      <c r="E377" s="80">
        <f t="shared" si="36"/>
        <v>0</v>
      </c>
      <c r="F377" s="79"/>
      <c r="G377" s="81">
        <v>314</v>
      </c>
      <c r="H377" s="80">
        <f t="shared" si="37"/>
        <v>0</v>
      </c>
      <c r="I377" s="80">
        <f t="shared" si="38"/>
        <v>0</v>
      </c>
      <c r="J377" s="80">
        <f t="shared" si="39"/>
        <v>0</v>
      </c>
      <c r="K377" s="80">
        <f t="shared" si="40"/>
        <v>0</v>
      </c>
      <c r="L377" s="79"/>
    </row>
    <row r="378" spans="1:12">
      <c r="A378" s="81">
        <v>315</v>
      </c>
      <c r="B378" s="80">
        <f t="shared" si="33"/>
        <v>0</v>
      </c>
      <c r="C378" s="80">
        <f t="shared" si="34"/>
        <v>0</v>
      </c>
      <c r="D378" s="80">
        <f t="shared" si="35"/>
        <v>0</v>
      </c>
      <c r="E378" s="80">
        <f t="shared" si="36"/>
        <v>0</v>
      </c>
      <c r="F378" s="79"/>
      <c r="G378" s="81">
        <v>315</v>
      </c>
      <c r="H378" s="80">
        <f t="shared" si="37"/>
        <v>0</v>
      </c>
      <c r="I378" s="80">
        <f t="shared" si="38"/>
        <v>0</v>
      </c>
      <c r="J378" s="80">
        <f t="shared" si="39"/>
        <v>0</v>
      </c>
      <c r="K378" s="80">
        <f t="shared" si="40"/>
        <v>0</v>
      </c>
      <c r="L378" s="79"/>
    </row>
    <row r="379" spans="1:12">
      <c r="A379" s="81">
        <v>316</v>
      </c>
      <c r="B379" s="80">
        <f t="shared" si="33"/>
        <v>0</v>
      </c>
      <c r="C379" s="80">
        <f t="shared" si="34"/>
        <v>0</v>
      </c>
      <c r="D379" s="80">
        <f t="shared" si="35"/>
        <v>0</v>
      </c>
      <c r="E379" s="80">
        <f t="shared" si="36"/>
        <v>0</v>
      </c>
      <c r="F379" s="79"/>
      <c r="G379" s="81">
        <v>316</v>
      </c>
      <c r="H379" s="80">
        <f t="shared" si="37"/>
        <v>0</v>
      </c>
      <c r="I379" s="80">
        <f t="shared" si="38"/>
        <v>0</v>
      </c>
      <c r="J379" s="80">
        <f t="shared" si="39"/>
        <v>0</v>
      </c>
      <c r="K379" s="80">
        <f t="shared" si="40"/>
        <v>0</v>
      </c>
      <c r="L379" s="79"/>
    </row>
    <row r="380" spans="1:12">
      <c r="A380" s="81">
        <v>317</v>
      </c>
      <c r="B380" s="80">
        <f t="shared" si="33"/>
        <v>0</v>
      </c>
      <c r="C380" s="80">
        <f t="shared" si="34"/>
        <v>0</v>
      </c>
      <c r="D380" s="80">
        <f t="shared" si="35"/>
        <v>0</v>
      </c>
      <c r="E380" s="80">
        <f t="shared" si="36"/>
        <v>0</v>
      </c>
      <c r="F380" s="79"/>
      <c r="G380" s="81">
        <v>317</v>
      </c>
      <c r="H380" s="80">
        <f t="shared" si="37"/>
        <v>0</v>
      </c>
      <c r="I380" s="80">
        <f t="shared" si="38"/>
        <v>0</v>
      </c>
      <c r="J380" s="80">
        <f t="shared" si="39"/>
        <v>0</v>
      </c>
      <c r="K380" s="80">
        <f t="shared" si="40"/>
        <v>0</v>
      </c>
      <c r="L380" s="79"/>
    </row>
    <row r="381" spans="1:12">
      <c r="A381" s="81">
        <v>318</v>
      </c>
      <c r="B381" s="80">
        <f t="shared" si="33"/>
        <v>0</v>
      </c>
      <c r="C381" s="80">
        <f t="shared" si="34"/>
        <v>0</v>
      </c>
      <c r="D381" s="80">
        <f t="shared" si="35"/>
        <v>0</v>
      </c>
      <c r="E381" s="80">
        <f t="shared" si="36"/>
        <v>0</v>
      </c>
      <c r="F381" s="79"/>
      <c r="G381" s="81">
        <v>318</v>
      </c>
      <c r="H381" s="80">
        <f t="shared" si="37"/>
        <v>0</v>
      </c>
      <c r="I381" s="80">
        <f t="shared" si="38"/>
        <v>0</v>
      </c>
      <c r="J381" s="80">
        <f t="shared" si="39"/>
        <v>0</v>
      </c>
      <c r="K381" s="80">
        <f t="shared" si="40"/>
        <v>0</v>
      </c>
      <c r="L381" s="79"/>
    </row>
    <row r="382" spans="1:12">
      <c r="A382" s="81">
        <v>319</v>
      </c>
      <c r="B382" s="80">
        <f t="shared" si="33"/>
        <v>0</v>
      </c>
      <c r="C382" s="80">
        <f t="shared" si="34"/>
        <v>0</v>
      </c>
      <c r="D382" s="80">
        <f t="shared" si="35"/>
        <v>0</v>
      </c>
      <c r="E382" s="80">
        <f t="shared" si="36"/>
        <v>0</v>
      </c>
      <c r="F382" s="79"/>
      <c r="G382" s="81">
        <v>319</v>
      </c>
      <c r="H382" s="80">
        <f t="shared" si="37"/>
        <v>0</v>
      </c>
      <c r="I382" s="80">
        <f t="shared" si="38"/>
        <v>0</v>
      </c>
      <c r="J382" s="80">
        <f t="shared" si="39"/>
        <v>0</v>
      </c>
      <c r="K382" s="80">
        <f t="shared" si="40"/>
        <v>0</v>
      </c>
      <c r="L382" s="79"/>
    </row>
    <row r="383" spans="1:12">
      <c r="A383" s="81">
        <v>320</v>
      </c>
      <c r="B383" s="80">
        <f t="shared" si="33"/>
        <v>0</v>
      </c>
      <c r="C383" s="80">
        <f t="shared" si="34"/>
        <v>0</v>
      </c>
      <c r="D383" s="80">
        <f t="shared" si="35"/>
        <v>0</v>
      </c>
      <c r="E383" s="80">
        <f t="shared" si="36"/>
        <v>0</v>
      </c>
      <c r="F383" s="79"/>
      <c r="G383" s="81">
        <v>320</v>
      </c>
      <c r="H383" s="80">
        <f t="shared" si="37"/>
        <v>0</v>
      </c>
      <c r="I383" s="80">
        <f t="shared" si="38"/>
        <v>0</v>
      </c>
      <c r="J383" s="80">
        <f t="shared" si="39"/>
        <v>0</v>
      </c>
      <c r="K383" s="80">
        <f t="shared" si="40"/>
        <v>0</v>
      </c>
      <c r="L383" s="79"/>
    </row>
    <row r="384" spans="1:12">
      <c r="A384" s="81">
        <v>321</v>
      </c>
      <c r="B384" s="80">
        <f t="shared" ref="B384:B447" si="41">IF(A384&gt;12*$C$9,0,IF($C$5&gt;1500000,$D$12,$C$12))</f>
        <v>0</v>
      </c>
      <c r="C384" s="80">
        <f t="shared" ref="C384:C447" si="42">IF(A384&gt;12*$C$9,0,E383*$C$7/12)</f>
        <v>0</v>
      </c>
      <c r="D384" s="80">
        <f t="shared" ref="D384:D447" si="43">IF(A384&gt;12*$C$9,0,B384-C384)</f>
        <v>0</v>
      </c>
      <c r="E384" s="80">
        <f t="shared" ref="E384:E447" si="44">IF(A384&gt;12*$C$9,0,E383-D384)</f>
        <v>0</v>
      </c>
      <c r="F384" s="79"/>
      <c r="G384" s="81">
        <v>321</v>
      </c>
      <c r="H384" s="80">
        <f t="shared" ref="H384:H447" si="45">IF(G384&gt;12*$C$9,0,IF($C$5&gt;1500000,$E$12,0))</f>
        <v>0</v>
      </c>
      <c r="I384" s="80">
        <f t="shared" ref="I384:I447" si="46">IF(G384&gt;12*$C$9,0,K383*$C$7/12)</f>
        <v>0</v>
      </c>
      <c r="J384" s="80">
        <f t="shared" ref="J384:J447" si="47">IF(G384&gt;12*$C$9,0,H384-I384)</f>
        <v>0</v>
      </c>
      <c r="K384" s="80">
        <f t="shared" ref="K384:K447" si="48">IF(G384&gt;12*$C$9,0,K383-J384)</f>
        <v>0</v>
      </c>
      <c r="L384" s="79"/>
    </row>
    <row r="385" spans="1:12">
      <c r="A385" s="81">
        <v>322</v>
      </c>
      <c r="B385" s="80">
        <f t="shared" si="41"/>
        <v>0</v>
      </c>
      <c r="C385" s="80">
        <f t="shared" si="42"/>
        <v>0</v>
      </c>
      <c r="D385" s="80">
        <f t="shared" si="43"/>
        <v>0</v>
      </c>
      <c r="E385" s="80">
        <f t="shared" si="44"/>
        <v>0</v>
      </c>
      <c r="F385" s="79"/>
      <c r="G385" s="81">
        <v>322</v>
      </c>
      <c r="H385" s="80">
        <f t="shared" si="45"/>
        <v>0</v>
      </c>
      <c r="I385" s="80">
        <f t="shared" si="46"/>
        <v>0</v>
      </c>
      <c r="J385" s="80">
        <f t="shared" si="47"/>
        <v>0</v>
      </c>
      <c r="K385" s="80">
        <f t="shared" si="48"/>
        <v>0</v>
      </c>
      <c r="L385" s="79"/>
    </row>
    <row r="386" spans="1:12">
      <c r="A386" s="81">
        <v>323</v>
      </c>
      <c r="B386" s="80">
        <f t="shared" si="41"/>
        <v>0</v>
      </c>
      <c r="C386" s="80">
        <f t="shared" si="42"/>
        <v>0</v>
      </c>
      <c r="D386" s="80">
        <f t="shared" si="43"/>
        <v>0</v>
      </c>
      <c r="E386" s="80">
        <f t="shared" si="44"/>
        <v>0</v>
      </c>
      <c r="F386" s="79"/>
      <c r="G386" s="81">
        <v>323</v>
      </c>
      <c r="H386" s="80">
        <f t="shared" si="45"/>
        <v>0</v>
      </c>
      <c r="I386" s="80">
        <f t="shared" si="46"/>
        <v>0</v>
      </c>
      <c r="J386" s="80">
        <f t="shared" si="47"/>
        <v>0</v>
      </c>
      <c r="K386" s="80">
        <f t="shared" si="48"/>
        <v>0</v>
      </c>
      <c r="L386" s="79"/>
    </row>
    <row r="387" spans="1:12">
      <c r="A387" s="81">
        <v>324</v>
      </c>
      <c r="B387" s="80">
        <f t="shared" si="41"/>
        <v>0</v>
      </c>
      <c r="C387" s="80">
        <f t="shared" si="42"/>
        <v>0</v>
      </c>
      <c r="D387" s="80">
        <f t="shared" si="43"/>
        <v>0</v>
      </c>
      <c r="E387" s="80">
        <f t="shared" si="44"/>
        <v>0</v>
      </c>
      <c r="F387" s="79">
        <v>27</v>
      </c>
      <c r="G387" s="81">
        <v>324</v>
      </c>
      <c r="H387" s="80">
        <f t="shared" si="45"/>
        <v>0</v>
      </c>
      <c r="I387" s="80">
        <f t="shared" si="46"/>
        <v>0</v>
      </c>
      <c r="J387" s="80">
        <f t="shared" si="47"/>
        <v>0</v>
      </c>
      <c r="K387" s="80">
        <f t="shared" si="48"/>
        <v>0</v>
      </c>
      <c r="L387" s="79">
        <v>27</v>
      </c>
    </row>
    <row r="388" spans="1:12">
      <c r="A388" s="81">
        <v>325</v>
      </c>
      <c r="B388" s="80">
        <f t="shared" si="41"/>
        <v>0</v>
      </c>
      <c r="C388" s="80">
        <f t="shared" si="42"/>
        <v>0</v>
      </c>
      <c r="D388" s="80">
        <f t="shared" si="43"/>
        <v>0</v>
      </c>
      <c r="E388" s="80">
        <f t="shared" si="44"/>
        <v>0</v>
      </c>
      <c r="F388" s="79"/>
      <c r="G388" s="81">
        <v>325</v>
      </c>
      <c r="H388" s="80">
        <f t="shared" si="45"/>
        <v>0</v>
      </c>
      <c r="I388" s="80">
        <f t="shared" si="46"/>
        <v>0</v>
      </c>
      <c r="J388" s="80">
        <f t="shared" si="47"/>
        <v>0</v>
      </c>
      <c r="K388" s="80">
        <f t="shared" si="48"/>
        <v>0</v>
      </c>
      <c r="L388" s="79"/>
    </row>
    <row r="389" spans="1:12">
      <c r="A389" s="81">
        <v>326</v>
      </c>
      <c r="B389" s="80">
        <f t="shared" si="41"/>
        <v>0</v>
      </c>
      <c r="C389" s="80">
        <f t="shared" si="42"/>
        <v>0</v>
      </c>
      <c r="D389" s="80">
        <f t="shared" si="43"/>
        <v>0</v>
      </c>
      <c r="E389" s="80">
        <f t="shared" si="44"/>
        <v>0</v>
      </c>
      <c r="F389" s="79"/>
      <c r="G389" s="81">
        <v>326</v>
      </c>
      <c r="H389" s="80">
        <f t="shared" si="45"/>
        <v>0</v>
      </c>
      <c r="I389" s="80">
        <f t="shared" si="46"/>
        <v>0</v>
      </c>
      <c r="J389" s="80">
        <f t="shared" si="47"/>
        <v>0</v>
      </c>
      <c r="K389" s="80">
        <f t="shared" si="48"/>
        <v>0</v>
      </c>
      <c r="L389" s="79"/>
    </row>
    <row r="390" spans="1:12">
      <c r="A390" s="81">
        <v>327</v>
      </c>
      <c r="B390" s="80">
        <f t="shared" si="41"/>
        <v>0</v>
      </c>
      <c r="C390" s="80">
        <f t="shared" si="42"/>
        <v>0</v>
      </c>
      <c r="D390" s="80">
        <f t="shared" si="43"/>
        <v>0</v>
      </c>
      <c r="E390" s="80">
        <f t="shared" si="44"/>
        <v>0</v>
      </c>
      <c r="F390" s="79"/>
      <c r="G390" s="81">
        <v>327</v>
      </c>
      <c r="H390" s="80">
        <f t="shared" si="45"/>
        <v>0</v>
      </c>
      <c r="I390" s="80">
        <f t="shared" si="46"/>
        <v>0</v>
      </c>
      <c r="J390" s="80">
        <f t="shared" si="47"/>
        <v>0</v>
      </c>
      <c r="K390" s="80">
        <f t="shared" si="48"/>
        <v>0</v>
      </c>
      <c r="L390" s="79"/>
    </row>
    <row r="391" spans="1:12">
      <c r="A391" s="81">
        <v>328</v>
      </c>
      <c r="B391" s="80">
        <f t="shared" si="41"/>
        <v>0</v>
      </c>
      <c r="C391" s="80">
        <f t="shared" si="42"/>
        <v>0</v>
      </c>
      <c r="D391" s="80">
        <f t="shared" si="43"/>
        <v>0</v>
      </c>
      <c r="E391" s="80">
        <f t="shared" si="44"/>
        <v>0</v>
      </c>
      <c r="F391" s="79"/>
      <c r="G391" s="81">
        <v>328</v>
      </c>
      <c r="H391" s="80">
        <f t="shared" si="45"/>
        <v>0</v>
      </c>
      <c r="I391" s="80">
        <f t="shared" si="46"/>
        <v>0</v>
      </c>
      <c r="J391" s="80">
        <f t="shared" si="47"/>
        <v>0</v>
      </c>
      <c r="K391" s="80">
        <f t="shared" si="48"/>
        <v>0</v>
      </c>
      <c r="L391" s="79"/>
    </row>
    <row r="392" spans="1:12">
      <c r="A392" s="81">
        <v>329</v>
      </c>
      <c r="B392" s="80">
        <f t="shared" si="41"/>
        <v>0</v>
      </c>
      <c r="C392" s="80">
        <f t="shared" si="42"/>
        <v>0</v>
      </c>
      <c r="D392" s="80">
        <f t="shared" si="43"/>
        <v>0</v>
      </c>
      <c r="E392" s="80">
        <f t="shared" si="44"/>
        <v>0</v>
      </c>
      <c r="F392" s="79"/>
      <c r="G392" s="81">
        <v>329</v>
      </c>
      <c r="H392" s="80">
        <f t="shared" si="45"/>
        <v>0</v>
      </c>
      <c r="I392" s="80">
        <f t="shared" si="46"/>
        <v>0</v>
      </c>
      <c r="J392" s="80">
        <f t="shared" si="47"/>
        <v>0</v>
      </c>
      <c r="K392" s="80">
        <f t="shared" si="48"/>
        <v>0</v>
      </c>
      <c r="L392" s="79"/>
    </row>
    <row r="393" spans="1:12">
      <c r="A393" s="81">
        <v>330</v>
      </c>
      <c r="B393" s="80">
        <f t="shared" si="41"/>
        <v>0</v>
      </c>
      <c r="C393" s="80">
        <f t="shared" si="42"/>
        <v>0</v>
      </c>
      <c r="D393" s="80">
        <f t="shared" si="43"/>
        <v>0</v>
      </c>
      <c r="E393" s="80">
        <f t="shared" si="44"/>
        <v>0</v>
      </c>
      <c r="F393" s="79"/>
      <c r="G393" s="81">
        <v>330</v>
      </c>
      <c r="H393" s="80">
        <f t="shared" si="45"/>
        <v>0</v>
      </c>
      <c r="I393" s="80">
        <f t="shared" si="46"/>
        <v>0</v>
      </c>
      <c r="J393" s="80">
        <f t="shared" si="47"/>
        <v>0</v>
      </c>
      <c r="K393" s="80">
        <f t="shared" si="48"/>
        <v>0</v>
      </c>
      <c r="L393" s="79"/>
    </row>
    <row r="394" spans="1:12">
      <c r="A394" s="81">
        <v>331</v>
      </c>
      <c r="B394" s="80">
        <f t="shared" si="41"/>
        <v>0</v>
      </c>
      <c r="C394" s="80">
        <f t="shared" si="42"/>
        <v>0</v>
      </c>
      <c r="D394" s="80">
        <f t="shared" si="43"/>
        <v>0</v>
      </c>
      <c r="E394" s="80">
        <f t="shared" si="44"/>
        <v>0</v>
      </c>
      <c r="F394" s="79"/>
      <c r="G394" s="81">
        <v>331</v>
      </c>
      <c r="H394" s="80">
        <f t="shared" si="45"/>
        <v>0</v>
      </c>
      <c r="I394" s="80">
        <f t="shared" si="46"/>
        <v>0</v>
      </c>
      <c r="J394" s="80">
        <f t="shared" si="47"/>
        <v>0</v>
      </c>
      <c r="K394" s="80">
        <f t="shared" si="48"/>
        <v>0</v>
      </c>
      <c r="L394" s="79"/>
    </row>
    <row r="395" spans="1:12">
      <c r="A395" s="81">
        <v>332</v>
      </c>
      <c r="B395" s="80">
        <f t="shared" si="41"/>
        <v>0</v>
      </c>
      <c r="C395" s="80">
        <f t="shared" si="42"/>
        <v>0</v>
      </c>
      <c r="D395" s="80">
        <f t="shared" si="43"/>
        <v>0</v>
      </c>
      <c r="E395" s="80">
        <f t="shared" si="44"/>
        <v>0</v>
      </c>
      <c r="F395" s="79"/>
      <c r="G395" s="81">
        <v>332</v>
      </c>
      <c r="H395" s="80">
        <f t="shared" si="45"/>
        <v>0</v>
      </c>
      <c r="I395" s="80">
        <f t="shared" si="46"/>
        <v>0</v>
      </c>
      <c r="J395" s="80">
        <f t="shared" si="47"/>
        <v>0</v>
      </c>
      <c r="K395" s="80">
        <f t="shared" si="48"/>
        <v>0</v>
      </c>
      <c r="L395" s="79"/>
    </row>
    <row r="396" spans="1:12">
      <c r="A396" s="81">
        <v>333</v>
      </c>
      <c r="B396" s="80">
        <f t="shared" si="41"/>
        <v>0</v>
      </c>
      <c r="C396" s="80">
        <f t="shared" si="42"/>
        <v>0</v>
      </c>
      <c r="D396" s="80">
        <f t="shared" si="43"/>
        <v>0</v>
      </c>
      <c r="E396" s="80">
        <f t="shared" si="44"/>
        <v>0</v>
      </c>
      <c r="F396" s="79"/>
      <c r="G396" s="81">
        <v>333</v>
      </c>
      <c r="H396" s="80">
        <f t="shared" si="45"/>
        <v>0</v>
      </c>
      <c r="I396" s="80">
        <f t="shared" si="46"/>
        <v>0</v>
      </c>
      <c r="J396" s="80">
        <f t="shared" si="47"/>
        <v>0</v>
      </c>
      <c r="K396" s="80">
        <f t="shared" si="48"/>
        <v>0</v>
      </c>
      <c r="L396" s="79"/>
    </row>
    <row r="397" spans="1:12">
      <c r="A397" s="81">
        <v>334</v>
      </c>
      <c r="B397" s="80">
        <f t="shared" si="41"/>
        <v>0</v>
      </c>
      <c r="C397" s="80">
        <f t="shared" si="42"/>
        <v>0</v>
      </c>
      <c r="D397" s="80">
        <f t="shared" si="43"/>
        <v>0</v>
      </c>
      <c r="E397" s="80">
        <f t="shared" si="44"/>
        <v>0</v>
      </c>
      <c r="F397" s="79"/>
      <c r="G397" s="81">
        <v>334</v>
      </c>
      <c r="H397" s="80">
        <f t="shared" si="45"/>
        <v>0</v>
      </c>
      <c r="I397" s="80">
        <f t="shared" si="46"/>
        <v>0</v>
      </c>
      <c r="J397" s="80">
        <f t="shared" si="47"/>
        <v>0</v>
      </c>
      <c r="K397" s="80">
        <f t="shared" si="48"/>
        <v>0</v>
      </c>
      <c r="L397" s="79"/>
    </row>
    <row r="398" spans="1:12">
      <c r="A398" s="81">
        <v>335</v>
      </c>
      <c r="B398" s="80">
        <f t="shared" si="41"/>
        <v>0</v>
      </c>
      <c r="C398" s="80">
        <f t="shared" si="42"/>
        <v>0</v>
      </c>
      <c r="D398" s="80">
        <f t="shared" si="43"/>
        <v>0</v>
      </c>
      <c r="E398" s="80">
        <f t="shared" si="44"/>
        <v>0</v>
      </c>
      <c r="F398" s="79"/>
      <c r="G398" s="81">
        <v>335</v>
      </c>
      <c r="H398" s="80">
        <f t="shared" si="45"/>
        <v>0</v>
      </c>
      <c r="I398" s="80">
        <f t="shared" si="46"/>
        <v>0</v>
      </c>
      <c r="J398" s="80">
        <f t="shared" si="47"/>
        <v>0</v>
      </c>
      <c r="K398" s="80">
        <f t="shared" si="48"/>
        <v>0</v>
      </c>
      <c r="L398" s="79"/>
    </row>
    <row r="399" spans="1:12">
      <c r="A399" s="81">
        <v>336</v>
      </c>
      <c r="B399" s="80">
        <f t="shared" si="41"/>
        <v>0</v>
      </c>
      <c r="C399" s="80">
        <f t="shared" si="42"/>
        <v>0</v>
      </c>
      <c r="D399" s="80">
        <f t="shared" si="43"/>
        <v>0</v>
      </c>
      <c r="E399" s="80">
        <f t="shared" si="44"/>
        <v>0</v>
      </c>
      <c r="F399" s="79">
        <v>28</v>
      </c>
      <c r="G399" s="81">
        <v>336</v>
      </c>
      <c r="H399" s="80">
        <f t="shared" si="45"/>
        <v>0</v>
      </c>
      <c r="I399" s="80">
        <f t="shared" si="46"/>
        <v>0</v>
      </c>
      <c r="J399" s="80">
        <f t="shared" si="47"/>
        <v>0</v>
      </c>
      <c r="K399" s="80">
        <f t="shared" si="48"/>
        <v>0</v>
      </c>
      <c r="L399" s="79">
        <v>28</v>
      </c>
    </row>
    <row r="400" spans="1:12">
      <c r="A400" s="81">
        <v>337</v>
      </c>
      <c r="B400" s="80">
        <f t="shared" si="41"/>
        <v>0</v>
      </c>
      <c r="C400" s="80">
        <f t="shared" si="42"/>
        <v>0</v>
      </c>
      <c r="D400" s="80">
        <f t="shared" si="43"/>
        <v>0</v>
      </c>
      <c r="E400" s="80">
        <f t="shared" si="44"/>
        <v>0</v>
      </c>
      <c r="F400" s="79"/>
      <c r="G400" s="81">
        <v>337</v>
      </c>
      <c r="H400" s="80">
        <f t="shared" si="45"/>
        <v>0</v>
      </c>
      <c r="I400" s="80">
        <f t="shared" si="46"/>
        <v>0</v>
      </c>
      <c r="J400" s="80">
        <f t="shared" si="47"/>
        <v>0</v>
      </c>
      <c r="K400" s="80">
        <f t="shared" si="48"/>
        <v>0</v>
      </c>
      <c r="L400" s="79"/>
    </row>
    <row r="401" spans="1:12">
      <c r="A401" s="81">
        <v>338</v>
      </c>
      <c r="B401" s="80">
        <f t="shared" si="41"/>
        <v>0</v>
      </c>
      <c r="C401" s="80">
        <f t="shared" si="42"/>
        <v>0</v>
      </c>
      <c r="D401" s="80">
        <f t="shared" si="43"/>
        <v>0</v>
      </c>
      <c r="E401" s="80">
        <f t="shared" si="44"/>
        <v>0</v>
      </c>
      <c r="F401" s="79"/>
      <c r="G401" s="81">
        <v>338</v>
      </c>
      <c r="H401" s="80">
        <f t="shared" si="45"/>
        <v>0</v>
      </c>
      <c r="I401" s="80">
        <f t="shared" si="46"/>
        <v>0</v>
      </c>
      <c r="J401" s="80">
        <f t="shared" si="47"/>
        <v>0</v>
      </c>
      <c r="K401" s="80">
        <f t="shared" si="48"/>
        <v>0</v>
      </c>
      <c r="L401" s="79"/>
    </row>
    <row r="402" spans="1:12">
      <c r="A402" s="81">
        <v>339</v>
      </c>
      <c r="B402" s="80">
        <f t="shared" si="41"/>
        <v>0</v>
      </c>
      <c r="C402" s="80">
        <f t="shared" si="42"/>
        <v>0</v>
      </c>
      <c r="D402" s="80">
        <f t="shared" si="43"/>
        <v>0</v>
      </c>
      <c r="E402" s="80">
        <f t="shared" si="44"/>
        <v>0</v>
      </c>
      <c r="F402" s="79"/>
      <c r="G402" s="81">
        <v>339</v>
      </c>
      <c r="H402" s="80">
        <f t="shared" si="45"/>
        <v>0</v>
      </c>
      <c r="I402" s="80">
        <f t="shared" si="46"/>
        <v>0</v>
      </c>
      <c r="J402" s="80">
        <f t="shared" si="47"/>
        <v>0</v>
      </c>
      <c r="K402" s="80">
        <f t="shared" si="48"/>
        <v>0</v>
      </c>
      <c r="L402" s="79"/>
    </row>
    <row r="403" spans="1:12">
      <c r="A403" s="81">
        <v>340</v>
      </c>
      <c r="B403" s="80">
        <f t="shared" si="41"/>
        <v>0</v>
      </c>
      <c r="C403" s="80">
        <f t="shared" si="42"/>
        <v>0</v>
      </c>
      <c r="D403" s="80">
        <f t="shared" si="43"/>
        <v>0</v>
      </c>
      <c r="E403" s="80">
        <f t="shared" si="44"/>
        <v>0</v>
      </c>
      <c r="F403" s="79"/>
      <c r="G403" s="81">
        <v>340</v>
      </c>
      <c r="H403" s="80">
        <f t="shared" si="45"/>
        <v>0</v>
      </c>
      <c r="I403" s="80">
        <f t="shared" si="46"/>
        <v>0</v>
      </c>
      <c r="J403" s="80">
        <f t="shared" si="47"/>
        <v>0</v>
      </c>
      <c r="K403" s="80">
        <f t="shared" si="48"/>
        <v>0</v>
      </c>
      <c r="L403" s="79"/>
    </row>
    <row r="404" spans="1:12">
      <c r="A404" s="81">
        <v>341</v>
      </c>
      <c r="B404" s="80">
        <f t="shared" si="41"/>
        <v>0</v>
      </c>
      <c r="C404" s="80">
        <f t="shared" si="42"/>
        <v>0</v>
      </c>
      <c r="D404" s="80">
        <f t="shared" si="43"/>
        <v>0</v>
      </c>
      <c r="E404" s="80">
        <f t="shared" si="44"/>
        <v>0</v>
      </c>
      <c r="F404" s="79"/>
      <c r="G404" s="81">
        <v>341</v>
      </c>
      <c r="H404" s="80">
        <f t="shared" si="45"/>
        <v>0</v>
      </c>
      <c r="I404" s="80">
        <f t="shared" si="46"/>
        <v>0</v>
      </c>
      <c r="J404" s="80">
        <f t="shared" si="47"/>
        <v>0</v>
      </c>
      <c r="K404" s="80">
        <f t="shared" si="48"/>
        <v>0</v>
      </c>
      <c r="L404" s="79"/>
    </row>
    <row r="405" spans="1:12">
      <c r="A405" s="81">
        <v>342</v>
      </c>
      <c r="B405" s="80">
        <f t="shared" si="41"/>
        <v>0</v>
      </c>
      <c r="C405" s="80">
        <f t="shared" si="42"/>
        <v>0</v>
      </c>
      <c r="D405" s="80">
        <f t="shared" si="43"/>
        <v>0</v>
      </c>
      <c r="E405" s="80">
        <f t="shared" si="44"/>
        <v>0</v>
      </c>
      <c r="F405" s="79"/>
      <c r="G405" s="81">
        <v>342</v>
      </c>
      <c r="H405" s="80">
        <f t="shared" si="45"/>
        <v>0</v>
      </c>
      <c r="I405" s="80">
        <f t="shared" si="46"/>
        <v>0</v>
      </c>
      <c r="J405" s="80">
        <f t="shared" si="47"/>
        <v>0</v>
      </c>
      <c r="K405" s="80">
        <f t="shared" si="48"/>
        <v>0</v>
      </c>
      <c r="L405" s="79"/>
    </row>
    <row r="406" spans="1:12">
      <c r="A406" s="81">
        <v>343</v>
      </c>
      <c r="B406" s="80">
        <f t="shared" si="41"/>
        <v>0</v>
      </c>
      <c r="C406" s="80">
        <f t="shared" si="42"/>
        <v>0</v>
      </c>
      <c r="D406" s="80">
        <f t="shared" si="43"/>
        <v>0</v>
      </c>
      <c r="E406" s="80">
        <f t="shared" si="44"/>
        <v>0</v>
      </c>
      <c r="F406" s="79"/>
      <c r="G406" s="81">
        <v>343</v>
      </c>
      <c r="H406" s="80">
        <f t="shared" si="45"/>
        <v>0</v>
      </c>
      <c r="I406" s="80">
        <f t="shared" si="46"/>
        <v>0</v>
      </c>
      <c r="J406" s="80">
        <f t="shared" si="47"/>
        <v>0</v>
      </c>
      <c r="K406" s="80">
        <f t="shared" si="48"/>
        <v>0</v>
      </c>
      <c r="L406" s="79"/>
    </row>
    <row r="407" spans="1:12">
      <c r="A407" s="81">
        <v>344</v>
      </c>
      <c r="B407" s="80">
        <f t="shared" si="41"/>
        <v>0</v>
      </c>
      <c r="C407" s="80">
        <f t="shared" si="42"/>
        <v>0</v>
      </c>
      <c r="D407" s="80">
        <f t="shared" si="43"/>
        <v>0</v>
      </c>
      <c r="E407" s="80">
        <f t="shared" si="44"/>
        <v>0</v>
      </c>
      <c r="F407" s="79"/>
      <c r="G407" s="81">
        <v>344</v>
      </c>
      <c r="H407" s="80">
        <f t="shared" si="45"/>
        <v>0</v>
      </c>
      <c r="I407" s="80">
        <f t="shared" si="46"/>
        <v>0</v>
      </c>
      <c r="J407" s="80">
        <f t="shared" si="47"/>
        <v>0</v>
      </c>
      <c r="K407" s="80">
        <f t="shared" si="48"/>
        <v>0</v>
      </c>
      <c r="L407" s="79"/>
    </row>
    <row r="408" spans="1:12">
      <c r="A408" s="81">
        <v>345</v>
      </c>
      <c r="B408" s="80">
        <f t="shared" si="41"/>
        <v>0</v>
      </c>
      <c r="C408" s="80">
        <f t="shared" si="42"/>
        <v>0</v>
      </c>
      <c r="D408" s="80">
        <f t="shared" si="43"/>
        <v>0</v>
      </c>
      <c r="E408" s="80">
        <f t="shared" si="44"/>
        <v>0</v>
      </c>
      <c r="F408" s="79"/>
      <c r="G408" s="81">
        <v>345</v>
      </c>
      <c r="H408" s="80">
        <f t="shared" si="45"/>
        <v>0</v>
      </c>
      <c r="I408" s="80">
        <f t="shared" si="46"/>
        <v>0</v>
      </c>
      <c r="J408" s="80">
        <f t="shared" si="47"/>
        <v>0</v>
      </c>
      <c r="K408" s="80">
        <f t="shared" si="48"/>
        <v>0</v>
      </c>
      <c r="L408" s="79"/>
    </row>
    <row r="409" spans="1:12">
      <c r="A409" s="81">
        <v>346</v>
      </c>
      <c r="B409" s="80">
        <f t="shared" si="41"/>
        <v>0</v>
      </c>
      <c r="C409" s="80">
        <f t="shared" si="42"/>
        <v>0</v>
      </c>
      <c r="D409" s="80">
        <f t="shared" si="43"/>
        <v>0</v>
      </c>
      <c r="E409" s="80">
        <f t="shared" si="44"/>
        <v>0</v>
      </c>
      <c r="F409" s="79"/>
      <c r="G409" s="81">
        <v>346</v>
      </c>
      <c r="H409" s="80">
        <f t="shared" si="45"/>
        <v>0</v>
      </c>
      <c r="I409" s="80">
        <f t="shared" si="46"/>
        <v>0</v>
      </c>
      <c r="J409" s="80">
        <f t="shared" si="47"/>
        <v>0</v>
      </c>
      <c r="K409" s="80">
        <f t="shared" si="48"/>
        <v>0</v>
      </c>
      <c r="L409" s="79"/>
    </row>
    <row r="410" spans="1:12">
      <c r="A410" s="81">
        <v>347</v>
      </c>
      <c r="B410" s="80">
        <f t="shared" si="41"/>
        <v>0</v>
      </c>
      <c r="C410" s="80">
        <f t="shared" si="42"/>
        <v>0</v>
      </c>
      <c r="D410" s="80">
        <f t="shared" si="43"/>
        <v>0</v>
      </c>
      <c r="E410" s="80">
        <f t="shared" si="44"/>
        <v>0</v>
      </c>
      <c r="F410" s="79"/>
      <c r="G410" s="81">
        <v>347</v>
      </c>
      <c r="H410" s="80">
        <f t="shared" si="45"/>
        <v>0</v>
      </c>
      <c r="I410" s="80">
        <f t="shared" si="46"/>
        <v>0</v>
      </c>
      <c r="J410" s="80">
        <f t="shared" si="47"/>
        <v>0</v>
      </c>
      <c r="K410" s="80">
        <f t="shared" si="48"/>
        <v>0</v>
      </c>
      <c r="L410" s="79"/>
    </row>
    <row r="411" spans="1:12">
      <c r="A411" s="81">
        <v>348</v>
      </c>
      <c r="B411" s="80">
        <f t="shared" si="41"/>
        <v>0</v>
      </c>
      <c r="C411" s="80">
        <f t="shared" si="42"/>
        <v>0</v>
      </c>
      <c r="D411" s="80">
        <f t="shared" si="43"/>
        <v>0</v>
      </c>
      <c r="E411" s="80">
        <f t="shared" si="44"/>
        <v>0</v>
      </c>
      <c r="F411" s="79">
        <v>29</v>
      </c>
      <c r="G411" s="81">
        <v>348</v>
      </c>
      <c r="H411" s="80">
        <f t="shared" si="45"/>
        <v>0</v>
      </c>
      <c r="I411" s="80">
        <f t="shared" si="46"/>
        <v>0</v>
      </c>
      <c r="J411" s="80">
        <f t="shared" si="47"/>
        <v>0</v>
      </c>
      <c r="K411" s="80">
        <f t="shared" si="48"/>
        <v>0</v>
      </c>
      <c r="L411" s="79">
        <v>29</v>
      </c>
    </row>
    <row r="412" spans="1:12">
      <c r="A412" s="81">
        <v>349</v>
      </c>
      <c r="B412" s="80">
        <f t="shared" si="41"/>
        <v>0</v>
      </c>
      <c r="C412" s="80">
        <f t="shared" si="42"/>
        <v>0</v>
      </c>
      <c r="D412" s="80">
        <f t="shared" si="43"/>
        <v>0</v>
      </c>
      <c r="E412" s="80">
        <f t="shared" si="44"/>
        <v>0</v>
      </c>
      <c r="F412" s="79"/>
      <c r="G412" s="81">
        <v>349</v>
      </c>
      <c r="H412" s="80">
        <f t="shared" si="45"/>
        <v>0</v>
      </c>
      <c r="I412" s="80">
        <f t="shared" si="46"/>
        <v>0</v>
      </c>
      <c r="J412" s="80">
        <f t="shared" si="47"/>
        <v>0</v>
      </c>
      <c r="K412" s="80">
        <f t="shared" si="48"/>
        <v>0</v>
      </c>
      <c r="L412" s="79"/>
    </row>
    <row r="413" spans="1:12">
      <c r="A413" s="81">
        <v>350</v>
      </c>
      <c r="B413" s="80">
        <f t="shared" si="41"/>
        <v>0</v>
      </c>
      <c r="C413" s="80">
        <f t="shared" si="42"/>
        <v>0</v>
      </c>
      <c r="D413" s="80">
        <f t="shared" si="43"/>
        <v>0</v>
      </c>
      <c r="E413" s="80">
        <f t="shared" si="44"/>
        <v>0</v>
      </c>
      <c r="F413" s="79"/>
      <c r="G413" s="81">
        <v>350</v>
      </c>
      <c r="H413" s="80">
        <f t="shared" si="45"/>
        <v>0</v>
      </c>
      <c r="I413" s="80">
        <f t="shared" si="46"/>
        <v>0</v>
      </c>
      <c r="J413" s="80">
        <f t="shared" si="47"/>
        <v>0</v>
      </c>
      <c r="K413" s="80">
        <f t="shared" si="48"/>
        <v>0</v>
      </c>
      <c r="L413" s="79"/>
    </row>
    <row r="414" spans="1:12">
      <c r="A414" s="81">
        <v>351</v>
      </c>
      <c r="B414" s="80">
        <f t="shared" si="41"/>
        <v>0</v>
      </c>
      <c r="C414" s="80">
        <f t="shared" si="42"/>
        <v>0</v>
      </c>
      <c r="D414" s="80">
        <f t="shared" si="43"/>
        <v>0</v>
      </c>
      <c r="E414" s="80">
        <f t="shared" si="44"/>
        <v>0</v>
      </c>
      <c r="F414" s="79"/>
      <c r="G414" s="81">
        <v>351</v>
      </c>
      <c r="H414" s="80">
        <f t="shared" si="45"/>
        <v>0</v>
      </c>
      <c r="I414" s="80">
        <f t="shared" si="46"/>
        <v>0</v>
      </c>
      <c r="J414" s="80">
        <f t="shared" si="47"/>
        <v>0</v>
      </c>
      <c r="K414" s="80">
        <f t="shared" si="48"/>
        <v>0</v>
      </c>
      <c r="L414" s="79"/>
    </row>
    <row r="415" spans="1:12">
      <c r="A415" s="81">
        <v>352</v>
      </c>
      <c r="B415" s="80">
        <f t="shared" si="41"/>
        <v>0</v>
      </c>
      <c r="C415" s="80">
        <f t="shared" si="42"/>
        <v>0</v>
      </c>
      <c r="D415" s="80">
        <f t="shared" si="43"/>
        <v>0</v>
      </c>
      <c r="E415" s="80">
        <f t="shared" si="44"/>
        <v>0</v>
      </c>
      <c r="F415" s="79"/>
      <c r="G415" s="81">
        <v>352</v>
      </c>
      <c r="H415" s="80">
        <f t="shared" si="45"/>
        <v>0</v>
      </c>
      <c r="I415" s="80">
        <f t="shared" si="46"/>
        <v>0</v>
      </c>
      <c r="J415" s="80">
        <f t="shared" si="47"/>
        <v>0</v>
      </c>
      <c r="K415" s="80">
        <f t="shared" si="48"/>
        <v>0</v>
      </c>
      <c r="L415" s="79"/>
    </row>
    <row r="416" spans="1:12">
      <c r="A416" s="81">
        <v>353</v>
      </c>
      <c r="B416" s="80">
        <f t="shared" si="41"/>
        <v>0</v>
      </c>
      <c r="C416" s="80">
        <f t="shared" si="42"/>
        <v>0</v>
      </c>
      <c r="D416" s="80">
        <f t="shared" si="43"/>
        <v>0</v>
      </c>
      <c r="E416" s="80">
        <f t="shared" si="44"/>
        <v>0</v>
      </c>
      <c r="F416" s="79"/>
      <c r="G416" s="81">
        <v>353</v>
      </c>
      <c r="H416" s="80">
        <f t="shared" si="45"/>
        <v>0</v>
      </c>
      <c r="I416" s="80">
        <f t="shared" si="46"/>
        <v>0</v>
      </c>
      <c r="J416" s="80">
        <f t="shared" si="47"/>
        <v>0</v>
      </c>
      <c r="K416" s="80">
        <f t="shared" si="48"/>
        <v>0</v>
      </c>
      <c r="L416" s="79"/>
    </row>
    <row r="417" spans="1:12">
      <c r="A417" s="81">
        <v>354</v>
      </c>
      <c r="B417" s="80">
        <f t="shared" si="41"/>
        <v>0</v>
      </c>
      <c r="C417" s="80">
        <f t="shared" si="42"/>
        <v>0</v>
      </c>
      <c r="D417" s="80">
        <f t="shared" si="43"/>
        <v>0</v>
      </c>
      <c r="E417" s="80">
        <f t="shared" si="44"/>
        <v>0</v>
      </c>
      <c r="F417" s="79"/>
      <c r="G417" s="81">
        <v>354</v>
      </c>
      <c r="H417" s="80">
        <f t="shared" si="45"/>
        <v>0</v>
      </c>
      <c r="I417" s="80">
        <f t="shared" si="46"/>
        <v>0</v>
      </c>
      <c r="J417" s="80">
        <f t="shared" si="47"/>
        <v>0</v>
      </c>
      <c r="K417" s="80">
        <f t="shared" si="48"/>
        <v>0</v>
      </c>
      <c r="L417" s="79"/>
    </row>
    <row r="418" spans="1:12">
      <c r="A418" s="81">
        <v>355</v>
      </c>
      <c r="B418" s="80">
        <f t="shared" si="41"/>
        <v>0</v>
      </c>
      <c r="C418" s="80">
        <f t="shared" si="42"/>
        <v>0</v>
      </c>
      <c r="D418" s="80">
        <f t="shared" si="43"/>
        <v>0</v>
      </c>
      <c r="E418" s="80">
        <f t="shared" si="44"/>
        <v>0</v>
      </c>
      <c r="F418" s="79"/>
      <c r="G418" s="81">
        <v>355</v>
      </c>
      <c r="H418" s="80">
        <f t="shared" si="45"/>
        <v>0</v>
      </c>
      <c r="I418" s="80">
        <f t="shared" si="46"/>
        <v>0</v>
      </c>
      <c r="J418" s="80">
        <f t="shared" si="47"/>
        <v>0</v>
      </c>
      <c r="K418" s="80">
        <f t="shared" si="48"/>
        <v>0</v>
      </c>
      <c r="L418" s="79"/>
    </row>
    <row r="419" spans="1:12">
      <c r="A419" s="81">
        <v>356</v>
      </c>
      <c r="B419" s="80">
        <f t="shared" si="41"/>
        <v>0</v>
      </c>
      <c r="C419" s="80">
        <f t="shared" si="42"/>
        <v>0</v>
      </c>
      <c r="D419" s="80">
        <f t="shared" si="43"/>
        <v>0</v>
      </c>
      <c r="E419" s="80">
        <f t="shared" si="44"/>
        <v>0</v>
      </c>
      <c r="F419" s="79"/>
      <c r="G419" s="81">
        <v>356</v>
      </c>
      <c r="H419" s="80">
        <f t="shared" si="45"/>
        <v>0</v>
      </c>
      <c r="I419" s="80">
        <f t="shared" si="46"/>
        <v>0</v>
      </c>
      <c r="J419" s="80">
        <f t="shared" si="47"/>
        <v>0</v>
      </c>
      <c r="K419" s="80">
        <f t="shared" si="48"/>
        <v>0</v>
      </c>
      <c r="L419" s="79"/>
    </row>
    <row r="420" spans="1:12">
      <c r="A420" s="81">
        <v>357</v>
      </c>
      <c r="B420" s="80">
        <f t="shared" si="41"/>
        <v>0</v>
      </c>
      <c r="C420" s="80">
        <f t="shared" si="42"/>
        <v>0</v>
      </c>
      <c r="D420" s="80">
        <f t="shared" si="43"/>
        <v>0</v>
      </c>
      <c r="E420" s="80">
        <f t="shared" si="44"/>
        <v>0</v>
      </c>
      <c r="F420" s="79"/>
      <c r="G420" s="81">
        <v>357</v>
      </c>
      <c r="H420" s="80">
        <f t="shared" si="45"/>
        <v>0</v>
      </c>
      <c r="I420" s="80">
        <f t="shared" si="46"/>
        <v>0</v>
      </c>
      <c r="J420" s="80">
        <f t="shared" si="47"/>
        <v>0</v>
      </c>
      <c r="K420" s="80">
        <f t="shared" si="48"/>
        <v>0</v>
      </c>
      <c r="L420" s="79"/>
    </row>
    <row r="421" spans="1:12">
      <c r="A421" s="81">
        <v>358</v>
      </c>
      <c r="B421" s="80">
        <f t="shared" si="41"/>
        <v>0</v>
      </c>
      <c r="C421" s="80">
        <f t="shared" si="42"/>
        <v>0</v>
      </c>
      <c r="D421" s="80">
        <f t="shared" si="43"/>
        <v>0</v>
      </c>
      <c r="E421" s="80">
        <f t="shared" si="44"/>
        <v>0</v>
      </c>
      <c r="F421" s="79"/>
      <c r="G421" s="81">
        <v>358</v>
      </c>
      <c r="H421" s="80">
        <f t="shared" si="45"/>
        <v>0</v>
      </c>
      <c r="I421" s="80">
        <f t="shared" si="46"/>
        <v>0</v>
      </c>
      <c r="J421" s="80">
        <f t="shared" si="47"/>
        <v>0</v>
      </c>
      <c r="K421" s="80">
        <f t="shared" si="48"/>
        <v>0</v>
      </c>
      <c r="L421" s="79"/>
    </row>
    <row r="422" spans="1:12">
      <c r="A422" s="81">
        <v>359</v>
      </c>
      <c r="B422" s="80">
        <f t="shared" si="41"/>
        <v>0</v>
      </c>
      <c r="C422" s="80">
        <f t="shared" si="42"/>
        <v>0</v>
      </c>
      <c r="D422" s="80">
        <f t="shared" si="43"/>
        <v>0</v>
      </c>
      <c r="E422" s="80">
        <f t="shared" si="44"/>
        <v>0</v>
      </c>
      <c r="F422" s="79"/>
      <c r="G422" s="81">
        <v>359</v>
      </c>
      <c r="H422" s="80">
        <f t="shared" si="45"/>
        <v>0</v>
      </c>
      <c r="I422" s="80">
        <f t="shared" si="46"/>
        <v>0</v>
      </c>
      <c r="J422" s="80">
        <f t="shared" si="47"/>
        <v>0</v>
      </c>
      <c r="K422" s="80">
        <f t="shared" si="48"/>
        <v>0</v>
      </c>
      <c r="L422" s="79"/>
    </row>
    <row r="423" spans="1:12">
      <c r="A423" s="81">
        <v>360</v>
      </c>
      <c r="B423" s="80">
        <f t="shared" si="41"/>
        <v>0</v>
      </c>
      <c r="C423" s="80">
        <f t="shared" si="42"/>
        <v>0</v>
      </c>
      <c r="D423" s="80">
        <f t="shared" si="43"/>
        <v>0</v>
      </c>
      <c r="E423" s="80">
        <f t="shared" si="44"/>
        <v>0</v>
      </c>
      <c r="F423" s="79">
        <v>30</v>
      </c>
      <c r="G423" s="81">
        <v>360</v>
      </c>
      <c r="H423" s="80">
        <f t="shared" si="45"/>
        <v>0</v>
      </c>
      <c r="I423" s="80">
        <f t="shared" si="46"/>
        <v>0</v>
      </c>
      <c r="J423" s="80">
        <f t="shared" si="47"/>
        <v>0</v>
      </c>
      <c r="K423" s="80">
        <f t="shared" si="48"/>
        <v>0</v>
      </c>
      <c r="L423" s="79">
        <v>30</v>
      </c>
    </row>
    <row r="424" spans="1:12">
      <c r="A424" s="81">
        <v>361</v>
      </c>
      <c r="B424" s="80">
        <f t="shared" si="41"/>
        <v>0</v>
      </c>
      <c r="C424" s="80">
        <f t="shared" si="42"/>
        <v>0</v>
      </c>
      <c r="D424" s="80">
        <f t="shared" si="43"/>
        <v>0</v>
      </c>
      <c r="E424" s="80">
        <f t="shared" si="44"/>
        <v>0</v>
      </c>
      <c r="F424" s="79"/>
      <c r="G424" s="81">
        <v>361</v>
      </c>
      <c r="H424" s="80">
        <f t="shared" si="45"/>
        <v>0</v>
      </c>
      <c r="I424" s="80">
        <f t="shared" si="46"/>
        <v>0</v>
      </c>
      <c r="J424" s="80">
        <f t="shared" si="47"/>
        <v>0</v>
      </c>
      <c r="K424" s="80">
        <f t="shared" si="48"/>
        <v>0</v>
      </c>
      <c r="L424" s="79"/>
    </row>
    <row r="425" spans="1:12">
      <c r="A425" s="81">
        <v>362</v>
      </c>
      <c r="B425" s="80">
        <f t="shared" si="41"/>
        <v>0</v>
      </c>
      <c r="C425" s="80">
        <f t="shared" si="42"/>
        <v>0</v>
      </c>
      <c r="D425" s="80">
        <f t="shared" si="43"/>
        <v>0</v>
      </c>
      <c r="E425" s="80">
        <f t="shared" si="44"/>
        <v>0</v>
      </c>
      <c r="F425" s="79"/>
      <c r="G425" s="81">
        <v>362</v>
      </c>
      <c r="H425" s="80">
        <f t="shared" si="45"/>
        <v>0</v>
      </c>
      <c r="I425" s="80">
        <f t="shared" si="46"/>
        <v>0</v>
      </c>
      <c r="J425" s="80">
        <f t="shared" si="47"/>
        <v>0</v>
      </c>
      <c r="K425" s="80">
        <f t="shared" si="48"/>
        <v>0</v>
      </c>
      <c r="L425" s="79"/>
    </row>
    <row r="426" spans="1:12">
      <c r="A426" s="81">
        <v>363</v>
      </c>
      <c r="B426" s="80">
        <f t="shared" si="41"/>
        <v>0</v>
      </c>
      <c r="C426" s="80">
        <f t="shared" si="42"/>
        <v>0</v>
      </c>
      <c r="D426" s="80">
        <f t="shared" si="43"/>
        <v>0</v>
      </c>
      <c r="E426" s="80">
        <f t="shared" si="44"/>
        <v>0</v>
      </c>
      <c r="F426" s="79"/>
      <c r="G426" s="81">
        <v>363</v>
      </c>
      <c r="H426" s="80">
        <f t="shared" si="45"/>
        <v>0</v>
      </c>
      <c r="I426" s="80">
        <f t="shared" si="46"/>
        <v>0</v>
      </c>
      <c r="J426" s="80">
        <f t="shared" si="47"/>
        <v>0</v>
      </c>
      <c r="K426" s="80">
        <f t="shared" si="48"/>
        <v>0</v>
      </c>
      <c r="L426" s="79"/>
    </row>
    <row r="427" spans="1:12">
      <c r="A427" s="81">
        <v>364</v>
      </c>
      <c r="B427" s="80">
        <f t="shared" si="41"/>
        <v>0</v>
      </c>
      <c r="C427" s="80">
        <f t="shared" si="42"/>
        <v>0</v>
      </c>
      <c r="D427" s="80">
        <f t="shared" si="43"/>
        <v>0</v>
      </c>
      <c r="E427" s="80">
        <f t="shared" si="44"/>
        <v>0</v>
      </c>
      <c r="F427" s="79"/>
      <c r="G427" s="81">
        <v>364</v>
      </c>
      <c r="H427" s="80">
        <f t="shared" si="45"/>
        <v>0</v>
      </c>
      <c r="I427" s="80">
        <f t="shared" si="46"/>
        <v>0</v>
      </c>
      <c r="J427" s="80">
        <f t="shared" si="47"/>
        <v>0</v>
      </c>
      <c r="K427" s="80">
        <f t="shared" si="48"/>
        <v>0</v>
      </c>
      <c r="L427" s="79"/>
    </row>
    <row r="428" spans="1:12">
      <c r="A428" s="81">
        <v>365</v>
      </c>
      <c r="B428" s="80">
        <f t="shared" si="41"/>
        <v>0</v>
      </c>
      <c r="C428" s="80">
        <f t="shared" si="42"/>
        <v>0</v>
      </c>
      <c r="D428" s="80">
        <f t="shared" si="43"/>
        <v>0</v>
      </c>
      <c r="E428" s="80">
        <f t="shared" si="44"/>
        <v>0</v>
      </c>
      <c r="F428" s="79"/>
      <c r="G428" s="81">
        <v>365</v>
      </c>
      <c r="H428" s="80">
        <f t="shared" si="45"/>
        <v>0</v>
      </c>
      <c r="I428" s="80">
        <f t="shared" si="46"/>
        <v>0</v>
      </c>
      <c r="J428" s="80">
        <f t="shared" si="47"/>
        <v>0</v>
      </c>
      <c r="K428" s="80">
        <f t="shared" si="48"/>
        <v>0</v>
      </c>
      <c r="L428" s="79"/>
    </row>
    <row r="429" spans="1:12">
      <c r="A429" s="81">
        <v>366</v>
      </c>
      <c r="B429" s="80">
        <f t="shared" si="41"/>
        <v>0</v>
      </c>
      <c r="C429" s="80">
        <f t="shared" si="42"/>
        <v>0</v>
      </c>
      <c r="D429" s="80">
        <f t="shared" si="43"/>
        <v>0</v>
      </c>
      <c r="E429" s="80">
        <f t="shared" si="44"/>
        <v>0</v>
      </c>
      <c r="F429" s="79"/>
      <c r="G429" s="81">
        <v>366</v>
      </c>
      <c r="H429" s="80">
        <f t="shared" si="45"/>
        <v>0</v>
      </c>
      <c r="I429" s="80">
        <f t="shared" si="46"/>
        <v>0</v>
      </c>
      <c r="J429" s="80">
        <f t="shared" si="47"/>
        <v>0</v>
      </c>
      <c r="K429" s="80">
        <f t="shared" si="48"/>
        <v>0</v>
      </c>
      <c r="L429" s="79"/>
    </row>
    <row r="430" spans="1:12">
      <c r="A430" s="81">
        <v>367</v>
      </c>
      <c r="B430" s="80">
        <f t="shared" si="41"/>
        <v>0</v>
      </c>
      <c r="C430" s="80">
        <f t="shared" si="42"/>
        <v>0</v>
      </c>
      <c r="D430" s="80">
        <f t="shared" si="43"/>
        <v>0</v>
      </c>
      <c r="E430" s="80">
        <f t="shared" si="44"/>
        <v>0</v>
      </c>
      <c r="F430" s="79"/>
      <c r="G430" s="81">
        <v>367</v>
      </c>
      <c r="H430" s="80">
        <f t="shared" si="45"/>
        <v>0</v>
      </c>
      <c r="I430" s="80">
        <f t="shared" si="46"/>
        <v>0</v>
      </c>
      <c r="J430" s="80">
        <f t="shared" si="47"/>
        <v>0</v>
      </c>
      <c r="K430" s="80">
        <f t="shared" si="48"/>
        <v>0</v>
      </c>
      <c r="L430" s="79"/>
    </row>
    <row r="431" spans="1:12">
      <c r="A431" s="81">
        <v>368</v>
      </c>
      <c r="B431" s="80">
        <f t="shared" si="41"/>
        <v>0</v>
      </c>
      <c r="C431" s="80">
        <f t="shared" si="42"/>
        <v>0</v>
      </c>
      <c r="D431" s="80">
        <f t="shared" si="43"/>
        <v>0</v>
      </c>
      <c r="E431" s="80">
        <f t="shared" si="44"/>
        <v>0</v>
      </c>
      <c r="F431" s="79"/>
      <c r="G431" s="81">
        <v>368</v>
      </c>
      <c r="H431" s="80">
        <f t="shared" si="45"/>
        <v>0</v>
      </c>
      <c r="I431" s="80">
        <f t="shared" si="46"/>
        <v>0</v>
      </c>
      <c r="J431" s="80">
        <f t="shared" si="47"/>
        <v>0</v>
      </c>
      <c r="K431" s="80">
        <f t="shared" si="48"/>
        <v>0</v>
      </c>
      <c r="L431" s="79"/>
    </row>
    <row r="432" spans="1:12">
      <c r="A432" s="81">
        <v>369</v>
      </c>
      <c r="B432" s="80">
        <f t="shared" si="41"/>
        <v>0</v>
      </c>
      <c r="C432" s="80">
        <f t="shared" si="42"/>
        <v>0</v>
      </c>
      <c r="D432" s="80">
        <f t="shared" si="43"/>
        <v>0</v>
      </c>
      <c r="E432" s="80">
        <f t="shared" si="44"/>
        <v>0</v>
      </c>
      <c r="F432" s="79"/>
      <c r="G432" s="81">
        <v>369</v>
      </c>
      <c r="H432" s="80">
        <f t="shared" si="45"/>
        <v>0</v>
      </c>
      <c r="I432" s="80">
        <f t="shared" si="46"/>
        <v>0</v>
      </c>
      <c r="J432" s="80">
        <f t="shared" si="47"/>
        <v>0</v>
      </c>
      <c r="K432" s="80">
        <f t="shared" si="48"/>
        <v>0</v>
      </c>
      <c r="L432" s="79"/>
    </row>
    <row r="433" spans="1:12">
      <c r="A433" s="81">
        <v>370</v>
      </c>
      <c r="B433" s="80">
        <f t="shared" si="41"/>
        <v>0</v>
      </c>
      <c r="C433" s="80">
        <f t="shared" si="42"/>
        <v>0</v>
      </c>
      <c r="D433" s="80">
        <f t="shared" si="43"/>
        <v>0</v>
      </c>
      <c r="E433" s="80">
        <f t="shared" si="44"/>
        <v>0</v>
      </c>
      <c r="F433" s="79"/>
      <c r="G433" s="81">
        <v>370</v>
      </c>
      <c r="H433" s="80">
        <f t="shared" si="45"/>
        <v>0</v>
      </c>
      <c r="I433" s="80">
        <f t="shared" si="46"/>
        <v>0</v>
      </c>
      <c r="J433" s="80">
        <f t="shared" si="47"/>
        <v>0</v>
      </c>
      <c r="K433" s="80">
        <f t="shared" si="48"/>
        <v>0</v>
      </c>
      <c r="L433" s="79"/>
    </row>
    <row r="434" spans="1:12">
      <c r="A434" s="81">
        <v>371</v>
      </c>
      <c r="B434" s="80">
        <f t="shared" si="41"/>
        <v>0</v>
      </c>
      <c r="C434" s="80">
        <f t="shared" si="42"/>
        <v>0</v>
      </c>
      <c r="D434" s="80">
        <f t="shared" si="43"/>
        <v>0</v>
      </c>
      <c r="E434" s="80">
        <f t="shared" si="44"/>
        <v>0</v>
      </c>
      <c r="F434" s="79"/>
      <c r="G434" s="81">
        <v>371</v>
      </c>
      <c r="H434" s="80">
        <f t="shared" si="45"/>
        <v>0</v>
      </c>
      <c r="I434" s="80">
        <f t="shared" si="46"/>
        <v>0</v>
      </c>
      <c r="J434" s="80">
        <f t="shared" si="47"/>
        <v>0</v>
      </c>
      <c r="K434" s="80">
        <f t="shared" si="48"/>
        <v>0</v>
      </c>
      <c r="L434" s="79"/>
    </row>
    <row r="435" spans="1:12">
      <c r="A435" s="81">
        <v>372</v>
      </c>
      <c r="B435" s="80">
        <f t="shared" si="41"/>
        <v>0</v>
      </c>
      <c r="C435" s="80">
        <f t="shared" si="42"/>
        <v>0</v>
      </c>
      <c r="D435" s="80">
        <f t="shared" si="43"/>
        <v>0</v>
      </c>
      <c r="E435" s="80">
        <f t="shared" si="44"/>
        <v>0</v>
      </c>
      <c r="F435" s="79">
        <v>31</v>
      </c>
      <c r="G435" s="81">
        <v>372</v>
      </c>
      <c r="H435" s="80">
        <f t="shared" si="45"/>
        <v>0</v>
      </c>
      <c r="I435" s="80">
        <f t="shared" si="46"/>
        <v>0</v>
      </c>
      <c r="J435" s="80">
        <f t="shared" si="47"/>
        <v>0</v>
      </c>
      <c r="K435" s="80">
        <f t="shared" si="48"/>
        <v>0</v>
      </c>
      <c r="L435" s="79">
        <v>31</v>
      </c>
    </row>
    <row r="436" spans="1:12">
      <c r="A436" s="81">
        <v>373</v>
      </c>
      <c r="B436" s="80">
        <f t="shared" si="41"/>
        <v>0</v>
      </c>
      <c r="C436" s="80">
        <f t="shared" si="42"/>
        <v>0</v>
      </c>
      <c r="D436" s="80">
        <f t="shared" si="43"/>
        <v>0</v>
      </c>
      <c r="E436" s="80">
        <f t="shared" si="44"/>
        <v>0</v>
      </c>
      <c r="F436" s="79"/>
      <c r="G436" s="81">
        <v>373</v>
      </c>
      <c r="H436" s="80">
        <f t="shared" si="45"/>
        <v>0</v>
      </c>
      <c r="I436" s="80">
        <f t="shared" si="46"/>
        <v>0</v>
      </c>
      <c r="J436" s="80">
        <f t="shared" si="47"/>
        <v>0</v>
      </c>
      <c r="K436" s="80">
        <f t="shared" si="48"/>
        <v>0</v>
      </c>
      <c r="L436" s="79"/>
    </row>
    <row r="437" spans="1:12">
      <c r="A437" s="81">
        <v>374</v>
      </c>
      <c r="B437" s="80">
        <f t="shared" si="41"/>
        <v>0</v>
      </c>
      <c r="C437" s="80">
        <f t="shared" si="42"/>
        <v>0</v>
      </c>
      <c r="D437" s="80">
        <f t="shared" si="43"/>
        <v>0</v>
      </c>
      <c r="E437" s="80">
        <f t="shared" si="44"/>
        <v>0</v>
      </c>
      <c r="F437" s="79"/>
      <c r="G437" s="81">
        <v>374</v>
      </c>
      <c r="H437" s="80">
        <f t="shared" si="45"/>
        <v>0</v>
      </c>
      <c r="I437" s="80">
        <f t="shared" si="46"/>
        <v>0</v>
      </c>
      <c r="J437" s="80">
        <f t="shared" si="47"/>
        <v>0</v>
      </c>
      <c r="K437" s="80">
        <f t="shared" si="48"/>
        <v>0</v>
      </c>
      <c r="L437" s="79"/>
    </row>
    <row r="438" spans="1:12">
      <c r="A438" s="81">
        <v>375</v>
      </c>
      <c r="B438" s="80">
        <f t="shared" si="41"/>
        <v>0</v>
      </c>
      <c r="C438" s="80">
        <f t="shared" si="42"/>
        <v>0</v>
      </c>
      <c r="D438" s="80">
        <f t="shared" si="43"/>
        <v>0</v>
      </c>
      <c r="E438" s="80">
        <f t="shared" si="44"/>
        <v>0</v>
      </c>
      <c r="F438" s="79"/>
      <c r="G438" s="81">
        <v>375</v>
      </c>
      <c r="H438" s="80">
        <f t="shared" si="45"/>
        <v>0</v>
      </c>
      <c r="I438" s="80">
        <f t="shared" si="46"/>
        <v>0</v>
      </c>
      <c r="J438" s="80">
        <f t="shared" si="47"/>
        <v>0</v>
      </c>
      <c r="K438" s="80">
        <f t="shared" si="48"/>
        <v>0</v>
      </c>
      <c r="L438" s="79"/>
    </row>
    <row r="439" spans="1:12">
      <c r="A439" s="81">
        <v>376</v>
      </c>
      <c r="B439" s="80">
        <f t="shared" si="41"/>
        <v>0</v>
      </c>
      <c r="C439" s="80">
        <f t="shared" si="42"/>
        <v>0</v>
      </c>
      <c r="D439" s="80">
        <f t="shared" si="43"/>
        <v>0</v>
      </c>
      <c r="E439" s="80">
        <f t="shared" si="44"/>
        <v>0</v>
      </c>
      <c r="F439" s="79"/>
      <c r="G439" s="81">
        <v>376</v>
      </c>
      <c r="H439" s="80">
        <f t="shared" si="45"/>
        <v>0</v>
      </c>
      <c r="I439" s="80">
        <f t="shared" si="46"/>
        <v>0</v>
      </c>
      <c r="J439" s="80">
        <f t="shared" si="47"/>
        <v>0</v>
      </c>
      <c r="K439" s="80">
        <f t="shared" si="48"/>
        <v>0</v>
      </c>
      <c r="L439" s="79"/>
    </row>
    <row r="440" spans="1:12">
      <c r="A440" s="81">
        <v>377</v>
      </c>
      <c r="B440" s="80">
        <f t="shared" si="41"/>
        <v>0</v>
      </c>
      <c r="C440" s="80">
        <f t="shared" si="42"/>
        <v>0</v>
      </c>
      <c r="D440" s="80">
        <f t="shared" si="43"/>
        <v>0</v>
      </c>
      <c r="E440" s="80">
        <f t="shared" si="44"/>
        <v>0</v>
      </c>
      <c r="F440" s="79"/>
      <c r="G440" s="81">
        <v>377</v>
      </c>
      <c r="H440" s="80">
        <f t="shared" si="45"/>
        <v>0</v>
      </c>
      <c r="I440" s="80">
        <f t="shared" si="46"/>
        <v>0</v>
      </c>
      <c r="J440" s="80">
        <f t="shared" si="47"/>
        <v>0</v>
      </c>
      <c r="K440" s="80">
        <f t="shared" si="48"/>
        <v>0</v>
      </c>
      <c r="L440" s="79"/>
    </row>
    <row r="441" spans="1:12">
      <c r="A441" s="81">
        <v>378</v>
      </c>
      <c r="B441" s="80">
        <f t="shared" si="41"/>
        <v>0</v>
      </c>
      <c r="C441" s="80">
        <f t="shared" si="42"/>
        <v>0</v>
      </c>
      <c r="D441" s="80">
        <f t="shared" si="43"/>
        <v>0</v>
      </c>
      <c r="E441" s="80">
        <f t="shared" si="44"/>
        <v>0</v>
      </c>
      <c r="F441" s="79"/>
      <c r="G441" s="81">
        <v>378</v>
      </c>
      <c r="H441" s="80">
        <f t="shared" si="45"/>
        <v>0</v>
      </c>
      <c r="I441" s="80">
        <f t="shared" si="46"/>
        <v>0</v>
      </c>
      <c r="J441" s="80">
        <f t="shared" si="47"/>
        <v>0</v>
      </c>
      <c r="K441" s="80">
        <f t="shared" si="48"/>
        <v>0</v>
      </c>
      <c r="L441" s="79"/>
    </row>
    <row r="442" spans="1:12">
      <c r="A442" s="81">
        <v>379</v>
      </c>
      <c r="B442" s="80">
        <f t="shared" si="41"/>
        <v>0</v>
      </c>
      <c r="C442" s="80">
        <f t="shared" si="42"/>
        <v>0</v>
      </c>
      <c r="D442" s="80">
        <f t="shared" si="43"/>
        <v>0</v>
      </c>
      <c r="E442" s="80">
        <f t="shared" si="44"/>
        <v>0</v>
      </c>
      <c r="F442" s="79"/>
      <c r="G442" s="81">
        <v>379</v>
      </c>
      <c r="H442" s="80">
        <f t="shared" si="45"/>
        <v>0</v>
      </c>
      <c r="I442" s="80">
        <f t="shared" si="46"/>
        <v>0</v>
      </c>
      <c r="J442" s="80">
        <f t="shared" si="47"/>
        <v>0</v>
      </c>
      <c r="K442" s="80">
        <f t="shared" si="48"/>
        <v>0</v>
      </c>
      <c r="L442" s="79"/>
    </row>
    <row r="443" spans="1:12">
      <c r="A443" s="81">
        <v>380</v>
      </c>
      <c r="B443" s="80">
        <f t="shared" si="41"/>
        <v>0</v>
      </c>
      <c r="C443" s="80">
        <f t="shared" si="42"/>
        <v>0</v>
      </c>
      <c r="D443" s="80">
        <f t="shared" si="43"/>
        <v>0</v>
      </c>
      <c r="E443" s="80">
        <f t="shared" si="44"/>
        <v>0</v>
      </c>
      <c r="F443" s="79"/>
      <c r="G443" s="81">
        <v>380</v>
      </c>
      <c r="H443" s="80">
        <f t="shared" si="45"/>
        <v>0</v>
      </c>
      <c r="I443" s="80">
        <f t="shared" si="46"/>
        <v>0</v>
      </c>
      <c r="J443" s="80">
        <f t="shared" si="47"/>
        <v>0</v>
      </c>
      <c r="K443" s="80">
        <f t="shared" si="48"/>
        <v>0</v>
      </c>
      <c r="L443" s="79"/>
    </row>
    <row r="444" spans="1:12">
      <c r="A444" s="81">
        <v>381</v>
      </c>
      <c r="B444" s="80">
        <f t="shared" si="41"/>
        <v>0</v>
      </c>
      <c r="C444" s="80">
        <f t="shared" si="42"/>
        <v>0</v>
      </c>
      <c r="D444" s="80">
        <f t="shared" si="43"/>
        <v>0</v>
      </c>
      <c r="E444" s="80">
        <f t="shared" si="44"/>
        <v>0</v>
      </c>
      <c r="F444" s="79"/>
      <c r="G444" s="81">
        <v>381</v>
      </c>
      <c r="H444" s="80">
        <f t="shared" si="45"/>
        <v>0</v>
      </c>
      <c r="I444" s="80">
        <f t="shared" si="46"/>
        <v>0</v>
      </c>
      <c r="J444" s="80">
        <f t="shared" si="47"/>
        <v>0</v>
      </c>
      <c r="K444" s="80">
        <f t="shared" si="48"/>
        <v>0</v>
      </c>
      <c r="L444" s="79"/>
    </row>
    <row r="445" spans="1:12">
      <c r="A445" s="81">
        <v>382</v>
      </c>
      <c r="B445" s="80">
        <f t="shared" si="41"/>
        <v>0</v>
      </c>
      <c r="C445" s="80">
        <f t="shared" si="42"/>
        <v>0</v>
      </c>
      <c r="D445" s="80">
        <f t="shared" si="43"/>
        <v>0</v>
      </c>
      <c r="E445" s="80">
        <f t="shared" si="44"/>
        <v>0</v>
      </c>
      <c r="F445" s="79"/>
      <c r="G445" s="81">
        <v>382</v>
      </c>
      <c r="H445" s="80">
        <f t="shared" si="45"/>
        <v>0</v>
      </c>
      <c r="I445" s="80">
        <f t="shared" si="46"/>
        <v>0</v>
      </c>
      <c r="J445" s="80">
        <f t="shared" si="47"/>
        <v>0</v>
      </c>
      <c r="K445" s="80">
        <f t="shared" si="48"/>
        <v>0</v>
      </c>
      <c r="L445" s="79"/>
    </row>
    <row r="446" spans="1:12">
      <c r="A446" s="81">
        <v>383</v>
      </c>
      <c r="B446" s="80">
        <f t="shared" si="41"/>
        <v>0</v>
      </c>
      <c r="C446" s="80">
        <f t="shared" si="42"/>
        <v>0</v>
      </c>
      <c r="D446" s="80">
        <f t="shared" si="43"/>
        <v>0</v>
      </c>
      <c r="E446" s="80">
        <f t="shared" si="44"/>
        <v>0</v>
      </c>
      <c r="F446" s="79"/>
      <c r="G446" s="81">
        <v>383</v>
      </c>
      <c r="H446" s="80">
        <f t="shared" si="45"/>
        <v>0</v>
      </c>
      <c r="I446" s="80">
        <f t="shared" si="46"/>
        <v>0</v>
      </c>
      <c r="J446" s="80">
        <f t="shared" si="47"/>
        <v>0</v>
      </c>
      <c r="K446" s="80">
        <f t="shared" si="48"/>
        <v>0</v>
      </c>
      <c r="L446" s="79"/>
    </row>
    <row r="447" spans="1:12">
      <c r="A447" s="81">
        <v>384</v>
      </c>
      <c r="B447" s="80">
        <f t="shared" si="41"/>
        <v>0</v>
      </c>
      <c r="C447" s="80">
        <f t="shared" si="42"/>
        <v>0</v>
      </c>
      <c r="D447" s="80">
        <f t="shared" si="43"/>
        <v>0</v>
      </c>
      <c r="E447" s="80">
        <f t="shared" si="44"/>
        <v>0</v>
      </c>
      <c r="F447" s="79">
        <v>32</v>
      </c>
      <c r="G447" s="81">
        <v>384</v>
      </c>
      <c r="H447" s="80">
        <f t="shared" si="45"/>
        <v>0</v>
      </c>
      <c r="I447" s="80">
        <f t="shared" si="46"/>
        <v>0</v>
      </c>
      <c r="J447" s="80">
        <f t="shared" si="47"/>
        <v>0</v>
      </c>
      <c r="K447" s="80">
        <f t="shared" si="48"/>
        <v>0</v>
      </c>
      <c r="L447" s="79">
        <v>32</v>
      </c>
    </row>
    <row r="448" spans="1:12">
      <c r="A448" s="81">
        <v>385</v>
      </c>
      <c r="B448" s="80">
        <f t="shared" ref="B448:B511" si="49">IF(A448&gt;12*$C$9,0,IF($C$5&gt;1500000,$D$12,$C$12))</f>
        <v>0</v>
      </c>
      <c r="C448" s="80">
        <f t="shared" ref="C448:C511" si="50">IF(A448&gt;12*$C$9,0,E447*$C$7/12)</f>
        <v>0</v>
      </c>
      <c r="D448" s="80">
        <f t="shared" ref="D448:D511" si="51">IF(A448&gt;12*$C$9,0,B448-C448)</f>
        <v>0</v>
      </c>
      <c r="E448" s="80">
        <f t="shared" ref="E448:E511" si="52">IF(A448&gt;12*$C$9,0,E447-D448)</f>
        <v>0</v>
      </c>
      <c r="F448" s="79"/>
      <c r="G448" s="81">
        <v>385</v>
      </c>
      <c r="H448" s="80">
        <f t="shared" ref="H448:H511" si="53">IF(G448&gt;12*$C$9,0,IF($C$5&gt;1500000,$E$12,0))</f>
        <v>0</v>
      </c>
      <c r="I448" s="80">
        <f t="shared" ref="I448:I511" si="54">IF(G448&gt;12*$C$9,0,K447*$C$7/12)</f>
        <v>0</v>
      </c>
      <c r="J448" s="80">
        <f t="shared" ref="J448:J511" si="55">IF(G448&gt;12*$C$9,0,H448-I448)</f>
        <v>0</v>
      </c>
      <c r="K448" s="80">
        <f t="shared" ref="K448:K511" si="56">IF(G448&gt;12*$C$9,0,K447-J448)</f>
        <v>0</v>
      </c>
      <c r="L448" s="79"/>
    </row>
    <row r="449" spans="1:12">
      <c r="A449" s="81">
        <v>386</v>
      </c>
      <c r="B449" s="80">
        <f t="shared" si="49"/>
        <v>0</v>
      </c>
      <c r="C449" s="80">
        <f t="shared" si="50"/>
        <v>0</v>
      </c>
      <c r="D449" s="80">
        <f t="shared" si="51"/>
        <v>0</v>
      </c>
      <c r="E449" s="80">
        <f t="shared" si="52"/>
        <v>0</v>
      </c>
      <c r="F449" s="79"/>
      <c r="G449" s="81">
        <v>386</v>
      </c>
      <c r="H449" s="80">
        <f t="shared" si="53"/>
        <v>0</v>
      </c>
      <c r="I449" s="80">
        <f t="shared" si="54"/>
        <v>0</v>
      </c>
      <c r="J449" s="80">
        <f t="shared" si="55"/>
        <v>0</v>
      </c>
      <c r="K449" s="80">
        <f t="shared" si="56"/>
        <v>0</v>
      </c>
      <c r="L449" s="79"/>
    </row>
    <row r="450" spans="1:12">
      <c r="A450" s="81">
        <v>387</v>
      </c>
      <c r="B450" s="80">
        <f t="shared" si="49"/>
        <v>0</v>
      </c>
      <c r="C450" s="80">
        <f t="shared" si="50"/>
        <v>0</v>
      </c>
      <c r="D450" s="80">
        <f t="shared" si="51"/>
        <v>0</v>
      </c>
      <c r="E450" s="80">
        <f t="shared" si="52"/>
        <v>0</v>
      </c>
      <c r="F450" s="79"/>
      <c r="G450" s="81">
        <v>387</v>
      </c>
      <c r="H450" s="80">
        <f t="shared" si="53"/>
        <v>0</v>
      </c>
      <c r="I450" s="80">
        <f t="shared" si="54"/>
        <v>0</v>
      </c>
      <c r="J450" s="80">
        <f t="shared" si="55"/>
        <v>0</v>
      </c>
      <c r="K450" s="80">
        <f t="shared" si="56"/>
        <v>0</v>
      </c>
      <c r="L450" s="79"/>
    </row>
    <row r="451" spans="1:12">
      <c r="A451" s="81">
        <v>388</v>
      </c>
      <c r="B451" s="80">
        <f t="shared" si="49"/>
        <v>0</v>
      </c>
      <c r="C451" s="80">
        <f t="shared" si="50"/>
        <v>0</v>
      </c>
      <c r="D451" s="80">
        <f t="shared" si="51"/>
        <v>0</v>
      </c>
      <c r="E451" s="80">
        <f t="shared" si="52"/>
        <v>0</v>
      </c>
      <c r="F451" s="79"/>
      <c r="G451" s="81">
        <v>388</v>
      </c>
      <c r="H451" s="80">
        <f t="shared" si="53"/>
        <v>0</v>
      </c>
      <c r="I451" s="80">
        <f t="shared" si="54"/>
        <v>0</v>
      </c>
      <c r="J451" s="80">
        <f t="shared" si="55"/>
        <v>0</v>
      </c>
      <c r="K451" s="80">
        <f t="shared" si="56"/>
        <v>0</v>
      </c>
      <c r="L451" s="79"/>
    </row>
    <row r="452" spans="1:12">
      <c r="A452" s="81">
        <v>389</v>
      </c>
      <c r="B452" s="80">
        <f t="shared" si="49"/>
        <v>0</v>
      </c>
      <c r="C452" s="80">
        <f t="shared" si="50"/>
        <v>0</v>
      </c>
      <c r="D452" s="80">
        <f t="shared" si="51"/>
        <v>0</v>
      </c>
      <c r="E452" s="80">
        <f t="shared" si="52"/>
        <v>0</v>
      </c>
      <c r="F452" s="79"/>
      <c r="G452" s="81">
        <v>389</v>
      </c>
      <c r="H452" s="80">
        <f t="shared" si="53"/>
        <v>0</v>
      </c>
      <c r="I452" s="80">
        <f t="shared" si="54"/>
        <v>0</v>
      </c>
      <c r="J452" s="80">
        <f t="shared" si="55"/>
        <v>0</v>
      </c>
      <c r="K452" s="80">
        <f t="shared" si="56"/>
        <v>0</v>
      </c>
      <c r="L452" s="79"/>
    </row>
    <row r="453" spans="1:12">
      <c r="A453" s="81">
        <v>390</v>
      </c>
      <c r="B453" s="80">
        <f t="shared" si="49"/>
        <v>0</v>
      </c>
      <c r="C453" s="80">
        <f t="shared" si="50"/>
        <v>0</v>
      </c>
      <c r="D453" s="80">
        <f t="shared" si="51"/>
        <v>0</v>
      </c>
      <c r="E453" s="80">
        <f t="shared" si="52"/>
        <v>0</v>
      </c>
      <c r="F453" s="79"/>
      <c r="G453" s="81">
        <v>390</v>
      </c>
      <c r="H453" s="80">
        <f t="shared" si="53"/>
        <v>0</v>
      </c>
      <c r="I453" s="80">
        <f t="shared" si="54"/>
        <v>0</v>
      </c>
      <c r="J453" s="80">
        <f t="shared" si="55"/>
        <v>0</v>
      </c>
      <c r="K453" s="80">
        <f t="shared" si="56"/>
        <v>0</v>
      </c>
      <c r="L453" s="79"/>
    </row>
    <row r="454" spans="1:12">
      <c r="A454" s="81">
        <v>391</v>
      </c>
      <c r="B454" s="80">
        <f t="shared" si="49"/>
        <v>0</v>
      </c>
      <c r="C454" s="80">
        <f t="shared" si="50"/>
        <v>0</v>
      </c>
      <c r="D454" s="80">
        <f t="shared" si="51"/>
        <v>0</v>
      </c>
      <c r="E454" s="80">
        <f t="shared" si="52"/>
        <v>0</v>
      </c>
      <c r="F454" s="79"/>
      <c r="G454" s="81">
        <v>391</v>
      </c>
      <c r="H454" s="80">
        <f t="shared" si="53"/>
        <v>0</v>
      </c>
      <c r="I454" s="80">
        <f t="shared" si="54"/>
        <v>0</v>
      </c>
      <c r="J454" s="80">
        <f t="shared" si="55"/>
        <v>0</v>
      </c>
      <c r="K454" s="80">
        <f t="shared" si="56"/>
        <v>0</v>
      </c>
      <c r="L454" s="79"/>
    </row>
    <row r="455" spans="1:12">
      <c r="A455" s="81">
        <v>392</v>
      </c>
      <c r="B455" s="80">
        <f t="shared" si="49"/>
        <v>0</v>
      </c>
      <c r="C455" s="80">
        <f t="shared" si="50"/>
        <v>0</v>
      </c>
      <c r="D455" s="80">
        <f t="shared" si="51"/>
        <v>0</v>
      </c>
      <c r="E455" s="80">
        <f t="shared" si="52"/>
        <v>0</v>
      </c>
      <c r="F455" s="79"/>
      <c r="G455" s="81">
        <v>392</v>
      </c>
      <c r="H455" s="80">
        <f t="shared" si="53"/>
        <v>0</v>
      </c>
      <c r="I455" s="80">
        <f t="shared" si="54"/>
        <v>0</v>
      </c>
      <c r="J455" s="80">
        <f t="shared" si="55"/>
        <v>0</v>
      </c>
      <c r="K455" s="80">
        <f t="shared" si="56"/>
        <v>0</v>
      </c>
      <c r="L455" s="79"/>
    </row>
    <row r="456" spans="1:12">
      <c r="A456" s="81">
        <v>393</v>
      </c>
      <c r="B456" s="80">
        <f t="shared" si="49"/>
        <v>0</v>
      </c>
      <c r="C456" s="80">
        <f t="shared" si="50"/>
        <v>0</v>
      </c>
      <c r="D456" s="80">
        <f t="shared" si="51"/>
        <v>0</v>
      </c>
      <c r="E456" s="80">
        <f t="shared" si="52"/>
        <v>0</v>
      </c>
      <c r="F456" s="79"/>
      <c r="G456" s="81">
        <v>393</v>
      </c>
      <c r="H456" s="80">
        <f t="shared" si="53"/>
        <v>0</v>
      </c>
      <c r="I456" s="80">
        <f t="shared" si="54"/>
        <v>0</v>
      </c>
      <c r="J456" s="80">
        <f t="shared" si="55"/>
        <v>0</v>
      </c>
      <c r="K456" s="80">
        <f t="shared" si="56"/>
        <v>0</v>
      </c>
      <c r="L456" s="79"/>
    </row>
    <row r="457" spans="1:12">
      <c r="A457" s="81">
        <v>394</v>
      </c>
      <c r="B457" s="80">
        <f t="shared" si="49"/>
        <v>0</v>
      </c>
      <c r="C457" s="80">
        <f t="shared" si="50"/>
        <v>0</v>
      </c>
      <c r="D457" s="80">
        <f t="shared" si="51"/>
        <v>0</v>
      </c>
      <c r="E457" s="80">
        <f t="shared" si="52"/>
        <v>0</v>
      </c>
      <c r="F457" s="79"/>
      <c r="G457" s="81">
        <v>394</v>
      </c>
      <c r="H457" s="80">
        <f t="shared" si="53"/>
        <v>0</v>
      </c>
      <c r="I457" s="80">
        <f t="shared" si="54"/>
        <v>0</v>
      </c>
      <c r="J457" s="80">
        <f t="shared" si="55"/>
        <v>0</v>
      </c>
      <c r="K457" s="80">
        <f t="shared" si="56"/>
        <v>0</v>
      </c>
      <c r="L457" s="79"/>
    </row>
    <row r="458" spans="1:12">
      <c r="A458" s="81">
        <v>395</v>
      </c>
      <c r="B458" s="80">
        <f t="shared" si="49"/>
        <v>0</v>
      </c>
      <c r="C458" s="80">
        <f t="shared" si="50"/>
        <v>0</v>
      </c>
      <c r="D458" s="80">
        <f t="shared" si="51"/>
        <v>0</v>
      </c>
      <c r="E458" s="80">
        <f t="shared" si="52"/>
        <v>0</v>
      </c>
      <c r="F458" s="79"/>
      <c r="G458" s="81">
        <v>395</v>
      </c>
      <c r="H458" s="80">
        <f t="shared" si="53"/>
        <v>0</v>
      </c>
      <c r="I458" s="80">
        <f t="shared" si="54"/>
        <v>0</v>
      </c>
      <c r="J458" s="80">
        <f t="shared" si="55"/>
        <v>0</v>
      </c>
      <c r="K458" s="80">
        <f t="shared" si="56"/>
        <v>0</v>
      </c>
      <c r="L458" s="79"/>
    </row>
    <row r="459" spans="1:12">
      <c r="A459" s="81">
        <v>396</v>
      </c>
      <c r="B459" s="80">
        <f t="shared" si="49"/>
        <v>0</v>
      </c>
      <c r="C459" s="80">
        <f t="shared" si="50"/>
        <v>0</v>
      </c>
      <c r="D459" s="80">
        <f t="shared" si="51"/>
        <v>0</v>
      </c>
      <c r="E459" s="80">
        <f t="shared" si="52"/>
        <v>0</v>
      </c>
      <c r="F459" s="79">
        <v>33</v>
      </c>
      <c r="G459" s="81">
        <v>396</v>
      </c>
      <c r="H459" s="80">
        <f t="shared" si="53"/>
        <v>0</v>
      </c>
      <c r="I459" s="80">
        <f t="shared" si="54"/>
        <v>0</v>
      </c>
      <c r="J459" s="80">
        <f t="shared" si="55"/>
        <v>0</v>
      </c>
      <c r="K459" s="80">
        <f t="shared" si="56"/>
        <v>0</v>
      </c>
      <c r="L459" s="79">
        <v>33</v>
      </c>
    </row>
    <row r="460" spans="1:12">
      <c r="A460" s="81">
        <v>397</v>
      </c>
      <c r="B460" s="80">
        <f t="shared" si="49"/>
        <v>0</v>
      </c>
      <c r="C460" s="80">
        <f t="shared" si="50"/>
        <v>0</v>
      </c>
      <c r="D460" s="80">
        <f t="shared" si="51"/>
        <v>0</v>
      </c>
      <c r="E460" s="80">
        <f t="shared" si="52"/>
        <v>0</v>
      </c>
      <c r="F460" s="79"/>
      <c r="G460" s="81">
        <v>397</v>
      </c>
      <c r="H460" s="80">
        <f t="shared" si="53"/>
        <v>0</v>
      </c>
      <c r="I460" s="80">
        <f t="shared" si="54"/>
        <v>0</v>
      </c>
      <c r="J460" s="80">
        <f t="shared" si="55"/>
        <v>0</v>
      </c>
      <c r="K460" s="80">
        <f t="shared" si="56"/>
        <v>0</v>
      </c>
      <c r="L460" s="79"/>
    </row>
    <row r="461" spans="1:12">
      <c r="A461" s="81">
        <v>398</v>
      </c>
      <c r="B461" s="80">
        <f t="shared" si="49"/>
        <v>0</v>
      </c>
      <c r="C461" s="80">
        <f t="shared" si="50"/>
        <v>0</v>
      </c>
      <c r="D461" s="80">
        <f t="shared" si="51"/>
        <v>0</v>
      </c>
      <c r="E461" s="80">
        <f t="shared" si="52"/>
        <v>0</v>
      </c>
      <c r="F461" s="79"/>
      <c r="G461" s="81">
        <v>398</v>
      </c>
      <c r="H461" s="80">
        <f t="shared" si="53"/>
        <v>0</v>
      </c>
      <c r="I461" s="80">
        <f t="shared" si="54"/>
        <v>0</v>
      </c>
      <c r="J461" s="80">
        <f t="shared" si="55"/>
        <v>0</v>
      </c>
      <c r="K461" s="80">
        <f t="shared" si="56"/>
        <v>0</v>
      </c>
      <c r="L461" s="79"/>
    </row>
    <row r="462" spans="1:12">
      <c r="A462" s="81">
        <v>399</v>
      </c>
      <c r="B462" s="80">
        <f t="shared" si="49"/>
        <v>0</v>
      </c>
      <c r="C462" s="80">
        <f t="shared" si="50"/>
        <v>0</v>
      </c>
      <c r="D462" s="80">
        <f t="shared" si="51"/>
        <v>0</v>
      </c>
      <c r="E462" s="80">
        <f t="shared" si="52"/>
        <v>0</v>
      </c>
      <c r="F462" s="79"/>
      <c r="G462" s="81">
        <v>399</v>
      </c>
      <c r="H462" s="80">
        <f t="shared" si="53"/>
        <v>0</v>
      </c>
      <c r="I462" s="80">
        <f t="shared" si="54"/>
        <v>0</v>
      </c>
      <c r="J462" s="80">
        <f t="shared" si="55"/>
        <v>0</v>
      </c>
      <c r="K462" s="80">
        <f t="shared" si="56"/>
        <v>0</v>
      </c>
      <c r="L462" s="79"/>
    </row>
    <row r="463" spans="1:12">
      <c r="A463" s="81">
        <v>400</v>
      </c>
      <c r="B463" s="80">
        <f t="shared" si="49"/>
        <v>0</v>
      </c>
      <c r="C463" s="80">
        <f t="shared" si="50"/>
        <v>0</v>
      </c>
      <c r="D463" s="80">
        <f t="shared" si="51"/>
        <v>0</v>
      </c>
      <c r="E463" s="80">
        <f t="shared" si="52"/>
        <v>0</v>
      </c>
      <c r="F463" s="79"/>
      <c r="G463" s="81">
        <v>400</v>
      </c>
      <c r="H463" s="80">
        <f t="shared" si="53"/>
        <v>0</v>
      </c>
      <c r="I463" s="80">
        <f t="shared" si="54"/>
        <v>0</v>
      </c>
      <c r="J463" s="80">
        <f t="shared" si="55"/>
        <v>0</v>
      </c>
      <c r="K463" s="80">
        <f t="shared" si="56"/>
        <v>0</v>
      </c>
      <c r="L463" s="79"/>
    </row>
    <row r="464" spans="1:12">
      <c r="A464" s="81">
        <v>401</v>
      </c>
      <c r="B464" s="80">
        <f t="shared" si="49"/>
        <v>0</v>
      </c>
      <c r="C464" s="80">
        <f t="shared" si="50"/>
        <v>0</v>
      </c>
      <c r="D464" s="80">
        <f t="shared" si="51"/>
        <v>0</v>
      </c>
      <c r="E464" s="80">
        <f t="shared" si="52"/>
        <v>0</v>
      </c>
      <c r="F464" s="79"/>
      <c r="G464" s="81">
        <v>401</v>
      </c>
      <c r="H464" s="80">
        <f t="shared" si="53"/>
        <v>0</v>
      </c>
      <c r="I464" s="80">
        <f t="shared" si="54"/>
        <v>0</v>
      </c>
      <c r="J464" s="80">
        <f t="shared" si="55"/>
        <v>0</v>
      </c>
      <c r="K464" s="80">
        <f t="shared" si="56"/>
        <v>0</v>
      </c>
      <c r="L464" s="79"/>
    </row>
    <row r="465" spans="1:12">
      <c r="A465" s="81">
        <v>402</v>
      </c>
      <c r="B465" s="80">
        <f t="shared" si="49"/>
        <v>0</v>
      </c>
      <c r="C465" s="80">
        <f t="shared" si="50"/>
        <v>0</v>
      </c>
      <c r="D465" s="80">
        <f t="shared" si="51"/>
        <v>0</v>
      </c>
      <c r="E465" s="80">
        <f t="shared" si="52"/>
        <v>0</v>
      </c>
      <c r="F465" s="79"/>
      <c r="G465" s="81">
        <v>402</v>
      </c>
      <c r="H465" s="80">
        <f t="shared" si="53"/>
        <v>0</v>
      </c>
      <c r="I465" s="80">
        <f t="shared" si="54"/>
        <v>0</v>
      </c>
      <c r="J465" s="80">
        <f t="shared" si="55"/>
        <v>0</v>
      </c>
      <c r="K465" s="80">
        <f t="shared" si="56"/>
        <v>0</v>
      </c>
      <c r="L465" s="79"/>
    </row>
    <row r="466" spans="1:12">
      <c r="A466" s="81">
        <v>403</v>
      </c>
      <c r="B466" s="80">
        <f t="shared" si="49"/>
        <v>0</v>
      </c>
      <c r="C466" s="80">
        <f t="shared" si="50"/>
        <v>0</v>
      </c>
      <c r="D466" s="80">
        <f t="shared" si="51"/>
        <v>0</v>
      </c>
      <c r="E466" s="80">
        <f t="shared" si="52"/>
        <v>0</v>
      </c>
      <c r="F466" s="79"/>
      <c r="G466" s="81">
        <v>403</v>
      </c>
      <c r="H466" s="80">
        <f t="shared" si="53"/>
        <v>0</v>
      </c>
      <c r="I466" s="80">
        <f t="shared" si="54"/>
        <v>0</v>
      </c>
      <c r="J466" s="80">
        <f t="shared" si="55"/>
        <v>0</v>
      </c>
      <c r="K466" s="80">
        <f t="shared" si="56"/>
        <v>0</v>
      </c>
      <c r="L466" s="79"/>
    </row>
    <row r="467" spans="1:12">
      <c r="A467" s="81">
        <v>404</v>
      </c>
      <c r="B467" s="80">
        <f t="shared" si="49"/>
        <v>0</v>
      </c>
      <c r="C467" s="80">
        <f t="shared" si="50"/>
        <v>0</v>
      </c>
      <c r="D467" s="80">
        <f t="shared" si="51"/>
        <v>0</v>
      </c>
      <c r="E467" s="80">
        <f t="shared" si="52"/>
        <v>0</v>
      </c>
      <c r="F467" s="79"/>
      <c r="G467" s="81">
        <v>404</v>
      </c>
      <c r="H467" s="80">
        <f t="shared" si="53"/>
        <v>0</v>
      </c>
      <c r="I467" s="80">
        <f t="shared" si="54"/>
        <v>0</v>
      </c>
      <c r="J467" s="80">
        <f t="shared" si="55"/>
        <v>0</v>
      </c>
      <c r="K467" s="80">
        <f t="shared" si="56"/>
        <v>0</v>
      </c>
      <c r="L467" s="79"/>
    </row>
    <row r="468" spans="1:12">
      <c r="A468" s="81">
        <v>405</v>
      </c>
      <c r="B468" s="80">
        <f t="shared" si="49"/>
        <v>0</v>
      </c>
      <c r="C468" s="80">
        <f t="shared" si="50"/>
        <v>0</v>
      </c>
      <c r="D468" s="80">
        <f t="shared" si="51"/>
        <v>0</v>
      </c>
      <c r="E468" s="80">
        <f t="shared" si="52"/>
        <v>0</v>
      </c>
      <c r="F468" s="79"/>
      <c r="G468" s="81">
        <v>405</v>
      </c>
      <c r="H468" s="80">
        <f t="shared" si="53"/>
        <v>0</v>
      </c>
      <c r="I468" s="80">
        <f t="shared" si="54"/>
        <v>0</v>
      </c>
      <c r="J468" s="80">
        <f t="shared" si="55"/>
        <v>0</v>
      </c>
      <c r="K468" s="80">
        <f t="shared" si="56"/>
        <v>0</v>
      </c>
      <c r="L468" s="79"/>
    </row>
    <row r="469" spans="1:12">
      <c r="A469" s="81">
        <v>406</v>
      </c>
      <c r="B469" s="80">
        <f t="shared" si="49"/>
        <v>0</v>
      </c>
      <c r="C469" s="80">
        <f t="shared" si="50"/>
        <v>0</v>
      </c>
      <c r="D469" s="80">
        <f t="shared" si="51"/>
        <v>0</v>
      </c>
      <c r="E469" s="80">
        <f t="shared" si="52"/>
        <v>0</v>
      </c>
      <c r="F469" s="79"/>
      <c r="G469" s="81">
        <v>406</v>
      </c>
      <c r="H469" s="80">
        <f t="shared" si="53"/>
        <v>0</v>
      </c>
      <c r="I469" s="80">
        <f t="shared" si="54"/>
        <v>0</v>
      </c>
      <c r="J469" s="80">
        <f t="shared" si="55"/>
        <v>0</v>
      </c>
      <c r="K469" s="80">
        <f t="shared" si="56"/>
        <v>0</v>
      </c>
      <c r="L469" s="79"/>
    </row>
    <row r="470" spans="1:12">
      <c r="A470" s="81">
        <v>407</v>
      </c>
      <c r="B470" s="80">
        <f t="shared" si="49"/>
        <v>0</v>
      </c>
      <c r="C470" s="80">
        <f t="shared" si="50"/>
        <v>0</v>
      </c>
      <c r="D470" s="80">
        <f t="shared" si="51"/>
        <v>0</v>
      </c>
      <c r="E470" s="80">
        <f t="shared" si="52"/>
        <v>0</v>
      </c>
      <c r="F470" s="79"/>
      <c r="G470" s="81">
        <v>407</v>
      </c>
      <c r="H470" s="80">
        <f t="shared" si="53"/>
        <v>0</v>
      </c>
      <c r="I470" s="80">
        <f t="shared" si="54"/>
        <v>0</v>
      </c>
      <c r="J470" s="80">
        <f t="shared" si="55"/>
        <v>0</v>
      </c>
      <c r="K470" s="80">
        <f t="shared" si="56"/>
        <v>0</v>
      </c>
      <c r="L470" s="79"/>
    </row>
    <row r="471" spans="1:12">
      <c r="A471" s="81">
        <v>408</v>
      </c>
      <c r="B471" s="80">
        <f t="shared" si="49"/>
        <v>0</v>
      </c>
      <c r="C471" s="80">
        <f t="shared" si="50"/>
        <v>0</v>
      </c>
      <c r="D471" s="80">
        <f t="shared" si="51"/>
        <v>0</v>
      </c>
      <c r="E471" s="80">
        <f t="shared" si="52"/>
        <v>0</v>
      </c>
      <c r="F471" s="79">
        <v>34</v>
      </c>
      <c r="G471" s="81">
        <v>408</v>
      </c>
      <c r="H471" s="80">
        <f t="shared" si="53"/>
        <v>0</v>
      </c>
      <c r="I471" s="80">
        <f t="shared" si="54"/>
        <v>0</v>
      </c>
      <c r="J471" s="80">
        <f t="shared" si="55"/>
        <v>0</v>
      </c>
      <c r="K471" s="80">
        <f t="shared" si="56"/>
        <v>0</v>
      </c>
      <c r="L471" s="79">
        <v>34</v>
      </c>
    </row>
    <row r="472" spans="1:12">
      <c r="A472" s="81">
        <v>409</v>
      </c>
      <c r="B472" s="80">
        <f t="shared" si="49"/>
        <v>0</v>
      </c>
      <c r="C472" s="80">
        <f t="shared" si="50"/>
        <v>0</v>
      </c>
      <c r="D472" s="80">
        <f t="shared" si="51"/>
        <v>0</v>
      </c>
      <c r="E472" s="80">
        <f t="shared" si="52"/>
        <v>0</v>
      </c>
      <c r="F472" s="79"/>
      <c r="G472" s="81">
        <v>409</v>
      </c>
      <c r="H472" s="80">
        <f t="shared" si="53"/>
        <v>0</v>
      </c>
      <c r="I472" s="80">
        <f t="shared" si="54"/>
        <v>0</v>
      </c>
      <c r="J472" s="80">
        <f t="shared" si="55"/>
        <v>0</v>
      </c>
      <c r="K472" s="80">
        <f t="shared" si="56"/>
        <v>0</v>
      </c>
      <c r="L472" s="79"/>
    </row>
    <row r="473" spans="1:12">
      <c r="A473" s="81">
        <v>410</v>
      </c>
      <c r="B473" s="80">
        <f t="shared" si="49"/>
        <v>0</v>
      </c>
      <c r="C473" s="80">
        <f t="shared" si="50"/>
        <v>0</v>
      </c>
      <c r="D473" s="80">
        <f t="shared" si="51"/>
        <v>0</v>
      </c>
      <c r="E473" s="80">
        <f t="shared" si="52"/>
        <v>0</v>
      </c>
      <c r="F473" s="79"/>
      <c r="G473" s="81">
        <v>410</v>
      </c>
      <c r="H473" s="80">
        <f t="shared" si="53"/>
        <v>0</v>
      </c>
      <c r="I473" s="80">
        <f t="shared" si="54"/>
        <v>0</v>
      </c>
      <c r="J473" s="80">
        <f t="shared" si="55"/>
        <v>0</v>
      </c>
      <c r="K473" s="80">
        <f t="shared" si="56"/>
        <v>0</v>
      </c>
      <c r="L473" s="79"/>
    </row>
    <row r="474" spans="1:12">
      <c r="A474" s="81">
        <v>411</v>
      </c>
      <c r="B474" s="80">
        <f t="shared" si="49"/>
        <v>0</v>
      </c>
      <c r="C474" s="80">
        <f t="shared" si="50"/>
        <v>0</v>
      </c>
      <c r="D474" s="80">
        <f t="shared" si="51"/>
        <v>0</v>
      </c>
      <c r="E474" s="80">
        <f t="shared" si="52"/>
        <v>0</v>
      </c>
      <c r="F474" s="79"/>
      <c r="G474" s="81">
        <v>411</v>
      </c>
      <c r="H474" s="80">
        <f t="shared" si="53"/>
        <v>0</v>
      </c>
      <c r="I474" s="80">
        <f t="shared" si="54"/>
        <v>0</v>
      </c>
      <c r="J474" s="80">
        <f t="shared" si="55"/>
        <v>0</v>
      </c>
      <c r="K474" s="80">
        <f t="shared" si="56"/>
        <v>0</v>
      </c>
      <c r="L474" s="79"/>
    </row>
    <row r="475" spans="1:12">
      <c r="A475" s="81">
        <v>412</v>
      </c>
      <c r="B475" s="80">
        <f t="shared" si="49"/>
        <v>0</v>
      </c>
      <c r="C475" s="80">
        <f t="shared" si="50"/>
        <v>0</v>
      </c>
      <c r="D475" s="80">
        <f t="shared" si="51"/>
        <v>0</v>
      </c>
      <c r="E475" s="80">
        <f t="shared" si="52"/>
        <v>0</v>
      </c>
      <c r="F475" s="79"/>
      <c r="G475" s="81">
        <v>412</v>
      </c>
      <c r="H475" s="80">
        <f t="shared" si="53"/>
        <v>0</v>
      </c>
      <c r="I475" s="80">
        <f t="shared" si="54"/>
        <v>0</v>
      </c>
      <c r="J475" s="80">
        <f t="shared" si="55"/>
        <v>0</v>
      </c>
      <c r="K475" s="80">
        <f t="shared" si="56"/>
        <v>0</v>
      </c>
      <c r="L475" s="79"/>
    </row>
    <row r="476" spans="1:12">
      <c r="A476" s="81">
        <v>413</v>
      </c>
      <c r="B476" s="80">
        <f t="shared" si="49"/>
        <v>0</v>
      </c>
      <c r="C476" s="80">
        <f t="shared" si="50"/>
        <v>0</v>
      </c>
      <c r="D476" s="80">
        <f t="shared" si="51"/>
        <v>0</v>
      </c>
      <c r="E476" s="80">
        <f t="shared" si="52"/>
        <v>0</v>
      </c>
      <c r="F476" s="79"/>
      <c r="G476" s="81">
        <v>413</v>
      </c>
      <c r="H476" s="80">
        <f t="shared" si="53"/>
        <v>0</v>
      </c>
      <c r="I476" s="80">
        <f t="shared" si="54"/>
        <v>0</v>
      </c>
      <c r="J476" s="80">
        <f t="shared" si="55"/>
        <v>0</v>
      </c>
      <c r="K476" s="80">
        <f t="shared" si="56"/>
        <v>0</v>
      </c>
      <c r="L476" s="79"/>
    </row>
    <row r="477" spans="1:12">
      <c r="A477" s="81">
        <v>414</v>
      </c>
      <c r="B477" s="80">
        <f t="shared" si="49"/>
        <v>0</v>
      </c>
      <c r="C477" s="80">
        <f t="shared" si="50"/>
        <v>0</v>
      </c>
      <c r="D477" s="80">
        <f t="shared" si="51"/>
        <v>0</v>
      </c>
      <c r="E477" s="80">
        <f t="shared" si="52"/>
        <v>0</v>
      </c>
      <c r="F477" s="79"/>
      <c r="G477" s="81">
        <v>414</v>
      </c>
      <c r="H477" s="80">
        <f t="shared" si="53"/>
        <v>0</v>
      </c>
      <c r="I477" s="80">
        <f t="shared" si="54"/>
        <v>0</v>
      </c>
      <c r="J477" s="80">
        <f t="shared" si="55"/>
        <v>0</v>
      </c>
      <c r="K477" s="80">
        <f t="shared" si="56"/>
        <v>0</v>
      </c>
      <c r="L477" s="79"/>
    </row>
    <row r="478" spans="1:12">
      <c r="A478" s="81">
        <v>415</v>
      </c>
      <c r="B478" s="80">
        <f t="shared" si="49"/>
        <v>0</v>
      </c>
      <c r="C478" s="80">
        <f t="shared" si="50"/>
        <v>0</v>
      </c>
      <c r="D478" s="80">
        <f t="shared" si="51"/>
        <v>0</v>
      </c>
      <c r="E478" s="80">
        <f t="shared" si="52"/>
        <v>0</v>
      </c>
      <c r="F478" s="79"/>
      <c r="G478" s="81">
        <v>415</v>
      </c>
      <c r="H478" s="80">
        <f t="shared" si="53"/>
        <v>0</v>
      </c>
      <c r="I478" s="80">
        <f t="shared" si="54"/>
        <v>0</v>
      </c>
      <c r="J478" s="80">
        <f t="shared" si="55"/>
        <v>0</v>
      </c>
      <c r="K478" s="80">
        <f t="shared" si="56"/>
        <v>0</v>
      </c>
      <c r="L478" s="79"/>
    </row>
    <row r="479" spans="1:12">
      <c r="A479" s="81">
        <v>416</v>
      </c>
      <c r="B479" s="80">
        <f t="shared" si="49"/>
        <v>0</v>
      </c>
      <c r="C479" s="80">
        <f t="shared" si="50"/>
        <v>0</v>
      </c>
      <c r="D479" s="80">
        <f t="shared" si="51"/>
        <v>0</v>
      </c>
      <c r="E479" s="80">
        <f t="shared" si="52"/>
        <v>0</v>
      </c>
      <c r="F479" s="79"/>
      <c r="G479" s="81">
        <v>416</v>
      </c>
      <c r="H479" s="80">
        <f t="shared" si="53"/>
        <v>0</v>
      </c>
      <c r="I479" s="80">
        <f t="shared" si="54"/>
        <v>0</v>
      </c>
      <c r="J479" s="80">
        <f t="shared" si="55"/>
        <v>0</v>
      </c>
      <c r="K479" s="80">
        <f t="shared" si="56"/>
        <v>0</v>
      </c>
      <c r="L479" s="79"/>
    </row>
    <row r="480" spans="1:12">
      <c r="A480" s="81">
        <v>417</v>
      </c>
      <c r="B480" s="80">
        <f t="shared" si="49"/>
        <v>0</v>
      </c>
      <c r="C480" s="80">
        <f t="shared" si="50"/>
        <v>0</v>
      </c>
      <c r="D480" s="80">
        <f t="shared" si="51"/>
        <v>0</v>
      </c>
      <c r="E480" s="80">
        <f t="shared" si="52"/>
        <v>0</v>
      </c>
      <c r="F480" s="79"/>
      <c r="G480" s="81">
        <v>417</v>
      </c>
      <c r="H480" s="80">
        <f t="shared" si="53"/>
        <v>0</v>
      </c>
      <c r="I480" s="80">
        <f t="shared" si="54"/>
        <v>0</v>
      </c>
      <c r="J480" s="80">
        <f t="shared" si="55"/>
        <v>0</v>
      </c>
      <c r="K480" s="80">
        <f t="shared" si="56"/>
        <v>0</v>
      </c>
      <c r="L480" s="79"/>
    </row>
    <row r="481" spans="1:12">
      <c r="A481" s="81">
        <v>418</v>
      </c>
      <c r="B481" s="80">
        <f t="shared" si="49"/>
        <v>0</v>
      </c>
      <c r="C481" s="80">
        <f t="shared" si="50"/>
        <v>0</v>
      </c>
      <c r="D481" s="80">
        <f t="shared" si="51"/>
        <v>0</v>
      </c>
      <c r="E481" s="80">
        <f t="shared" si="52"/>
        <v>0</v>
      </c>
      <c r="F481" s="79"/>
      <c r="G481" s="81">
        <v>418</v>
      </c>
      <c r="H481" s="80">
        <f t="shared" si="53"/>
        <v>0</v>
      </c>
      <c r="I481" s="80">
        <f t="shared" si="54"/>
        <v>0</v>
      </c>
      <c r="J481" s="80">
        <f t="shared" si="55"/>
        <v>0</v>
      </c>
      <c r="K481" s="80">
        <f t="shared" si="56"/>
        <v>0</v>
      </c>
      <c r="L481" s="79"/>
    </row>
    <row r="482" spans="1:12">
      <c r="A482" s="81">
        <v>419</v>
      </c>
      <c r="B482" s="80">
        <f t="shared" si="49"/>
        <v>0</v>
      </c>
      <c r="C482" s="80">
        <f t="shared" si="50"/>
        <v>0</v>
      </c>
      <c r="D482" s="80">
        <f t="shared" si="51"/>
        <v>0</v>
      </c>
      <c r="E482" s="80">
        <f t="shared" si="52"/>
        <v>0</v>
      </c>
      <c r="F482" s="79"/>
      <c r="G482" s="81">
        <v>419</v>
      </c>
      <c r="H482" s="80">
        <f t="shared" si="53"/>
        <v>0</v>
      </c>
      <c r="I482" s="80">
        <f t="shared" si="54"/>
        <v>0</v>
      </c>
      <c r="J482" s="80">
        <f t="shared" si="55"/>
        <v>0</v>
      </c>
      <c r="K482" s="80">
        <f t="shared" si="56"/>
        <v>0</v>
      </c>
      <c r="L482" s="79"/>
    </row>
    <row r="483" spans="1:12">
      <c r="A483" s="81">
        <v>420</v>
      </c>
      <c r="B483" s="80">
        <f t="shared" si="49"/>
        <v>0</v>
      </c>
      <c r="C483" s="80">
        <f t="shared" si="50"/>
        <v>0</v>
      </c>
      <c r="D483" s="80">
        <f t="shared" si="51"/>
        <v>0</v>
      </c>
      <c r="E483" s="80">
        <f t="shared" si="52"/>
        <v>0</v>
      </c>
      <c r="F483" s="79">
        <v>35</v>
      </c>
      <c r="G483" s="81">
        <v>420</v>
      </c>
      <c r="H483" s="80">
        <f t="shared" si="53"/>
        <v>0</v>
      </c>
      <c r="I483" s="80">
        <f t="shared" si="54"/>
        <v>0</v>
      </c>
      <c r="J483" s="80">
        <f t="shared" si="55"/>
        <v>0</v>
      </c>
      <c r="K483" s="80">
        <f t="shared" si="56"/>
        <v>0</v>
      </c>
      <c r="L483" s="79">
        <v>35</v>
      </c>
    </row>
    <row r="484" spans="1:12">
      <c r="A484" s="81">
        <v>421</v>
      </c>
      <c r="B484" s="80">
        <f t="shared" si="49"/>
        <v>0</v>
      </c>
      <c r="C484" s="80">
        <f t="shared" si="50"/>
        <v>0</v>
      </c>
      <c r="D484" s="80">
        <f t="shared" si="51"/>
        <v>0</v>
      </c>
      <c r="E484" s="80">
        <f t="shared" si="52"/>
        <v>0</v>
      </c>
      <c r="F484" s="79"/>
      <c r="G484" s="81">
        <v>421</v>
      </c>
      <c r="H484" s="80">
        <f t="shared" si="53"/>
        <v>0</v>
      </c>
      <c r="I484" s="80">
        <f t="shared" si="54"/>
        <v>0</v>
      </c>
      <c r="J484" s="80">
        <f t="shared" si="55"/>
        <v>0</v>
      </c>
      <c r="K484" s="80">
        <f t="shared" si="56"/>
        <v>0</v>
      </c>
      <c r="L484" s="79"/>
    </row>
    <row r="485" spans="1:12">
      <c r="A485" s="81">
        <v>422</v>
      </c>
      <c r="B485" s="80">
        <f t="shared" si="49"/>
        <v>0</v>
      </c>
      <c r="C485" s="80">
        <f t="shared" si="50"/>
        <v>0</v>
      </c>
      <c r="D485" s="80">
        <f t="shared" si="51"/>
        <v>0</v>
      </c>
      <c r="E485" s="80">
        <f t="shared" si="52"/>
        <v>0</v>
      </c>
      <c r="F485" s="79"/>
      <c r="G485" s="81">
        <v>422</v>
      </c>
      <c r="H485" s="80">
        <f t="shared" si="53"/>
        <v>0</v>
      </c>
      <c r="I485" s="80">
        <f t="shared" si="54"/>
        <v>0</v>
      </c>
      <c r="J485" s="80">
        <f t="shared" si="55"/>
        <v>0</v>
      </c>
      <c r="K485" s="80">
        <f t="shared" si="56"/>
        <v>0</v>
      </c>
      <c r="L485" s="79"/>
    </row>
    <row r="486" spans="1:12">
      <c r="A486" s="81">
        <v>423</v>
      </c>
      <c r="B486" s="80">
        <f t="shared" si="49"/>
        <v>0</v>
      </c>
      <c r="C486" s="80">
        <f t="shared" si="50"/>
        <v>0</v>
      </c>
      <c r="D486" s="80">
        <f t="shared" si="51"/>
        <v>0</v>
      </c>
      <c r="E486" s="80">
        <f t="shared" si="52"/>
        <v>0</v>
      </c>
      <c r="F486" s="79"/>
      <c r="G486" s="81">
        <v>423</v>
      </c>
      <c r="H486" s="80">
        <f t="shared" si="53"/>
        <v>0</v>
      </c>
      <c r="I486" s="80">
        <f t="shared" si="54"/>
        <v>0</v>
      </c>
      <c r="J486" s="80">
        <f t="shared" si="55"/>
        <v>0</v>
      </c>
      <c r="K486" s="80">
        <f t="shared" si="56"/>
        <v>0</v>
      </c>
      <c r="L486" s="79"/>
    </row>
    <row r="487" spans="1:12">
      <c r="A487" s="81">
        <v>424</v>
      </c>
      <c r="B487" s="80">
        <f t="shared" si="49"/>
        <v>0</v>
      </c>
      <c r="C487" s="80">
        <f t="shared" si="50"/>
        <v>0</v>
      </c>
      <c r="D487" s="80">
        <f t="shared" si="51"/>
        <v>0</v>
      </c>
      <c r="E487" s="80">
        <f t="shared" si="52"/>
        <v>0</v>
      </c>
      <c r="F487" s="79"/>
      <c r="G487" s="81">
        <v>424</v>
      </c>
      <c r="H487" s="80">
        <f t="shared" si="53"/>
        <v>0</v>
      </c>
      <c r="I487" s="80">
        <f t="shared" si="54"/>
        <v>0</v>
      </c>
      <c r="J487" s="80">
        <f t="shared" si="55"/>
        <v>0</v>
      </c>
      <c r="K487" s="80">
        <f t="shared" si="56"/>
        <v>0</v>
      </c>
      <c r="L487" s="79"/>
    </row>
    <row r="488" spans="1:12">
      <c r="A488" s="81">
        <v>425</v>
      </c>
      <c r="B488" s="80">
        <f t="shared" si="49"/>
        <v>0</v>
      </c>
      <c r="C488" s="80">
        <f t="shared" si="50"/>
        <v>0</v>
      </c>
      <c r="D488" s="80">
        <f t="shared" si="51"/>
        <v>0</v>
      </c>
      <c r="E488" s="80">
        <f t="shared" si="52"/>
        <v>0</v>
      </c>
      <c r="F488" s="79"/>
      <c r="G488" s="81">
        <v>425</v>
      </c>
      <c r="H488" s="80">
        <f t="shared" si="53"/>
        <v>0</v>
      </c>
      <c r="I488" s="80">
        <f t="shared" si="54"/>
        <v>0</v>
      </c>
      <c r="J488" s="80">
        <f t="shared" si="55"/>
        <v>0</v>
      </c>
      <c r="K488" s="80">
        <f t="shared" si="56"/>
        <v>0</v>
      </c>
      <c r="L488" s="79"/>
    </row>
    <row r="489" spans="1:12">
      <c r="A489" s="81">
        <v>426</v>
      </c>
      <c r="B489" s="80">
        <f t="shared" si="49"/>
        <v>0</v>
      </c>
      <c r="C489" s="80">
        <f t="shared" si="50"/>
        <v>0</v>
      </c>
      <c r="D489" s="80">
        <f t="shared" si="51"/>
        <v>0</v>
      </c>
      <c r="E489" s="80">
        <f t="shared" si="52"/>
        <v>0</v>
      </c>
      <c r="F489" s="79"/>
      <c r="G489" s="81">
        <v>426</v>
      </c>
      <c r="H489" s="80">
        <f t="shared" si="53"/>
        <v>0</v>
      </c>
      <c r="I489" s="80">
        <f t="shared" si="54"/>
        <v>0</v>
      </c>
      <c r="J489" s="80">
        <f t="shared" si="55"/>
        <v>0</v>
      </c>
      <c r="K489" s="80">
        <f t="shared" si="56"/>
        <v>0</v>
      </c>
      <c r="L489" s="79"/>
    </row>
    <row r="490" spans="1:12">
      <c r="A490" s="81">
        <v>427</v>
      </c>
      <c r="B490" s="80">
        <f t="shared" si="49"/>
        <v>0</v>
      </c>
      <c r="C490" s="80">
        <f t="shared" si="50"/>
        <v>0</v>
      </c>
      <c r="D490" s="80">
        <f t="shared" si="51"/>
        <v>0</v>
      </c>
      <c r="E490" s="80">
        <f t="shared" si="52"/>
        <v>0</v>
      </c>
      <c r="F490" s="79"/>
      <c r="G490" s="81">
        <v>427</v>
      </c>
      <c r="H490" s="80">
        <f t="shared" si="53"/>
        <v>0</v>
      </c>
      <c r="I490" s="80">
        <f t="shared" si="54"/>
        <v>0</v>
      </c>
      <c r="J490" s="80">
        <f t="shared" si="55"/>
        <v>0</v>
      </c>
      <c r="K490" s="80">
        <f t="shared" si="56"/>
        <v>0</v>
      </c>
      <c r="L490" s="79"/>
    </row>
    <row r="491" spans="1:12">
      <c r="A491" s="81">
        <v>428</v>
      </c>
      <c r="B491" s="80">
        <f t="shared" si="49"/>
        <v>0</v>
      </c>
      <c r="C491" s="80">
        <f t="shared" si="50"/>
        <v>0</v>
      </c>
      <c r="D491" s="80">
        <f t="shared" si="51"/>
        <v>0</v>
      </c>
      <c r="E491" s="80">
        <f t="shared" si="52"/>
        <v>0</v>
      </c>
      <c r="F491" s="79"/>
      <c r="G491" s="81">
        <v>428</v>
      </c>
      <c r="H491" s="80">
        <f t="shared" si="53"/>
        <v>0</v>
      </c>
      <c r="I491" s="80">
        <f t="shared" si="54"/>
        <v>0</v>
      </c>
      <c r="J491" s="80">
        <f t="shared" si="55"/>
        <v>0</v>
      </c>
      <c r="K491" s="80">
        <f t="shared" si="56"/>
        <v>0</v>
      </c>
      <c r="L491" s="79"/>
    </row>
    <row r="492" spans="1:12">
      <c r="A492" s="81">
        <v>429</v>
      </c>
      <c r="B492" s="80">
        <f t="shared" si="49"/>
        <v>0</v>
      </c>
      <c r="C492" s="80">
        <f t="shared" si="50"/>
        <v>0</v>
      </c>
      <c r="D492" s="80">
        <f t="shared" si="51"/>
        <v>0</v>
      </c>
      <c r="E492" s="80">
        <f t="shared" si="52"/>
        <v>0</v>
      </c>
      <c r="F492" s="79"/>
      <c r="G492" s="81">
        <v>429</v>
      </c>
      <c r="H492" s="80">
        <f t="shared" si="53"/>
        <v>0</v>
      </c>
      <c r="I492" s="80">
        <f t="shared" si="54"/>
        <v>0</v>
      </c>
      <c r="J492" s="80">
        <f t="shared" si="55"/>
        <v>0</v>
      </c>
      <c r="K492" s="80">
        <f t="shared" si="56"/>
        <v>0</v>
      </c>
      <c r="L492" s="79"/>
    </row>
    <row r="493" spans="1:12">
      <c r="A493" s="81">
        <v>430</v>
      </c>
      <c r="B493" s="80">
        <f t="shared" si="49"/>
        <v>0</v>
      </c>
      <c r="C493" s="80">
        <f t="shared" si="50"/>
        <v>0</v>
      </c>
      <c r="D493" s="80">
        <f t="shared" si="51"/>
        <v>0</v>
      </c>
      <c r="E493" s="80">
        <f t="shared" si="52"/>
        <v>0</v>
      </c>
      <c r="F493" s="79"/>
      <c r="G493" s="81">
        <v>430</v>
      </c>
      <c r="H493" s="80">
        <f t="shared" si="53"/>
        <v>0</v>
      </c>
      <c r="I493" s="80">
        <f t="shared" si="54"/>
        <v>0</v>
      </c>
      <c r="J493" s="80">
        <f t="shared" si="55"/>
        <v>0</v>
      </c>
      <c r="K493" s="80">
        <f t="shared" si="56"/>
        <v>0</v>
      </c>
      <c r="L493" s="79"/>
    </row>
    <row r="494" spans="1:12">
      <c r="A494" s="81">
        <v>431</v>
      </c>
      <c r="B494" s="80">
        <f t="shared" si="49"/>
        <v>0</v>
      </c>
      <c r="C494" s="80">
        <f t="shared" si="50"/>
        <v>0</v>
      </c>
      <c r="D494" s="80">
        <f t="shared" si="51"/>
        <v>0</v>
      </c>
      <c r="E494" s="80">
        <f t="shared" si="52"/>
        <v>0</v>
      </c>
      <c r="F494" s="79"/>
      <c r="G494" s="81">
        <v>431</v>
      </c>
      <c r="H494" s="80">
        <f t="shared" si="53"/>
        <v>0</v>
      </c>
      <c r="I494" s="80">
        <f t="shared" si="54"/>
        <v>0</v>
      </c>
      <c r="J494" s="80">
        <f t="shared" si="55"/>
        <v>0</v>
      </c>
      <c r="K494" s="80">
        <f t="shared" si="56"/>
        <v>0</v>
      </c>
      <c r="L494" s="79"/>
    </row>
    <row r="495" spans="1:12">
      <c r="A495" s="81">
        <v>432</v>
      </c>
      <c r="B495" s="80">
        <f t="shared" si="49"/>
        <v>0</v>
      </c>
      <c r="C495" s="80">
        <f t="shared" si="50"/>
        <v>0</v>
      </c>
      <c r="D495" s="80">
        <f t="shared" si="51"/>
        <v>0</v>
      </c>
      <c r="E495" s="80">
        <f t="shared" si="52"/>
        <v>0</v>
      </c>
      <c r="F495" s="79">
        <v>36</v>
      </c>
      <c r="G495" s="81">
        <v>432</v>
      </c>
      <c r="H495" s="80">
        <f t="shared" si="53"/>
        <v>0</v>
      </c>
      <c r="I495" s="80">
        <f t="shared" si="54"/>
        <v>0</v>
      </c>
      <c r="J495" s="80">
        <f t="shared" si="55"/>
        <v>0</v>
      </c>
      <c r="K495" s="80">
        <f t="shared" si="56"/>
        <v>0</v>
      </c>
      <c r="L495" s="79">
        <v>36</v>
      </c>
    </row>
    <row r="496" spans="1:12">
      <c r="A496" s="81">
        <v>433</v>
      </c>
      <c r="B496" s="80">
        <f t="shared" si="49"/>
        <v>0</v>
      </c>
      <c r="C496" s="80">
        <f t="shared" si="50"/>
        <v>0</v>
      </c>
      <c r="D496" s="80">
        <f t="shared" si="51"/>
        <v>0</v>
      </c>
      <c r="E496" s="80">
        <f t="shared" si="52"/>
        <v>0</v>
      </c>
      <c r="F496" s="79"/>
      <c r="G496" s="81">
        <v>433</v>
      </c>
      <c r="H496" s="80">
        <f t="shared" si="53"/>
        <v>0</v>
      </c>
      <c r="I496" s="80">
        <f t="shared" si="54"/>
        <v>0</v>
      </c>
      <c r="J496" s="80">
        <f t="shared" si="55"/>
        <v>0</v>
      </c>
      <c r="K496" s="80">
        <f t="shared" si="56"/>
        <v>0</v>
      </c>
      <c r="L496" s="79"/>
    </row>
    <row r="497" spans="1:12">
      <c r="A497" s="81">
        <v>434</v>
      </c>
      <c r="B497" s="80">
        <f t="shared" si="49"/>
        <v>0</v>
      </c>
      <c r="C497" s="80">
        <f t="shared" si="50"/>
        <v>0</v>
      </c>
      <c r="D497" s="80">
        <f t="shared" si="51"/>
        <v>0</v>
      </c>
      <c r="E497" s="80">
        <f t="shared" si="52"/>
        <v>0</v>
      </c>
      <c r="F497" s="79"/>
      <c r="G497" s="81">
        <v>434</v>
      </c>
      <c r="H497" s="80">
        <f t="shared" si="53"/>
        <v>0</v>
      </c>
      <c r="I497" s="80">
        <f t="shared" si="54"/>
        <v>0</v>
      </c>
      <c r="J497" s="80">
        <f t="shared" si="55"/>
        <v>0</v>
      </c>
      <c r="K497" s="80">
        <f t="shared" si="56"/>
        <v>0</v>
      </c>
      <c r="L497" s="79"/>
    </row>
    <row r="498" spans="1:12">
      <c r="A498" s="81">
        <v>435</v>
      </c>
      <c r="B498" s="80">
        <f t="shared" si="49"/>
        <v>0</v>
      </c>
      <c r="C498" s="80">
        <f t="shared" si="50"/>
        <v>0</v>
      </c>
      <c r="D498" s="80">
        <f t="shared" si="51"/>
        <v>0</v>
      </c>
      <c r="E498" s="80">
        <f t="shared" si="52"/>
        <v>0</v>
      </c>
      <c r="F498" s="79"/>
      <c r="G498" s="81">
        <v>435</v>
      </c>
      <c r="H498" s="80">
        <f t="shared" si="53"/>
        <v>0</v>
      </c>
      <c r="I498" s="80">
        <f t="shared" si="54"/>
        <v>0</v>
      </c>
      <c r="J498" s="80">
        <f t="shared" si="55"/>
        <v>0</v>
      </c>
      <c r="K498" s="80">
        <f t="shared" si="56"/>
        <v>0</v>
      </c>
      <c r="L498" s="79"/>
    </row>
    <row r="499" spans="1:12">
      <c r="A499" s="81">
        <v>436</v>
      </c>
      <c r="B499" s="80">
        <f t="shared" si="49"/>
        <v>0</v>
      </c>
      <c r="C499" s="80">
        <f t="shared" si="50"/>
        <v>0</v>
      </c>
      <c r="D499" s="80">
        <f t="shared" si="51"/>
        <v>0</v>
      </c>
      <c r="E499" s="80">
        <f t="shared" si="52"/>
        <v>0</v>
      </c>
      <c r="F499" s="79"/>
      <c r="G499" s="81">
        <v>436</v>
      </c>
      <c r="H499" s="80">
        <f t="shared" si="53"/>
        <v>0</v>
      </c>
      <c r="I499" s="80">
        <f t="shared" si="54"/>
        <v>0</v>
      </c>
      <c r="J499" s="80">
        <f t="shared" si="55"/>
        <v>0</v>
      </c>
      <c r="K499" s="80">
        <f t="shared" si="56"/>
        <v>0</v>
      </c>
      <c r="L499" s="79"/>
    </row>
    <row r="500" spans="1:12">
      <c r="A500" s="81">
        <v>437</v>
      </c>
      <c r="B500" s="80">
        <f t="shared" si="49"/>
        <v>0</v>
      </c>
      <c r="C500" s="80">
        <f t="shared" si="50"/>
        <v>0</v>
      </c>
      <c r="D500" s="80">
        <f t="shared" si="51"/>
        <v>0</v>
      </c>
      <c r="E500" s="80">
        <f t="shared" si="52"/>
        <v>0</v>
      </c>
      <c r="F500" s="79"/>
      <c r="G500" s="81">
        <v>437</v>
      </c>
      <c r="H500" s="80">
        <f t="shared" si="53"/>
        <v>0</v>
      </c>
      <c r="I500" s="80">
        <f t="shared" si="54"/>
        <v>0</v>
      </c>
      <c r="J500" s="80">
        <f t="shared" si="55"/>
        <v>0</v>
      </c>
      <c r="K500" s="80">
        <f t="shared" si="56"/>
        <v>0</v>
      </c>
      <c r="L500" s="79"/>
    </row>
    <row r="501" spans="1:12">
      <c r="A501" s="81">
        <v>438</v>
      </c>
      <c r="B501" s="80">
        <f t="shared" si="49"/>
        <v>0</v>
      </c>
      <c r="C501" s="80">
        <f t="shared" si="50"/>
        <v>0</v>
      </c>
      <c r="D501" s="80">
        <f t="shared" si="51"/>
        <v>0</v>
      </c>
      <c r="E501" s="80">
        <f t="shared" si="52"/>
        <v>0</v>
      </c>
      <c r="F501" s="79"/>
      <c r="G501" s="81">
        <v>438</v>
      </c>
      <c r="H501" s="80">
        <f t="shared" si="53"/>
        <v>0</v>
      </c>
      <c r="I501" s="80">
        <f t="shared" si="54"/>
        <v>0</v>
      </c>
      <c r="J501" s="80">
        <f t="shared" si="55"/>
        <v>0</v>
      </c>
      <c r="K501" s="80">
        <f t="shared" si="56"/>
        <v>0</v>
      </c>
      <c r="L501" s="79"/>
    </row>
    <row r="502" spans="1:12">
      <c r="A502" s="81">
        <v>439</v>
      </c>
      <c r="B502" s="80">
        <f t="shared" si="49"/>
        <v>0</v>
      </c>
      <c r="C502" s="80">
        <f t="shared" si="50"/>
        <v>0</v>
      </c>
      <c r="D502" s="80">
        <f t="shared" si="51"/>
        <v>0</v>
      </c>
      <c r="E502" s="80">
        <f t="shared" si="52"/>
        <v>0</v>
      </c>
      <c r="F502" s="79"/>
      <c r="G502" s="81">
        <v>439</v>
      </c>
      <c r="H502" s="80">
        <f t="shared" si="53"/>
        <v>0</v>
      </c>
      <c r="I502" s="80">
        <f t="shared" si="54"/>
        <v>0</v>
      </c>
      <c r="J502" s="80">
        <f t="shared" si="55"/>
        <v>0</v>
      </c>
      <c r="K502" s="80">
        <f t="shared" si="56"/>
        <v>0</v>
      </c>
      <c r="L502" s="79"/>
    </row>
    <row r="503" spans="1:12">
      <c r="A503" s="81">
        <v>440</v>
      </c>
      <c r="B503" s="80">
        <f t="shared" si="49"/>
        <v>0</v>
      </c>
      <c r="C503" s="80">
        <f t="shared" si="50"/>
        <v>0</v>
      </c>
      <c r="D503" s="80">
        <f t="shared" si="51"/>
        <v>0</v>
      </c>
      <c r="E503" s="80">
        <f t="shared" si="52"/>
        <v>0</v>
      </c>
      <c r="F503" s="79"/>
      <c r="G503" s="81">
        <v>440</v>
      </c>
      <c r="H503" s="80">
        <f t="shared" si="53"/>
        <v>0</v>
      </c>
      <c r="I503" s="80">
        <f t="shared" si="54"/>
        <v>0</v>
      </c>
      <c r="J503" s="80">
        <f t="shared" si="55"/>
        <v>0</v>
      </c>
      <c r="K503" s="80">
        <f t="shared" si="56"/>
        <v>0</v>
      </c>
      <c r="L503" s="79"/>
    </row>
    <row r="504" spans="1:12">
      <c r="A504" s="81">
        <v>441</v>
      </c>
      <c r="B504" s="80">
        <f t="shared" si="49"/>
        <v>0</v>
      </c>
      <c r="C504" s="80">
        <f t="shared" si="50"/>
        <v>0</v>
      </c>
      <c r="D504" s="80">
        <f t="shared" si="51"/>
        <v>0</v>
      </c>
      <c r="E504" s="80">
        <f t="shared" si="52"/>
        <v>0</v>
      </c>
      <c r="F504" s="79"/>
      <c r="G504" s="81">
        <v>441</v>
      </c>
      <c r="H504" s="80">
        <f t="shared" si="53"/>
        <v>0</v>
      </c>
      <c r="I504" s="80">
        <f t="shared" si="54"/>
        <v>0</v>
      </c>
      <c r="J504" s="80">
        <f t="shared" si="55"/>
        <v>0</v>
      </c>
      <c r="K504" s="80">
        <f t="shared" si="56"/>
        <v>0</v>
      </c>
      <c r="L504" s="79"/>
    </row>
    <row r="505" spans="1:12">
      <c r="A505" s="81">
        <v>442</v>
      </c>
      <c r="B505" s="80">
        <f t="shared" si="49"/>
        <v>0</v>
      </c>
      <c r="C505" s="80">
        <f t="shared" si="50"/>
        <v>0</v>
      </c>
      <c r="D505" s="80">
        <f t="shared" si="51"/>
        <v>0</v>
      </c>
      <c r="E505" s="80">
        <f t="shared" si="52"/>
        <v>0</v>
      </c>
      <c r="F505" s="79"/>
      <c r="G505" s="81">
        <v>442</v>
      </c>
      <c r="H505" s="80">
        <f t="shared" si="53"/>
        <v>0</v>
      </c>
      <c r="I505" s="80">
        <f t="shared" si="54"/>
        <v>0</v>
      </c>
      <c r="J505" s="80">
        <f t="shared" si="55"/>
        <v>0</v>
      </c>
      <c r="K505" s="80">
        <f t="shared" si="56"/>
        <v>0</v>
      </c>
      <c r="L505" s="79"/>
    </row>
    <row r="506" spans="1:12">
      <c r="A506" s="81">
        <v>443</v>
      </c>
      <c r="B506" s="80">
        <f t="shared" si="49"/>
        <v>0</v>
      </c>
      <c r="C506" s="80">
        <f t="shared" si="50"/>
        <v>0</v>
      </c>
      <c r="D506" s="80">
        <f t="shared" si="51"/>
        <v>0</v>
      </c>
      <c r="E506" s="80">
        <f t="shared" si="52"/>
        <v>0</v>
      </c>
      <c r="F506" s="79"/>
      <c r="G506" s="81">
        <v>443</v>
      </c>
      <c r="H506" s="80">
        <f t="shared" si="53"/>
        <v>0</v>
      </c>
      <c r="I506" s="80">
        <f t="shared" si="54"/>
        <v>0</v>
      </c>
      <c r="J506" s="80">
        <f t="shared" si="55"/>
        <v>0</v>
      </c>
      <c r="K506" s="80">
        <f t="shared" si="56"/>
        <v>0</v>
      </c>
      <c r="L506" s="79"/>
    </row>
    <row r="507" spans="1:12">
      <c r="A507" s="81">
        <v>444</v>
      </c>
      <c r="B507" s="80">
        <f t="shared" si="49"/>
        <v>0</v>
      </c>
      <c r="C507" s="80">
        <f t="shared" si="50"/>
        <v>0</v>
      </c>
      <c r="D507" s="80">
        <f t="shared" si="51"/>
        <v>0</v>
      </c>
      <c r="E507" s="80">
        <f t="shared" si="52"/>
        <v>0</v>
      </c>
      <c r="F507" s="79">
        <v>37</v>
      </c>
      <c r="G507" s="81">
        <v>444</v>
      </c>
      <c r="H507" s="80">
        <f t="shared" si="53"/>
        <v>0</v>
      </c>
      <c r="I507" s="80">
        <f t="shared" si="54"/>
        <v>0</v>
      </c>
      <c r="J507" s="80">
        <f t="shared" si="55"/>
        <v>0</v>
      </c>
      <c r="K507" s="80">
        <f t="shared" si="56"/>
        <v>0</v>
      </c>
      <c r="L507" s="79">
        <v>37</v>
      </c>
    </row>
    <row r="508" spans="1:12">
      <c r="A508" s="81">
        <v>445</v>
      </c>
      <c r="B508" s="80">
        <f t="shared" si="49"/>
        <v>0</v>
      </c>
      <c r="C508" s="80">
        <f t="shared" si="50"/>
        <v>0</v>
      </c>
      <c r="D508" s="80">
        <f t="shared" si="51"/>
        <v>0</v>
      </c>
      <c r="E508" s="80">
        <f t="shared" si="52"/>
        <v>0</v>
      </c>
      <c r="F508" s="79"/>
      <c r="G508" s="81">
        <v>445</v>
      </c>
      <c r="H508" s="80">
        <f t="shared" si="53"/>
        <v>0</v>
      </c>
      <c r="I508" s="80">
        <f t="shared" si="54"/>
        <v>0</v>
      </c>
      <c r="J508" s="80">
        <f t="shared" si="55"/>
        <v>0</v>
      </c>
      <c r="K508" s="80">
        <f t="shared" si="56"/>
        <v>0</v>
      </c>
      <c r="L508" s="79"/>
    </row>
    <row r="509" spans="1:12">
      <c r="A509" s="81">
        <v>446</v>
      </c>
      <c r="B509" s="80">
        <f t="shared" si="49"/>
        <v>0</v>
      </c>
      <c r="C509" s="80">
        <f t="shared" si="50"/>
        <v>0</v>
      </c>
      <c r="D509" s="80">
        <f t="shared" si="51"/>
        <v>0</v>
      </c>
      <c r="E509" s="80">
        <f t="shared" si="52"/>
        <v>0</v>
      </c>
      <c r="F509" s="79"/>
      <c r="G509" s="81">
        <v>446</v>
      </c>
      <c r="H509" s="80">
        <f t="shared" si="53"/>
        <v>0</v>
      </c>
      <c r="I509" s="80">
        <f t="shared" si="54"/>
        <v>0</v>
      </c>
      <c r="J509" s="80">
        <f t="shared" si="55"/>
        <v>0</v>
      </c>
      <c r="K509" s="80">
        <f t="shared" si="56"/>
        <v>0</v>
      </c>
      <c r="L509" s="79"/>
    </row>
    <row r="510" spans="1:12">
      <c r="A510" s="81">
        <v>447</v>
      </c>
      <c r="B510" s="80">
        <f t="shared" si="49"/>
        <v>0</v>
      </c>
      <c r="C510" s="80">
        <f t="shared" si="50"/>
        <v>0</v>
      </c>
      <c r="D510" s="80">
        <f t="shared" si="51"/>
        <v>0</v>
      </c>
      <c r="E510" s="80">
        <f t="shared" si="52"/>
        <v>0</v>
      </c>
      <c r="F510" s="79"/>
      <c r="G510" s="81">
        <v>447</v>
      </c>
      <c r="H510" s="80">
        <f t="shared" si="53"/>
        <v>0</v>
      </c>
      <c r="I510" s="80">
        <f t="shared" si="54"/>
        <v>0</v>
      </c>
      <c r="J510" s="80">
        <f t="shared" si="55"/>
        <v>0</v>
      </c>
      <c r="K510" s="80">
        <f t="shared" si="56"/>
        <v>0</v>
      </c>
      <c r="L510" s="79"/>
    </row>
    <row r="511" spans="1:12">
      <c r="A511" s="81">
        <v>448</v>
      </c>
      <c r="B511" s="80">
        <f t="shared" si="49"/>
        <v>0</v>
      </c>
      <c r="C511" s="80">
        <f t="shared" si="50"/>
        <v>0</v>
      </c>
      <c r="D511" s="80">
        <f t="shared" si="51"/>
        <v>0</v>
      </c>
      <c r="E511" s="80">
        <f t="shared" si="52"/>
        <v>0</v>
      </c>
      <c r="F511" s="79"/>
      <c r="G511" s="81">
        <v>448</v>
      </c>
      <c r="H511" s="80">
        <f t="shared" si="53"/>
        <v>0</v>
      </c>
      <c r="I511" s="80">
        <f t="shared" si="54"/>
        <v>0</v>
      </c>
      <c r="J511" s="80">
        <f t="shared" si="55"/>
        <v>0</v>
      </c>
      <c r="K511" s="80">
        <f t="shared" si="56"/>
        <v>0</v>
      </c>
      <c r="L511" s="79"/>
    </row>
    <row r="512" spans="1:12">
      <c r="A512" s="81">
        <v>449</v>
      </c>
      <c r="B512" s="80">
        <f t="shared" ref="B512:B543" si="57">IF(A512&gt;12*$C$9,0,IF($C$5&gt;1500000,$D$12,$C$12))</f>
        <v>0</v>
      </c>
      <c r="C512" s="80">
        <f t="shared" ref="C512:C543" si="58">IF(A512&gt;12*$C$9,0,E511*$C$7/12)</f>
        <v>0</v>
      </c>
      <c r="D512" s="80">
        <f t="shared" ref="D512:D543" si="59">IF(A512&gt;12*$C$9,0,B512-C512)</f>
        <v>0</v>
      </c>
      <c r="E512" s="80">
        <f t="shared" ref="E512:E543" si="60">IF(A512&gt;12*$C$9,0,E511-D512)</f>
        <v>0</v>
      </c>
      <c r="F512" s="79"/>
      <c r="G512" s="81">
        <v>449</v>
      </c>
      <c r="H512" s="80">
        <f t="shared" ref="H512:H543" si="61">IF(G512&gt;12*$C$9,0,IF($C$5&gt;1500000,$E$12,0))</f>
        <v>0</v>
      </c>
      <c r="I512" s="80">
        <f t="shared" ref="I512:I543" si="62">IF(G512&gt;12*$C$9,0,K511*$C$7/12)</f>
        <v>0</v>
      </c>
      <c r="J512" s="80">
        <f t="shared" ref="J512:J543" si="63">IF(G512&gt;12*$C$9,0,H512-I512)</f>
        <v>0</v>
      </c>
      <c r="K512" s="80">
        <f t="shared" ref="K512:K543" si="64">IF(G512&gt;12*$C$9,0,K511-J512)</f>
        <v>0</v>
      </c>
      <c r="L512" s="79"/>
    </row>
    <row r="513" spans="1:12">
      <c r="A513" s="81">
        <v>450</v>
      </c>
      <c r="B513" s="80">
        <f t="shared" si="57"/>
        <v>0</v>
      </c>
      <c r="C513" s="80">
        <f t="shared" si="58"/>
        <v>0</v>
      </c>
      <c r="D513" s="80">
        <f t="shared" si="59"/>
        <v>0</v>
      </c>
      <c r="E513" s="80">
        <f t="shared" si="60"/>
        <v>0</v>
      </c>
      <c r="F513" s="79"/>
      <c r="G513" s="81">
        <v>450</v>
      </c>
      <c r="H513" s="80">
        <f t="shared" si="61"/>
        <v>0</v>
      </c>
      <c r="I513" s="80">
        <f t="shared" si="62"/>
        <v>0</v>
      </c>
      <c r="J513" s="80">
        <f t="shared" si="63"/>
        <v>0</v>
      </c>
      <c r="K513" s="80">
        <f t="shared" si="64"/>
        <v>0</v>
      </c>
      <c r="L513" s="79"/>
    </row>
    <row r="514" spans="1:12">
      <c r="A514" s="81">
        <v>451</v>
      </c>
      <c r="B514" s="80">
        <f t="shared" si="57"/>
        <v>0</v>
      </c>
      <c r="C514" s="80">
        <f t="shared" si="58"/>
        <v>0</v>
      </c>
      <c r="D514" s="80">
        <f t="shared" si="59"/>
        <v>0</v>
      </c>
      <c r="E514" s="80">
        <f t="shared" si="60"/>
        <v>0</v>
      </c>
      <c r="F514" s="79"/>
      <c r="G514" s="81">
        <v>451</v>
      </c>
      <c r="H514" s="80">
        <f t="shared" si="61"/>
        <v>0</v>
      </c>
      <c r="I514" s="80">
        <f t="shared" si="62"/>
        <v>0</v>
      </c>
      <c r="J514" s="80">
        <f t="shared" si="63"/>
        <v>0</v>
      </c>
      <c r="K514" s="80">
        <f t="shared" si="64"/>
        <v>0</v>
      </c>
      <c r="L514" s="79"/>
    </row>
    <row r="515" spans="1:12">
      <c r="A515" s="81">
        <v>452</v>
      </c>
      <c r="B515" s="80">
        <f t="shared" si="57"/>
        <v>0</v>
      </c>
      <c r="C515" s="80">
        <f t="shared" si="58"/>
        <v>0</v>
      </c>
      <c r="D515" s="80">
        <f t="shared" si="59"/>
        <v>0</v>
      </c>
      <c r="E515" s="80">
        <f t="shared" si="60"/>
        <v>0</v>
      </c>
      <c r="F515" s="79"/>
      <c r="G515" s="81">
        <v>452</v>
      </c>
      <c r="H515" s="80">
        <f t="shared" si="61"/>
        <v>0</v>
      </c>
      <c r="I515" s="80">
        <f t="shared" si="62"/>
        <v>0</v>
      </c>
      <c r="J515" s="80">
        <f t="shared" si="63"/>
        <v>0</v>
      </c>
      <c r="K515" s="80">
        <f t="shared" si="64"/>
        <v>0</v>
      </c>
      <c r="L515" s="79"/>
    </row>
    <row r="516" spans="1:12">
      <c r="A516" s="81">
        <v>453</v>
      </c>
      <c r="B516" s="80">
        <f t="shared" si="57"/>
        <v>0</v>
      </c>
      <c r="C516" s="80">
        <f t="shared" si="58"/>
        <v>0</v>
      </c>
      <c r="D516" s="80">
        <f t="shared" si="59"/>
        <v>0</v>
      </c>
      <c r="E516" s="80">
        <f t="shared" si="60"/>
        <v>0</v>
      </c>
      <c r="F516" s="79"/>
      <c r="G516" s="81">
        <v>453</v>
      </c>
      <c r="H516" s="80">
        <f t="shared" si="61"/>
        <v>0</v>
      </c>
      <c r="I516" s="80">
        <f t="shared" si="62"/>
        <v>0</v>
      </c>
      <c r="J516" s="80">
        <f t="shared" si="63"/>
        <v>0</v>
      </c>
      <c r="K516" s="80">
        <f t="shared" si="64"/>
        <v>0</v>
      </c>
      <c r="L516" s="79"/>
    </row>
    <row r="517" spans="1:12">
      <c r="A517" s="81">
        <v>454</v>
      </c>
      <c r="B517" s="80">
        <f t="shared" si="57"/>
        <v>0</v>
      </c>
      <c r="C517" s="80">
        <f t="shared" si="58"/>
        <v>0</v>
      </c>
      <c r="D517" s="80">
        <f t="shared" si="59"/>
        <v>0</v>
      </c>
      <c r="E517" s="80">
        <f t="shared" si="60"/>
        <v>0</v>
      </c>
      <c r="F517" s="79"/>
      <c r="G517" s="81">
        <v>454</v>
      </c>
      <c r="H517" s="80">
        <f t="shared" si="61"/>
        <v>0</v>
      </c>
      <c r="I517" s="80">
        <f t="shared" si="62"/>
        <v>0</v>
      </c>
      <c r="J517" s="80">
        <f t="shared" si="63"/>
        <v>0</v>
      </c>
      <c r="K517" s="80">
        <f t="shared" si="64"/>
        <v>0</v>
      </c>
      <c r="L517" s="79"/>
    </row>
    <row r="518" spans="1:12">
      <c r="A518" s="81">
        <v>455</v>
      </c>
      <c r="B518" s="80">
        <f t="shared" si="57"/>
        <v>0</v>
      </c>
      <c r="C518" s="80">
        <f t="shared" si="58"/>
        <v>0</v>
      </c>
      <c r="D518" s="80">
        <f t="shared" si="59"/>
        <v>0</v>
      </c>
      <c r="E518" s="80">
        <f t="shared" si="60"/>
        <v>0</v>
      </c>
      <c r="F518" s="79"/>
      <c r="G518" s="81">
        <v>455</v>
      </c>
      <c r="H518" s="80">
        <f t="shared" si="61"/>
        <v>0</v>
      </c>
      <c r="I518" s="80">
        <f t="shared" si="62"/>
        <v>0</v>
      </c>
      <c r="J518" s="80">
        <f t="shared" si="63"/>
        <v>0</v>
      </c>
      <c r="K518" s="80">
        <f t="shared" si="64"/>
        <v>0</v>
      </c>
      <c r="L518" s="79"/>
    </row>
    <row r="519" spans="1:12">
      <c r="A519" s="81">
        <v>456</v>
      </c>
      <c r="B519" s="80">
        <f t="shared" si="57"/>
        <v>0</v>
      </c>
      <c r="C519" s="80">
        <f t="shared" si="58"/>
        <v>0</v>
      </c>
      <c r="D519" s="80">
        <f t="shared" si="59"/>
        <v>0</v>
      </c>
      <c r="E519" s="80">
        <f t="shared" si="60"/>
        <v>0</v>
      </c>
      <c r="F519" s="81">
        <v>38</v>
      </c>
      <c r="G519" s="81">
        <v>456</v>
      </c>
      <c r="H519" s="80">
        <f t="shared" si="61"/>
        <v>0</v>
      </c>
      <c r="I519" s="80">
        <f t="shared" si="62"/>
        <v>0</v>
      </c>
      <c r="J519" s="80">
        <f t="shared" si="63"/>
        <v>0</v>
      </c>
      <c r="K519" s="80">
        <f t="shared" si="64"/>
        <v>0</v>
      </c>
      <c r="L519" s="81">
        <v>38</v>
      </c>
    </row>
    <row r="520" spans="1:12">
      <c r="A520" s="81">
        <v>457</v>
      </c>
      <c r="B520" s="80">
        <f t="shared" si="57"/>
        <v>0</v>
      </c>
      <c r="C520" s="80">
        <f t="shared" si="58"/>
        <v>0</v>
      </c>
      <c r="D520" s="80">
        <f t="shared" si="59"/>
        <v>0</v>
      </c>
      <c r="E520" s="80">
        <f t="shared" si="60"/>
        <v>0</v>
      </c>
      <c r="F520" s="79"/>
      <c r="G520" s="81">
        <v>457</v>
      </c>
      <c r="H520" s="80">
        <f t="shared" si="61"/>
        <v>0</v>
      </c>
      <c r="I520" s="80">
        <f t="shared" si="62"/>
        <v>0</v>
      </c>
      <c r="J520" s="80">
        <f t="shared" si="63"/>
        <v>0</v>
      </c>
      <c r="K520" s="80">
        <f t="shared" si="64"/>
        <v>0</v>
      </c>
      <c r="L520" s="79"/>
    </row>
    <row r="521" spans="1:12" s="59" customFormat="1">
      <c r="A521" s="81">
        <v>458</v>
      </c>
      <c r="B521" s="80">
        <f t="shared" si="57"/>
        <v>0</v>
      </c>
      <c r="C521" s="80">
        <f t="shared" si="58"/>
        <v>0</v>
      </c>
      <c r="D521" s="80">
        <f t="shared" si="59"/>
        <v>0</v>
      </c>
      <c r="E521" s="80">
        <f t="shared" si="60"/>
        <v>0</v>
      </c>
      <c r="F521" s="79"/>
      <c r="G521" s="81">
        <v>458</v>
      </c>
      <c r="H521" s="80">
        <f t="shared" si="61"/>
        <v>0</v>
      </c>
      <c r="I521" s="80">
        <f t="shared" si="62"/>
        <v>0</v>
      </c>
      <c r="J521" s="80">
        <f t="shared" si="63"/>
        <v>0</v>
      </c>
      <c r="K521" s="80">
        <f t="shared" si="64"/>
        <v>0</v>
      </c>
      <c r="L521" s="79"/>
    </row>
    <row r="522" spans="1:12">
      <c r="A522" s="81">
        <v>459</v>
      </c>
      <c r="B522" s="80">
        <f t="shared" si="57"/>
        <v>0</v>
      </c>
      <c r="C522" s="80">
        <f t="shared" si="58"/>
        <v>0</v>
      </c>
      <c r="D522" s="80">
        <f t="shared" si="59"/>
        <v>0</v>
      </c>
      <c r="E522" s="80">
        <f t="shared" si="60"/>
        <v>0</v>
      </c>
      <c r="F522" s="79"/>
      <c r="G522" s="81">
        <v>459</v>
      </c>
      <c r="H522" s="80">
        <f t="shared" si="61"/>
        <v>0</v>
      </c>
      <c r="I522" s="80">
        <f t="shared" si="62"/>
        <v>0</v>
      </c>
      <c r="J522" s="80">
        <f t="shared" si="63"/>
        <v>0</v>
      </c>
      <c r="K522" s="80">
        <f t="shared" si="64"/>
        <v>0</v>
      </c>
      <c r="L522" s="79"/>
    </row>
    <row r="523" spans="1:12">
      <c r="A523" s="81">
        <v>460</v>
      </c>
      <c r="B523" s="80">
        <f t="shared" si="57"/>
        <v>0</v>
      </c>
      <c r="C523" s="80">
        <f t="shared" si="58"/>
        <v>0</v>
      </c>
      <c r="D523" s="80">
        <f t="shared" si="59"/>
        <v>0</v>
      </c>
      <c r="E523" s="80">
        <f t="shared" si="60"/>
        <v>0</v>
      </c>
      <c r="F523" s="79"/>
      <c r="G523" s="81">
        <v>460</v>
      </c>
      <c r="H523" s="80">
        <f t="shared" si="61"/>
        <v>0</v>
      </c>
      <c r="I523" s="80">
        <f t="shared" si="62"/>
        <v>0</v>
      </c>
      <c r="J523" s="80">
        <f t="shared" si="63"/>
        <v>0</v>
      </c>
      <c r="K523" s="80">
        <f t="shared" si="64"/>
        <v>0</v>
      </c>
      <c r="L523" s="79"/>
    </row>
    <row r="524" spans="1:12">
      <c r="A524" s="81">
        <v>461</v>
      </c>
      <c r="B524" s="80">
        <f t="shared" si="57"/>
        <v>0</v>
      </c>
      <c r="C524" s="80">
        <f t="shared" si="58"/>
        <v>0</v>
      </c>
      <c r="D524" s="80">
        <f t="shared" si="59"/>
        <v>0</v>
      </c>
      <c r="E524" s="80">
        <f t="shared" si="60"/>
        <v>0</v>
      </c>
      <c r="F524" s="79"/>
      <c r="G524" s="81">
        <v>461</v>
      </c>
      <c r="H524" s="80">
        <f t="shared" si="61"/>
        <v>0</v>
      </c>
      <c r="I524" s="80">
        <f t="shared" si="62"/>
        <v>0</v>
      </c>
      <c r="J524" s="80">
        <f t="shared" si="63"/>
        <v>0</v>
      </c>
      <c r="K524" s="80">
        <f t="shared" si="64"/>
        <v>0</v>
      </c>
      <c r="L524" s="79"/>
    </row>
    <row r="525" spans="1:12">
      <c r="A525" s="81">
        <v>462</v>
      </c>
      <c r="B525" s="80">
        <f t="shared" si="57"/>
        <v>0</v>
      </c>
      <c r="C525" s="80">
        <f t="shared" si="58"/>
        <v>0</v>
      </c>
      <c r="D525" s="80">
        <f t="shared" si="59"/>
        <v>0</v>
      </c>
      <c r="E525" s="80">
        <f t="shared" si="60"/>
        <v>0</v>
      </c>
      <c r="F525" s="79"/>
      <c r="G525" s="81">
        <v>462</v>
      </c>
      <c r="H525" s="80">
        <f t="shared" si="61"/>
        <v>0</v>
      </c>
      <c r="I525" s="80">
        <f t="shared" si="62"/>
        <v>0</v>
      </c>
      <c r="J525" s="80">
        <f t="shared" si="63"/>
        <v>0</v>
      </c>
      <c r="K525" s="80">
        <f t="shared" si="64"/>
        <v>0</v>
      </c>
      <c r="L525" s="79"/>
    </row>
    <row r="526" spans="1:12">
      <c r="A526" s="81">
        <v>463</v>
      </c>
      <c r="B526" s="80">
        <f t="shared" si="57"/>
        <v>0</v>
      </c>
      <c r="C526" s="80">
        <f t="shared" si="58"/>
        <v>0</v>
      </c>
      <c r="D526" s="80">
        <f t="shared" si="59"/>
        <v>0</v>
      </c>
      <c r="E526" s="80">
        <f t="shared" si="60"/>
        <v>0</v>
      </c>
      <c r="F526" s="79"/>
      <c r="G526" s="81">
        <v>463</v>
      </c>
      <c r="H526" s="80">
        <f t="shared" si="61"/>
        <v>0</v>
      </c>
      <c r="I526" s="80">
        <f t="shared" si="62"/>
        <v>0</v>
      </c>
      <c r="J526" s="80">
        <f t="shared" si="63"/>
        <v>0</v>
      </c>
      <c r="K526" s="80">
        <f t="shared" si="64"/>
        <v>0</v>
      </c>
      <c r="L526" s="79"/>
    </row>
    <row r="527" spans="1:12">
      <c r="A527" s="81">
        <v>464</v>
      </c>
      <c r="B527" s="80">
        <f t="shared" si="57"/>
        <v>0</v>
      </c>
      <c r="C527" s="80">
        <f t="shared" si="58"/>
        <v>0</v>
      </c>
      <c r="D527" s="80">
        <f t="shared" si="59"/>
        <v>0</v>
      </c>
      <c r="E527" s="80">
        <f t="shared" si="60"/>
        <v>0</v>
      </c>
      <c r="F527" s="79"/>
      <c r="G527" s="81">
        <v>464</v>
      </c>
      <c r="H527" s="80">
        <f t="shared" si="61"/>
        <v>0</v>
      </c>
      <c r="I527" s="80">
        <f t="shared" si="62"/>
        <v>0</v>
      </c>
      <c r="J527" s="80">
        <f t="shared" si="63"/>
        <v>0</v>
      </c>
      <c r="K527" s="80">
        <f t="shared" si="64"/>
        <v>0</v>
      </c>
      <c r="L527" s="79"/>
    </row>
    <row r="528" spans="1:12">
      <c r="A528" s="81">
        <v>465</v>
      </c>
      <c r="B528" s="80">
        <f t="shared" si="57"/>
        <v>0</v>
      </c>
      <c r="C528" s="80">
        <f t="shared" si="58"/>
        <v>0</v>
      </c>
      <c r="D528" s="80">
        <f t="shared" si="59"/>
        <v>0</v>
      </c>
      <c r="E528" s="80">
        <f t="shared" si="60"/>
        <v>0</v>
      </c>
      <c r="F528" s="79"/>
      <c r="G528" s="81">
        <v>465</v>
      </c>
      <c r="H528" s="80">
        <f t="shared" si="61"/>
        <v>0</v>
      </c>
      <c r="I528" s="80">
        <f t="shared" si="62"/>
        <v>0</v>
      </c>
      <c r="J528" s="80">
        <f t="shared" si="63"/>
        <v>0</v>
      </c>
      <c r="K528" s="80">
        <f t="shared" si="64"/>
        <v>0</v>
      </c>
      <c r="L528" s="79"/>
    </row>
    <row r="529" spans="1:12">
      <c r="A529" s="81">
        <v>466</v>
      </c>
      <c r="B529" s="80">
        <f t="shared" si="57"/>
        <v>0</v>
      </c>
      <c r="C529" s="80">
        <f t="shared" si="58"/>
        <v>0</v>
      </c>
      <c r="D529" s="80">
        <f t="shared" si="59"/>
        <v>0</v>
      </c>
      <c r="E529" s="80">
        <f t="shared" si="60"/>
        <v>0</v>
      </c>
      <c r="F529" s="79"/>
      <c r="G529" s="81">
        <v>466</v>
      </c>
      <c r="H529" s="80">
        <f t="shared" si="61"/>
        <v>0</v>
      </c>
      <c r="I529" s="80">
        <f t="shared" si="62"/>
        <v>0</v>
      </c>
      <c r="J529" s="80">
        <f t="shared" si="63"/>
        <v>0</v>
      </c>
      <c r="K529" s="80">
        <f t="shared" si="64"/>
        <v>0</v>
      </c>
      <c r="L529" s="79"/>
    </row>
    <row r="530" spans="1:12">
      <c r="A530" s="81">
        <v>467</v>
      </c>
      <c r="B530" s="80">
        <f t="shared" si="57"/>
        <v>0</v>
      </c>
      <c r="C530" s="80">
        <f t="shared" si="58"/>
        <v>0</v>
      </c>
      <c r="D530" s="80">
        <f t="shared" si="59"/>
        <v>0</v>
      </c>
      <c r="E530" s="80">
        <f t="shared" si="60"/>
        <v>0</v>
      </c>
      <c r="F530" s="79"/>
      <c r="G530" s="81">
        <v>467</v>
      </c>
      <c r="H530" s="80">
        <f t="shared" si="61"/>
        <v>0</v>
      </c>
      <c r="I530" s="80">
        <f t="shared" si="62"/>
        <v>0</v>
      </c>
      <c r="J530" s="80">
        <f t="shared" si="63"/>
        <v>0</v>
      </c>
      <c r="K530" s="80">
        <f t="shared" si="64"/>
        <v>0</v>
      </c>
      <c r="L530" s="79"/>
    </row>
    <row r="531" spans="1:12">
      <c r="A531" s="81">
        <v>468</v>
      </c>
      <c r="B531" s="80">
        <f t="shared" si="57"/>
        <v>0</v>
      </c>
      <c r="C531" s="80">
        <f t="shared" si="58"/>
        <v>0</v>
      </c>
      <c r="D531" s="80">
        <f t="shared" si="59"/>
        <v>0</v>
      </c>
      <c r="E531" s="80">
        <f t="shared" si="60"/>
        <v>0</v>
      </c>
      <c r="F531" s="79">
        <v>39</v>
      </c>
      <c r="G531" s="81">
        <v>468</v>
      </c>
      <c r="H531" s="80">
        <f t="shared" si="61"/>
        <v>0</v>
      </c>
      <c r="I531" s="80">
        <f t="shared" si="62"/>
        <v>0</v>
      </c>
      <c r="J531" s="80">
        <f t="shared" si="63"/>
        <v>0</v>
      </c>
      <c r="K531" s="80">
        <f t="shared" si="64"/>
        <v>0</v>
      </c>
      <c r="L531" s="79">
        <v>39</v>
      </c>
    </row>
    <row r="532" spans="1:12">
      <c r="A532" s="81">
        <v>469</v>
      </c>
      <c r="B532" s="80">
        <f t="shared" si="57"/>
        <v>0</v>
      </c>
      <c r="C532" s="80">
        <f t="shared" si="58"/>
        <v>0</v>
      </c>
      <c r="D532" s="80">
        <f t="shared" si="59"/>
        <v>0</v>
      </c>
      <c r="E532" s="80">
        <f t="shared" si="60"/>
        <v>0</v>
      </c>
      <c r="F532" s="79"/>
      <c r="G532" s="81">
        <v>469</v>
      </c>
      <c r="H532" s="80">
        <f t="shared" si="61"/>
        <v>0</v>
      </c>
      <c r="I532" s="80">
        <f t="shared" si="62"/>
        <v>0</v>
      </c>
      <c r="J532" s="80">
        <f t="shared" si="63"/>
        <v>0</v>
      </c>
      <c r="K532" s="80">
        <f t="shared" si="64"/>
        <v>0</v>
      </c>
      <c r="L532" s="79"/>
    </row>
    <row r="533" spans="1:12">
      <c r="A533" s="81">
        <v>470</v>
      </c>
      <c r="B533" s="80">
        <f t="shared" si="57"/>
        <v>0</v>
      </c>
      <c r="C533" s="80">
        <f t="shared" si="58"/>
        <v>0</v>
      </c>
      <c r="D533" s="80">
        <f t="shared" si="59"/>
        <v>0</v>
      </c>
      <c r="E533" s="80">
        <f t="shared" si="60"/>
        <v>0</v>
      </c>
      <c r="F533" s="79"/>
      <c r="G533" s="81">
        <v>470</v>
      </c>
      <c r="H533" s="80">
        <f t="shared" si="61"/>
        <v>0</v>
      </c>
      <c r="I533" s="80">
        <f t="shared" si="62"/>
        <v>0</v>
      </c>
      <c r="J533" s="80">
        <f t="shared" si="63"/>
        <v>0</v>
      </c>
      <c r="K533" s="80">
        <f t="shared" si="64"/>
        <v>0</v>
      </c>
      <c r="L533" s="79"/>
    </row>
    <row r="534" spans="1:12">
      <c r="A534" s="81">
        <v>471</v>
      </c>
      <c r="B534" s="80">
        <f t="shared" si="57"/>
        <v>0</v>
      </c>
      <c r="C534" s="80">
        <f t="shared" si="58"/>
        <v>0</v>
      </c>
      <c r="D534" s="80">
        <f t="shared" si="59"/>
        <v>0</v>
      </c>
      <c r="E534" s="80">
        <f t="shared" si="60"/>
        <v>0</v>
      </c>
      <c r="F534" s="79"/>
      <c r="G534" s="81">
        <v>471</v>
      </c>
      <c r="H534" s="80">
        <f t="shared" si="61"/>
        <v>0</v>
      </c>
      <c r="I534" s="80">
        <f t="shared" si="62"/>
        <v>0</v>
      </c>
      <c r="J534" s="80">
        <f t="shared" si="63"/>
        <v>0</v>
      </c>
      <c r="K534" s="80">
        <f t="shared" si="64"/>
        <v>0</v>
      </c>
      <c r="L534" s="79"/>
    </row>
    <row r="535" spans="1:12">
      <c r="A535" s="81">
        <v>472</v>
      </c>
      <c r="B535" s="80">
        <f t="shared" si="57"/>
        <v>0</v>
      </c>
      <c r="C535" s="80">
        <f t="shared" si="58"/>
        <v>0</v>
      </c>
      <c r="D535" s="80">
        <f t="shared" si="59"/>
        <v>0</v>
      </c>
      <c r="E535" s="80">
        <f t="shared" si="60"/>
        <v>0</v>
      </c>
      <c r="F535" s="79"/>
      <c r="G535" s="81">
        <v>472</v>
      </c>
      <c r="H535" s="80">
        <f t="shared" si="61"/>
        <v>0</v>
      </c>
      <c r="I535" s="80">
        <f t="shared" si="62"/>
        <v>0</v>
      </c>
      <c r="J535" s="80">
        <f t="shared" si="63"/>
        <v>0</v>
      </c>
      <c r="K535" s="80">
        <f t="shared" si="64"/>
        <v>0</v>
      </c>
      <c r="L535" s="79"/>
    </row>
    <row r="536" spans="1:12">
      <c r="A536" s="81">
        <v>473</v>
      </c>
      <c r="B536" s="80">
        <f t="shared" si="57"/>
        <v>0</v>
      </c>
      <c r="C536" s="80">
        <f t="shared" si="58"/>
        <v>0</v>
      </c>
      <c r="D536" s="80">
        <f t="shared" si="59"/>
        <v>0</v>
      </c>
      <c r="E536" s="80">
        <f t="shared" si="60"/>
        <v>0</v>
      </c>
      <c r="F536" s="79"/>
      <c r="G536" s="81">
        <v>473</v>
      </c>
      <c r="H536" s="80">
        <f t="shared" si="61"/>
        <v>0</v>
      </c>
      <c r="I536" s="80">
        <f t="shared" si="62"/>
        <v>0</v>
      </c>
      <c r="J536" s="80">
        <f t="shared" si="63"/>
        <v>0</v>
      </c>
      <c r="K536" s="80">
        <f t="shared" si="64"/>
        <v>0</v>
      </c>
      <c r="L536" s="79"/>
    </row>
    <row r="537" spans="1:12">
      <c r="A537" s="81">
        <v>474</v>
      </c>
      <c r="B537" s="80">
        <f t="shared" si="57"/>
        <v>0</v>
      </c>
      <c r="C537" s="80">
        <f t="shared" si="58"/>
        <v>0</v>
      </c>
      <c r="D537" s="80">
        <f t="shared" si="59"/>
        <v>0</v>
      </c>
      <c r="E537" s="80">
        <f t="shared" si="60"/>
        <v>0</v>
      </c>
      <c r="F537" s="79"/>
      <c r="G537" s="81">
        <v>474</v>
      </c>
      <c r="H537" s="80">
        <f t="shared" si="61"/>
        <v>0</v>
      </c>
      <c r="I537" s="80">
        <f t="shared" si="62"/>
        <v>0</v>
      </c>
      <c r="J537" s="80">
        <f t="shared" si="63"/>
        <v>0</v>
      </c>
      <c r="K537" s="80">
        <f t="shared" si="64"/>
        <v>0</v>
      </c>
      <c r="L537" s="79"/>
    </row>
    <row r="538" spans="1:12">
      <c r="A538" s="81">
        <v>475</v>
      </c>
      <c r="B538" s="80">
        <f t="shared" si="57"/>
        <v>0</v>
      </c>
      <c r="C538" s="80">
        <f t="shared" si="58"/>
        <v>0</v>
      </c>
      <c r="D538" s="80">
        <f t="shared" si="59"/>
        <v>0</v>
      </c>
      <c r="E538" s="80">
        <f t="shared" si="60"/>
        <v>0</v>
      </c>
      <c r="F538" s="79"/>
      <c r="G538" s="81">
        <v>475</v>
      </c>
      <c r="H538" s="80">
        <f t="shared" si="61"/>
        <v>0</v>
      </c>
      <c r="I538" s="80">
        <f t="shared" si="62"/>
        <v>0</v>
      </c>
      <c r="J538" s="80">
        <f t="shared" si="63"/>
        <v>0</v>
      </c>
      <c r="K538" s="80">
        <f t="shared" si="64"/>
        <v>0</v>
      </c>
      <c r="L538" s="79"/>
    </row>
    <row r="539" spans="1:12">
      <c r="A539" s="81">
        <v>476</v>
      </c>
      <c r="B539" s="80">
        <f t="shared" si="57"/>
        <v>0</v>
      </c>
      <c r="C539" s="80">
        <f t="shared" si="58"/>
        <v>0</v>
      </c>
      <c r="D539" s="80">
        <f t="shared" si="59"/>
        <v>0</v>
      </c>
      <c r="E539" s="80">
        <f t="shared" si="60"/>
        <v>0</v>
      </c>
      <c r="F539" s="79"/>
      <c r="G539" s="81">
        <v>476</v>
      </c>
      <c r="H539" s="80">
        <f t="shared" si="61"/>
        <v>0</v>
      </c>
      <c r="I539" s="80">
        <f t="shared" si="62"/>
        <v>0</v>
      </c>
      <c r="J539" s="80">
        <f t="shared" si="63"/>
        <v>0</v>
      </c>
      <c r="K539" s="80">
        <f t="shared" si="64"/>
        <v>0</v>
      </c>
      <c r="L539" s="79"/>
    </row>
    <row r="540" spans="1:12">
      <c r="A540" s="81">
        <v>477</v>
      </c>
      <c r="B540" s="80">
        <f t="shared" si="57"/>
        <v>0</v>
      </c>
      <c r="C540" s="80">
        <f t="shared" si="58"/>
        <v>0</v>
      </c>
      <c r="D540" s="80">
        <f t="shared" si="59"/>
        <v>0</v>
      </c>
      <c r="E540" s="80">
        <f t="shared" si="60"/>
        <v>0</v>
      </c>
      <c r="F540" s="79"/>
      <c r="G540" s="81">
        <v>477</v>
      </c>
      <c r="H540" s="80">
        <f t="shared" si="61"/>
        <v>0</v>
      </c>
      <c r="I540" s="80">
        <f t="shared" si="62"/>
        <v>0</v>
      </c>
      <c r="J540" s="80">
        <f t="shared" si="63"/>
        <v>0</v>
      </c>
      <c r="K540" s="80">
        <f t="shared" si="64"/>
        <v>0</v>
      </c>
      <c r="L540" s="79"/>
    </row>
    <row r="541" spans="1:12">
      <c r="A541" s="81">
        <v>478</v>
      </c>
      <c r="B541" s="80">
        <f t="shared" si="57"/>
        <v>0</v>
      </c>
      <c r="C541" s="80">
        <f t="shared" si="58"/>
        <v>0</v>
      </c>
      <c r="D541" s="80">
        <f t="shared" si="59"/>
        <v>0</v>
      </c>
      <c r="E541" s="80">
        <f t="shared" si="60"/>
        <v>0</v>
      </c>
      <c r="F541" s="79"/>
      <c r="G541" s="81">
        <v>478</v>
      </c>
      <c r="H541" s="80">
        <f t="shared" si="61"/>
        <v>0</v>
      </c>
      <c r="I541" s="80">
        <f t="shared" si="62"/>
        <v>0</v>
      </c>
      <c r="J541" s="80">
        <f t="shared" si="63"/>
        <v>0</v>
      </c>
      <c r="K541" s="80">
        <f t="shared" si="64"/>
        <v>0</v>
      </c>
      <c r="L541" s="79"/>
    </row>
    <row r="542" spans="1:12">
      <c r="A542" s="81">
        <v>479</v>
      </c>
      <c r="B542" s="80">
        <f t="shared" si="57"/>
        <v>0</v>
      </c>
      <c r="C542" s="80">
        <f t="shared" si="58"/>
        <v>0</v>
      </c>
      <c r="D542" s="80">
        <f t="shared" si="59"/>
        <v>0</v>
      </c>
      <c r="E542" s="80">
        <f t="shared" si="60"/>
        <v>0</v>
      </c>
      <c r="F542" s="79"/>
      <c r="G542" s="81">
        <v>479</v>
      </c>
      <c r="H542" s="80">
        <f t="shared" si="61"/>
        <v>0</v>
      </c>
      <c r="I542" s="80">
        <f t="shared" si="62"/>
        <v>0</v>
      </c>
      <c r="J542" s="80">
        <f t="shared" si="63"/>
        <v>0</v>
      </c>
      <c r="K542" s="80">
        <f t="shared" si="64"/>
        <v>0</v>
      </c>
      <c r="L542" s="79"/>
    </row>
    <row r="543" spans="1:12">
      <c r="A543" s="81">
        <v>480</v>
      </c>
      <c r="B543" s="80">
        <f t="shared" si="57"/>
        <v>0</v>
      </c>
      <c r="C543" s="80">
        <f t="shared" si="58"/>
        <v>0</v>
      </c>
      <c r="D543" s="80">
        <f t="shared" si="59"/>
        <v>0</v>
      </c>
      <c r="E543" s="80">
        <f t="shared" si="60"/>
        <v>0</v>
      </c>
      <c r="F543" s="79">
        <v>40</v>
      </c>
      <c r="G543" s="81">
        <v>480</v>
      </c>
      <c r="H543" s="80">
        <f t="shared" si="61"/>
        <v>0</v>
      </c>
      <c r="I543" s="80">
        <f t="shared" si="62"/>
        <v>0</v>
      </c>
      <c r="J543" s="80">
        <f t="shared" si="63"/>
        <v>0</v>
      </c>
      <c r="K543" s="80">
        <f t="shared" si="64"/>
        <v>0</v>
      </c>
      <c r="L543" s="79">
        <v>40</v>
      </c>
    </row>
    <row r="544" spans="1:12">
      <c r="A544" s="59"/>
      <c r="G544" s="74"/>
      <c r="H544" s="74"/>
      <c r="I544" s="74"/>
      <c r="J544" s="74"/>
      <c r="K544" s="74"/>
    </row>
    <row r="545" spans="1:11">
      <c r="A545" s="59"/>
      <c r="G545" s="74"/>
      <c r="H545" s="74"/>
      <c r="I545" s="74"/>
      <c r="J545" s="74"/>
      <c r="K545" s="74"/>
    </row>
    <row r="546" spans="1:11">
      <c r="A546" s="59"/>
      <c r="G546" s="74"/>
      <c r="H546" s="74"/>
      <c r="I546" s="74"/>
      <c r="J546" s="74"/>
      <c r="K546" s="74"/>
    </row>
    <row r="547" spans="1:11">
      <c r="A547" s="59"/>
      <c r="G547" s="74"/>
      <c r="H547" s="74"/>
      <c r="I547" s="74"/>
      <c r="J547" s="74"/>
      <c r="K547" s="74"/>
    </row>
    <row r="548" spans="1:11">
      <c r="A548" s="59"/>
      <c r="G548" s="74"/>
      <c r="H548" s="74"/>
      <c r="I548" s="74"/>
      <c r="J548" s="74"/>
      <c r="K548" s="74"/>
    </row>
    <row r="549" spans="1:11">
      <c r="A549" s="59"/>
      <c r="G549" s="74"/>
      <c r="H549" s="74"/>
      <c r="I549" s="74"/>
      <c r="J549" s="74"/>
      <c r="K549" s="74"/>
    </row>
    <row r="550" spans="1:11">
      <c r="A550" s="59"/>
      <c r="G550" s="74"/>
      <c r="H550" s="74"/>
      <c r="I550" s="74"/>
      <c r="J550" s="74"/>
      <c r="K550" s="74"/>
    </row>
    <row r="551" spans="1:11">
      <c r="G551" s="74"/>
      <c r="H551" s="74"/>
      <c r="I551" s="74"/>
      <c r="J551" s="74"/>
      <c r="K551" s="74"/>
    </row>
    <row r="552" spans="1:11">
      <c r="G552" s="74"/>
      <c r="H552" s="74"/>
      <c r="I552" s="74"/>
      <c r="J552" s="74"/>
      <c r="K552" s="74"/>
    </row>
    <row r="553" spans="1:11">
      <c r="G553" s="74"/>
      <c r="H553" s="74"/>
      <c r="I553" s="74"/>
      <c r="J553" s="74"/>
      <c r="K553" s="74"/>
    </row>
    <row r="554" spans="1:11">
      <c r="G554" s="74"/>
      <c r="H554" s="74"/>
      <c r="I554" s="74"/>
      <c r="J554" s="74"/>
      <c r="K554" s="74"/>
    </row>
    <row r="555" spans="1:11">
      <c r="G555" s="74"/>
      <c r="H555" s="74"/>
      <c r="I555" s="74"/>
      <c r="J555" s="74"/>
      <c r="K555" s="74"/>
    </row>
    <row r="556" spans="1:11">
      <c r="G556" s="74"/>
      <c r="H556" s="74"/>
      <c r="I556" s="74"/>
      <c r="J556" s="74"/>
      <c r="K556" s="74"/>
    </row>
    <row r="557" spans="1:11">
      <c r="G557" s="74"/>
      <c r="H557" s="74"/>
      <c r="I557" s="74"/>
      <c r="J557" s="74"/>
      <c r="K557" s="74"/>
    </row>
    <row r="558" spans="1:11">
      <c r="G558" s="74"/>
      <c r="H558" s="74"/>
      <c r="I558" s="74"/>
      <c r="J558" s="74"/>
      <c r="K558" s="74"/>
    </row>
    <row r="559" spans="1:11">
      <c r="G559" s="74"/>
      <c r="H559" s="74"/>
      <c r="I559" s="74"/>
      <c r="J559" s="74"/>
      <c r="K559" s="74"/>
    </row>
    <row r="560" spans="1:11">
      <c r="G560" s="74"/>
      <c r="H560" s="74"/>
      <c r="I560" s="74"/>
      <c r="J560" s="74"/>
      <c r="K560" s="74"/>
    </row>
    <row r="561" spans="7:11">
      <c r="G561" s="74"/>
      <c r="H561" s="74"/>
      <c r="I561" s="74"/>
      <c r="J561" s="74"/>
      <c r="K561" s="74"/>
    </row>
    <row r="562" spans="7:11">
      <c r="G562" s="74"/>
      <c r="H562" s="74"/>
      <c r="I562" s="74"/>
      <c r="J562" s="74"/>
      <c r="K562" s="74"/>
    </row>
    <row r="563" spans="7:11">
      <c r="G563" s="74"/>
      <c r="H563" s="74"/>
      <c r="I563" s="74"/>
      <c r="J563" s="74"/>
      <c r="K563" s="74"/>
    </row>
    <row r="564" spans="7:11">
      <c r="G564" s="74"/>
      <c r="H564" s="74"/>
      <c r="I564" s="74"/>
      <c r="J564" s="74"/>
      <c r="K564" s="74"/>
    </row>
    <row r="565" spans="7:11">
      <c r="G565" s="74"/>
      <c r="H565" s="74"/>
      <c r="I565" s="74"/>
      <c r="J565" s="74"/>
      <c r="K565" s="74"/>
    </row>
    <row r="566" spans="7:11">
      <c r="G566" s="74"/>
      <c r="H566" s="74"/>
      <c r="I566" s="74"/>
      <c r="J566" s="74"/>
      <c r="K566" s="74"/>
    </row>
    <row r="567" spans="7:11">
      <c r="G567" s="74"/>
      <c r="H567" s="74"/>
      <c r="I567" s="74"/>
      <c r="J567" s="74"/>
      <c r="K567" s="74"/>
    </row>
    <row r="568" spans="7:11">
      <c r="G568" s="74"/>
      <c r="H568" s="74"/>
      <c r="I568" s="74"/>
      <c r="J568" s="74"/>
      <c r="K568" s="74"/>
    </row>
    <row r="569" spans="7:11">
      <c r="G569" s="74"/>
      <c r="H569" s="74"/>
      <c r="I569" s="74"/>
      <c r="J569" s="74"/>
      <c r="K569" s="74"/>
    </row>
    <row r="570" spans="7:11">
      <c r="G570" s="74"/>
      <c r="H570" s="74"/>
      <c r="I570" s="74"/>
      <c r="J570" s="74"/>
      <c r="K570" s="74"/>
    </row>
    <row r="571" spans="7:11">
      <c r="G571" s="74"/>
      <c r="H571" s="74"/>
      <c r="I571" s="74"/>
      <c r="J571" s="74"/>
      <c r="K571" s="74"/>
    </row>
    <row r="572" spans="7:11">
      <c r="G572" s="74"/>
      <c r="H572" s="74"/>
      <c r="I572" s="74"/>
      <c r="J572" s="74"/>
      <c r="K572" s="74"/>
    </row>
    <row r="573" spans="7:11">
      <c r="G573" s="74"/>
      <c r="H573" s="74"/>
      <c r="I573" s="74"/>
      <c r="J573" s="74"/>
      <c r="K573" s="74"/>
    </row>
    <row r="574" spans="7:11">
      <c r="G574" s="74"/>
      <c r="H574" s="74"/>
      <c r="I574" s="74"/>
      <c r="J574" s="74"/>
      <c r="K574" s="74"/>
    </row>
    <row r="575" spans="7:11">
      <c r="G575" s="74"/>
      <c r="H575" s="74"/>
      <c r="I575" s="74"/>
      <c r="J575" s="74"/>
      <c r="K575" s="74"/>
    </row>
    <row r="576" spans="7:11">
      <c r="G576" s="74"/>
      <c r="H576" s="74"/>
      <c r="I576" s="74"/>
      <c r="J576" s="74"/>
      <c r="K576" s="74"/>
    </row>
    <row r="577" spans="7:11">
      <c r="G577" s="74"/>
      <c r="H577" s="74"/>
      <c r="I577" s="74"/>
      <c r="J577" s="74"/>
      <c r="K577" s="74"/>
    </row>
    <row r="578" spans="7:11">
      <c r="G578" s="74"/>
      <c r="H578" s="74"/>
      <c r="I578" s="74"/>
      <c r="J578" s="74"/>
      <c r="K578" s="74"/>
    </row>
    <row r="579" spans="7:11">
      <c r="G579" s="74"/>
      <c r="H579" s="74"/>
      <c r="I579" s="74"/>
      <c r="J579" s="74"/>
      <c r="K579" s="74"/>
    </row>
    <row r="580" spans="7:11">
      <c r="G580" s="74"/>
      <c r="H580" s="74"/>
      <c r="I580" s="74"/>
      <c r="J580" s="74"/>
      <c r="K580" s="74"/>
    </row>
    <row r="581" spans="7:11">
      <c r="G581" s="74"/>
      <c r="H581" s="74"/>
      <c r="I581" s="74"/>
      <c r="J581" s="74"/>
      <c r="K581" s="74"/>
    </row>
    <row r="582" spans="7:11">
      <c r="G582" s="74"/>
      <c r="H582" s="74"/>
      <c r="I582" s="74"/>
      <c r="J582" s="74"/>
      <c r="K582" s="74"/>
    </row>
    <row r="583" spans="7:11">
      <c r="G583" s="74"/>
      <c r="H583" s="74"/>
      <c r="I583" s="74"/>
      <c r="J583" s="74"/>
      <c r="K583" s="74"/>
    </row>
    <row r="584" spans="7:11">
      <c r="G584" s="74"/>
      <c r="H584" s="74"/>
      <c r="I584" s="74"/>
      <c r="J584" s="74"/>
      <c r="K584" s="74"/>
    </row>
    <row r="585" spans="7:11">
      <c r="G585" s="74"/>
      <c r="H585" s="74"/>
      <c r="I585" s="74"/>
      <c r="J585" s="74"/>
      <c r="K585" s="74"/>
    </row>
    <row r="586" spans="7:11">
      <c r="G586" s="74"/>
      <c r="H586" s="74"/>
      <c r="I586" s="74"/>
      <c r="J586" s="74"/>
      <c r="K586" s="74"/>
    </row>
    <row r="587" spans="7:11">
      <c r="G587" s="74"/>
      <c r="H587" s="74"/>
      <c r="I587" s="74"/>
      <c r="J587" s="74"/>
      <c r="K587" s="74"/>
    </row>
    <row r="588" spans="7:11">
      <c r="G588" s="74"/>
      <c r="H588" s="74"/>
      <c r="I588" s="74"/>
      <c r="J588" s="74"/>
      <c r="K588" s="74"/>
    </row>
    <row r="589" spans="7:11">
      <c r="G589" s="74"/>
      <c r="H589" s="74"/>
      <c r="I589" s="74"/>
      <c r="J589" s="74"/>
      <c r="K589" s="74"/>
    </row>
    <row r="590" spans="7:11">
      <c r="G590" s="74"/>
      <c r="H590" s="74"/>
      <c r="I590" s="74"/>
      <c r="J590" s="74"/>
      <c r="K590" s="74"/>
    </row>
    <row r="591" spans="7:11">
      <c r="G591" s="74"/>
      <c r="H591" s="74"/>
      <c r="I591" s="74"/>
      <c r="J591" s="74"/>
      <c r="K591" s="74"/>
    </row>
    <row r="592" spans="7:11">
      <c r="G592" s="74"/>
      <c r="H592" s="74"/>
      <c r="I592" s="74"/>
      <c r="J592" s="74"/>
      <c r="K592" s="74"/>
    </row>
    <row r="593" spans="7:11">
      <c r="G593" s="74"/>
      <c r="H593" s="74"/>
      <c r="I593" s="74"/>
      <c r="J593" s="74"/>
      <c r="K593" s="74"/>
    </row>
    <row r="594" spans="7:11">
      <c r="G594" s="74"/>
      <c r="H594" s="74"/>
      <c r="I594" s="74"/>
      <c r="J594" s="74"/>
      <c r="K594" s="74"/>
    </row>
    <row r="595" spans="7:11">
      <c r="G595" s="74"/>
      <c r="H595" s="74"/>
      <c r="I595" s="74"/>
      <c r="J595" s="74"/>
      <c r="K595" s="74"/>
    </row>
    <row r="596" spans="7:11">
      <c r="G596" s="74"/>
      <c r="H596" s="74"/>
      <c r="I596" s="74"/>
      <c r="J596" s="74"/>
      <c r="K596" s="74"/>
    </row>
    <row r="597" spans="7:11">
      <c r="G597" s="74"/>
      <c r="H597" s="74"/>
      <c r="I597" s="74"/>
      <c r="J597" s="74"/>
      <c r="K597" s="74"/>
    </row>
    <row r="598" spans="7:11">
      <c r="G598" s="74"/>
      <c r="H598" s="74"/>
      <c r="I598" s="74"/>
      <c r="J598" s="74"/>
      <c r="K598" s="74"/>
    </row>
    <row r="599" spans="7:11">
      <c r="G599" s="74"/>
      <c r="H599" s="74"/>
      <c r="I599" s="74"/>
      <c r="J599" s="74"/>
      <c r="K599" s="74"/>
    </row>
    <row r="600" spans="7:11">
      <c r="G600" s="74"/>
      <c r="H600" s="74"/>
      <c r="I600" s="74"/>
      <c r="J600" s="74"/>
      <c r="K600" s="74"/>
    </row>
    <row r="601" spans="7:11">
      <c r="G601" s="74"/>
      <c r="H601" s="74"/>
      <c r="I601" s="74"/>
      <c r="J601" s="74"/>
      <c r="K601" s="74"/>
    </row>
    <row r="602" spans="7:11">
      <c r="G602" s="74"/>
      <c r="H602" s="74"/>
      <c r="I602" s="74"/>
      <c r="J602" s="74"/>
      <c r="K602" s="74"/>
    </row>
    <row r="603" spans="7:11">
      <c r="G603" s="74"/>
      <c r="H603" s="74"/>
      <c r="I603" s="74"/>
      <c r="J603" s="74"/>
      <c r="K603" s="74"/>
    </row>
    <row r="604" spans="7:11">
      <c r="G604" s="74"/>
      <c r="H604" s="74"/>
      <c r="I604" s="74"/>
      <c r="J604" s="74"/>
      <c r="K604" s="74"/>
    </row>
    <row r="605" spans="7:11">
      <c r="G605" s="74"/>
      <c r="H605" s="74"/>
      <c r="I605" s="74"/>
      <c r="J605" s="74"/>
      <c r="K605" s="74"/>
    </row>
    <row r="606" spans="7:11">
      <c r="G606" s="74"/>
      <c r="H606" s="74"/>
      <c r="I606" s="74"/>
      <c r="J606" s="74"/>
      <c r="K606" s="74"/>
    </row>
    <row r="607" spans="7:11">
      <c r="G607" s="74"/>
      <c r="H607" s="74"/>
      <c r="I607" s="74"/>
      <c r="J607" s="74"/>
      <c r="K607" s="74"/>
    </row>
    <row r="608" spans="7:11">
      <c r="G608" s="74"/>
      <c r="H608" s="74"/>
      <c r="I608" s="74"/>
      <c r="J608" s="74"/>
      <c r="K608" s="74"/>
    </row>
    <row r="609" spans="7:11">
      <c r="G609" s="74"/>
      <c r="H609" s="74"/>
      <c r="I609" s="74"/>
      <c r="J609" s="74"/>
      <c r="K609" s="74"/>
    </row>
    <row r="610" spans="7:11">
      <c r="G610" s="74"/>
      <c r="H610" s="74"/>
      <c r="I610" s="74"/>
      <c r="J610" s="74"/>
      <c r="K610" s="74"/>
    </row>
    <row r="611" spans="7:11">
      <c r="G611" s="74"/>
      <c r="H611" s="74"/>
      <c r="I611" s="74"/>
      <c r="J611" s="74"/>
      <c r="K611" s="74"/>
    </row>
    <row r="612" spans="7:11">
      <c r="G612" s="74"/>
      <c r="H612" s="74"/>
      <c r="I612" s="74"/>
      <c r="J612" s="74"/>
      <c r="K612" s="74"/>
    </row>
    <row r="613" spans="7:11">
      <c r="G613" s="74"/>
      <c r="H613" s="74"/>
      <c r="I613" s="74"/>
      <c r="J613" s="74"/>
      <c r="K613" s="74"/>
    </row>
    <row r="614" spans="7:11">
      <c r="G614" s="74"/>
      <c r="H614" s="74"/>
      <c r="I614" s="74"/>
      <c r="J614" s="74"/>
      <c r="K614" s="74"/>
    </row>
    <row r="615" spans="7:11">
      <c r="G615" s="74"/>
      <c r="H615" s="74"/>
      <c r="I615" s="74"/>
      <c r="J615" s="74"/>
      <c r="K615" s="74"/>
    </row>
    <row r="616" spans="7:11">
      <c r="G616" s="74"/>
      <c r="H616" s="74"/>
      <c r="I616" s="74"/>
      <c r="J616" s="74"/>
      <c r="K616" s="74"/>
    </row>
    <row r="617" spans="7:11">
      <c r="G617" s="74"/>
      <c r="H617" s="74"/>
      <c r="I617" s="74"/>
      <c r="J617" s="74"/>
      <c r="K617" s="74"/>
    </row>
    <row r="618" spans="7:11">
      <c r="G618" s="74"/>
      <c r="H618" s="74"/>
      <c r="I618" s="74"/>
      <c r="J618" s="74"/>
      <c r="K618" s="74"/>
    </row>
    <row r="619" spans="7:11">
      <c r="G619" s="74"/>
      <c r="H619" s="74"/>
      <c r="I619" s="74"/>
      <c r="J619" s="74"/>
      <c r="K619" s="74"/>
    </row>
    <row r="620" spans="7:11">
      <c r="G620" s="74"/>
      <c r="H620" s="74"/>
      <c r="I620" s="74"/>
      <c r="J620" s="74"/>
      <c r="K620" s="74"/>
    </row>
    <row r="621" spans="7:11">
      <c r="G621" s="74"/>
      <c r="H621" s="74"/>
      <c r="I621" s="74"/>
      <c r="J621" s="74"/>
      <c r="K621" s="74"/>
    </row>
    <row r="622" spans="7:11">
      <c r="G622" s="74"/>
      <c r="H622" s="74"/>
      <c r="I622" s="74"/>
      <c r="J622" s="74"/>
      <c r="K622" s="74"/>
    </row>
    <row r="623" spans="7:11">
      <c r="G623" s="74"/>
      <c r="H623" s="74"/>
      <c r="I623" s="74"/>
      <c r="J623" s="74"/>
      <c r="K623" s="74"/>
    </row>
    <row r="624" spans="7:11">
      <c r="G624" s="74"/>
      <c r="H624" s="74"/>
      <c r="I624" s="74"/>
      <c r="J624" s="74"/>
      <c r="K624" s="74"/>
    </row>
    <row r="625" spans="7:11">
      <c r="G625" s="74"/>
      <c r="H625" s="74"/>
      <c r="I625" s="74"/>
      <c r="J625" s="74"/>
      <c r="K625" s="74"/>
    </row>
    <row r="626" spans="7:11">
      <c r="G626" s="74"/>
      <c r="H626" s="74"/>
      <c r="I626" s="74"/>
      <c r="J626" s="74"/>
      <c r="K626" s="74"/>
    </row>
    <row r="627" spans="7:11">
      <c r="G627" s="74"/>
      <c r="H627" s="74"/>
      <c r="I627" s="74"/>
      <c r="J627" s="74"/>
      <c r="K627" s="74"/>
    </row>
    <row r="628" spans="7:11">
      <c r="G628" s="74"/>
      <c r="H628" s="74"/>
      <c r="I628" s="74"/>
      <c r="J628" s="74"/>
      <c r="K628" s="74"/>
    </row>
    <row r="629" spans="7:11">
      <c r="G629" s="74"/>
      <c r="H629" s="74"/>
      <c r="I629" s="74"/>
      <c r="J629" s="74"/>
      <c r="K629" s="74"/>
    </row>
    <row r="630" spans="7:11">
      <c r="G630" s="74"/>
      <c r="H630" s="74"/>
      <c r="I630" s="74"/>
      <c r="J630" s="74"/>
      <c r="K630" s="74"/>
    </row>
    <row r="631" spans="7:11">
      <c r="G631" s="74"/>
      <c r="H631" s="74"/>
      <c r="I631" s="74"/>
      <c r="J631" s="74"/>
      <c r="K631" s="74"/>
    </row>
    <row r="632" spans="7:11">
      <c r="G632" s="74"/>
      <c r="H632" s="74"/>
      <c r="I632" s="74"/>
      <c r="J632" s="74"/>
      <c r="K632" s="74"/>
    </row>
    <row r="633" spans="7:11">
      <c r="G633" s="74"/>
      <c r="H633" s="74"/>
      <c r="I633" s="74"/>
      <c r="J633" s="74"/>
      <c r="K633" s="74"/>
    </row>
    <row r="634" spans="7:11">
      <c r="G634" s="74"/>
      <c r="H634" s="74"/>
      <c r="I634" s="74"/>
      <c r="J634" s="74"/>
      <c r="K634" s="74"/>
    </row>
    <row r="635" spans="7:11">
      <c r="G635" s="74"/>
      <c r="H635" s="74"/>
      <c r="I635" s="74"/>
      <c r="J635" s="74"/>
      <c r="K635" s="74"/>
    </row>
    <row r="636" spans="7:11">
      <c r="G636" s="74"/>
      <c r="H636" s="74"/>
      <c r="I636" s="74"/>
      <c r="J636" s="74"/>
      <c r="K636" s="74"/>
    </row>
    <row r="637" spans="7:11">
      <c r="G637" s="74"/>
      <c r="H637" s="74"/>
      <c r="I637" s="74"/>
      <c r="J637" s="74"/>
      <c r="K637" s="74"/>
    </row>
    <row r="638" spans="7:11">
      <c r="G638" s="74"/>
      <c r="H638" s="74"/>
      <c r="I638" s="74"/>
      <c r="J638" s="74"/>
      <c r="K638" s="74"/>
    </row>
    <row r="639" spans="7:11">
      <c r="G639" s="74"/>
      <c r="H639" s="74"/>
      <c r="I639" s="74"/>
      <c r="J639" s="74"/>
      <c r="K639" s="74"/>
    </row>
    <row r="640" spans="7:11">
      <c r="G640" s="74"/>
      <c r="H640" s="74"/>
      <c r="I640" s="74"/>
      <c r="J640" s="74"/>
      <c r="K640" s="74"/>
    </row>
    <row r="641" spans="7:11">
      <c r="G641" s="74"/>
      <c r="H641" s="74"/>
      <c r="I641" s="74"/>
      <c r="J641" s="74"/>
      <c r="K641" s="74"/>
    </row>
    <row r="642" spans="7:11">
      <c r="G642" s="74"/>
      <c r="H642" s="74"/>
      <c r="I642" s="74"/>
      <c r="J642" s="74"/>
      <c r="K642" s="74"/>
    </row>
    <row r="643" spans="7:11">
      <c r="G643" s="74"/>
      <c r="H643" s="74"/>
      <c r="I643" s="74"/>
      <c r="J643" s="74"/>
      <c r="K643" s="74"/>
    </row>
    <row r="644" spans="7:11">
      <c r="G644" s="74"/>
      <c r="H644" s="74"/>
      <c r="I644" s="74"/>
      <c r="J644" s="74"/>
      <c r="K644" s="74"/>
    </row>
    <row r="645" spans="7:11">
      <c r="G645" s="74"/>
      <c r="H645" s="74"/>
      <c r="I645" s="74"/>
      <c r="J645" s="74"/>
      <c r="K645" s="74"/>
    </row>
    <row r="646" spans="7:11">
      <c r="G646" s="74"/>
      <c r="H646" s="74"/>
      <c r="I646" s="74"/>
      <c r="J646" s="74"/>
      <c r="K646" s="74"/>
    </row>
    <row r="647" spans="7:11">
      <c r="G647" s="74"/>
      <c r="H647" s="74"/>
      <c r="I647" s="74"/>
      <c r="J647" s="74"/>
      <c r="K647" s="74"/>
    </row>
    <row r="648" spans="7:11">
      <c r="G648" s="74"/>
      <c r="H648" s="74"/>
      <c r="I648" s="74"/>
      <c r="J648" s="74"/>
      <c r="K648" s="74"/>
    </row>
    <row r="649" spans="7:11">
      <c r="G649" s="74"/>
      <c r="H649" s="74"/>
      <c r="I649" s="74"/>
      <c r="J649" s="74"/>
      <c r="K649" s="74"/>
    </row>
    <row r="650" spans="7:11">
      <c r="G650" s="74"/>
      <c r="H650" s="74"/>
      <c r="I650" s="74"/>
      <c r="J650" s="74"/>
      <c r="K650" s="74"/>
    </row>
    <row r="651" spans="7:11">
      <c r="G651" s="74"/>
      <c r="H651" s="74"/>
      <c r="I651" s="74"/>
      <c r="J651" s="74"/>
      <c r="K651" s="74"/>
    </row>
    <row r="652" spans="7:11">
      <c r="G652" s="74"/>
      <c r="H652" s="74"/>
      <c r="I652" s="74"/>
      <c r="J652" s="74"/>
      <c r="K652" s="74"/>
    </row>
    <row r="653" spans="7:11">
      <c r="G653" s="74"/>
      <c r="H653" s="74"/>
      <c r="I653" s="74"/>
      <c r="J653" s="74"/>
      <c r="K653" s="74"/>
    </row>
    <row r="654" spans="7:11">
      <c r="G654" s="74"/>
      <c r="H654" s="74"/>
      <c r="I654" s="74"/>
      <c r="J654" s="74"/>
      <c r="K654" s="74"/>
    </row>
    <row r="655" spans="7:11">
      <c r="G655" s="74"/>
      <c r="H655" s="74"/>
      <c r="I655" s="74"/>
      <c r="J655" s="74"/>
      <c r="K655" s="74"/>
    </row>
    <row r="656" spans="7:11">
      <c r="G656" s="74"/>
      <c r="H656" s="74"/>
      <c r="I656" s="74"/>
      <c r="J656" s="74"/>
      <c r="K656" s="74"/>
    </row>
    <row r="657" spans="7:11">
      <c r="G657" s="74"/>
      <c r="H657" s="74"/>
      <c r="I657" s="74"/>
      <c r="J657" s="74"/>
      <c r="K657" s="74"/>
    </row>
    <row r="658" spans="7:11">
      <c r="G658" s="74"/>
      <c r="H658" s="74"/>
      <c r="I658" s="74"/>
      <c r="J658" s="74"/>
      <c r="K658" s="74"/>
    </row>
    <row r="659" spans="7:11">
      <c r="G659" s="74"/>
      <c r="H659" s="74"/>
      <c r="I659" s="74"/>
      <c r="J659" s="74"/>
      <c r="K659" s="74"/>
    </row>
    <row r="660" spans="7:11">
      <c r="G660" s="74"/>
      <c r="H660" s="74"/>
      <c r="I660" s="74"/>
      <c r="J660" s="74"/>
      <c r="K660" s="74"/>
    </row>
    <row r="661" spans="7:11">
      <c r="G661" s="74"/>
      <c r="H661" s="74"/>
      <c r="I661" s="74"/>
      <c r="J661" s="74"/>
      <c r="K661" s="74"/>
    </row>
    <row r="662" spans="7:11">
      <c r="G662" s="74"/>
      <c r="H662" s="74"/>
      <c r="I662" s="74"/>
      <c r="J662" s="74"/>
      <c r="K662" s="74"/>
    </row>
    <row r="663" spans="7:11">
      <c r="G663" s="74"/>
      <c r="H663" s="74"/>
      <c r="I663" s="74"/>
      <c r="J663" s="74"/>
      <c r="K663" s="74"/>
    </row>
    <row r="664" spans="7:11">
      <c r="G664" s="74"/>
      <c r="H664" s="74"/>
      <c r="I664" s="74"/>
      <c r="J664" s="74"/>
      <c r="K664" s="74"/>
    </row>
    <row r="665" spans="7:11">
      <c r="G665" s="74"/>
      <c r="H665" s="74"/>
      <c r="I665" s="74"/>
      <c r="J665" s="74"/>
      <c r="K665" s="74"/>
    </row>
    <row r="666" spans="7:11">
      <c r="G666" s="74"/>
      <c r="H666" s="74"/>
      <c r="I666" s="74"/>
      <c r="J666" s="74"/>
      <c r="K666" s="74"/>
    </row>
    <row r="667" spans="7:11">
      <c r="G667" s="74"/>
      <c r="H667" s="74"/>
      <c r="I667" s="74"/>
      <c r="J667" s="74"/>
      <c r="K667" s="74"/>
    </row>
    <row r="668" spans="7:11">
      <c r="G668" s="74"/>
      <c r="H668" s="74"/>
      <c r="I668" s="74"/>
      <c r="J668" s="74"/>
      <c r="K668" s="74"/>
    </row>
    <row r="669" spans="7:11">
      <c r="G669" s="74"/>
      <c r="H669" s="74"/>
      <c r="I669" s="74"/>
      <c r="J669" s="74"/>
      <c r="K669" s="74"/>
    </row>
    <row r="670" spans="7:11">
      <c r="G670" s="74"/>
      <c r="H670" s="74"/>
      <c r="I670" s="74"/>
      <c r="J670" s="74"/>
      <c r="K670" s="74"/>
    </row>
    <row r="671" spans="7:11">
      <c r="G671" s="74"/>
      <c r="H671" s="74"/>
      <c r="I671" s="74"/>
      <c r="J671" s="74"/>
      <c r="K671" s="74"/>
    </row>
    <row r="672" spans="7:11">
      <c r="G672" s="74"/>
      <c r="H672" s="74"/>
      <c r="I672" s="74"/>
      <c r="J672" s="74"/>
      <c r="K672" s="74"/>
    </row>
    <row r="673" spans="7:11">
      <c r="G673" s="74"/>
      <c r="H673" s="74"/>
      <c r="I673" s="74"/>
      <c r="J673" s="74"/>
      <c r="K673" s="74"/>
    </row>
    <row r="674" spans="7:11">
      <c r="G674" s="74"/>
      <c r="H674" s="74"/>
      <c r="I674" s="74"/>
      <c r="J674" s="74"/>
      <c r="K674" s="74"/>
    </row>
    <row r="675" spans="7:11">
      <c r="G675" s="74"/>
      <c r="H675" s="74"/>
      <c r="I675" s="74"/>
      <c r="J675" s="74"/>
      <c r="K675" s="74"/>
    </row>
    <row r="676" spans="7:11">
      <c r="G676" s="74"/>
      <c r="H676" s="74"/>
      <c r="I676" s="74"/>
      <c r="J676" s="74"/>
      <c r="K676" s="74"/>
    </row>
    <row r="677" spans="7:11">
      <c r="G677" s="74"/>
      <c r="H677" s="74"/>
      <c r="I677" s="74"/>
      <c r="J677" s="74"/>
      <c r="K677" s="74"/>
    </row>
    <row r="678" spans="7:11">
      <c r="G678" s="74"/>
      <c r="H678" s="74"/>
      <c r="I678" s="74"/>
      <c r="J678" s="74"/>
      <c r="K678" s="74"/>
    </row>
    <row r="679" spans="7:11">
      <c r="G679" s="74"/>
      <c r="H679" s="74"/>
      <c r="I679" s="74"/>
      <c r="J679" s="74"/>
      <c r="K679" s="74"/>
    </row>
    <row r="680" spans="7:11">
      <c r="G680" s="74"/>
      <c r="H680" s="74"/>
      <c r="I680" s="74"/>
      <c r="J680" s="74"/>
      <c r="K680" s="74"/>
    </row>
    <row r="681" spans="7:11">
      <c r="G681" s="74"/>
      <c r="H681" s="74"/>
      <c r="I681" s="74"/>
      <c r="J681" s="74"/>
      <c r="K681" s="74"/>
    </row>
    <row r="682" spans="7:11">
      <c r="G682" s="74"/>
      <c r="H682" s="74"/>
      <c r="I682" s="74"/>
      <c r="J682" s="74"/>
      <c r="K682" s="74"/>
    </row>
    <row r="683" spans="7:11">
      <c r="G683" s="74"/>
      <c r="H683" s="74"/>
      <c r="I683" s="74"/>
      <c r="J683" s="74"/>
      <c r="K683" s="74"/>
    </row>
    <row r="684" spans="7:11">
      <c r="G684" s="74"/>
      <c r="H684" s="74"/>
      <c r="I684" s="74"/>
      <c r="J684" s="74"/>
      <c r="K684" s="74"/>
    </row>
    <row r="685" spans="7:11">
      <c r="G685" s="74"/>
      <c r="H685" s="74"/>
      <c r="I685" s="74"/>
      <c r="J685" s="74"/>
      <c r="K685" s="74"/>
    </row>
    <row r="686" spans="7:11">
      <c r="G686" s="74"/>
      <c r="H686" s="74"/>
      <c r="I686" s="74"/>
      <c r="J686" s="74"/>
      <c r="K686" s="74"/>
    </row>
    <row r="687" spans="7:11">
      <c r="G687" s="74"/>
      <c r="H687" s="74"/>
      <c r="I687" s="74"/>
      <c r="J687" s="74"/>
      <c r="K687" s="74"/>
    </row>
    <row r="688" spans="7:11">
      <c r="G688" s="74"/>
      <c r="H688" s="74"/>
      <c r="I688" s="74"/>
      <c r="J688" s="74"/>
      <c r="K688" s="74"/>
    </row>
    <row r="689" spans="7:11">
      <c r="G689" s="74"/>
      <c r="H689" s="74"/>
      <c r="I689" s="74"/>
      <c r="J689" s="74"/>
      <c r="K689" s="74"/>
    </row>
    <row r="690" spans="7:11">
      <c r="G690" s="74"/>
      <c r="H690" s="74"/>
      <c r="I690" s="74"/>
      <c r="J690" s="74"/>
      <c r="K690" s="74"/>
    </row>
    <row r="691" spans="7:11">
      <c r="G691" s="74"/>
      <c r="H691" s="74"/>
      <c r="I691" s="74"/>
      <c r="J691" s="74"/>
      <c r="K691" s="74"/>
    </row>
    <row r="692" spans="7:11">
      <c r="G692" s="74"/>
      <c r="H692" s="74"/>
      <c r="I692" s="74"/>
      <c r="J692" s="74"/>
      <c r="K692" s="74"/>
    </row>
    <row r="693" spans="7:11">
      <c r="G693" s="74"/>
      <c r="H693" s="74"/>
      <c r="I693" s="74"/>
      <c r="J693" s="74"/>
      <c r="K693" s="74"/>
    </row>
    <row r="694" spans="7:11">
      <c r="G694" s="74"/>
      <c r="H694" s="74"/>
      <c r="I694" s="74"/>
      <c r="J694" s="74"/>
      <c r="K694" s="74"/>
    </row>
    <row r="695" spans="7:11">
      <c r="G695" s="74"/>
      <c r="H695" s="74"/>
      <c r="I695" s="74"/>
      <c r="J695" s="74"/>
      <c r="K695" s="74"/>
    </row>
    <row r="696" spans="7:11">
      <c r="G696" s="74"/>
      <c r="H696" s="74"/>
      <c r="I696" s="74"/>
      <c r="J696" s="74"/>
      <c r="K696" s="74"/>
    </row>
    <row r="697" spans="7:11">
      <c r="G697" s="74"/>
      <c r="H697" s="74"/>
      <c r="I697" s="74"/>
      <c r="J697" s="74"/>
      <c r="K697" s="74"/>
    </row>
    <row r="698" spans="7:11">
      <c r="G698" s="74"/>
      <c r="H698" s="74"/>
      <c r="I698" s="74"/>
      <c r="J698" s="74"/>
      <c r="K698" s="74"/>
    </row>
    <row r="699" spans="7:11">
      <c r="G699" s="74"/>
      <c r="H699" s="74"/>
      <c r="I699" s="74"/>
      <c r="J699" s="74"/>
      <c r="K699" s="74"/>
    </row>
    <row r="700" spans="7:11">
      <c r="G700" s="74"/>
      <c r="H700" s="74"/>
      <c r="I700" s="74"/>
      <c r="J700" s="74"/>
      <c r="K700" s="74"/>
    </row>
    <row r="701" spans="7:11">
      <c r="G701" s="74"/>
      <c r="H701" s="74"/>
      <c r="I701" s="74"/>
      <c r="J701" s="74"/>
      <c r="K701" s="74"/>
    </row>
    <row r="702" spans="7:11">
      <c r="G702" s="74"/>
      <c r="H702" s="74"/>
      <c r="I702" s="74"/>
      <c r="J702" s="74"/>
      <c r="K702" s="74"/>
    </row>
    <row r="703" spans="7:11">
      <c r="G703" s="74"/>
      <c r="H703" s="74"/>
      <c r="I703" s="74"/>
      <c r="J703" s="74"/>
      <c r="K703" s="74"/>
    </row>
    <row r="704" spans="7:11">
      <c r="G704" s="74"/>
      <c r="H704" s="74"/>
      <c r="I704" s="74"/>
      <c r="J704" s="74"/>
      <c r="K704" s="74"/>
    </row>
    <row r="705" spans="7:11">
      <c r="G705" s="74"/>
      <c r="H705" s="74"/>
      <c r="I705" s="74"/>
      <c r="J705" s="74"/>
      <c r="K705" s="74"/>
    </row>
    <row r="706" spans="7:11">
      <c r="G706" s="74"/>
      <c r="H706" s="74"/>
      <c r="I706" s="74"/>
      <c r="J706" s="74"/>
      <c r="K706" s="74"/>
    </row>
    <row r="707" spans="7:11">
      <c r="G707" s="74"/>
      <c r="H707" s="74"/>
      <c r="I707" s="74"/>
      <c r="J707" s="74"/>
      <c r="K707" s="74"/>
    </row>
    <row r="708" spans="7:11">
      <c r="G708" s="74"/>
      <c r="H708" s="74"/>
      <c r="I708" s="74"/>
      <c r="J708" s="74"/>
      <c r="K708" s="74"/>
    </row>
    <row r="709" spans="7:11">
      <c r="G709" s="74"/>
      <c r="H709" s="74"/>
      <c r="I709" s="74"/>
      <c r="J709" s="74"/>
      <c r="K709" s="74"/>
    </row>
    <row r="710" spans="7:11">
      <c r="G710" s="74"/>
      <c r="H710" s="74"/>
      <c r="I710" s="74"/>
      <c r="J710" s="74"/>
      <c r="K710" s="74"/>
    </row>
    <row r="711" spans="7:11">
      <c r="G711" s="74"/>
      <c r="H711" s="74"/>
      <c r="I711" s="74"/>
      <c r="J711" s="74"/>
      <c r="K711" s="74"/>
    </row>
    <row r="712" spans="7:11">
      <c r="G712" s="74"/>
      <c r="H712" s="74"/>
      <c r="I712" s="74"/>
      <c r="J712" s="74"/>
      <c r="K712" s="74"/>
    </row>
    <row r="713" spans="7:11">
      <c r="G713" s="74"/>
      <c r="H713" s="74"/>
      <c r="I713" s="74"/>
      <c r="J713" s="74"/>
      <c r="K713" s="74"/>
    </row>
    <row r="714" spans="7:11">
      <c r="G714" s="74"/>
      <c r="H714" s="74"/>
      <c r="I714" s="74"/>
      <c r="J714" s="74"/>
      <c r="K714" s="74"/>
    </row>
    <row r="715" spans="7:11">
      <c r="G715" s="74"/>
      <c r="H715" s="74"/>
      <c r="I715" s="74"/>
      <c r="J715" s="74"/>
      <c r="K715" s="74"/>
    </row>
    <row r="716" spans="7:11">
      <c r="G716" s="74"/>
      <c r="H716" s="74"/>
      <c r="I716" s="74"/>
      <c r="J716" s="74"/>
      <c r="K716" s="74"/>
    </row>
    <row r="717" spans="7:11">
      <c r="G717" s="74"/>
      <c r="H717" s="74"/>
      <c r="I717" s="74"/>
      <c r="J717" s="74"/>
      <c r="K717" s="74"/>
    </row>
    <row r="718" spans="7:11">
      <c r="G718" s="74"/>
      <c r="H718" s="74"/>
      <c r="I718" s="74"/>
      <c r="J718" s="74"/>
      <c r="K718" s="74"/>
    </row>
    <row r="719" spans="7:11">
      <c r="G719" s="74"/>
      <c r="H719" s="74"/>
      <c r="I719" s="74"/>
      <c r="J719" s="74"/>
      <c r="K719" s="74"/>
    </row>
    <row r="720" spans="7:11">
      <c r="G720" s="74"/>
      <c r="H720" s="74"/>
      <c r="I720" s="74"/>
      <c r="J720" s="74"/>
      <c r="K720" s="74"/>
    </row>
    <row r="721" spans="7:11">
      <c r="G721" s="74"/>
      <c r="H721" s="74"/>
      <c r="I721" s="74"/>
      <c r="J721" s="74"/>
      <c r="K721" s="74"/>
    </row>
    <row r="722" spans="7:11">
      <c r="G722" s="74"/>
      <c r="H722" s="74"/>
      <c r="I722" s="74"/>
      <c r="J722" s="74"/>
      <c r="K722" s="74"/>
    </row>
    <row r="723" spans="7:11">
      <c r="G723" s="74"/>
      <c r="H723" s="74"/>
      <c r="I723" s="74"/>
      <c r="J723" s="74"/>
      <c r="K723" s="74"/>
    </row>
    <row r="724" spans="7:11">
      <c r="G724" s="74"/>
      <c r="H724" s="74"/>
      <c r="I724" s="74"/>
      <c r="J724" s="74"/>
      <c r="K724" s="74"/>
    </row>
    <row r="725" spans="7:11">
      <c r="G725" s="74"/>
      <c r="H725" s="74"/>
      <c r="I725" s="74"/>
      <c r="J725" s="74"/>
      <c r="K725" s="74"/>
    </row>
    <row r="726" spans="7:11">
      <c r="G726" s="74"/>
      <c r="H726" s="74"/>
      <c r="I726" s="74"/>
      <c r="J726" s="74"/>
      <c r="K726" s="74"/>
    </row>
    <row r="727" spans="7:11">
      <c r="G727" s="74"/>
      <c r="H727" s="74"/>
      <c r="I727" s="74"/>
      <c r="J727" s="74"/>
      <c r="K727" s="74"/>
    </row>
    <row r="728" spans="7:11">
      <c r="G728" s="74"/>
      <c r="H728" s="74"/>
      <c r="I728" s="74"/>
      <c r="J728" s="74"/>
      <c r="K728" s="74"/>
    </row>
    <row r="729" spans="7:11">
      <c r="G729" s="74"/>
      <c r="H729" s="74"/>
      <c r="I729" s="74"/>
      <c r="J729" s="74"/>
      <c r="K729" s="74"/>
    </row>
    <row r="730" spans="7:11">
      <c r="G730" s="74"/>
      <c r="H730" s="74"/>
      <c r="I730" s="74"/>
      <c r="J730" s="74"/>
      <c r="K730" s="74"/>
    </row>
    <row r="731" spans="7:11">
      <c r="G731" s="74"/>
      <c r="H731" s="74"/>
      <c r="I731" s="74"/>
      <c r="J731" s="74"/>
      <c r="K731" s="74"/>
    </row>
    <row r="732" spans="7:11">
      <c r="G732" s="74"/>
      <c r="H732" s="74"/>
      <c r="I732" s="74"/>
      <c r="J732" s="74"/>
      <c r="K732" s="74"/>
    </row>
    <row r="733" spans="7:11">
      <c r="G733" s="74"/>
      <c r="H733" s="74"/>
      <c r="I733" s="74"/>
      <c r="J733" s="74"/>
      <c r="K733" s="74"/>
    </row>
    <row r="734" spans="7:11">
      <c r="G734" s="74"/>
      <c r="H734" s="74"/>
      <c r="I734" s="74"/>
      <c r="J734" s="74"/>
      <c r="K734" s="74"/>
    </row>
    <row r="735" spans="7:11">
      <c r="G735" s="74"/>
      <c r="H735" s="74"/>
      <c r="I735" s="74"/>
      <c r="J735" s="74"/>
      <c r="K735" s="74"/>
    </row>
    <row r="736" spans="7:11">
      <c r="G736" s="74"/>
      <c r="H736" s="74"/>
      <c r="I736" s="74"/>
      <c r="J736" s="74"/>
      <c r="K736" s="74"/>
    </row>
    <row r="737" spans="7:11">
      <c r="G737" s="74"/>
      <c r="H737" s="74"/>
      <c r="I737" s="74"/>
      <c r="J737" s="74"/>
      <c r="K737" s="74"/>
    </row>
    <row r="738" spans="7:11">
      <c r="G738" s="74"/>
      <c r="H738" s="74"/>
      <c r="I738" s="74"/>
      <c r="J738" s="74"/>
      <c r="K738" s="74"/>
    </row>
    <row r="739" spans="7:11">
      <c r="G739" s="74"/>
      <c r="H739" s="74"/>
      <c r="I739" s="74"/>
      <c r="J739" s="74"/>
      <c r="K739" s="74"/>
    </row>
    <row r="740" spans="7:11">
      <c r="G740" s="74"/>
      <c r="H740" s="74"/>
      <c r="I740" s="74"/>
      <c r="J740" s="74"/>
      <c r="K740" s="74"/>
    </row>
    <row r="741" spans="7:11">
      <c r="G741" s="74"/>
      <c r="H741" s="74"/>
      <c r="I741" s="74"/>
      <c r="J741" s="74"/>
      <c r="K741" s="74"/>
    </row>
    <row r="742" spans="7:11">
      <c r="G742" s="74"/>
      <c r="H742" s="74"/>
      <c r="I742" s="74"/>
      <c r="J742" s="74"/>
      <c r="K742" s="74"/>
    </row>
    <row r="743" spans="7:11">
      <c r="G743" s="74"/>
      <c r="H743" s="74"/>
      <c r="I743" s="74"/>
      <c r="J743" s="74"/>
      <c r="K743" s="74"/>
    </row>
    <row r="744" spans="7:11">
      <c r="I744" s="74"/>
      <c r="J744" s="74"/>
      <c r="K744" s="74"/>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Q654"/>
  <sheetViews>
    <sheetView showGridLines="0" workbookViewId="0">
      <selection activeCell="J42" sqref="J42"/>
    </sheetView>
  </sheetViews>
  <sheetFormatPr defaultColWidth="8.85546875" defaultRowHeight="12.75"/>
  <cols>
    <col min="1" max="1" width="7.140625" style="7" customWidth="1"/>
    <col min="2" max="6" width="16.7109375" style="7" customWidth="1"/>
    <col min="7" max="7" width="11.5703125" style="7" customWidth="1"/>
    <col min="8" max="8" width="2.28515625" style="19" customWidth="1"/>
    <col min="9" max="9" width="10.42578125" style="7" bestFit="1" customWidth="1"/>
    <col min="10" max="10" width="12.28515625" style="7" customWidth="1"/>
    <col min="11" max="11" width="10.7109375" style="7" customWidth="1"/>
    <col min="12" max="16384" width="8.85546875" style="7"/>
  </cols>
  <sheetData>
    <row r="1" spans="1:17" s="50" customFormat="1" ht="16.149999999999999" customHeight="1">
      <c r="A1" s="2132" t="str">
        <f>CONCATENATE("PART III C  - HUD INSURED LOAN","  -  ",'Part I-Project Information'!$O$4," ",'Part I-Project Information'!$F$24,", ",'Part I-Project Information'!$F$27,", ",'Part I-Project Information'!$J$28," County")</f>
        <v>PART III C  - HUD INSURED LOAN  -  20##-### SB OHF Test Villas, Peachtree Corners, Gwinnett County</v>
      </c>
      <c r="B1" s="2133"/>
      <c r="C1" s="2133"/>
      <c r="D1" s="2133"/>
      <c r="E1" s="2133"/>
      <c r="F1" s="2134"/>
      <c r="G1" s="49"/>
      <c r="H1" s="49"/>
      <c r="I1" s="49"/>
      <c r="J1" s="49"/>
      <c r="K1" s="49"/>
      <c r="L1" s="49"/>
      <c r="M1" s="49"/>
      <c r="N1" s="49"/>
      <c r="O1" s="49"/>
      <c r="P1" s="49"/>
      <c r="Q1" s="49"/>
    </row>
    <row r="2" spans="1:17">
      <c r="A2" s="5"/>
      <c r="B2" s="59"/>
      <c r="C2" s="59"/>
      <c r="D2" s="59"/>
    </row>
    <row r="3" spans="1:17" ht="15.6" customHeight="1">
      <c r="A3" s="2141" t="s">
        <v>197</v>
      </c>
      <c r="B3" s="2141"/>
      <c r="C3" s="2141"/>
      <c r="D3" s="2141"/>
      <c r="E3" s="2141"/>
      <c r="F3" s="2141"/>
      <c r="G3" s="99"/>
      <c r="H3" s="99"/>
    </row>
    <row r="4" spans="1:17">
      <c r="A4" s="5"/>
      <c r="B4" s="59"/>
      <c r="C4" s="59"/>
      <c r="D4" s="59"/>
    </row>
    <row r="5" spans="1:17" ht="13.15" customHeight="1">
      <c r="A5" s="7" t="s">
        <v>2000</v>
      </c>
      <c r="D5" s="95"/>
      <c r="E5" s="2144" t="s">
        <v>887</v>
      </c>
      <c r="F5" s="2145"/>
      <c r="G5" s="36"/>
    </row>
    <row r="6" spans="1:17">
      <c r="E6" s="2145"/>
      <c r="F6" s="2145"/>
      <c r="G6" s="36"/>
    </row>
    <row r="7" spans="1:17">
      <c r="A7" s="7" t="s">
        <v>2182</v>
      </c>
      <c r="C7" s="7" t="s">
        <v>2183</v>
      </c>
      <c r="D7" s="96"/>
      <c r="E7" s="2145"/>
      <c r="F7" s="2145"/>
      <c r="G7" s="36"/>
    </row>
    <row r="8" spans="1:17">
      <c r="C8" s="7" t="s">
        <v>2184</v>
      </c>
      <c r="D8" s="96"/>
      <c r="E8" s="2145"/>
      <c r="F8" s="2145"/>
      <c r="G8" s="36"/>
    </row>
    <row r="9" spans="1:17">
      <c r="C9" s="7" t="s">
        <v>2185</v>
      </c>
      <c r="D9" s="96"/>
      <c r="E9" s="2145"/>
      <c r="F9" s="2145"/>
      <c r="G9" s="36"/>
    </row>
    <row r="10" spans="1:17">
      <c r="C10" s="7" t="s">
        <v>2198</v>
      </c>
      <c r="D10" s="100">
        <f>D7+D8+D9</f>
        <v>0</v>
      </c>
      <c r="E10" s="2145"/>
      <c r="F10" s="2145"/>
      <c r="G10" s="36"/>
    </row>
    <row r="11" spans="1:17">
      <c r="F11" s="36"/>
      <c r="G11" s="36"/>
    </row>
    <row r="12" spans="1:17">
      <c r="A12" s="7" t="s">
        <v>1547</v>
      </c>
      <c r="D12" s="94"/>
      <c r="E12" s="7" t="s">
        <v>1901</v>
      </c>
      <c r="F12" s="36"/>
      <c r="G12" s="36"/>
    </row>
    <row r="13" spans="1:17">
      <c r="D13" s="69"/>
      <c r="F13" s="36"/>
      <c r="G13" s="36"/>
    </row>
    <row r="14" spans="1:17">
      <c r="A14" s="7" t="s">
        <v>2187</v>
      </c>
      <c r="D14" s="93"/>
      <c r="E14" s="7" t="s">
        <v>2188</v>
      </c>
      <c r="F14" s="101"/>
    </row>
    <row r="15" spans="1:17">
      <c r="D15" s="89"/>
      <c r="F15" s="101"/>
    </row>
    <row r="16" spans="1:17">
      <c r="A16" s="7" t="s">
        <v>2189</v>
      </c>
      <c r="D16" s="93"/>
      <c r="E16" s="7" t="s">
        <v>2188</v>
      </c>
      <c r="F16" s="101"/>
    </row>
    <row r="17" spans="1:10">
      <c r="D17" s="69"/>
      <c r="F17" s="101"/>
    </row>
    <row r="18" spans="1:10">
      <c r="A18" s="7" t="s">
        <v>864</v>
      </c>
      <c r="D18" s="102" t="e">
        <f>PMT(D10/12,D16*12,-D5,0,0)*12</f>
        <v>#NUM!</v>
      </c>
      <c r="E18" s="7" t="s">
        <v>1369</v>
      </c>
      <c r="F18" s="101"/>
    </row>
    <row r="19" spans="1:10">
      <c r="D19" s="69"/>
      <c r="F19" s="101"/>
    </row>
    <row r="20" spans="1:10">
      <c r="A20" s="7" t="s">
        <v>1370</v>
      </c>
      <c r="D20" s="69" t="e">
        <f>D18/12</f>
        <v>#NUM!</v>
      </c>
      <c r="E20" s="7" t="s">
        <v>1369</v>
      </c>
      <c r="F20" s="101"/>
    </row>
    <row r="24" spans="1:10" ht="18" customHeight="1">
      <c r="A24" s="2142" t="s">
        <v>1548</v>
      </c>
      <c r="B24" s="2142"/>
      <c r="C24" s="2142"/>
      <c r="D24" s="2142"/>
      <c r="E24" s="2142"/>
      <c r="F24" s="2142"/>
      <c r="J24" s="103"/>
    </row>
    <row r="25" spans="1:10">
      <c r="C25" s="69"/>
      <c r="J25" s="103"/>
    </row>
    <row r="26" spans="1:10">
      <c r="A26" s="25"/>
      <c r="B26" s="19"/>
      <c r="C26" s="2146" t="s">
        <v>1999</v>
      </c>
      <c r="D26" s="98"/>
      <c r="E26" s="19"/>
      <c r="F26" s="2146" t="s">
        <v>1999</v>
      </c>
      <c r="J26" s="103"/>
    </row>
    <row r="27" spans="1:10">
      <c r="A27" s="104" t="s">
        <v>2199</v>
      </c>
      <c r="B27" s="18" t="s">
        <v>950</v>
      </c>
      <c r="C27" s="2147"/>
      <c r="D27" s="105" t="s">
        <v>2199</v>
      </c>
      <c r="E27" s="18" t="s">
        <v>950</v>
      </c>
      <c r="F27" s="2147"/>
      <c r="J27" s="103"/>
    </row>
    <row r="28" spans="1:10">
      <c r="A28" s="106">
        <v>1</v>
      </c>
      <c r="B28" s="121">
        <f>IF(A28&gt;D14,0,E55*$D$12)</f>
        <v>0</v>
      </c>
      <c r="C28" s="121">
        <f>IF(A28&gt;$D$14,0,$D$18+B28)</f>
        <v>0</v>
      </c>
      <c r="D28" s="107">
        <v>21</v>
      </c>
      <c r="E28" s="121">
        <f>IF(D28&gt;$D$14,0,E295*$D$12)</f>
        <v>0</v>
      </c>
      <c r="F28" s="121">
        <f>IF(D28&gt;$D$14,0,$D$18+E28)</f>
        <v>0</v>
      </c>
      <c r="J28" s="103"/>
    </row>
    <row r="29" spans="1:10">
      <c r="A29" s="106">
        <v>2</v>
      </c>
      <c r="B29" s="122">
        <f>IF(A29&gt;D14,0,E67*$D$12)</f>
        <v>0</v>
      </c>
      <c r="C29" s="121">
        <f t="shared" ref="C29:C47" si="0">IF(A29&gt;$D$14,0,$D$18+B29)</f>
        <v>0</v>
      </c>
      <c r="D29" s="107">
        <v>22</v>
      </c>
      <c r="E29" s="121">
        <f>IF(D29&gt;$D$14,0,E307*$D$12)</f>
        <v>0</v>
      </c>
      <c r="F29" s="121">
        <f t="shared" ref="F29:F47" si="1">IF(D29&gt;$D$14,0,$D$18+E29)</f>
        <v>0</v>
      </c>
      <c r="J29" s="103"/>
    </row>
    <row r="30" spans="1:10">
      <c r="A30" s="106">
        <v>3</v>
      </c>
      <c r="B30" s="121">
        <f>IF(A30&gt;D14,0,E79*$D$12)</f>
        <v>0</v>
      </c>
      <c r="C30" s="121">
        <f t="shared" si="0"/>
        <v>0</v>
      </c>
      <c r="D30" s="107">
        <v>23</v>
      </c>
      <c r="E30" s="121">
        <f>IF(D30&gt;$D$14,0,E319*$D$12)</f>
        <v>0</v>
      </c>
      <c r="F30" s="121">
        <f t="shared" si="1"/>
        <v>0</v>
      </c>
      <c r="J30" s="103"/>
    </row>
    <row r="31" spans="1:10">
      <c r="A31" s="106">
        <v>4</v>
      </c>
      <c r="B31" s="121">
        <f>IF(A31&gt;D14,0,E91*$D$12)</f>
        <v>0</v>
      </c>
      <c r="C31" s="121">
        <f t="shared" si="0"/>
        <v>0</v>
      </c>
      <c r="D31" s="107">
        <v>24</v>
      </c>
      <c r="E31" s="121">
        <f>IF(D31&gt;$D$14,0,E331*$D$12)</f>
        <v>0</v>
      </c>
      <c r="F31" s="121">
        <f t="shared" si="1"/>
        <v>0</v>
      </c>
      <c r="J31" s="103"/>
    </row>
    <row r="32" spans="1:10">
      <c r="A32" s="106">
        <v>5</v>
      </c>
      <c r="B32" s="121">
        <f>IF(A32&gt;D14,0,E103*$D$12)</f>
        <v>0</v>
      </c>
      <c r="C32" s="123">
        <f t="shared" si="0"/>
        <v>0</v>
      </c>
      <c r="D32" s="107">
        <v>25</v>
      </c>
      <c r="E32" s="121">
        <f>IF(D32&gt;$D$14,0,E343*$D$12)</f>
        <v>0</v>
      </c>
      <c r="F32" s="123">
        <f t="shared" si="1"/>
        <v>0</v>
      </c>
      <c r="J32" s="103"/>
    </row>
    <row r="33" spans="1:10">
      <c r="A33" s="108">
        <v>6</v>
      </c>
      <c r="B33" s="124">
        <f>IF(A33&gt;D14,0,E115*$D$12)</f>
        <v>0</v>
      </c>
      <c r="C33" s="121">
        <f t="shared" si="0"/>
        <v>0</v>
      </c>
      <c r="D33" s="109">
        <v>26</v>
      </c>
      <c r="E33" s="124">
        <f>IF(D33&gt;$D$14,0,E355*$D$12)</f>
        <v>0</v>
      </c>
      <c r="F33" s="121">
        <f t="shared" si="1"/>
        <v>0</v>
      </c>
      <c r="J33" s="103"/>
    </row>
    <row r="34" spans="1:10">
      <c r="A34" s="110">
        <v>7</v>
      </c>
      <c r="B34" s="125">
        <f>IF(A34&gt;D14,0,E127*$D$12)</f>
        <v>0</v>
      </c>
      <c r="C34" s="121">
        <f t="shared" si="0"/>
        <v>0</v>
      </c>
      <c r="D34" s="107">
        <v>27</v>
      </c>
      <c r="E34" s="125">
        <f>IF(D34&gt;$D$14,0,E367*$D$12)</f>
        <v>0</v>
      </c>
      <c r="F34" s="121">
        <f t="shared" si="1"/>
        <v>0</v>
      </c>
      <c r="J34" s="103"/>
    </row>
    <row r="35" spans="1:10">
      <c r="A35" s="110">
        <v>8</v>
      </c>
      <c r="B35" s="125">
        <f>IF(A35&gt;D14,0,E139*$D$12)</f>
        <v>0</v>
      </c>
      <c r="C35" s="121">
        <f t="shared" si="0"/>
        <v>0</v>
      </c>
      <c r="D35" s="107">
        <v>28</v>
      </c>
      <c r="E35" s="125">
        <f>IF(D35&gt;$D$14,0,E379*$D$12)</f>
        <v>0</v>
      </c>
      <c r="F35" s="121">
        <f t="shared" si="1"/>
        <v>0</v>
      </c>
      <c r="J35" s="103"/>
    </row>
    <row r="36" spans="1:10">
      <c r="A36" s="110">
        <v>9</v>
      </c>
      <c r="B36" s="125">
        <f>IF(A36&gt;D14,0,E151*$D$12)</f>
        <v>0</v>
      </c>
      <c r="C36" s="121">
        <f t="shared" si="0"/>
        <v>0</v>
      </c>
      <c r="D36" s="107">
        <v>29</v>
      </c>
      <c r="E36" s="125">
        <f>IF(D36&gt;$D$14,0,E391*$D$12)</f>
        <v>0</v>
      </c>
      <c r="F36" s="121">
        <f t="shared" si="1"/>
        <v>0</v>
      </c>
      <c r="J36" s="103"/>
    </row>
    <row r="37" spans="1:10">
      <c r="A37" s="111">
        <v>10</v>
      </c>
      <c r="B37" s="123">
        <f>IF(A37&gt;D14,0,E163*$D$12)</f>
        <v>0</v>
      </c>
      <c r="C37" s="123">
        <f t="shared" si="0"/>
        <v>0</v>
      </c>
      <c r="D37" s="112">
        <v>30</v>
      </c>
      <c r="E37" s="123">
        <f>IF(D37&gt;$D$14,0,E403*$D$12)</f>
        <v>0</v>
      </c>
      <c r="F37" s="123">
        <f t="shared" si="1"/>
        <v>0</v>
      </c>
      <c r="J37" s="103"/>
    </row>
    <row r="38" spans="1:10">
      <c r="A38" s="113">
        <v>11</v>
      </c>
      <c r="B38" s="121">
        <f>IF(A38&gt;D14,0,E175*$D$12)</f>
        <v>0</v>
      </c>
      <c r="C38" s="121">
        <f t="shared" si="0"/>
        <v>0</v>
      </c>
      <c r="D38" s="107">
        <v>31</v>
      </c>
      <c r="E38" s="121">
        <f>IF(D38&gt;$D$14,0,E415*$D$12)</f>
        <v>0</v>
      </c>
      <c r="F38" s="121">
        <f t="shared" si="1"/>
        <v>0</v>
      </c>
      <c r="J38" s="103"/>
    </row>
    <row r="39" spans="1:10">
      <c r="A39" s="113">
        <v>12</v>
      </c>
      <c r="B39" s="121">
        <f>IF(A39&gt;D14,0,E187*$D$12)</f>
        <v>0</v>
      </c>
      <c r="C39" s="121">
        <f t="shared" si="0"/>
        <v>0</v>
      </c>
      <c r="D39" s="107">
        <v>32</v>
      </c>
      <c r="E39" s="121">
        <f>IF(D39&gt;$D$14,0,E427*$D$12)</f>
        <v>0</v>
      </c>
      <c r="F39" s="121">
        <f t="shared" si="1"/>
        <v>0</v>
      </c>
      <c r="J39" s="103"/>
    </row>
    <row r="40" spans="1:10">
      <c r="A40" s="113">
        <v>13</v>
      </c>
      <c r="B40" s="121">
        <f>IF(A40&gt;D14,0,E199*$D$12)</f>
        <v>0</v>
      </c>
      <c r="C40" s="121">
        <f t="shared" si="0"/>
        <v>0</v>
      </c>
      <c r="D40" s="107">
        <v>33</v>
      </c>
      <c r="E40" s="121">
        <f>IF(D40&gt;$D$14,0,E439*$D$12)</f>
        <v>0</v>
      </c>
      <c r="F40" s="121">
        <f t="shared" si="1"/>
        <v>0</v>
      </c>
      <c r="J40" s="103"/>
    </row>
    <row r="41" spans="1:10">
      <c r="A41" s="113">
        <v>14</v>
      </c>
      <c r="B41" s="121">
        <f>IF(A41&gt;D14,0,E211*$D$12)</f>
        <v>0</v>
      </c>
      <c r="C41" s="121">
        <f t="shared" si="0"/>
        <v>0</v>
      </c>
      <c r="D41" s="107">
        <v>34</v>
      </c>
      <c r="E41" s="121">
        <f>IF(D41&gt;$D$14,0,E451*$D$12)</f>
        <v>0</v>
      </c>
      <c r="F41" s="121">
        <f t="shared" si="1"/>
        <v>0</v>
      </c>
      <c r="J41" s="103"/>
    </row>
    <row r="42" spans="1:10">
      <c r="A42" s="113">
        <v>15</v>
      </c>
      <c r="B42" s="121">
        <f>IF(A42&gt;D14,0,E223*$D$12)</f>
        <v>0</v>
      </c>
      <c r="C42" s="123">
        <f t="shared" si="0"/>
        <v>0</v>
      </c>
      <c r="D42" s="107">
        <v>35</v>
      </c>
      <c r="E42" s="121">
        <f>IF(D42&gt;$D$14,0,E463*$D$12)</f>
        <v>0</v>
      </c>
      <c r="F42" s="123">
        <f t="shared" si="1"/>
        <v>0</v>
      </c>
      <c r="J42" s="103"/>
    </row>
    <row r="43" spans="1:10">
      <c r="A43" s="114">
        <v>16</v>
      </c>
      <c r="B43" s="124">
        <f>IF(A43&gt;D14,0,E235*$D$12)</f>
        <v>0</v>
      </c>
      <c r="C43" s="121">
        <f t="shared" si="0"/>
        <v>0</v>
      </c>
      <c r="D43" s="109">
        <v>36</v>
      </c>
      <c r="E43" s="124">
        <f>IF(D43&gt;$D$14,0,E475*$D$12)</f>
        <v>0</v>
      </c>
      <c r="F43" s="121">
        <f t="shared" si="1"/>
        <v>0</v>
      </c>
      <c r="J43" s="103"/>
    </row>
    <row r="44" spans="1:10">
      <c r="A44" s="110">
        <v>17</v>
      </c>
      <c r="B44" s="125">
        <f>IF(A44&gt;D14,0,E247*$D$12)</f>
        <v>0</v>
      </c>
      <c r="C44" s="121">
        <f t="shared" si="0"/>
        <v>0</v>
      </c>
      <c r="D44" s="107">
        <v>37</v>
      </c>
      <c r="E44" s="125">
        <f>IF(D44&gt;$D$14,0,E487*$D$12)</f>
        <v>0</v>
      </c>
      <c r="F44" s="121">
        <f t="shared" si="1"/>
        <v>0</v>
      </c>
      <c r="J44" s="103"/>
    </row>
    <row r="45" spans="1:10">
      <c r="A45" s="110">
        <v>18</v>
      </c>
      <c r="B45" s="125">
        <f>IF(A45&gt;D14,0,E259*$D$12)</f>
        <v>0</v>
      </c>
      <c r="C45" s="121">
        <f t="shared" si="0"/>
        <v>0</v>
      </c>
      <c r="D45" s="107">
        <v>38</v>
      </c>
      <c r="E45" s="125">
        <f>IF(D45&gt;$D$14,0,E499*$D$12)</f>
        <v>0</v>
      </c>
      <c r="F45" s="121">
        <f t="shared" si="1"/>
        <v>0</v>
      </c>
      <c r="J45" s="103"/>
    </row>
    <row r="46" spans="1:10">
      <c r="A46" s="110">
        <v>19</v>
      </c>
      <c r="B46" s="125">
        <f>IF(A46&gt;D14,0,E271*$D$12)</f>
        <v>0</v>
      </c>
      <c r="C46" s="121">
        <f t="shared" si="0"/>
        <v>0</v>
      </c>
      <c r="D46" s="107">
        <v>39</v>
      </c>
      <c r="E46" s="125">
        <f>IF(D46&gt;$D$14,0,E511*$D$12)</f>
        <v>0</v>
      </c>
      <c r="F46" s="121">
        <f t="shared" si="1"/>
        <v>0</v>
      </c>
      <c r="J46" s="103"/>
    </row>
    <row r="47" spans="1:10">
      <c r="A47" s="111">
        <v>20</v>
      </c>
      <c r="B47" s="123">
        <f>IF(A47&gt;D14,0,E283*$D$12)</f>
        <v>0</v>
      </c>
      <c r="C47" s="123">
        <f t="shared" si="0"/>
        <v>0</v>
      </c>
      <c r="D47" s="112">
        <v>40</v>
      </c>
      <c r="E47" s="123">
        <f>IF(D47&gt;$D$14,0,E523*$D$12)</f>
        <v>0</v>
      </c>
      <c r="F47" s="123">
        <f t="shared" si="1"/>
        <v>0</v>
      </c>
      <c r="J47" s="103"/>
    </row>
    <row r="48" spans="1:10">
      <c r="C48" s="69"/>
      <c r="J48" s="103"/>
    </row>
    <row r="49" spans="1:10">
      <c r="C49" s="69"/>
      <c r="J49" s="103"/>
    </row>
    <row r="50" spans="1:10" ht="13.9" customHeight="1">
      <c r="A50" s="2139" t="str">
        <f>CONCATENATE('Part I-Project Information'!$O$4," ",'Part I-Project Information'!$F$24,", ",'Part I-Project Information'!$F$27,", ",'Part I-Project Information'!$J$28," County")</f>
        <v>20##-### SB OHF Test Villas, Peachtree Corners, Gwinnett County</v>
      </c>
      <c r="B50" s="2139"/>
      <c r="C50" s="2139"/>
      <c r="D50" s="2139"/>
      <c r="E50" s="2139"/>
      <c r="F50" s="2139"/>
      <c r="G50" s="92"/>
      <c r="H50" s="92"/>
    </row>
    <row r="51" spans="1:10" ht="15">
      <c r="A51" s="2140" t="s">
        <v>2190</v>
      </c>
      <c r="B51" s="2140"/>
      <c r="C51" s="2140"/>
      <c r="D51" s="2140"/>
      <c r="E51" s="2140"/>
      <c r="F51" s="2140"/>
      <c r="G51" s="115"/>
      <c r="H51" s="115"/>
      <c r="I51" s="115"/>
      <c r="J51" s="115"/>
    </row>
    <row r="52" spans="1:10" ht="5.45" customHeight="1">
      <c r="C52" s="69"/>
      <c r="D52" s="69"/>
      <c r="G52" s="74"/>
      <c r="H52" s="68"/>
      <c r="I52" s="74"/>
    </row>
    <row r="53" spans="1:10">
      <c r="A53" s="72" t="s">
        <v>2191</v>
      </c>
      <c r="B53" s="72" t="s">
        <v>2192</v>
      </c>
      <c r="C53" s="72" t="s">
        <v>1196</v>
      </c>
      <c r="D53" s="72" t="s">
        <v>2193</v>
      </c>
      <c r="E53" s="72" t="s">
        <v>2194</v>
      </c>
      <c r="F53" s="97" t="s">
        <v>2199</v>
      </c>
      <c r="G53" s="116"/>
      <c r="H53" s="116"/>
      <c r="I53" s="116"/>
    </row>
    <row r="54" spans="1:10" ht="3.6" customHeight="1">
      <c r="F54" s="19"/>
      <c r="G54" s="74"/>
      <c r="H54" s="68"/>
      <c r="I54" s="74"/>
    </row>
    <row r="55" spans="1:10">
      <c r="A55" s="7" t="s">
        <v>2195</v>
      </c>
      <c r="E55" s="69">
        <f>D5</f>
        <v>0</v>
      </c>
      <c r="F55" s="19"/>
      <c r="G55" s="74"/>
      <c r="H55" s="68"/>
      <c r="I55" s="74"/>
    </row>
    <row r="56" spans="1:10">
      <c r="A56" s="117">
        <v>1</v>
      </c>
      <c r="B56" s="80">
        <f t="shared" ref="B56:B119" si="2">IF(A56&gt;12*$D$14,0,$D$20)</f>
        <v>0</v>
      </c>
      <c r="C56" s="80">
        <f t="shared" ref="C56:C119" si="3">IF(A56&gt;12*$D$14,0,E55*$D$10/12)</f>
        <v>0</v>
      </c>
      <c r="D56" s="80">
        <f t="shared" ref="D56:D119" si="4">IF(A56&gt;12*$D$14,0,B56-C56)</f>
        <v>0</v>
      </c>
      <c r="E56" s="80">
        <f t="shared" ref="E56:E119" si="5">IF(A56&gt;12*$D$14,0,E55-D56)</f>
        <v>0</v>
      </c>
      <c r="F56" s="79"/>
      <c r="G56" s="118"/>
      <c r="H56" s="88"/>
      <c r="I56" s="74"/>
    </row>
    <row r="57" spans="1:10">
      <c r="A57" s="117">
        <v>2</v>
      </c>
      <c r="B57" s="80">
        <f t="shared" si="2"/>
        <v>0</v>
      </c>
      <c r="C57" s="80">
        <f t="shared" si="3"/>
        <v>0</v>
      </c>
      <c r="D57" s="80">
        <f t="shared" si="4"/>
        <v>0</v>
      </c>
      <c r="E57" s="80">
        <f t="shared" si="5"/>
        <v>0</v>
      </c>
      <c r="F57" s="79"/>
      <c r="G57" s="118"/>
      <c r="H57" s="88"/>
      <c r="I57" s="74"/>
    </row>
    <row r="58" spans="1:10">
      <c r="A58" s="117">
        <v>3</v>
      </c>
      <c r="B58" s="80">
        <f t="shared" si="2"/>
        <v>0</v>
      </c>
      <c r="C58" s="80">
        <f t="shared" si="3"/>
        <v>0</v>
      </c>
      <c r="D58" s="80">
        <f t="shared" si="4"/>
        <v>0</v>
      </c>
      <c r="E58" s="80">
        <f t="shared" si="5"/>
        <v>0</v>
      </c>
      <c r="F58" s="79"/>
      <c r="G58" s="118"/>
      <c r="H58" s="88"/>
      <c r="I58" s="74"/>
    </row>
    <row r="59" spans="1:10">
      <c r="A59" s="117">
        <v>4</v>
      </c>
      <c r="B59" s="80">
        <f t="shared" si="2"/>
        <v>0</v>
      </c>
      <c r="C59" s="80">
        <f t="shared" si="3"/>
        <v>0</v>
      </c>
      <c r="D59" s="80">
        <f t="shared" si="4"/>
        <v>0</v>
      </c>
      <c r="E59" s="80">
        <f t="shared" si="5"/>
        <v>0</v>
      </c>
      <c r="F59" s="79"/>
      <c r="G59" s="118"/>
      <c r="H59" s="88"/>
      <c r="I59" s="74"/>
    </row>
    <row r="60" spans="1:10">
      <c r="A60" s="117">
        <v>5</v>
      </c>
      <c r="B60" s="80">
        <f t="shared" si="2"/>
        <v>0</v>
      </c>
      <c r="C60" s="80">
        <f t="shared" si="3"/>
        <v>0</v>
      </c>
      <c r="D60" s="80">
        <f t="shared" si="4"/>
        <v>0</v>
      </c>
      <c r="E60" s="80">
        <f t="shared" si="5"/>
        <v>0</v>
      </c>
      <c r="F60" s="79"/>
      <c r="G60" s="118"/>
      <c r="H60" s="88"/>
      <c r="I60" s="74"/>
    </row>
    <row r="61" spans="1:10">
      <c r="A61" s="117">
        <v>6</v>
      </c>
      <c r="B61" s="80">
        <f t="shared" si="2"/>
        <v>0</v>
      </c>
      <c r="C61" s="80">
        <f t="shared" si="3"/>
        <v>0</v>
      </c>
      <c r="D61" s="80">
        <f t="shared" si="4"/>
        <v>0</v>
      </c>
      <c r="E61" s="80">
        <f t="shared" si="5"/>
        <v>0</v>
      </c>
      <c r="F61" s="79"/>
      <c r="G61" s="118"/>
      <c r="H61" s="88"/>
      <c r="I61" s="74"/>
    </row>
    <row r="62" spans="1:10">
      <c r="A62" s="117">
        <v>7</v>
      </c>
      <c r="B62" s="80">
        <f t="shared" si="2"/>
        <v>0</v>
      </c>
      <c r="C62" s="80">
        <f t="shared" si="3"/>
        <v>0</v>
      </c>
      <c r="D62" s="80">
        <f t="shared" si="4"/>
        <v>0</v>
      </c>
      <c r="E62" s="80">
        <f t="shared" si="5"/>
        <v>0</v>
      </c>
      <c r="F62" s="79"/>
      <c r="G62" s="118"/>
      <c r="H62" s="88"/>
      <c r="I62" s="74"/>
    </row>
    <row r="63" spans="1:10">
      <c r="A63" s="117">
        <v>8</v>
      </c>
      <c r="B63" s="80">
        <f t="shared" si="2"/>
        <v>0</v>
      </c>
      <c r="C63" s="80">
        <f t="shared" si="3"/>
        <v>0</v>
      </c>
      <c r="D63" s="80">
        <f t="shared" si="4"/>
        <v>0</v>
      </c>
      <c r="E63" s="80">
        <f t="shared" si="5"/>
        <v>0</v>
      </c>
      <c r="F63" s="79"/>
      <c r="G63" s="118"/>
      <c r="H63" s="88"/>
      <c r="I63" s="74"/>
    </row>
    <row r="64" spans="1:10">
      <c r="A64" s="117">
        <v>9</v>
      </c>
      <c r="B64" s="80">
        <f t="shared" si="2"/>
        <v>0</v>
      </c>
      <c r="C64" s="80">
        <f t="shared" si="3"/>
        <v>0</v>
      </c>
      <c r="D64" s="80">
        <f t="shared" si="4"/>
        <v>0</v>
      </c>
      <c r="E64" s="80">
        <f t="shared" si="5"/>
        <v>0</v>
      </c>
      <c r="F64" s="79"/>
      <c r="G64" s="118"/>
      <c r="H64" s="88"/>
      <c r="I64" s="74"/>
    </row>
    <row r="65" spans="1:9">
      <c r="A65" s="117">
        <v>10</v>
      </c>
      <c r="B65" s="80">
        <f t="shared" si="2"/>
        <v>0</v>
      </c>
      <c r="C65" s="80">
        <f t="shared" si="3"/>
        <v>0</v>
      </c>
      <c r="D65" s="80">
        <f t="shared" si="4"/>
        <v>0</v>
      </c>
      <c r="E65" s="80">
        <f t="shared" si="5"/>
        <v>0</v>
      </c>
      <c r="F65" s="79"/>
      <c r="G65" s="74"/>
      <c r="H65" s="68"/>
      <c r="I65" s="74"/>
    </row>
    <row r="66" spans="1:9">
      <c r="A66" s="117">
        <v>11</v>
      </c>
      <c r="B66" s="80">
        <f t="shared" si="2"/>
        <v>0</v>
      </c>
      <c r="C66" s="80">
        <f t="shared" si="3"/>
        <v>0</v>
      </c>
      <c r="D66" s="80">
        <f t="shared" si="4"/>
        <v>0</v>
      </c>
      <c r="E66" s="80">
        <f t="shared" si="5"/>
        <v>0</v>
      </c>
      <c r="F66" s="79"/>
      <c r="G66" s="74"/>
      <c r="H66" s="68"/>
      <c r="I66" s="74"/>
    </row>
    <row r="67" spans="1:9">
      <c r="A67" s="117">
        <v>12</v>
      </c>
      <c r="B67" s="80">
        <f t="shared" si="2"/>
        <v>0</v>
      </c>
      <c r="C67" s="80">
        <f t="shared" si="3"/>
        <v>0</v>
      </c>
      <c r="D67" s="80">
        <f t="shared" si="4"/>
        <v>0</v>
      </c>
      <c r="E67" s="80">
        <f t="shared" si="5"/>
        <v>0</v>
      </c>
      <c r="F67" s="79">
        <v>1</v>
      </c>
      <c r="G67" s="118"/>
      <c r="H67" s="88"/>
      <c r="I67" s="118"/>
    </row>
    <row r="68" spans="1:9">
      <c r="A68" s="117">
        <v>13</v>
      </c>
      <c r="B68" s="80">
        <f t="shared" si="2"/>
        <v>0</v>
      </c>
      <c r="C68" s="80">
        <f t="shared" si="3"/>
        <v>0</v>
      </c>
      <c r="D68" s="80">
        <f t="shared" si="4"/>
        <v>0</v>
      </c>
      <c r="E68" s="80">
        <f t="shared" si="5"/>
        <v>0</v>
      </c>
      <c r="F68" s="79"/>
      <c r="G68" s="74"/>
      <c r="H68" s="68"/>
      <c r="I68" s="118"/>
    </row>
    <row r="69" spans="1:9">
      <c r="A69" s="117">
        <v>14</v>
      </c>
      <c r="B69" s="80">
        <f t="shared" si="2"/>
        <v>0</v>
      </c>
      <c r="C69" s="80">
        <f t="shared" si="3"/>
        <v>0</v>
      </c>
      <c r="D69" s="80">
        <f t="shared" si="4"/>
        <v>0</v>
      </c>
      <c r="E69" s="80">
        <f t="shared" si="5"/>
        <v>0</v>
      </c>
      <c r="F69" s="79"/>
      <c r="G69" s="74"/>
      <c r="H69" s="68"/>
      <c r="I69" s="74"/>
    </row>
    <row r="70" spans="1:9">
      <c r="A70" s="117">
        <v>15</v>
      </c>
      <c r="B70" s="80">
        <f t="shared" si="2"/>
        <v>0</v>
      </c>
      <c r="C70" s="80">
        <f t="shared" si="3"/>
        <v>0</v>
      </c>
      <c r="D70" s="80">
        <f t="shared" si="4"/>
        <v>0</v>
      </c>
      <c r="E70" s="80">
        <f t="shared" si="5"/>
        <v>0</v>
      </c>
      <c r="F70" s="79"/>
      <c r="G70" s="74"/>
      <c r="H70" s="68"/>
      <c r="I70" s="74"/>
    </row>
    <row r="71" spans="1:9">
      <c r="A71" s="117">
        <v>16</v>
      </c>
      <c r="B71" s="80">
        <f t="shared" si="2"/>
        <v>0</v>
      </c>
      <c r="C71" s="80">
        <f t="shared" si="3"/>
        <v>0</v>
      </c>
      <c r="D71" s="80">
        <f t="shared" si="4"/>
        <v>0</v>
      </c>
      <c r="E71" s="80">
        <f t="shared" si="5"/>
        <v>0</v>
      </c>
      <c r="F71" s="79"/>
      <c r="G71" s="74"/>
      <c r="H71" s="68"/>
      <c r="I71" s="74"/>
    </row>
    <row r="72" spans="1:9">
      <c r="A72" s="117">
        <v>17</v>
      </c>
      <c r="B72" s="80">
        <f t="shared" si="2"/>
        <v>0</v>
      </c>
      <c r="C72" s="80">
        <f t="shared" si="3"/>
        <v>0</v>
      </c>
      <c r="D72" s="80">
        <f t="shared" si="4"/>
        <v>0</v>
      </c>
      <c r="E72" s="80">
        <f t="shared" si="5"/>
        <v>0</v>
      </c>
      <c r="F72" s="79"/>
      <c r="G72" s="74"/>
      <c r="H72" s="68"/>
      <c r="I72" s="74"/>
    </row>
    <row r="73" spans="1:9">
      <c r="A73" s="117">
        <v>18</v>
      </c>
      <c r="B73" s="80">
        <f t="shared" si="2"/>
        <v>0</v>
      </c>
      <c r="C73" s="80">
        <f t="shared" si="3"/>
        <v>0</v>
      </c>
      <c r="D73" s="80">
        <f t="shared" si="4"/>
        <v>0</v>
      </c>
      <c r="E73" s="80">
        <f t="shared" si="5"/>
        <v>0</v>
      </c>
      <c r="F73" s="79"/>
      <c r="G73" s="118"/>
      <c r="H73" s="88"/>
      <c r="I73" s="74"/>
    </row>
    <row r="74" spans="1:9">
      <c r="A74" s="117">
        <v>19</v>
      </c>
      <c r="B74" s="80">
        <f t="shared" si="2"/>
        <v>0</v>
      </c>
      <c r="C74" s="80">
        <f t="shared" si="3"/>
        <v>0</v>
      </c>
      <c r="D74" s="80">
        <f t="shared" si="4"/>
        <v>0</v>
      </c>
      <c r="E74" s="80">
        <f t="shared" si="5"/>
        <v>0</v>
      </c>
      <c r="F74" s="79"/>
      <c r="G74" s="118"/>
      <c r="H74" s="88"/>
      <c r="I74" s="74"/>
    </row>
    <row r="75" spans="1:9">
      <c r="A75" s="117">
        <v>20</v>
      </c>
      <c r="B75" s="80">
        <f t="shared" si="2"/>
        <v>0</v>
      </c>
      <c r="C75" s="80">
        <f t="shared" si="3"/>
        <v>0</v>
      </c>
      <c r="D75" s="80">
        <f t="shared" si="4"/>
        <v>0</v>
      </c>
      <c r="E75" s="80">
        <f t="shared" si="5"/>
        <v>0</v>
      </c>
      <c r="F75" s="79"/>
      <c r="G75" s="118"/>
      <c r="H75" s="88"/>
      <c r="I75" s="74"/>
    </row>
    <row r="76" spans="1:9">
      <c r="A76" s="117">
        <v>21</v>
      </c>
      <c r="B76" s="80">
        <f t="shared" si="2"/>
        <v>0</v>
      </c>
      <c r="C76" s="80">
        <f t="shared" si="3"/>
        <v>0</v>
      </c>
      <c r="D76" s="80">
        <f t="shared" si="4"/>
        <v>0</v>
      </c>
      <c r="E76" s="80">
        <f t="shared" si="5"/>
        <v>0</v>
      </c>
      <c r="F76" s="79"/>
      <c r="G76" s="118"/>
      <c r="H76" s="88"/>
      <c r="I76" s="74"/>
    </row>
    <row r="77" spans="1:9">
      <c r="A77" s="117">
        <v>22</v>
      </c>
      <c r="B77" s="80">
        <f t="shared" si="2"/>
        <v>0</v>
      </c>
      <c r="C77" s="80">
        <f t="shared" si="3"/>
        <v>0</v>
      </c>
      <c r="D77" s="80">
        <f t="shared" si="4"/>
        <v>0</v>
      </c>
      <c r="E77" s="80">
        <f t="shared" si="5"/>
        <v>0</v>
      </c>
      <c r="F77" s="79"/>
      <c r="G77" s="74"/>
      <c r="H77" s="68"/>
      <c r="I77" s="74"/>
    </row>
    <row r="78" spans="1:9">
      <c r="A78" s="117">
        <v>23</v>
      </c>
      <c r="B78" s="80">
        <f t="shared" si="2"/>
        <v>0</v>
      </c>
      <c r="C78" s="80">
        <f t="shared" si="3"/>
        <v>0</v>
      </c>
      <c r="D78" s="80">
        <f t="shared" si="4"/>
        <v>0</v>
      </c>
      <c r="E78" s="80">
        <f t="shared" si="5"/>
        <v>0</v>
      </c>
      <c r="F78" s="79"/>
      <c r="G78" s="74"/>
      <c r="H78" s="68"/>
      <c r="I78" s="74"/>
    </row>
    <row r="79" spans="1:9">
      <c r="A79" s="117">
        <v>24</v>
      </c>
      <c r="B79" s="80">
        <f t="shared" si="2"/>
        <v>0</v>
      </c>
      <c r="C79" s="80">
        <f t="shared" si="3"/>
        <v>0</v>
      </c>
      <c r="D79" s="80">
        <f t="shared" si="4"/>
        <v>0</v>
      </c>
      <c r="E79" s="80">
        <f t="shared" si="5"/>
        <v>0</v>
      </c>
      <c r="F79" s="79">
        <v>2</v>
      </c>
      <c r="G79" s="118"/>
      <c r="H79" s="88"/>
      <c r="I79" s="118"/>
    </row>
    <row r="80" spans="1:9">
      <c r="A80" s="117">
        <v>25</v>
      </c>
      <c r="B80" s="80">
        <f t="shared" si="2"/>
        <v>0</v>
      </c>
      <c r="C80" s="80">
        <f t="shared" si="3"/>
        <v>0</v>
      </c>
      <c r="D80" s="80">
        <f t="shared" si="4"/>
        <v>0</v>
      </c>
      <c r="E80" s="80">
        <f t="shared" si="5"/>
        <v>0</v>
      </c>
      <c r="F80" s="79"/>
      <c r="G80" s="74"/>
      <c r="H80" s="68"/>
      <c r="I80" s="118"/>
    </row>
    <row r="81" spans="1:9">
      <c r="A81" s="117">
        <v>26</v>
      </c>
      <c r="B81" s="80">
        <f t="shared" si="2"/>
        <v>0</v>
      </c>
      <c r="C81" s="80">
        <f t="shared" si="3"/>
        <v>0</v>
      </c>
      <c r="D81" s="80">
        <f t="shared" si="4"/>
        <v>0</v>
      </c>
      <c r="E81" s="80">
        <f t="shared" si="5"/>
        <v>0</v>
      </c>
      <c r="F81" s="79"/>
      <c r="G81" s="74"/>
      <c r="H81" s="68"/>
      <c r="I81" s="74"/>
    </row>
    <row r="82" spans="1:9">
      <c r="A82" s="117">
        <v>27</v>
      </c>
      <c r="B82" s="80">
        <f t="shared" si="2"/>
        <v>0</v>
      </c>
      <c r="C82" s="80">
        <f t="shared" si="3"/>
        <v>0</v>
      </c>
      <c r="D82" s="80">
        <f t="shared" si="4"/>
        <v>0</v>
      </c>
      <c r="E82" s="80">
        <f t="shared" si="5"/>
        <v>0</v>
      </c>
      <c r="F82" s="79"/>
      <c r="G82" s="74"/>
      <c r="H82" s="68"/>
      <c r="I82" s="74"/>
    </row>
    <row r="83" spans="1:9">
      <c r="A83" s="117">
        <v>28</v>
      </c>
      <c r="B83" s="80">
        <f t="shared" si="2"/>
        <v>0</v>
      </c>
      <c r="C83" s="80">
        <f t="shared" si="3"/>
        <v>0</v>
      </c>
      <c r="D83" s="80">
        <f t="shared" si="4"/>
        <v>0</v>
      </c>
      <c r="E83" s="80">
        <f t="shared" si="5"/>
        <v>0</v>
      </c>
      <c r="F83" s="79"/>
      <c r="G83" s="74"/>
      <c r="H83" s="68"/>
      <c r="I83" s="74"/>
    </row>
    <row r="84" spans="1:9">
      <c r="A84" s="117">
        <v>29</v>
      </c>
      <c r="B84" s="80">
        <f t="shared" si="2"/>
        <v>0</v>
      </c>
      <c r="C84" s="80">
        <f t="shared" si="3"/>
        <v>0</v>
      </c>
      <c r="D84" s="80">
        <f t="shared" si="4"/>
        <v>0</v>
      </c>
      <c r="E84" s="80">
        <f t="shared" si="5"/>
        <v>0</v>
      </c>
      <c r="F84" s="79"/>
      <c r="G84" s="74"/>
      <c r="H84" s="68"/>
      <c r="I84" s="74"/>
    </row>
    <row r="85" spans="1:9">
      <c r="A85" s="117">
        <v>30</v>
      </c>
      <c r="B85" s="80">
        <f t="shared" si="2"/>
        <v>0</v>
      </c>
      <c r="C85" s="80">
        <f t="shared" si="3"/>
        <v>0</v>
      </c>
      <c r="D85" s="80">
        <f t="shared" si="4"/>
        <v>0</v>
      </c>
      <c r="E85" s="80">
        <f t="shared" si="5"/>
        <v>0</v>
      </c>
      <c r="F85" s="79"/>
      <c r="G85" s="118"/>
      <c r="H85" s="88"/>
      <c r="I85" s="74"/>
    </row>
    <row r="86" spans="1:9">
      <c r="A86" s="117">
        <v>31</v>
      </c>
      <c r="B86" s="80">
        <f t="shared" si="2"/>
        <v>0</v>
      </c>
      <c r="C86" s="80">
        <f t="shared" si="3"/>
        <v>0</v>
      </c>
      <c r="D86" s="80">
        <f t="shared" si="4"/>
        <v>0</v>
      </c>
      <c r="E86" s="80">
        <f t="shared" si="5"/>
        <v>0</v>
      </c>
      <c r="F86" s="79"/>
      <c r="G86" s="74"/>
      <c r="H86" s="68"/>
      <c r="I86" s="74"/>
    </row>
    <row r="87" spans="1:9">
      <c r="A87" s="117">
        <v>32</v>
      </c>
      <c r="B87" s="80">
        <f t="shared" si="2"/>
        <v>0</v>
      </c>
      <c r="C87" s="80">
        <f t="shared" si="3"/>
        <v>0</v>
      </c>
      <c r="D87" s="80">
        <f t="shared" si="4"/>
        <v>0</v>
      </c>
      <c r="E87" s="80">
        <f t="shared" si="5"/>
        <v>0</v>
      </c>
      <c r="F87" s="79"/>
      <c r="G87" s="74"/>
      <c r="H87" s="68"/>
      <c r="I87" s="74"/>
    </row>
    <row r="88" spans="1:9">
      <c r="A88" s="117">
        <v>33</v>
      </c>
      <c r="B88" s="80">
        <f t="shared" si="2"/>
        <v>0</v>
      </c>
      <c r="C88" s="80">
        <f t="shared" si="3"/>
        <v>0</v>
      </c>
      <c r="D88" s="80">
        <f t="shared" si="4"/>
        <v>0</v>
      </c>
      <c r="E88" s="80">
        <f t="shared" si="5"/>
        <v>0</v>
      </c>
      <c r="F88" s="79"/>
      <c r="G88" s="74"/>
      <c r="H88" s="68"/>
      <c r="I88" s="74"/>
    </row>
    <row r="89" spans="1:9">
      <c r="A89" s="117">
        <v>34</v>
      </c>
      <c r="B89" s="80">
        <f t="shared" si="2"/>
        <v>0</v>
      </c>
      <c r="C89" s="80">
        <f t="shared" si="3"/>
        <v>0</v>
      </c>
      <c r="D89" s="80">
        <f t="shared" si="4"/>
        <v>0</v>
      </c>
      <c r="E89" s="80">
        <f t="shared" si="5"/>
        <v>0</v>
      </c>
      <c r="F89" s="79"/>
      <c r="G89" s="74"/>
      <c r="H89" s="68"/>
      <c r="I89" s="74"/>
    </row>
    <row r="90" spans="1:9">
      <c r="A90" s="117">
        <v>35</v>
      </c>
      <c r="B90" s="80">
        <f t="shared" si="2"/>
        <v>0</v>
      </c>
      <c r="C90" s="80">
        <f t="shared" si="3"/>
        <v>0</v>
      </c>
      <c r="D90" s="80">
        <f t="shared" si="4"/>
        <v>0</v>
      </c>
      <c r="E90" s="80">
        <f t="shared" si="5"/>
        <v>0</v>
      </c>
      <c r="F90" s="79"/>
      <c r="G90" s="74"/>
      <c r="H90" s="68"/>
      <c r="I90" s="74"/>
    </row>
    <row r="91" spans="1:9">
      <c r="A91" s="117">
        <v>36</v>
      </c>
      <c r="B91" s="80">
        <f t="shared" si="2"/>
        <v>0</v>
      </c>
      <c r="C91" s="80">
        <f t="shared" si="3"/>
        <v>0</v>
      </c>
      <c r="D91" s="80">
        <f t="shared" si="4"/>
        <v>0</v>
      </c>
      <c r="E91" s="80">
        <f t="shared" si="5"/>
        <v>0</v>
      </c>
      <c r="F91" s="79">
        <v>3</v>
      </c>
      <c r="G91" s="118"/>
      <c r="H91" s="88"/>
      <c r="I91" s="118"/>
    </row>
    <row r="92" spans="1:9">
      <c r="A92" s="117">
        <v>37</v>
      </c>
      <c r="B92" s="80">
        <f t="shared" si="2"/>
        <v>0</v>
      </c>
      <c r="C92" s="80">
        <f t="shared" si="3"/>
        <v>0</v>
      </c>
      <c r="D92" s="80">
        <f t="shared" si="4"/>
        <v>0</v>
      </c>
      <c r="E92" s="80">
        <f t="shared" si="5"/>
        <v>0</v>
      </c>
      <c r="F92" s="79"/>
      <c r="G92" s="74"/>
      <c r="H92" s="68"/>
      <c r="I92" s="118"/>
    </row>
    <row r="93" spans="1:9">
      <c r="A93" s="117">
        <v>38</v>
      </c>
      <c r="B93" s="80">
        <f t="shared" si="2"/>
        <v>0</v>
      </c>
      <c r="C93" s="80">
        <f t="shared" si="3"/>
        <v>0</v>
      </c>
      <c r="D93" s="80">
        <f t="shared" si="4"/>
        <v>0</v>
      </c>
      <c r="E93" s="80">
        <f t="shared" si="5"/>
        <v>0</v>
      </c>
      <c r="F93" s="79"/>
      <c r="G93" s="74"/>
      <c r="H93" s="68"/>
      <c r="I93" s="74"/>
    </row>
    <row r="94" spans="1:9">
      <c r="A94" s="117">
        <v>39</v>
      </c>
      <c r="B94" s="80">
        <f t="shared" si="2"/>
        <v>0</v>
      </c>
      <c r="C94" s="80">
        <f t="shared" si="3"/>
        <v>0</v>
      </c>
      <c r="D94" s="80">
        <f t="shared" si="4"/>
        <v>0</v>
      </c>
      <c r="E94" s="80">
        <f t="shared" si="5"/>
        <v>0</v>
      </c>
      <c r="F94" s="79"/>
      <c r="G94" s="74"/>
      <c r="H94" s="68"/>
      <c r="I94" s="74"/>
    </row>
    <row r="95" spans="1:9">
      <c r="A95" s="117">
        <v>40</v>
      </c>
      <c r="B95" s="80">
        <f t="shared" si="2"/>
        <v>0</v>
      </c>
      <c r="C95" s="80">
        <f t="shared" si="3"/>
        <v>0</v>
      </c>
      <c r="D95" s="80">
        <f t="shared" si="4"/>
        <v>0</v>
      </c>
      <c r="E95" s="80">
        <f t="shared" si="5"/>
        <v>0</v>
      </c>
      <c r="F95" s="79"/>
      <c r="G95" s="74"/>
      <c r="H95" s="68"/>
      <c r="I95" s="74"/>
    </row>
    <row r="96" spans="1:9">
      <c r="A96" s="117">
        <v>41</v>
      </c>
      <c r="B96" s="80">
        <f t="shared" si="2"/>
        <v>0</v>
      </c>
      <c r="C96" s="80">
        <f t="shared" si="3"/>
        <v>0</v>
      </c>
      <c r="D96" s="80">
        <f t="shared" si="4"/>
        <v>0</v>
      </c>
      <c r="E96" s="80">
        <f t="shared" si="5"/>
        <v>0</v>
      </c>
      <c r="F96" s="79"/>
      <c r="G96" s="74"/>
      <c r="H96" s="68"/>
      <c r="I96" s="74"/>
    </row>
    <row r="97" spans="1:9">
      <c r="A97" s="117">
        <v>42</v>
      </c>
      <c r="B97" s="80">
        <f t="shared" si="2"/>
        <v>0</v>
      </c>
      <c r="C97" s="80">
        <f t="shared" si="3"/>
        <v>0</v>
      </c>
      <c r="D97" s="80">
        <f t="shared" si="4"/>
        <v>0</v>
      </c>
      <c r="E97" s="80">
        <f t="shared" si="5"/>
        <v>0</v>
      </c>
      <c r="F97" s="79"/>
      <c r="G97" s="118"/>
      <c r="H97" s="88"/>
      <c r="I97" s="74"/>
    </row>
    <row r="98" spans="1:9">
      <c r="A98" s="117">
        <v>43</v>
      </c>
      <c r="B98" s="80">
        <f t="shared" si="2"/>
        <v>0</v>
      </c>
      <c r="C98" s="80">
        <f t="shared" si="3"/>
        <v>0</v>
      </c>
      <c r="D98" s="80">
        <f t="shared" si="4"/>
        <v>0</v>
      </c>
      <c r="E98" s="80">
        <f t="shared" si="5"/>
        <v>0</v>
      </c>
      <c r="F98" s="79"/>
      <c r="G98" s="74"/>
      <c r="H98" s="68"/>
      <c r="I98" s="74"/>
    </row>
    <row r="99" spans="1:9">
      <c r="A99" s="117">
        <v>44</v>
      </c>
      <c r="B99" s="80">
        <f t="shared" si="2"/>
        <v>0</v>
      </c>
      <c r="C99" s="80">
        <f t="shared" si="3"/>
        <v>0</v>
      </c>
      <c r="D99" s="80">
        <f t="shared" si="4"/>
        <v>0</v>
      </c>
      <c r="E99" s="80">
        <f t="shared" si="5"/>
        <v>0</v>
      </c>
      <c r="F99" s="79"/>
      <c r="G99" s="74"/>
      <c r="H99" s="68"/>
      <c r="I99" s="74"/>
    </row>
    <row r="100" spans="1:9">
      <c r="A100" s="117">
        <v>45</v>
      </c>
      <c r="B100" s="80">
        <f t="shared" si="2"/>
        <v>0</v>
      </c>
      <c r="C100" s="80">
        <f t="shared" si="3"/>
        <v>0</v>
      </c>
      <c r="D100" s="80">
        <f t="shared" si="4"/>
        <v>0</v>
      </c>
      <c r="E100" s="80">
        <f t="shared" si="5"/>
        <v>0</v>
      </c>
      <c r="F100" s="79"/>
      <c r="G100" s="74"/>
      <c r="H100" s="68"/>
      <c r="I100" s="74"/>
    </row>
    <row r="101" spans="1:9">
      <c r="A101" s="117">
        <v>46</v>
      </c>
      <c r="B101" s="80">
        <f t="shared" si="2"/>
        <v>0</v>
      </c>
      <c r="C101" s="80">
        <f t="shared" si="3"/>
        <v>0</v>
      </c>
      <c r="D101" s="80">
        <f t="shared" si="4"/>
        <v>0</v>
      </c>
      <c r="E101" s="80">
        <f t="shared" si="5"/>
        <v>0</v>
      </c>
      <c r="F101" s="79"/>
      <c r="G101" s="74"/>
      <c r="H101" s="68"/>
      <c r="I101" s="74"/>
    </row>
    <row r="102" spans="1:9">
      <c r="A102" s="117">
        <v>47</v>
      </c>
      <c r="B102" s="80">
        <f t="shared" si="2"/>
        <v>0</v>
      </c>
      <c r="C102" s="80">
        <f t="shared" si="3"/>
        <v>0</v>
      </c>
      <c r="D102" s="80">
        <f t="shared" si="4"/>
        <v>0</v>
      </c>
      <c r="E102" s="80">
        <f t="shared" si="5"/>
        <v>0</v>
      </c>
      <c r="F102" s="79"/>
      <c r="G102" s="74"/>
      <c r="H102" s="68"/>
      <c r="I102" s="74"/>
    </row>
    <row r="103" spans="1:9">
      <c r="A103" s="117">
        <v>48</v>
      </c>
      <c r="B103" s="80">
        <f t="shared" si="2"/>
        <v>0</v>
      </c>
      <c r="C103" s="80">
        <f t="shared" si="3"/>
        <v>0</v>
      </c>
      <c r="D103" s="80">
        <f t="shared" si="4"/>
        <v>0</v>
      </c>
      <c r="E103" s="80">
        <f t="shared" si="5"/>
        <v>0</v>
      </c>
      <c r="F103" s="79">
        <v>4</v>
      </c>
      <c r="G103" s="118"/>
      <c r="H103" s="88"/>
      <c r="I103" s="118"/>
    </row>
    <row r="104" spans="1:9">
      <c r="A104" s="117">
        <v>49</v>
      </c>
      <c r="B104" s="80">
        <f t="shared" si="2"/>
        <v>0</v>
      </c>
      <c r="C104" s="80">
        <f t="shared" si="3"/>
        <v>0</v>
      </c>
      <c r="D104" s="80">
        <f t="shared" si="4"/>
        <v>0</v>
      </c>
      <c r="E104" s="80">
        <f t="shared" si="5"/>
        <v>0</v>
      </c>
      <c r="F104" s="79"/>
      <c r="G104" s="74"/>
      <c r="H104" s="68"/>
      <c r="I104" s="118"/>
    </row>
    <row r="105" spans="1:9">
      <c r="A105" s="117">
        <v>50</v>
      </c>
      <c r="B105" s="80">
        <f t="shared" si="2"/>
        <v>0</v>
      </c>
      <c r="C105" s="80">
        <f t="shared" si="3"/>
        <v>0</v>
      </c>
      <c r="D105" s="80">
        <f t="shared" si="4"/>
        <v>0</v>
      </c>
      <c r="E105" s="80">
        <f t="shared" si="5"/>
        <v>0</v>
      </c>
      <c r="F105" s="79"/>
      <c r="G105" s="74"/>
      <c r="H105" s="68"/>
      <c r="I105" s="74"/>
    </row>
    <row r="106" spans="1:9">
      <c r="A106" s="117">
        <v>51</v>
      </c>
      <c r="B106" s="80">
        <f t="shared" si="2"/>
        <v>0</v>
      </c>
      <c r="C106" s="80">
        <f t="shared" si="3"/>
        <v>0</v>
      </c>
      <c r="D106" s="80">
        <f t="shared" si="4"/>
        <v>0</v>
      </c>
      <c r="E106" s="80">
        <f t="shared" si="5"/>
        <v>0</v>
      </c>
      <c r="F106" s="79"/>
      <c r="G106" s="74"/>
      <c r="H106" s="68"/>
      <c r="I106" s="74"/>
    </row>
    <row r="107" spans="1:9">
      <c r="A107" s="117">
        <v>52</v>
      </c>
      <c r="B107" s="80">
        <f t="shared" si="2"/>
        <v>0</v>
      </c>
      <c r="C107" s="80">
        <f t="shared" si="3"/>
        <v>0</v>
      </c>
      <c r="D107" s="80">
        <f t="shared" si="4"/>
        <v>0</v>
      </c>
      <c r="E107" s="80">
        <f t="shared" si="5"/>
        <v>0</v>
      </c>
      <c r="F107" s="79"/>
      <c r="G107" s="74"/>
      <c r="H107" s="68"/>
      <c r="I107" s="74"/>
    </row>
    <row r="108" spans="1:9">
      <c r="A108" s="117">
        <v>53</v>
      </c>
      <c r="B108" s="80">
        <f t="shared" si="2"/>
        <v>0</v>
      </c>
      <c r="C108" s="80">
        <f t="shared" si="3"/>
        <v>0</v>
      </c>
      <c r="D108" s="80">
        <f t="shared" si="4"/>
        <v>0</v>
      </c>
      <c r="E108" s="80">
        <f t="shared" si="5"/>
        <v>0</v>
      </c>
      <c r="F108" s="79"/>
      <c r="G108" s="74"/>
      <c r="H108" s="68"/>
      <c r="I108" s="74"/>
    </row>
    <row r="109" spans="1:9">
      <c r="A109" s="117">
        <v>54</v>
      </c>
      <c r="B109" s="80">
        <f t="shared" si="2"/>
        <v>0</v>
      </c>
      <c r="C109" s="80">
        <f t="shared" si="3"/>
        <v>0</v>
      </c>
      <c r="D109" s="80">
        <f t="shared" si="4"/>
        <v>0</v>
      </c>
      <c r="E109" s="80">
        <f t="shared" si="5"/>
        <v>0</v>
      </c>
      <c r="F109" s="79"/>
      <c r="G109" s="118"/>
      <c r="H109" s="88"/>
      <c r="I109" s="74"/>
    </row>
    <row r="110" spans="1:9">
      <c r="A110" s="117">
        <v>55</v>
      </c>
      <c r="B110" s="80">
        <f t="shared" si="2"/>
        <v>0</v>
      </c>
      <c r="C110" s="80">
        <f t="shared" si="3"/>
        <v>0</v>
      </c>
      <c r="D110" s="80">
        <f t="shared" si="4"/>
        <v>0</v>
      </c>
      <c r="E110" s="80">
        <f t="shared" si="5"/>
        <v>0</v>
      </c>
      <c r="F110" s="79"/>
      <c r="G110" s="74"/>
      <c r="H110" s="68"/>
      <c r="I110" s="74"/>
    </row>
    <row r="111" spans="1:9">
      <c r="A111" s="117">
        <v>56</v>
      </c>
      <c r="B111" s="80">
        <f t="shared" si="2"/>
        <v>0</v>
      </c>
      <c r="C111" s="80">
        <f t="shared" si="3"/>
        <v>0</v>
      </c>
      <c r="D111" s="80">
        <f t="shared" si="4"/>
        <v>0</v>
      </c>
      <c r="E111" s="80">
        <f t="shared" si="5"/>
        <v>0</v>
      </c>
      <c r="F111" s="79"/>
      <c r="G111" s="74"/>
      <c r="H111" s="68"/>
      <c r="I111" s="74"/>
    </row>
    <row r="112" spans="1:9">
      <c r="A112" s="117">
        <v>57</v>
      </c>
      <c r="B112" s="80">
        <f t="shared" si="2"/>
        <v>0</v>
      </c>
      <c r="C112" s="80">
        <f t="shared" si="3"/>
        <v>0</v>
      </c>
      <c r="D112" s="80">
        <f t="shared" si="4"/>
        <v>0</v>
      </c>
      <c r="E112" s="80">
        <f t="shared" si="5"/>
        <v>0</v>
      </c>
      <c r="F112" s="79"/>
      <c r="G112" s="74"/>
      <c r="H112" s="68"/>
      <c r="I112" s="74"/>
    </row>
    <row r="113" spans="1:9">
      <c r="A113" s="117">
        <v>58</v>
      </c>
      <c r="B113" s="80">
        <f t="shared" si="2"/>
        <v>0</v>
      </c>
      <c r="C113" s="80">
        <f t="shared" si="3"/>
        <v>0</v>
      </c>
      <c r="D113" s="80">
        <f t="shared" si="4"/>
        <v>0</v>
      </c>
      <c r="E113" s="80">
        <f t="shared" si="5"/>
        <v>0</v>
      </c>
      <c r="F113" s="79"/>
      <c r="G113" s="74"/>
      <c r="H113" s="68"/>
      <c r="I113" s="74"/>
    </row>
    <row r="114" spans="1:9">
      <c r="A114" s="117">
        <v>59</v>
      </c>
      <c r="B114" s="80">
        <f t="shared" si="2"/>
        <v>0</v>
      </c>
      <c r="C114" s="80">
        <f t="shared" si="3"/>
        <v>0</v>
      </c>
      <c r="D114" s="80">
        <f t="shared" si="4"/>
        <v>0</v>
      </c>
      <c r="E114" s="80">
        <f t="shared" si="5"/>
        <v>0</v>
      </c>
      <c r="F114" s="79"/>
      <c r="G114" s="74"/>
      <c r="H114" s="68"/>
      <c r="I114" s="74"/>
    </row>
    <row r="115" spans="1:9">
      <c r="A115" s="117">
        <v>60</v>
      </c>
      <c r="B115" s="80">
        <f t="shared" si="2"/>
        <v>0</v>
      </c>
      <c r="C115" s="80">
        <f t="shared" si="3"/>
        <v>0</v>
      </c>
      <c r="D115" s="80">
        <f t="shared" si="4"/>
        <v>0</v>
      </c>
      <c r="E115" s="80">
        <f t="shared" si="5"/>
        <v>0</v>
      </c>
      <c r="F115" s="79"/>
      <c r="G115" s="118"/>
      <c r="H115" s="88"/>
      <c r="I115" s="118"/>
    </row>
    <row r="116" spans="1:9">
      <c r="A116" s="117">
        <v>61</v>
      </c>
      <c r="B116" s="80">
        <f t="shared" si="2"/>
        <v>0</v>
      </c>
      <c r="C116" s="80">
        <f t="shared" si="3"/>
        <v>0</v>
      </c>
      <c r="D116" s="80">
        <f t="shared" si="4"/>
        <v>0</v>
      </c>
      <c r="E116" s="80">
        <f t="shared" si="5"/>
        <v>0</v>
      </c>
      <c r="F116" s="79"/>
      <c r="G116" s="74"/>
      <c r="H116" s="68"/>
      <c r="I116" s="118"/>
    </row>
    <row r="117" spans="1:9">
      <c r="A117" s="117">
        <v>62</v>
      </c>
      <c r="B117" s="80">
        <f t="shared" si="2"/>
        <v>0</v>
      </c>
      <c r="C117" s="80">
        <f t="shared" si="3"/>
        <v>0</v>
      </c>
      <c r="D117" s="80">
        <f t="shared" si="4"/>
        <v>0</v>
      </c>
      <c r="E117" s="80">
        <f t="shared" si="5"/>
        <v>0</v>
      </c>
      <c r="F117" s="79">
        <v>5</v>
      </c>
      <c r="G117" s="74"/>
      <c r="H117" s="68"/>
      <c r="I117" s="74"/>
    </row>
    <row r="118" spans="1:9">
      <c r="A118" s="117">
        <v>63</v>
      </c>
      <c r="B118" s="80">
        <f t="shared" si="2"/>
        <v>0</v>
      </c>
      <c r="C118" s="80">
        <f t="shared" si="3"/>
        <v>0</v>
      </c>
      <c r="D118" s="80">
        <f t="shared" si="4"/>
        <v>0</v>
      </c>
      <c r="E118" s="80">
        <f t="shared" si="5"/>
        <v>0</v>
      </c>
      <c r="F118" s="79"/>
      <c r="G118" s="74"/>
      <c r="H118" s="68"/>
      <c r="I118" s="74"/>
    </row>
    <row r="119" spans="1:9">
      <c r="A119" s="117">
        <v>64</v>
      </c>
      <c r="B119" s="80">
        <f t="shared" si="2"/>
        <v>0</v>
      </c>
      <c r="C119" s="80">
        <f t="shared" si="3"/>
        <v>0</v>
      </c>
      <c r="D119" s="80">
        <f t="shared" si="4"/>
        <v>0</v>
      </c>
      <c r="E119" s="80">
        <f t="shared" si="5"/>
        <v>0</v>
      </c>
      <c r="F119" s="79"/>
      <c r="G119" s="74"/>
      <c r="H119" s="68"/>
      <c r="I119" s="74"/>
    </row>
    <row r="120" spans="1:9">
      <c r="A120" s="117">
        <v>65</v>
      </c>
      <c r="B120" s="80">
        <f t="shared" ref="B120:B183" si="6">IF(A120&gt;12*$D$14,0,$D$20)</f>
        <v>0</v>
      </c>
      <c r="C120" s="80">
        <f t="shared" ref="C120:C183" si="7">IF(A120&gt;12*$D$14,0,E119*$D$10/12)</f>
        <v>0</v>
      </c>
      <c r="D120" s="80">
        <f t="shared" ref="D120:D183" si="8">IF(A120&gt;12*$D$14,0,B120-C120)</f>
        <v>0</v>
      </c>
      <c r="E120" s="80">
        <f t="shared" ref="E120:E183" si="9">IF(A120&gt;12*$D$14,0,E119-D120)</f>
        <v>0</v>
      </c>
      <c r="F120" s="79"/>
      <c r="G120" s="74"/>
      <c r="H120" s="68"/>
      <c r="I120" s="74"/>
    </row>
    <row r="121" spans="1:9">
      <c r="A121" s="117">
        <v>66</v>
      </c>
      <c r="B121" s="80">
        <f t="shared" si="6"/>
        <v>0</v>
      </c>
      <c r="C121" s="80">
        <f t="shared" si="7"/>
        <v>0</v>
      </c>
      <c r="D121" s="80">
        <f t="shared" si="8"/>
        <v>0</v>
      </c>
      <c r="E121" s="80">
        <f t="shared" si="9"/>
        <v>0</v>
      </c>
      <c r="F121" s="79"/>
      <c r="G121" s="118"/>
      <c r="H121" s="88"/>
      <c r="I121" s="74"/>
    </row>
    <row r="122" spans="1:9">
      <c r="A122" s="117">
        <v>67</v>
      </c>
      <c r="B122" s="80">
        <f t="shared" si="6"/>
        <v>0</v>
      </c>
      <c r="C122" s="80">
        <f t="shared" si="7"/>
        <v>0</v>
      </c>
      <c r="D122" s="80">
        <f t="shared" si="8"/>
        <v>0</v>
      </c>
      <c r="E122" s="80">
        <f t="shared" si="9"/>
        <v>0</v>
      </c>
      <c r="F122" s="79"/>
      <c r="G122" s="74"/>
      <c r="H122" s="68"/>
      <c r="I122" s="74"/>
    </row>
    <row r="123" spans="1:9">
      <c r="A123" s="117">
        <v>68</v>
      </c>
      <c r="B123" s="80">
        <f t="shared" si="6"/>
        <v>0</v>
      </c>
      <c r="C123" s="80">
        <f t="shared" si="7"/>
        <v>0</v>
      </c>
      <c r="D123" s="80">
        <f t="shared" si="8"/>
        <v>0</v>
      </c>
      <c r="E123" s="80">
        <f t="shared" si="9"/>
        <v>0</v>
      </c>
      <c r="F123" s="79"/>
      <c r="G123" s="74"/>
      <c r="H123" s="68"/>
      <c r="I123" s="74"/>
    </row>
    <row r="124" spans="1:9">
      <c r="A124" s="117">
        <v>69</v>
      </c>
      <c r="B124" s="80">
        <f t="shared" si="6"/>
        <v>0</v>
      </c>
      <c r="C124" s="80">
        <f t="shared" si="7"/>
        <v>0</v>
      </c>
      <c r="D124" s="80">
        <f t="shared" si="8"/>
        <v>0</v>
      </c>
      <c r="E124" s="80">
        <f t="shared" si="9"/>
        <v>0</v>
      </c>
      <c r="F124" s="79"/>
      <c r="G124" s="74"/>
      <c r="H124" s="68"/>
      <c r="I124" s="74"/>
    </row>
    <row r="125" spans="1:9">
      <c r="A125" s="117">
        <v>70</v>
      </c>
      <c r="B125" s="80">
        <f t="shared" si="6"/>
        <v>0</v>
      </c>
      <c r="C125" s="80">
        <f t="shared" si="7"/>
        <v>0</v>
      </c>
      <c r="D125" s="80">
        <f t="shared" si="8"/>
        <v>0</v>
      </c>
      <c r="E125" s="80">
        <f t="shared" si="9"/>
        <v>0</v>
      </c>
      <c r="F125" s="79"/>
      <c r="G125" s="74"/>
      <c r="H125" s="68"/>
      <c r="I125" s="74"/>
    </row>
    <row r="126" spans="1:9">
      <c r="A126" s="117">
        <v>71</v>
      </c>
      <c r="B126" s="80">
        <f t="shared" si="6"/>
        <v>0</v>
      </c>
      <c r="C126" s="80">
        <f t="shared" si="7"/>
        <v>0</v>
      </c>
      <c r="D126" s="80">
        <f t="shared" si="8"/>
        <v>0</v>
      </c>
      <c r="E126" s="80">
        <f t="shared" si="9"/>
        <v>0</v>
      </c>
      <c r="F126" s="79"/>
      <c r="G126" s="74"/>
      <c r="H126" s="68"/>
      <c r="I126" s="74"/>
    </row>
    <row r="127" spans="1:9">
      <c r="A127" s="117">
        <v>72</v>
      </c>
      <c r="B127" s="80">
        <f t="shared" si="6"/>
        <v>0</v>
      </c>
      <c r="C127" s="80">
        <f t="shared" si="7"/>
        <v>0</v>
      </c>
      <c r="D127" s="80">
        <f t="shared" si="8"/>
        <v>0</v>
      </c>
      <c r="E127" s="80">
        <f t="shared" si="9"/>
        <v>0</v>
      </c>
      <c r="F127" s="79"/>
      <c r="G127" s="118"/>
      <c r="H127" s="88"/>
      <c r="I127" s="118"/>
    </row>
    <row r="128" spans="1:9">
      <c r="A128" s="117">
        <v>73</v>
      </c>
      <c r="B128" s="80">
        <f t="shared" si="6"/>
        <v>0</v>
      </c>
      <c r="C128" s="80">
        <f t="shared" si="7"/>
        <v>0</v>
      </c>
      <c r="D128" s="80">
        <f t="shared" si="8"/>
        <v>0</v>
      </c>
      <c r="E128" s="80">
        <f t="shared" si="9"/>
        <v>0</v>
      </c>
      <c r="F128" s="79"/>
      <c r="G128" s="74"/>
      <c r="H128" s="68"/>
      <c r="I128" s="118"/>
    </row>
    <row r="129" spans="1:9">
      <c r="A129" s="117">
        <v>74</v>
      </c>
      <c r="B129" s="80">
        <f t="shared" si="6"/>
        <v>0</v>
      </c>
      <c r="C129" s="80">
        <f t="shared" si="7"/>
        <v>0</v>
      </c>
      <c r="D129" s="80">
        <f t="shared" si="8"/>
        <v>0</v>
      </c>
      <c r="E129" s="80">
        <f t="shared" si="9"/>
        <v>0</v>
      </c>
      <c r="F129" s="79">
        <v>6</v>
      </c>
      <c r="G129" s="74"/>
      <c r="H129" s="68"/>
      <c r="I129" s="74"/>
    </row>
    <row r="130" spans="1:9">
      <c r="A130" s="117">
        <v>75</v>
      </c>
      <c r="B130" s="80">
        <f t="shared" si="6"/>
        <v>0</v>
      </c>
      <c r="C130" s="80">
        <f t="shared" si="7"/>
        <v>0</v>
      </c>
      <c r="D130" s="80">
        <f t="shared" si="8"/>
        <v>0</v>
      </c>
      <c r="E130" s="80">
        <f t="shared" si="9"/>
        <v>0</v>
      </c>
      <c r="F130" s="79"/>
      <c r="G130" s="74"/>
      <c r="H130" s="68"/>
      <c r="I130" s="74"/>
    </row>
    <row r="131" spans="1:9">
      <c r="A131" s="117">
        <v>76</v>
      </c>
      <c r="B131" s="80">
        <f t="shared" si="6"/>
        <v>0</v>
      </c>
      <c r="C131" s="80">
        <f t="shared" si="7"/>
        <v>0</v>
      </c>
      <c r="D131" s="80">
        <f t="shared" si="8"/>
        <v>0</v>
      </c>
      <c r="E131" s="80">
        <f t="shared" si="9"/>
        <v>0</v>
      </c>
      <c r="F131" s="79"/>
      <c r="G131" s="74"/>
      <c r="H131" s="68"/>
      <c r="I131" s="74"/>
    </row>
    <row r="132" spans="1:9">
      <c r="A132" s="117">
        <v>77</v>
      </c>
      <c r="B132" s="80">
        <f t="shared" si="6"/>
        <v>0</v>
      </c>
      <c r="C132" s="80">
        <f t="shared" si="7"/>
        <v>0</v>
      </c>
      <c r="D132" s="80">
        <f t="shared" si="8"/>
        <v>0</v>
      </c>
      <c r="E132" s="80">
        <f t="shared" si="9"/>
        <v>0</v>
      </c>
      <c r="F132" s="79"/>
      <c r="G132" s="74"/>
      <c r="H132" s="68"/>
      <c r="I132" s="74"/>
    </row>
    <row r="133" spans="1:9">
      <c r="A133" s="117">
        <v>78</v>
      </c>
      <c r="B133" s="80">
        <f t="shared" si="6"/>
        <v>0</v>
      </c>
      <c r="C133" s="80">
        <f t="shared" si="7"/>
        <v>0</v>
      </c>
      <c r="D133" s="80">
        <f t="shared" si="8"/>
        <v>0</v>
      </c>
      <c r="E133" s="80">
        <f t="shared" si="9"/>
        <v>0</v>
      </c>
      <c r="F133" s="79"/>
      <c r="G133" s="118"/>
      <c r="H133" s="88"/>
      <c r="I133" s="74"/>
    </row>
    <row r="134" spans="1:9">
      <c r="A134" s="117">
        <v>79</v>
      </c>
      <c r="B134" s="80">
        <f t="shared" si="6"/>
        <v>0</v>
      </c>
      <c r="C134" s="80">
        <f t="shared" si="7"/>
        <v>0</v>
      </c>
      <c r="D134" s="80">
        <f t="shared" si="8"/>
        <v>0</v>
      </c>
      <c r="E134" s="80">
        <f t="shared" si="9"/>
        <v>0</v>
      </c>
      <c r="F134" s="79"/>
      <c r="G134" s="74"/>
      <c r="H134" s="68"/>
      <c r="I134" s="74"/>
    </row>
    <row r="135" spans="1:9">
      <c r="A135" s="117">
        <v>80</v>
      </c>
      <c r="B135" s="80">
        <f t="shared" si="6"/>
        <v>0</v>
      </c>
      <c r="C135" s="80">
        <f t="shared" si="7"/>
        <v>0</v>
      </c>
      <c r="D135" s="80">
        <f t="shared" si="8"/>
        <v>0</v>
      </c>
      <c r="E135" s="80">
        <f t="shared" si="9"/>
        <v>0</v>
      </c>
      <c r="F135" s="79"/>
      <c r="G135" s="74"/>
      <c r="H135" s="68"/>
      <c r="I135" s="74"/>
    </row>
    <row r="136" spans="1:9">
      <c r="A136" s="117">
        <v>81</v>
      </c>
      <c r="B136" s="80">
        <f t="shared" si="6"/>
        <v>0</v>
      </c>
      <c r="C136" s="80">
        <f t="shared" si="7"/>
        <v>0</v>
      </c>
      <c r="D136" s="80">
        <f t="shared" si="8"/>
        <v>0</v>
      </c>
      <c r="E136" s="80">
        <f t="shared" si="9"/>
        <v>0</v>
      </c>
      <c r="F136" s="79"/>
      <c r="G136" s="74"/>
      <c r="H136" s="68"/>
      <c r="I136" s="74"/>
    </row>
    <row r="137" spans="1:9">
      <c r="A137" s="117">
        <v>82</v>
      </c>
      <c r="B137" s="80">
        <f t="shared" si="6"/>
        <v>0</v>
      </c>
      <c r="C137" s="80">
        <f t="shared" si="7"/>
        <v>0</v>
      </c>
      <c r="D137" s="80">
        <f t="shared" si="8"/>
        <v>0</v>
      </c>
      <c r="E137" s="80">
        <f t="shared" si="9"/>
        <v>0</v>
      </c>
      <c r="F137" s="79"/>
      <c r="G137" s="74"/>
      <c r="H137" s="68"/>
      <c r="I137" s="74"/>
    </row>
    <row r="138" spans="1:9">
      <c r="A138" s="117">
        <v>83</v>
      </c>
      <c r="B138" s="80">
        <f t="shared" si="6"/>
        <v>0</v>
      </c>
      <c r="C138" s="80">
        <f t="shared" si="7"/>
        <v>0</v>
      </c>
      <c r="D138" s="80">
        <f t="shared" si="8"/>
        <v>0</v>
      </c>
      <c r="E138" s="80">
        <f t="shared" si="9"/>
        <v>0</v>
      </c>
      <c r="F138" s="79"/>
      <c r="G138" s="74"/>
      <c r="H138" s="68"/>
      <c r="I138" s="74"/>
    </row>
    <row r="139" spans="1:9">
      <c r="A139" s="117">
        <v>84</v>
      </c>
      <c r="B139" s="80">
        <f t="shared" si="6"/>
        <v>0</v>
      </c>
      <c r="C139" s="80">
        <f t="shared" si="7"/>
        <v>0</v>
      </c>
      <c r="D139" s="80">
        <f t="shared" si="8"/>
        <v>0</v>
      </c>
      <c r="E139" s="80">
        <f t="shared" si="9"/>
        <v>0</v>
      </c>
      <c r="F139" s="79">
        <v>7</v>
      </c>
      <c r="G139" s="118"/>
      <c r="H139" s="88"/>
      <c r="I139" s="118"/>
    </row>
    <row r="140" spans="1:9">
      <c r="A140" s="117">
        <v>85</v>
      </c>
      <c r="B140" s="80">
        <f t="shared" si="6"/>
        <v>0</v>
      </c>
      <c r="C140" s="80">
        <f t="shared" si="7"/>
        <v>0</v>
      </c>
      <c r="D140" s="80">
        <f t="shared" si="8"/>
        <v>0</v>
      </c>
      <c r="E140" s="80">
        <f t="shared" si="9"/>
        <v>0</v>
      </c>
      <c r="F140" s="79"/>
      <c r="G140" s="74"/>
      <c r="H140" s="68"/>
      <c r="I140" s="118"/>
    </row>
    <row r="141" spans="1:9">
      <c r="A141" s="117">
        <v>86</v>
      </c>
      <c r="B141" s="80">
        <f t="shared" si="6"/>
        <v>0</v>
      </c>
      <c r="C141" s="80">
        <f t="shared" si="7"/>
        <v>0</v>
      </c>
      <c r="D141" s="80">
        <f t="shared" si="8"/>
        <v>0</v>
      </c>
      <c r="E141" s="80">
        <f t="shared" si="9"/>
        <v>0</v>
      </c>
      <c r="F141" s="79"/>
      <c r="G141" s="74"/>
      <c r="H141" s="68"/>
      <c r="I141" s="74"/>
    </row>
    <row r="142" spans="1:9">
      <c r="A142" s="117">
        <v>87</v>
      </c>
      <c r="B142" s="80">
        <f t="shared" si="6"/>
        <v>0</v>
      </c>
      <c r="C142" s="80">
        <f t="shared" si="7"/>
        <v>0</v>
      </c>
      <c r="D142" s="80">
        <f t="shared" si="8"/>
        <v>0</v>
      </c>
      <c r="E142" s="80">
        <f t="shared" si="9"/>
        <v>0</v>
      </c>
      <c r="F142" s="79"/>
      <c r="G142" s="74"/>
      <c r="H142" s="68"/>
      <c r="I142" s="74"/>
    </row>
    <row r="143" spans="1:9">
      <c r="A143" s="117">
        <v>88</v>
      </c>
      <c r="B143" s="80">
        <f t="shared" si="6"/>
        <v>0</v>
      </c>
      <c r="C143" s="80">
        <f t="shared" si="7"/>
        <v>0</v>
      </c>
      <c r="D143" s="80">
        <f t="shared" si="8"/>
        <v>0</v>
      </c>
      <c r="E143" s="80">
        <f t="shared" si="9"/>
        <v>0</v>
      </c>
      <c r="F143" s="79"/>
      <c r="G143" s="74"/>
      <c r="H143" s="68"/>
      <c r="I143" s="74"/>
    </row>
    <row r="144" spans="1:9">
      <c r="A144" s="117">
        <v>89</v>
      </c>
      <c r="B144" s="80">
        <f t="shared" si="6"/>
        <v>0</v>
      </c>
      <c r="C144" s="80">
        <f t="shared" si="7"/>
        <v>0</v>
      </c>
      <c r="D144" s="80">
        <f t="shared" si="8"/>
        <v>0</v>
      </c>
      <c r="E144" s="80">
        <f t="shared" si="9"/>
        <v>0</v>
      </c>
      <c r="F144" s="79"/>
      <c r="G144" s="74"/>
      <c r="H144" s="68"/>
      <c r="I144" s="74"/>
    </row>
    <row r="145" spans="1:9">
      <c r="A145" s="117">
        <v>90</v>
      </c>
      <c r="B145" s="80">
        <f t="shared" si="6"/>
        <v>0</v>
      </c>
      <c r="C145" s="80">
        <f t="shared" si="7"/>
        <v>0</v>
      </c>
      <c r="D145" s="80">
        <f t="shared" si="8"/>
        <v>0</v>
      </c>
      <c r="E145" s="80">
        <f t="shared" si="9"/>
        <v>0</v>
      </c>
      <c r="F145" s="79"/>
      <c r="G145" s="118"/>
      <c r="H145" s="88"/>
      <c r="I145" s="74"/>
    </row>
    <row r="146" spans="1:9">
      <c r="A146" s="117">
        <v>91</v>
      </c>
      <c r="B146" s="80">
        <f t="shared" si="6"/>
        <v>0</v>
      </c>
      <c r="C146" s="80">
        <f t="shared" si="7"/>
        <v>0</v>
      </c>
      <c r="D146" s="80">
        <f t="shared" si="8"/>
        <v>0</v>
      </c>
      <c r="E146" s="80">
        <f t="shared" si="9"/>
        <v>0</v>
      </c>
      <c r="F146" s="79"/>
      <c r="G146" s="74"/>
      <c r="H146" s="68"/>
      <c r="I146" s="74"/>
    </row>
    <row r="147" spans="1:9">
      <c r="A147" s="117">
        <v>92</v>
      </c>
      <c r="B147" s="80">
        <f t="shared" si="6"/>
        <v>0</v>
      </c>
      <c r="C147" s="80">
        <f t="shared" si="7"/>
        <v>0</v>
      </c>
      <c r="D147" s="80">
        <f t="shared" si="8"/>
        <v>0</v>
      </c>
      <c r="E147" s="80">
        <f t="shared" si="9"/>
        <v>0</v>
      </c>
      <c r="F147" s="79"/>
      <c r="G147" s="74"/>
      <c r="H147" s="68"/>
      <c r="I147" s="74"/>
    </row>
    <row r="148" spans="1:9">
      <c r="A148" s="117">
        <v>93</v>
      </c>
      <c r="B148" s="80">
        <f t="shared" si="6"/>
        <v>0</v>
      </c>
      <c r="C148" s="80">
        <f t="shared" si="7"/>
        <v>0</v>
      </c>
      <c r="D148" s="80">
        <f t="shared" si="8"/>
        <v>0</v>
      </c>
      <c r="E148" s="80">
        <f t="shared" si="9"/>
        <v>0</v>
      </c>
      <c r="F148" s="79"/>
      <c r="G148" s="74"/>
      <c r="H148" s="68"/>
      <c r="I148" s="74"/>
    </row>
    <row r="149" spans="1:9">
      <c r="A149" s="117">
        <v>94</v>
      </c>
      <c r="B149" s="80">
        <f t="shared" si="6"/>
        <v>0</v>
      </c>
      <c r="C149" s="80">
        <f t="shared" si="7"/>
        <v>0</v>
      </c>
      <c r="D149" s="80">
        <f t="shared" si="8"/>
        <v>0</v>
      </c>
      <c r="E149" s="80">
        <f t="shared" si="9"/>
        <v>0</v>
      </c>
      <c r="F149" s="79"/>
      <c r="G149" s="74"/>
      <c r="H149" s="68"/>
      <c r="I149" s="74"/>
    </row>
    <row r="150" spans="1:9">
      <c r="A150" s="117">
        <v>95</v>
      </c>
      <c r="B150" s="80">
        <f t="shared" si="6"/>
        <v>0</v>
      </c>
      <c r="C150" s="80">
        <f t="shared" si="7"/>
        <v>0</v>
      </c>
      <c r="D150" s="80">
        <f t="shared" si="8"/>
        <v>0</v>
      </c>
      <c r="E150" s="80">
        <f t="shared" si="9"/>
        <v>0</v>
      </c>
      <c r="F150" s="79"/>
      <c r="G150" s="74"/>
      <c r="H150" s="68"/>
      <c r="I150" s="74"/>
    </row>
    <row r="151" spans="1:9">
      <c r="A151" s="117">
        <v>96</v>
      </c>
      <c r="B151" s="80">
        <f t="shared" si="6"/>
        <v>0</v>
      </c>
      <c r="C151" s="80">
        <f t="shared" si="7"/>
        <v>0</v>
      </c>
      <c r="D151" s="80">
        <f t="shared" si="8"/>
        <v>0</v>
      </c>
      <c r="E151" s="80">
        <f t="shared" si="9"/>
        <v>0</v>
      </c>
      <c r="F151" s="79">
        <v>8</v>
      </c>
      <c r="G151" s="118"/>
      <c r="H151" s="88"/>
      <c r="I151" s="118"/>
    </row>
    <row r="152" spans="1:9">
      <c r="A152" s="117">
        <v>97</v>
      </c>
      <c r="B152" s="80">
        <f t="shared" si="6"/>
        <v>0</v>
      </c>
      <c r="C152" s="80">
        <f t="shared" si="7"/>
        <v>0</v>
      </c>
      <c r="D152" s="80">
        <f t="shared" si="8"/>
        <v>0</v>
      </c>
      <c r="E152" s="80">
        <f t="shared" si="9"/>
        <v>0</v>
      </c>
      <c r="F152" s="79"/>
      <c r="G152" s="74"/>
      <c r="H152" s="68"/>
      <c r="I152" s="118"/>
    </row>
    <row r="153" spans="1:9">
      <c r="A153" s="117">
        <v>98</v>
      </c>
      <c r="B153" s="80">
        <f t="shared" si="6"/>
        <v>0</v>
      </c>
      <c r="C153" s="80">
        <f t="shared" si="7"/>
        <v>0</v>
      </c>
      <c r="D153" s="80">
        <f t="shared" si="8"/>
        <v>0</v>
      </c>
      <c r="E153" s="80">
        <f t="shared" si="9"/>
        <v>0</v>
      </c>
      <c r="F153" s="79"/>
      <c r="G153" s="74"/>
      <c r="H153" s="68"/>
      <c r="I153" s="74"/>
    </row>
    <row r="154" spans="1:9">
      <c r="A154" s="117">
        <v>99</v>
      </c>
      <c r="B154" s="80">
        <f t="shared" si="6"/>
        <v>0</v>
      </c>
      <c r="C154" s="80">
        <f t="shared" si="7"/>
        <v>0</v>
      </c>
      <c r="D154" s="80">
        <f t="shared" si="8"/>
        <v>0</v>
      </c>
      <c r="E154" s="80">
        <f t="shared" si="9"/>
        <v>0</v>
      </c>
      <c r="F154" s="79"/>
      <c r="G154" s="74"/>
      <c r="H154" s="68"/>
      <c r="I154" s="74"/>
    </row>
    <row r="155" spans="1:9">
      <c r="A155" s="117">
        <v>100</v>
      </c>
      <c r="B155" s="80">
        <f t="shared" si="6"/>
        <v>0</v>
      </c>
      <c r="C155" s="80">
        <f t="shared" si="7"/>
        <v>0</v>
      </c>
      <c r="D155" s="80">
        <f t="shared" si="8"/>
        <v>0</v>
      </c>
      <c r="E155" s="80">
        <f t="shared" si="9"/>
        <v>0</v>
      </c>
      <c r="F155" s="79"/>
      <c r="G155" s="74"/>
      <c r="H155" s="68"/>
      <c r="I155" s="74"/>
    </row>
    <row r="156" spans="1:9">
      <c r="A156" s="117">
        <v>101</v>
      </c>
      <c r="B156" s="80">
        <f t="shared" si="6"/>
        <v>0</v>
      </c>
      <c r="C156" s="80">
        <f t="shared" si="7"/>
        <v>0</v>
      </c>
      <c r="D156" s="80">
        <f t="shared" si="8"/>
        <v>0</v>
      </c>
      <c r="E156" s="80">
        <f t="shared" si="9"/>
        <v>0</v>
      </c>
      <c r="F156" s="79"/>
      <c r="G156" s="74"/>
      <c r="H156" s="68"/>
      <c r="I156" s="74"/>
    </row>
    <row r="157" spans="1:9">
      <c r="A157" s="117">
        <v>102</v>
      </c>
      <c r="B157" s="80">
        <f t="shared" si="6"/>
        <v>0</v>
      </c>
      <c r="C157" s="80">
        <f t="shared" si="7"/>
        <v>0</v>
      </c>
      <c r="D157" s="80">
        <f t="shared" si="8"/>
        <v>0</v>
      </c>
      <c r="E157" s="80">
        <f t="shared" si="9"/>
        <v>0</v>
      </c>
      <c r="F157" s="79"/>
      <c r="G157" s="118"/>
      <c r="H157" s="88"/>
      <c r="I157" s="74"/>
    </row>
    <row r="158" spans="1:9">
      <c r="A158" s="117">
        <v>103</v>
      </c>
      <c r="B158" s="80">
        <f t="shared" si="6"/>
        <v>0</v>
      </c>
      <c r="C158" s="80">
        <f t="shared" si="7"/>
        <v>0</v>
      </c>
      <c r="D158" s="80">
        <f t="shared" si="8"/>
        <v>0</v>
      </c>
      <c r="E158" s="80">
        <f t="shared" si="9"/>
        <v>0</v>
      </c>
      <c r="F158" s="79"/>
      <c r="G158" s="74"/>
      <c r="H158" s="68"/>
      <c r="I158" s="74"/>
    </row>
    <row r="159" spans="1:9">
      <c r="A159" s="117">
        <v>104</v>
      </c>
      <c r="B159" s="80">
        <f t="shared" si="6"/>
        <v>0</v>
      </c>
      <c r="C159" s="80">
        <f t="shared" si="7"/>
        <v>0</v>
      </c>
      <c r="D159" s="80">
        <f t="shared" si="8"/>
        <v>0</v>
      </c>
      <c r="E159" s="80">
        <f t="shared" si="9"/>
        <v>0</v>
      </c>
      <c r="F159" s="79"/>
      <c r="G159" s="74"/>
      <c r="H159" s="68"/>
      <c r="I159" s="74"/>
    </row>
    <row r="160" spans="1:9">
      <c r="A160" s="117">
        <v>105</v>
      </c>
      <c r="B160" s="80">
        <f t="shared" si="6"/>
        <v>0</v>
      </c>
      <c r="C160" s="80">
        <f t="shared" si="7"/>
        <v>0</v>
      </c>
      <c r="D160" s="80">
        <f t="shared" si="8"/>
        <v>0</v>
      </c>
      <c r="E160" s="80">
        <f t="shared" si="9"/>
        <v>0</v>
      </c>
      <c r="F160" s="79"/>
      <c r="G160" s="74"/>
      <c r="H160" s="68"/>
      <c r="I160" s="74"/>
    </row>
    <row r="161" spans="1:9">
      <c r="A161" s="117">
        <v>106</v>
      </c>
      <c r="B161" s="80">
        <f t="shared" si="6"/>
        <v>0</v>
      </c>
      <c r="C161" s="80">
        <f t="shared" si="7"/>
        <v>0</v>
      </c>
      <c r="D161" s="80">
        <f t="shared" si="8"/>
        <v>0</v>
      </c>
      <c r="E161" s="80">
        <f t="shared" si="9"/>
        <v>0</v>
      </c>
      <c r="F161" s="79"/>
      <c r="G161" s="74"/>
      <c r="H161" s="68"/>
      <c r="I161" s="74"/>
    </row>
    <row r="162" spans="1:9">
      <c r="A162" s="117">
        <v>107</v>
      </c>
      <c r="B162" s="80">
        <f t="shared" si="6"/>
        <v>0</v>
      </c>
      <c r="C162" s="80">
        <f t="shared" si="7"/>
        <v>0</v>
      </c>
      <c r="D162" s="80">
        <f t="shared" si="8"/>
        <v>0</v>
      </c>
      <c r="E162" s="80">
        <f t="shared" si="9"/>
        <v>0</v>
      </c>
      <c r="F162" s="79"/>
      <c r="G162" s="74"/>
      <c r="H162" s="68"/>
      <c r="I162" s="74"/>
    </row>
    <row r="163" spans="1:9">
      <c r="A163" s="117">
        <v>108</v>
      </c>
      <c r="B163" s="80">
        <f t="shared" si="6"/>
        <v>0</v>
      </c>
      <c r="C163" s="80">
        <f t="shared" si="7"/>
        <v>0</v>
      </c>
      <c r="D163" s="80">
        <f t="shared" si="8"/>
        <v>0</v>
      </c>
      <c r="E163" s="80">
        <f t="shared" si="9"/>
        <v>0</v>
      </c>
      <c r="F163" s="79">
        <v>9</v>
      </c>
      <c r="G163" s="118"/>
      <c r="H163" s="88"/>
      <c r="I163" s="118"/>
    </row>
    <row r="164" spans="1:9">
      <c r="A164" s="117">
        <v>109</v>
      </c>
      <c r="B164" s="80">
        <f t="shared" si="6"/>
        <v>0</v>
      </c>
      <c r="C164" s="80">
        <f t="shared" si="7"/>
        <v>0</v>
      </c>
      <c r="D164" s="80">
        <f t="shared" si="8"/>
        <v>0</v>
      </c>
      <c r="E164" s="80">
        <f t="shared" si="9"/>
        <v>0</v>
      </c>
      <c r="F164" s="79"/>
      <c r="G164" s="74"/>
      <c r="H164" s="68"/>
      <c r="I164" s="118"/>
    </row>
    <row r="165" spans="1:9">
      <c r="A165" s="117">
        <v>110</v>
      </c>
      <c r="B165" s="80">
        <f t="shared" si="6"/>
        <v>0</v>
      </c>
      <c r="C165" s="80">
        <f t="shared" si="7"/>
        <v>0</v>
      </c>
      <c r="D165" s="80">
        <f t="shared" si="8"/>
        <v>0</v>
      </c>
      <c r="E165" s="80">
        <f t="shared" si="9"/>
        <v>0</v>
      </c>
      <c r="F165" s="79"/>
      <c r="G165" s="74"/>
      <c r="H165" s="68"/>
      <c r="I165" s="74"/>
    </row>
    <row r="166" spans="1:9">
      <c r="A166" s="117">
        <v>111</v>
      </c>
      <c r="B166" s="80">
        <f t="shared" si="6"/>
        <v>0</v>
      </c>
      <c r="C166" s="80">
        <f t="shared" si="7"/>
        <v>0</v>
      </c>
      <c r="D166" s="80">
        <f t="shared" si="8"/>
        <v>0</v>
      </c>
      <c r="E166" s="80">
        <f t="shared" si="9"/>
        <v>0</v>
      </c>
      <c r="F166" s="79"/>
      <c r="G166" s="74"/>
      <c r="H166" s="68"/>
      <c r="I166" s="74"/>
    </row>
    <row r="167" spans="1:9">
      <c r="A167" s="117">
        <v>112</v>
      </c>
      <c r="B167" s="80">
        <f t="shared" si="6"/>
        <v>0</v>
      </c>
      <c r="C167" s="80">
        <f t="shared" si="7"/>
        <v>0</v>
      </c>
      <c r="D167" s="80">
        <f t="shared" si="8"/>
        <v>0</v>
      </c>
      <c r="E167" s="80">
        <f t="shared" si="9"/>
        <v>0</v>
      </c>
      <c r="F167" s="79"/>
      <c r="G167" s="74"/>
      <c r="H167" s="68"/>
      <c r="I167" s="74"/>
    </row>
    <row r="168" spans="1:9">
      <c r="A168" s="117">
        <v>113</v>
      </c>
      <c r="B168" s="80">
        <f t="shared" si="6"/>
        <v>0</v>
      </c>
      <c r="C168" s="80">
        <f t="shared" si="7"/>
        <v>0</v>
      </c>
      <c r="D168" s="80">
        <f t="shared" si="8"/>
        <v>0</v>
      </c>
      <c r="E168" s="80">
        <f t="shared" si="9"/>
        <v>0</v>
      </c>
      <c r="F168" s="79"/>
      <c r="G168" s="74"/>
      <c r="H168" s="68"/>
      <c r="I168" s="74"/>
    </row>
    <row r="169" spans="1:9">
      <c r="A169" s="117">
        <v>114</v>
      </c>
      <c r="B169" s="80">
        <f t="shared" si="6"/>
        <v>0</v>
      </c>
      <c r="C169" s="80">
        <f t="shared" si="7"/>
        <v>0</v>
      </c>
      <c r="D169" s="80">
        <f t="shared" si="8"/>
        <v>0</v>
      </c>
      <c r="E169" s="80">
        <f t="shared" si="9"/>
        <v>0</v>
      </c>
      <c r="F169" s="79"/>
      <c r="G169" s="118"/>
      <c r="H169" s="88"/>
      <c r="I169" s="74"/>
    </row>
    <row r="170" spans="1:9">
      <c r="A170" s="117">
        <v>115</v>
      </c>
      <c r="B170" s="80">
        <f t="shared" si="6"/>
        <v>0</v>
      </c>
      <c r="C170" s="80">
        <f t="shared" si="7"/>
        <v>0</v>
      </c>
      <c r="D170" s="80">
        <f t="shared" si="8"/>
        <v>0</v>
      </c>
      <c r="E170" s="80">
        <f t="shared" si="9"/>
        <v>0</v>
      </c>
      <c r="F170" s="79"/>
      <c r="G170" s="74"/>
      <c r="H170" s="68"/>
      <c r="I170" s="74"/>
    </row>
    <row r="171" spans="1:9">
      <c r="A171" s="117">
        <v>116</v>
      </c>
      <c r="B171" s="80">
        <f t="shared" si="6"/>
        <v>0</v>
      </c>
      <c r="C171" s="80">
        <f t="shared" si="7"/>
        <v>0</v>
      </c>
      <c r="D171" s="80">
        <f t="shared" si="8"/>
        <v>0</v>
      </c>
      <c r="E171" s="80">
        <f t="shared" si="9"/>
        <v>0</v>
      </c>
      <c r="F171" s="79"/>
      <c r="G171" s="74"/>
      <c r="H171" s="68"/>
      <c r="I171" s="74"/>
    </row>
    <row r="172" spans="1:9">
      <c r="A172" s="117">
        <v>117</v>
      </c>
      <c r="B172" s="80">
        <f t="shared" si="6"/>
        <v>0</v>
      </c>
      <c r="C172" s="80">
        <f t="shared" si="7"/>
        <v>0</v>
      </c>
      <c r="D172" s="80">
        <f t="shared" si="8"/>
        <v>0</v>
      </c>
      <c r="E172" s="80">
        <f t="shared" si="9"/>
        <v>0</v>
      </c>
      <c r="F172" s="79"/>
      <c r="G172" s="74"/>
      <c r="H172" s="68"/>
      <c r="I172" s="74"/>
    </row>
    <row r="173" spans="1:9">
      <c r="A173" s="117">
        <v>118</v>
      </c>
      <c r="B173" s="80">
        <f t="shared" si="6"/>
        <v>0</v>
      </c>
      <c r="C173" s="80">
        <f t="shared" si="7"/>
        <v>0</v>
      </c>
      <c r="D173" s="80">
        <f t="shared" si="8"/>
        <v>0</v>
      </c>
      <c r="E173" s="80">
        <f t="shared" si="9"/>
        <v>0</v>
      </c>
      <c r="F173" s="79"/>
      <c r="G173" s="74"/>
      <c r="H173" s="68"/>
      <c r="I173" s="74"/>
    </row>
    <row r="174" spans="1:9">
      <c r="A174" s="117">
        <v>119</v>
      </c>
      <c r="B174" s="80">
        <f t="shared" si="6"/>
        <v>0</v>
      </c>
      <c r="C174" s="80">
        <f t="shared" si="7"/>
        <v>0</v>
      </c>
      <c r="D174" s="80">
        <f t="shared" si="8"/>
        <v>0</v>
      </c>
      <c r="E174" s="80">
        <f t="shared" si="9"/>
        <v>0</v>
      </c>
      <c r="F174" s="79"/>
      <c r="G174" s="74"/>
      <c r="H174" s="68"/>
      <c r="I174" s="74"/>
    </row>
    <row r="175" spans="1:9">
      <c r="A175" s="117">
        <v>120</v>
      </c>
      <c r="B175" s="80">
        <f t="shared" si="6"/>
        <v>0</v>
      </c>
      <c r="C175" s="80">
        <f t="shared" si="7"/>
        <v>0</v>
      </c>
      <c r="D175" s="80">
        <f t="shared" si="8"/>
        <v>0</v>
      </c>
      <c r="E175" s="80">
        <f t="shared" si="9"/>
        <v>0</v>
      </c>
      <c r="F175" s="79">
        <v>10</v>
      </c>
      <c r="G175" s="118"/>
      <c r="H175" s="88"/>
      <c r="I175" s="118"/>
    </row>
    <row r="176" spans="1:9">
      <c r="A176" s="117">
        <v>121</v>
      </c>
      <c r="B176" s="80">
        <f t="shared" si="6"/>
        <v>0</v>
      </c>
      <c r="C176" s="80">
        <f t="shared" si="7"/>
        <v>0</v>
      </c>
      <c r="D176" s="80">
        <f t="shared" si="8"/>
        <v>0</v>
      </c>
      <c r="E176" s="80">
        <f t="shared" si="9"/>
        <v>0</v>
      </c>
      <c r="F176" s="79"/>
      <c r="G176" s="74"/>
      <c r="H176" s="68"/>
      <c r="I176" s="118"/>
    </row>
    <row r="177" spans="1:9">
      <c r="A177" s="117">
        <v>122</v>
      </c>
      <c r="B177" s="80">
        <f t="shared" si="6"/>
        <v>0</v>
      </c>
      <c r="C177" s="80">
        <f t="shared" si="7"/>
        <v>0</v>
      </c>
      <c r="D177" s="80">
        <f t="shared" si="8"/>
        <v>0</v>
      </c>
      <c r="E177" s="80">
        <f t="shared" si="9"/>
        <v>0</v>
      </c>
      <c r="F177" s="79"/>
      <c r="G177" s="74"/>
      <c r="H177" s="68"/>
      <c r="I177" s="74"/>
    </row>
    <row r="178" spans="1:9">
      <c r="A178" s="117">
        <v>123</v>
      </c>
      <c r="B178" s="80">
        <f t="shared" si="6"/>
        <v>0</v>
      </c>
      <c r="C178" s="80">
        <f t="shared" si="7"/>
        <v>0</v>
      </c>
      <c r="D178" s="80">
        <f t="shared" si="8"/>
        <v>0</v>
      </c>
      <c r="E178" s="80">
        <f t="shared" si="9"/>
        <v>0</v>
      </c>
      <c r="F178" s="79"/>
      <c r="G178" s="74"/>
      <c r="H178" s="68"/>
      <c r="I178" s="74"/>
    </row>
    <row r="179" spans="1:9">
      <c r="A179" s="117">
        <v>124</v>
      </c>
      <c r="B179" s="80">
        <f t="shared" si="6"/>
        <v>0</v>
      </c>
      <c r="C179" s="80">
        <f t="shared" si="7"/>
        <v>0</v>
      </c>
      <c r="D179" s="80">
        <f t="shared" si="8"/>
        <v>0</v>
      </c>
      <c r="E179" s="80">
        <f t="shared" si="9"/>
        <v>0</v>
      </c>
      <c r="F179" s="79"/>
      <c r="G179" s="74"/>
      <c r="H179" s="68"/>
      <c r="I179" s="74"/>
    </row>
    <row r="180" spans="1:9">
      <c r="A180" s="117">
        <v>125</v>
      </c>
      <c r="B180" s="80">
        <f t="shared" si="6"/>
        <v>0</v>
      </c>
      <c r="C180" s="80">
        <f t="shared" si="7"/>
        <v>0</v>
      </c>
      <c r="D180" s="80">
        <f t="shared" si="8"/>
        <v>0</v>
      </c>
      <c r="E180" s="80">
        <f t="shared" si="9"/>
        <v>0</v>
      </c>
      <c r="F180" s="79"/>
      <c r="G180" s="74"/>
      <c r="H180" s="68"/>
      <c r="I180" s="74"/>
    </row>
    <row r="181" spans="1:9">
      <c r="A181" s="117">
        <v>126</v>
      </c>
      <c r="B181" s="80">
        <f t="shared" si="6"/>
        <v>0</v>
      </c>
      <c r="C181" s="80">
        <f t="shared" si="7"/>
        <v>0</v>
      </c>
      <c r="D181" s="80">
        <f t="shared" si="8"/>
        <v>0</v>
      </c>
      <c r="E181" s="80">
        <f t="shared" si="9"/>
        <v>0</v>
      </c>
      <c r="F181" s="79"/>
      <c r="G181" s="118"/>
      <c r="H181" s="88"/>
      <c r="I181" s="74"/>
    </row>
    <row r="182" spans="1:9">
      <c r="A182" s="117">
        <v>127</v>
      </c>
      <c r="B182" s="80">
        <f t="shared" si="6"/>
        <v>0</v>
      </c>
      <c r="C182" s="80">
        <f t="shared" si="7"/>
        <v>0</v>
      </c>
      <c r="D182" s="80">
        <f t="shared" si="8"/>
        <v>0</v>
      </c>
      <c r="E182" s="80">
        <f t="shared" si="9"/>
        <v>0</v>
      </c>
      <c r="F182" s="79"/>
      <c r="G182" s="74"/>
      <c r="H182" s="68"/>
      <c r="I182" s="74"/>
    </row>
    <row r="183" spans="1:9">
      <c r="A183" s="117">
        <v>128</v>
      </c>
      <c r="B183" s="80">
        <f t="shared" si="6"/>
        <v>0</v>
      </c>
      <c r="C183" s="80">
        <f t="shared" si="7"/>
        <v>0</v>
      </c>
      <c r="D183" s="80">
        <f t="shared" si="8"/>
        <v>0</v>
      </c>
      <c r="E183" s="80">
        <f t="shared" si="9"/>
        <v>0</v>
      </c>
      <c r="F183" s="79"/>
      <c r="G183" s="74"/>
      <c r="H183" s="68"/>
      <c r="I183" s="74"/>
    </row>
    <row r="184" spans="1:9">
      <c r="A184" s="117">
        <v>129</v>
      </c>
      <c r="B184" s="80">
        <f t="shared" ref="B184:B247" si="10">IF(A184&gt;12*$D$14,0,$D$20)</f>
        <v>0</v>
      </c>
      <c r="C184" s="80">
        <f t="shared" ref="C184:C247" si="11">IF(A184&gt;12*$D$14,0,E183*$D$10/12)</f>
        <v>0</v>
      </c>
      <c r="D184" s="80">
        <f t="shared" ref="D184:D247" si="12">IF(A184&gt;12*$D$14,0,B184-C184)</f>
        <v>0</v>
      </c>
      <c r="E184" s="80">
        <f t="shared" ref="E184:E247" si="13">IF(A184&gt;12*$D$14,0,E183-D184)</f>
        <v>0</v>
      </c>
      <c r="F184" s="79"/>
      <c r="G184" s="74"/>
      <c r="H184" s="68"/>
      <c r="I184" s="74"/>
    </row>
    <row r="185" spans="1:9">
      <c r="A185" s="117">
        <v>130</v>
      </c>
      <c r="B185" s="80">
        <f t="shared" si="10"/>
        <v>0</v>
      </c>
      <c r="C185" s="80">
        <f t="shared" si="11"/>
        <v>0</v>
      </c>
      <c r="D185" s="80">
        <f t="shared" si="12"/>
        <v>0</v>
      </c>
      <c r="E185" s="80">
        <f t="shared" si="13"/>
        <v>0</v>
      </c>
      <c r="F185" s="79"/>
      <c r="G185" s="74"/>
      <c r="H185" s="68"/>
      <c r="I185" s="74"/>
    </row>
    <row r="186" spans="1:9">
      <c r="A186" s="117">
        <v>131</v>
      </c>
      <c r="B186" s="80">
        <f t="shared" si="10"/>
        <v>0</v>
      </c>
      <c r="C186" s="80">
        <f t="shared" si="11"/>
        <v>0</v>
      </c>
      <c r="D186" s="80">
        <f t="shared" si="12"/>
        <v>0</v>
      </c>
      <c r="E186" s="80">
        <f t="shared" si="13"/>
        <v>0</v>
      </c>
      <c r="F186" s="79"/>
      <c r="G186" s="74"/>
      <c r="H186" s="68"/>
      <c r="I186" s="74"/>
    </row>
    <row r="187" spans="1:9">
      <c r="A187" s="117">
        <v>132</v>
      </c>
      <c r="B187" s="80">
        <f t="shared" si="10"/>
        <v>0</v>
      </c>
      <c r="C187" s="80">
        <f t="shared" si="11"/>
        <v>0</v>
      </c>
      <c r="D187" s="80">
        <f t="shared" si="12"/>
        <v>0</v>
      </c>
      <c r="E187" s="80">
        <f t="shared" si="13"/>
        <v>0</v>
      </c>
      <c r="F187" s="79">
        <v>11</v>
      </c>
      <c r="G187" s="118"/>
      <c r="H187" s="88"/>
      <c r="I187" s="118"/>
    </row>
    <row r="188" spans="1:9">
      <c r="A188" s="117">
        <v>133</v>
      </c>
      <c r="B188" s="80">
        <f t="shared" si="10"/>
        <v>0</v>
      </c>
      <c r="C188" s="80">
        <f t="shared" si="11"/>
        <v>0</v>
      </c>
      <c r="D188" s="80">
        <f t="shared" si="12"/>
        <v>0</v>
      </c>
      <c r="E188" s="80">
        <f t="shared" si="13"/>
        <v>0</v>
      </c>
      <c r="F188" s="79"/>
      <c r="G188" s="74"/>
      <c r="H188" s="68"/>
      <c r="I188" s="118"/>
    </row>
    <row r="189" spans="1:9">
      <c r="A189" s="117">
        <v>134</v>
      </c>
      <c r="B189" s="80">
        <f t="shared" si="10"/>
        <v>0</v>
      </c>
      <c r="C189" s="80">
        <f t="shared" si="11"/>
        <v>0</v>
      </c>
      <c r="D189" s="80">
        <f t="shared" si="12"/>
        <v>0</v>
      </c>
      <c r="E189" s="80">
        <f t="shared" si="13"/>
        <v>0</v>
      </c>
      <c r="F189" s="79"/>
      <c r="G189" s="74"/>
      <c r="H189" s="68"/>
      <c r="I189" s="74"/>
    </row>
    <row r="190" spans="1:9">
      <c r="A190" s="117">
        <v>135</v>
      </c>
      <c r="B190" s="80">
        <f t="shared" si="10"/>
        <v>0</v>
      </c>
      <c r="C190" s="80">
        <f t="shared" si="11"/>
        <v>0</v>
      </c>
      <c r="D190" s="80">
        <f t="shared" si="12"/>
        <v>0</v>
      </c>
      <c r="E190" s="80">
        <f t="shared" si="13"/>
        <v>0</v>
      </c>
      <c r="F190" s="79"/>
      <c r="G190" s="74"/>
      <c r="H190" s="68"/>
      <c r="I190" s="74"/>
    </row>
    <row r="191" spans="1:9">
      <c r="A191" s="117">
        <v>136</v>
      </c>
      <c r="B191" s="80">
        <f t="shared" si="10"/>
        <v>0</v>
      </c>
      <c r="C191" s="80">
        <f t="shared" si="11"/>
        <v>0</v>
      </c>
      <c r="D191" s="80">
        <f t="shared" si="12"/>
        <v>0</v>
      </c>
      <c r="E191" s="80">
        <f t="shared" si="13"/>
        <v>0</v>
      </c>
      <c r="F191" s="79"/>
      <c r="G191" s="74"/>
      <c r="H191" s="68"/>
      <c r="I191" s="74"/>
    </row>
    <row r="192" spans="1:9">
      <c r="A192" s="117">
        <v>137</v>
      </c>
      <c r="B192" s="80">
        <f t="shared" si="10"/>
        <v>0</v>
      </c>
      <c r="C192" s="80">
        <f t="shared" si="11"/>
        <v>0</v>
      </c>
      <c r="D192" s="80">
        <f t="shared" si="12"/>
        <v>0</v>
      </c>
      <c r="E192" s="80">
        <f t="shared" si="13"/>
        <v>0</v>
      </c>
      <c r="F192" s="79"/>
      <c r="G192" s="74"/>
      <c r="H192" s="68"/>
      <c r="I192" s="74"/>
    </row>
    <row r="193" spans="1:9">
      <c r="A193" s="117">
        <v>138</v>
      </c>
      <c r="B193" s="80">
        <f t="shared" si="10"/>
        <v>0</v>
      </c>
      <c r="C193" s="80">
        <f t="shared" si="11"/>
        <v>0</v>
      </c>
      <c r="D193" s="80">
        <f t="shared" si="12"/>
        <v>0</v>
      </c>
      <c r="E193" s="80">
        <f t="shared" si="13"/>
        <v>0</v>
      </c>
      <c r="F193" s="79"/>
      <c r="G193" s="118"/>
      <c r="H193" s="88"/>
      <c r="I193" s="74"/>
    </row>
    <row r="194" spans="1:9">
      <c r="A194" s="117">
        <v>139</v>
      </c>
      <c r="B194" s="80">
        <f t="shared" si="10"/>
        <v>0</v>
      </c>
      <c r="C194" s="80">
        <f t="shared" si="11"/>
        <v>0</v>
      </c>
      <c r="D194" s="80">
        <f t="shared" si="12"/>
        <v>0</v>
      </c>
      <c r="E194" s="80">
        <f t="shared" si="13"/>
        <v>0</v>
      </c>
      <c r="F194" s="79"/>
      <c r="G194" s="74"/>
      <c r="H194" s="68"/>
      <c r="I194" s="74"/>
    </row>
    <row r="195" spans="1:9">
      <c r="A195" s="117">
        <v>140</v>
      </c>
      <c r="B195" s="80">
        <f t="shared" si="10"/>
        <v>0</v>
      </c>
      <c r="C195" s="80">
        <f t="shared" si="11"/>
        <v>0</v>
      </c>
      <c r="D195" s="80">
        <f t="shared" si="12"/>
        <v>0</v>
      </c>
      <c r="E195" s="80">
        <f t="shared" si="13"/>
        <v>0</v>
      </c>
      <c r="F195" s="79"/>
      <c r="G195" s="74"/>
      <c r="H195" s="68"/>
      <c r="I195" s="74"/>
    </row>
    <row r="196" spans="1:9">
      <c r="A196" s="117">
        <v>141</v>
      </c>
      <c r="B196" s="80">
        <f t="shared" si="10"/>
        <v>0</v>
      </c>
      <c r="C196" s="80">
        <f t="shared" si="11"/>
        <v>0</v>
      </c>
      <c r="D196" s="80">
        <f t="shared" si="12"/>
        <v>0</v>
      </c>
      <c r="E196" s="80">
        <f t="shared" si="13"/>
        <v>0</v>
      </c>
      <c r="F196" s="79"/>
      <c r="G196" s="74"/>
      <c r="H196" s="68"/>
      <c r="I196" s="74"/>
    </row>
    <row r="197" spans="1:9">
      <c r="A197" s="117">
        <v>142</v>
      </c>
      <c r="B197" s="80">
        <f t="shared" si="10"/>
        <v>0</v>
      </c>
      <c r="C197" s="80">
        <f t="shared" si="11"/>
        <v>0</v>
      </c>
      <c r="D197" s="80">
        <f t="shared" si="12"/>
        <v>0</v>
      </c>
      <c r="E197" s="80">
        <f t="shared" si="13"/>
        <v>0</v>
      </c>
      <c r="F197" s="79"/>
      <c r="G197" s="74"/>
      <c r="H197" s="68"/>
      <c r="I197" s="74"/>
    </row>
    <row r="198" spans="1:9">
      <c r="A198" s="117">
        <v>143</v>
      </c>
      <c r="B198" s="80">
        <f t="shared" si="10"/>
        <v>0</v>
      </c>
      <c r="C198" s="80">
        <f t="shared" si="11"/>
        <v>0</v>
      </c>
      <c r="D198" s="80">
        <f t="shared" si="12"/>
        <v>0</v>
      </c>
      <c r="E198" s="80">
        <f t="shared" si="13"/>
        <v>0</v>
      </c>
      <c r="F198" s="79"/>
      <c r="G198" s="74"/>
      <c r="H198" s="68"/>
      <c r="I198" s="74"/>
    </row>
    <row r="199" spans="1:9">
      <c r="A199" s="119">
        <v>144</v>
      </c>
      <c r="B199" s="80">
        <f t="shared" si="10"/>
        <v>0</v>
      </c>
      <c r="C199" s="80">
        <f t="shared" si="11"/>
        <v>0</v>
      </c>
      <c r="D199" s="80">
        <f t="shared" si="12"/>
        <v>0</v>
      </c>
      <c r="E199" s="80">
        <f t="shared" si="13"/>
        <v>0</v>
      </c>
      <c r="F199" s="81">
        <v>12</v>
      </c>
      <c r="G199" s="118"/>
      <c r="H199" s="88"/>
      <c r="I199" s="118"/>
    </row>
    <row r="200" spans="1:9">
      <c r="A200" s="117">
        <v>145</v>
      </c>
      <c r="B200" s="80">
        <f t="shared" si="10"/>
        <v>0</v>
      </c>
      <c r="C200" s="80">
        <f t="shared" si="11"/>
        <v>0</v>
      </c>
      <c r="D200" s="80">
        <f t="shared" si="12"/>
        <v>0</v>
      </c>
      <c r="E200" s="80">
        <f t="shared" si="13"/>
        <v>0</v>
      </c>
      <c r="F200" s="79"/>
      <c r="G200" s="74"/>
      <c r="H200" s="68"/>
      <c r="I200" s="118"/>
    </row>
    <row r="201" spans="1:9">
      <c r="A201" s="117">
        <v>146</v>
      </c>
      <c r="B201" s="80">
        <f t="shared" si="10"/>
        <v>0</v>
      </c>
      <c r="C201" s="80">
        <f t="shared" si="11"/>
        <v>0</v>
      </c>
      <c r="D201" s="80">
        <f t="shared" si="12"/>
        <v>0</v>
      </c>
      <c r="E201" s="80">
        <f t="shared" si="13"/>
        <v>0</v>
      </c>
      <c r="F201" s="79"/>
      <c r="G201" s="74"/>
      <c r="H201" s="68"/>
      <c r="I201" s="74"/>
    </row>
    <row r="202" spans="1:9">
      <c r="A202" s="117">
        <v>147</v>
      </c>
      <c r="B202" s="80">
        <f t="shared" si="10"/>
        <v>0</v>
      </c>
      <c r="C202" s="80">
        <f t="shared" si="11"/>
        <v>0</v>
      </c>
      <c r="D202" s="80">
        <f t="shared" si="12"/>
        <v>0</v>
      </c>
      <c r="E202" s="80">
        <f t="shared" si="13"/>
        <v>0</v>
      </c>
      <c r="F202" s="79"/>
      <c r="G202" s="74"/>
      <c r="H202" s="68"/>
      <c r="I202" s="74"/>
    </row>
    <row r="203" spans="1:9">
      <c r="A203" s="117">
        <v>148</v>
      </c>
      <c r="B203" s="80">
        <f t="shared" si="10"/>
        <v>0</v>
      </c>
      <c r="C203" s="80">
        <f t="shared" si="11"/>
        <v>0</v>
      </c>
      <c r="D203" s="80">
        <f t="shared" si="12"/>
        <v>0</v>
      </c>
      <c r="E203" s="80">
        <f t="shared" si="13"/>
        <v>0</v>
      </c>
      <c r="F203" s="79"/>
      <c r="G203" s="74"/>
      <c r="H203" s="68"/>
      <c r="I203" s="74"/>
    </row>
    <row r="204" spans="1:9">
      <c r="A204" s="117">
        <v>149</v>
      </c>
      <c r="B204" s="80">
        <f t="shared" si="10"/>
        <v>0</v>
      </c>
      <c r="C204" s="80">
        <f t="shared" si="11"/>
        <v>0</v>
      </c>
      <c r="D204" s="80">
        <f t="shared" si="12"/>
        <v>0</v>
      </c>
      <c r="E204" s="80">
        <f t="shared" si="13"/>
        <v>0</v>
      </c>
      <c r="F204" s="79"/>
      <c r="G204" s="74"/>
      <c r="H204" s="68"/>
      <c r="I204" s="74"/>
    </row>
    <row r="205" spans="1:9">
      <c r="A205" s="117">
        <v>150</v>
      </c>
      <c r="B205" s="80">
        <f t="shared" si="10"/>
        <v>0</v>
      </c>
      <c r="C205" s="80">
        <f t="shared" si="11"/>
        <v>0</v>
      </c>
      <c r="D205" s="80">
        <f t="shared" si="12"/>
        <v>0</v>
      </c>
      <c r="E205" s="80">
        <f t="shared" si="13"/>
        <v>0</v>
      </c>
      <c r="F205" s="79"/>
      <c r="G205" s="118"/>
      <c r="H205" s="88"/>
      <c r="I205" s="74"/>
    </row>
    <row r="206" spans="1:9">
      <c r="A206" s="117">
        <v>151</v>
      </c>
      <c r="B206" s="80">
        <f t="shared" si="10"/>
        <v>0</v>
      </c>
      <c r="C206" s="80">
        <f t="shared" si="11"/>
        <v>0</v>
      </c>
      <c r="D206" s="80">
        <f t="shared" si="12"/>
        <v>0</v>
      </c>
      <c r="E206" s="80">
        <f t="shared" si="13"/>
        <v>0</v>
      </c>
      <c r="F206" s="79"/>
      <c r="G206" s="74"/>
      <c r="H206" s="68"/>
      <c r="I206" s="74"/>
    </row>
    <row r="207" spans="1:9">
      <c r="A207" s="117">
        <v>152</v>
      </c>
      <c r="B207" s="80">
        <f t="shared" si="10"/>
        <v>0</v>
      </c>
      <c r="C207" s="80">
        <f t="shared" si="11"/>
        <v>0</v>
      </c>
      <c r="D207" s="80">
        <f t="shared" si="12"/>
        <v>0</v>
      </c>
      <c r="E207" s="80">
        <f t="shared" si="13"/>
        <v>0</v>
      </c>
      <c r="F207" s="79"/>
      <c r="G207" s="74"/>
      <c r="H207" s="68"/>
      <c r="I207" s="74"/>
    </row>
    <row r="208" spans="1:9">
      <c r="A208" s="117">
        <v>153</v>
      </c>
      <c r="B208" s="80">
        <f t="shared" si="10"/>
        <v>0</v>
      </c>
      <c r="C208" s="80">
        <f t="shared" si="11"/>
        <v>0</v>
      </c>
      <c r="D208" s="80">
        <f t="shared" si="12"/>
        <v>0</v>
      </c>
      <c r="E208" s="80">
        <f t="shared" si="13"/>
        <v>0</v>
      </c>
      <c r="F208" s="79"/>
      <c r="G208" s="74"/>
      <c r="H208" s="68"/>
      <c r="I208" s="74"/>
    </row>
    <row r="209" spans="1:9">
      <c r="A209" s="117">
        <v>154</v>
      </c>
      <c r="B209" s="80">
        <f t="shared" si="10"/>
        <v>0</v>
      </c>
      <c r="C209" s="80">
        <f t="shared" si="11"/>
        <v>0</v>
      </c>
      <c r="D209" s="80">
        <f t="shared" si="12"/>
        <v>0</v>
      </c>
      <c r="E209" s="80">
        <f t="shared" si="13"/>
        <v>0</v>
      </c>
      <c r="F209" s="79"/>
      <c r="G209" s="74"/>
      <c r="H209" s="68"/>
      <c r="I209" s="74"/>
    </row>
    <row r="210" spans="1:9">
      <c r="A210" s="117">
        <v>155</v>
      </c>
      <c r="B210" s="80">
        <f t="shared" si="10"/>
        <v>0</v>
      </c>
      <c r="C210" s="80">
        <f t="shared" si="11"/>
        <v>0</v>
      </c>
      <c r="D210" s="80">
        <f t="shared" si="12"/>
        <v>0</v>
      </c>
      <c r="E210" s="80">
        <f t="shared" si="13"/>
        <v>0</v>
      </c>
      <c r="F210" s="79"/>
      <c r="G210" s="74"/>
      <c r="H210" s="68"/>
      <c r="I210" s="74"/>
    </row>
    <row r="211" spans="1:9">
      <c r="A211" s="119">
        <v>156</v>
      </c>
      <c r="B211" s="80">
        <f t="shared" si="10"/>
        <v>0</v>
      </c>
      <c r="C211" s="80">
        <f t="shared" si="11"/>
        <v>0</v>
      </c>
      <c r="D211" s="80">
        <f t="shared" si="12"/>
        <v>0</v>
      </c>
      <c r="E211" s="80">
        <f t="shared" si="13"/>
        <v>0</v>
      </c>
      <c r="F211" s="81">
        <v>13</v>
      </c>
      <c r="G211" s="118"/>
      <c r="H211" s="88"/>
      <c r="I211" s="118"/>
    </row>
    <row r="212" spans="1:9">
      <c r="A212" s="117">
        <v>157</v>
      </c>
      <c r="B212" s="80">
        <f t="shared" si="10"/>
        <v>0</v>
      </c>
      <c r="C212" s="80">
        <f t="shared" si="11"/>
        <v>0</v>
      </c>
      <c r="D212" s="80">
        <f t="shared" si="12"/>
        <v>0</v>
      </c>
      <c r="E212" s="80">
        <f t="shared" si="13"/>
        <v>0</v>
      </c>
      <c r="F212" s="79"/>
      <c r="G212" s="74"/>
      <c r="H212" s="68"/>
      <c r="I212" s="118"/>
    </row>
    <row r="213" spans="1:9">
      <c r="A213" s="117">
        <v>158</v>
      </c>
      <c r="B213" s="80">
        <f t="shared" si="10"/>
        <v>0</v>
      </c>
      <c r="C213" s="80">
        <f t="shared" si="11"/>
        <v>0</v>
      </c>
      <c r="D213" s="80">
        <f t="shared" si="12"/>
        <v>0</v>
      </c>
      <c r="E213" s="80">
        <f t="shared" si="13"/>
        <v>0</v>
      </c>
      <c r="F213" s="79"/>
      <c r="G213" s="74"/>
      <c r="H213" s="68"/>
      <c r="I213" s="74"/>
    </row>
    <row r="214" spans="1:9">
      <c r="A214" s="117">
        <v>159</v>
      </c>
      <c r="B214" s="80">
        <f t="shared" si="10"/>
        <v>0</v>
      </c>
      <c r="C214" s="80">
        <f t="shared" si="11"/>
        <v>0</v>
      </c>
      <c r="D214" s="80">
        <f t="shared" si="12"/>
        <v>0</v>
      </c>
      <c r="E214" s="80">
        <f t="shared" si="13"/>
        <v>0</v>
      </c>
      <c r="F214" s="79"/>
      <c r="G214" s="74"/>
      <c r="H214" s="68"/>
      <c r="I214" s="74"/>
    </row>
    <row r="215" spans="1:9">
      <c r="A215" s="117">
        <v>160</v>
      </c>
      <c r="B215" s="80">
        <f t="shared" si="10"/>
        <v>0</v>
      </c>
      <c r="C215" s="80">
        <f t="shared" si="11"/>
        <v>0</v>
      </c>
      <c r="D215" s="80">
        <f t="shared" si="12"/>
        <v>0</v>
      </c>
      <c r="E215" s="80">
        <f t="shared" si="13"/>
        <v>0</v>
      </c>
      <c r="F215" s="79"/>
      <c r="G215" s="74"/>
      <c r="H215" s="68"/>
      <c r="I215" s="74"/>
    </row>
    <row r="216" spans="1:9">
      <c r="A216" s="117">
        <v>161</v>
      </c>
      <c r="B216" s="80">
        <f t="shared" si="10"/>
        <v>0</v>
      </c>
      <c r="C216" s="80">
        <f t="shared" si="11"/>
        <v>0</v>
      </c>
      <c r="D216" s="80">
        <f t="shared" si="12"/>
        <v>0</v>
      </c>
      <c r="E216" s="80">
        <f t="shared" si="13"/>
        <v>0</v>
      </c>
      <c r="F216" s="79"/>
      <c r="G216" s="74"/>
      <c r="H216" s="68"/>
      <c r="I216" s="74"/>
    </row>
    <row r="217" spans="1:9">
      <c r="A217" s="117">
        <v>162</v>
      </c>
      <c r="B217" s="80">
        <f t="shared" si="10"/>
        <v>0</v>
      </c>
      <c r="C217" s="80">
        <f t="shared" si="11"/>
        <v>0</v>
      </c>
      <c r="D217" s="80">
        <f t="shared" si="12"/>
        <v>0</v>
      </c>
      <c r="E217" s="80">
        <f t="shared" si="13"/>
        <v>0</v>
      </c>
      <c r="F217" s="79"/>
      <c r="G217" s="118"/>
      <c r="H217" s="88"/>
      <c r="I217" s="74"/>
    </row>
    <row r="218" spans="1:9">
      <c r="A218" s="117">
        <v>163</v>
      </c>
      <c r="B218" s="80">
        <f t="shared" si="10"/>
        <v>0</v>
      </c>
      <c r="C218" s="80">
        <f t="shared" si="11"/>
        <v>0</v>
      </c>
      <c r="D218" s="80">
        <f t="shared" si="12"/>
        <v>0</v>
      </c>
      <c r="E218" s="80">
        <f t="shared" si="13"/>
        <v>0</v>
      </c>
      <c r="F218" s="79"/>
      <c r="G218" s="74"/>
      <c r="H218" s="68"/>
      <c r="I218" s="74"/>
    </row>
    <row r="219" spans="1:9">
      <c r="A219" s="117">
        <v>164</v>
      </c>
      <c r="B219" s="80">
        <f t="shared" si="10"/>
        <v>0</v>
      </c>
      <c r="C219" s="80">
        <f t="shared" si="11"/>
        <v>0</v>
      </c>
      <c r="D219" s="80">
        <f t="shared" si="12"/>
        <v>0</v>
      </c>
      <c r="E219" s="80">
        <f t="shared" si="13"/>
        <v>0</v>
      </c>
      <c r="F219" s="79"/>
      <c r="G219" s="74"/>
      <c r="H219" s="68"/>
      <c r="I219" s="74"/>
    </row>
    <row r="220" spans="1:9">
      <c r="A220" s="117">
        <v>165</v>
      </c>
      <c r="B220" s="80">
        <f t="shared" si="10"/>
        <v>0</v>
      </c>
      <c r="C220" s="80">
        <f t="shared" si="11"/>
        <v>0</v>
      </c>
      <c r="D220" s="80">
        <f t="shared" si="12"/>
        <v>0</v>
      </c>
      <c r="E220" s="80">
        <f t="shared" si="13"/>
        <v>0</v>
      </c>
      <c r="F220" s="79"/>
      <c r="G220" s="74"/>
      <c r="H220" s="68"/>
      <c r="I220" s="74"/>
    </row>
    <row r="221" spans="1:9">
      <c r="A221" s="117">
        <v>166</v>
      </c>
      <c r="B221" s="80">
        <f t="shared" si="10"/>
        <v>0</v>
      </c>
      <c r="C221" s="80">
        <f t="shared" si="11"/>
        <v>0</v>
      </c>
      <c r="D221" s="80">
        <f t="shared" si="12"/>
        <v>0</v>
      </c>
      <c r="E221" s="80">
        <f t="shared" si="13"/>
        <v>0</v>
      </c>
      <c r="F221" s="79"/>
      <c r="G221" s="74"/>
      <c r="H221" s="68"/>
      <c r="I221" s="74"/>
    </row>
    <row r="222" spans="1:9">
      <c r="A222" s="117">
        <v>167</v>
      </c>
      <c r="B222" s="80">
        <f t="shared" si="10"/>
        <v>0</v>
      </c>
      <c r="C222" s="80">
        <f t="shared" si="11"/>
        <v>0</v>
      </c>
      <c r="D222" s="80">
        <f t="shared" si="12"/>
        <v>0</v>
      </c>
      <c r="E222" s="80">
        <f t="shared" si="13"/>
        <v>0</v>
      </c>
      <c r="F222" s="79"/>
      <c r="G222" s="74"/>
      <c r="H222" s="68"/>
      <c r="I222" s="74"/>
    </row>
    <row r="223" spans="1:9">
      <c r="A223" s="119">
        <v>168</v>
      </c>
      <c r="B223" s="80">
        <f t="shared" si="10"/>
        <v>0</v>
      </c>
      <c r="C223" s="80">
        <f t="shared" si="11"/>
        <v>0</v>
      </c>
      <c r="D223" s="80">
        <f t="shared" si="12"/>
        <v>0</v>
      </c>
      <c r="E223" s="80">
        <f t="shared" si="13"/>
        <v>0</v>
      </c>
      <c r="F223" s="81">
        <v>14</v>
      </c>
      <c r="G223" s="118"/>
      <c r="H223" s="88"/>
      <c r="I223" s="118"/>
    </row>
    <row r="224" spans="1:9">
      <c r="A224" s="117">
        <v>169</v>
      </c>
      <c r="B224" s="80">
        <f t="shared" si="10"/>
        <v>0</v>
      </c>
      <c r="C224" s="80">
        <f t="shared" si="11"/>
        <v>0</v>
      </c>
      <c r="D224" s="80">
        <f t="shared" si="12"/>
        <v>0</v>
      </c>
      <c r="E224" s="80">
        <f t="shared" si="13"/>
        <v>0</v>
      </c>
      <c r="F224" s="79"/>
      <c r="G224" s="74"/>
      <c r="H224" s="68"/>
      <c r="I224" s="118"/>
    </row>
    <row r="225" spans="1:9">
      <c r="A225" s="117">
        <v>170</v>
      </c>
      <c r="B225" s="80">
        <f t="shared" si="10"/>
        <v>0</v>
      </c>
      <c r="C225" s="80">
        <f t="shared" si="11"/>
        <v>0</v>
      </c>
      <c r="D225" s="80">
        <f t="shared" si="12"/>
        <v>0</v>
      </c>
      <c r="E225" s="80">
        <f t="shared" si="13"/>
        <v>0</v>
      </c>
      <c r="F225" s="79"/>
      <c r="G225" s="74"/>
      <c r="H225" s="68"/>
      <c r="I225" s="74"/>
    </row>
    <row r="226" spans="1:9">
      <c r="A226" s="117">
        <v>171</v>
      </c>
      <c r="B226" s="80">
        <f t="shared" si="10"/>
        <v>0</v>
      </c>
      <c r="C226" s="80">
        <f t="shared" si="11"/>
        <v>0</v>
      </c>
      <c r="D226" s="80">
        <f t="shared" si="12"/>
        <v>0</v>
      </c>
      <c r="E226" s="80">
        <f t="shared" si="13"/>
        <v>0</v>
      </c>
      <c r="F226" s="79"/>
      <c r="G226" s="74"/>
      <c r="H226" s="68"/>
      <c r="I226" s="74"/>
    </row>
    <row r="227" spans="1:9">
      <c r="A227" s="117">
        <v>172</v>
      </c>
      <c r="B227" s="80">
        <f t="shared" si="10"/>
        <v>0</v>
      </c>
      <c r="C227" s="80">
        <f t="shared" si="11"/>
        <v>0</v>
      </c>
      <c r="D227" s="80">
        <f t="shared" si="12"/>
        <v>0</v>
      </c>
      <c r="E227" s="80">
        <f t="shared" si="13"/>
        <v>0</v>
      </c>
      <c r="F227" s="79"/>
      <c r="G227" s="74"/>
      <c r="H227" s="68"/>
      <c r="I227" s="74"/>
    </row>
    <row r="228" spans="1:9">
      <c r="A228" s="117">
        <v>173</v>
      </c>
      <c r="B228" s="80">
        <f t="shared" si="10"/>
        <v>0</v>
      </c>
      <c r="C228" s="80">
        <f t="shared" si="11"/>
        <v>0</v>
      </c>
      <c r="D228" s="80">
        <f t="shared" si="12"/>
        <v>0</v>
      </c>
      <c r="E228" s="80">
        <f t="shared" si="13"/>
        <v>0</v>
      </c>
      <c r="F228" s="79"/>
      <c r="G228" s="74"/>
      <c r="H228" s="68"/>
      <c r="I228" s="74"/>
    </row>
    <row r="229" spans="1:9">
      <c r="A229" s="117">
        <v>174</v>
      </c>
      <c r="B229" s="80">
        <f t="shared" si="10"/>
        <v>0</v>
      </c>
      <c r="C229" s="80">
        <f t="shared" si="11"/>
        <v>0</v>
      </c>
      <c r="D229" s="80">
        <f t="shared" si="12"/>
        <v>0</v>
      </c>
      <c r="E229" s="80">
        <f t="shared" si="13"/>
        <v>0</v>
      </c>
      <c r="F229" s="79"/>
      <c r="G229" s="118"/>
      <c r="H229" s="88"/>
      <c r="I229" s="74"/>
    </row>
    <row r="230" spans="1:9">
      <c r="A230" s="117">
        <v>175</v>
      </c>
      <c r="B230" s="80">
        <f t="shared" si="10"/>
        <v>0</v>
      </c>
      <c r="C230" s="80">
        <f t="shared" si="11"/>
        <v>0</v>
      </c>
      <c r="D230" s="80">
        <f t="shared" si="12"/>
        <v>0</v>
      </c>
      <c r="E230" s="80">
        <f t="shared" si="13"/>
        <v>0</v>
      </c>
      <c r="F230" s="79"/>
      <c r="G230" s="74"/>
      <c r="H230" s="68"/>
      <c r="I230" s="74"/>
    </row>
    <row r="231" spans="1:9">
      <c r="A231" s="117">
        <v>176</v>
      </c>
      <c r="B231" s="80">
        <f t="shared" si="10"/>
        <v>0</v>
      </c>
      <c r="C231" s="80">
        <f t="shared" si="11"/>
        <v>0</v>
      </c>
      <c r="D231" s="80">
        <f t="shared" si="12"/>
        <v>0</v>
      </c>
      <c r="E231" s="80">
        <f t="shared" si="13"/>
        <v>0</v>
      </c>
      <c r="F231" s="79"/>
      <c r="G231" s="74"/>
      <c r="H231" s="68"/>
      <c r="I231" s="74"/>
    </row>
    <row r="232" spans="1:9">
      <c r="A232" s="117">
        <v>177</v>
      </c>
      <c r="B232" s="80">
        <f t="shared" si="10"/>
        <v>0</v>
      </c>
      <c r="C232" s="80">
        <f t="shared" si="11"/>
        <v>0</v>
      </c>
      <c r="D232" s="80">
        <f t="shared" si="12"/>
        <v>0</v>
      </c>
      <c r="E232" s="80">
        <f t="shared" si="13"/>
        <v>0</v>
      </c>
      <c r="F232" s="79"/>
      <c r="G232" s="74"/>
      <c r="H232" s="68"/>
      <c r="I232" s="74"/>
    </row>
    <row r="233" spans="1:9">
      <c r="A233" s="117">
        <v>178</v>
      </c>
      <c r="B233" s="80">
        <f t="shared" si="10"/>
        <v>0</v>
      </c>
      <c r="C233" s="80">
        <f t="shared" si="11"/>
        <v>0</v>
      </c>
      <c r="D233" s="80">
        <f t="shared" si="12"/>
        <v>0</v>
      </c>
      <c r="E233" s="80">
        <f t="shared" si="13"/>
        <v>0</v>
      </c>
      <c r="F233" s="79"/>
      <c r="G233" s="74"/>
      <c r="H233" s="68"/>
      <c r="I233" s="74"/>
    </row>
    <row r="234" spans="1:9">
      <c r="A234" s="117">
        <v>179</v>
      </c>
      <c r="B234" s="80">
        <f t="shared" si="10"/>
        <v>0</v>
      </c>
      <c r="C234" s="80">
        <f t="shared" si="11"/>
        <v>0</v>
      </c>
      <c r="D234" s="80">
        <f t="shared" si="12"/>
        <v>0</v>
      </c>
      <c r="E234" s="80">
        <f t="shared" si="13"/>
        <v>0</v>
      </c>
      <c r="F234" s="79"/>
      <c r="G234" s="74"/>
      <c r="H234" s="68"/>
      <c r="I234" s="74"/>
    </row>
    <row r="235" spans="1:9">
      <c r="A235" s="119">
        <v>180</v>
      </c>
      <c r="B235" s="80">
        <f t="shared" si="10"/>
        <v>0</v>
      </c>
      <c r="C235" s="80">
        <f t="shared" si="11"/>
        <v>0</v>
      </c>
      <c r="D235" s="80">
        <f t="shared" si="12"/>
        <v>0</v>
      </c>
      <c r="E235" s="80">
        <f t="shared" si="13"/>
        <v>0</v>
      </c>
      <c r="F235" s="81">
        <v>15</v>
      </c>
      <c r="G235" s="118"/>
      <c r="H235" s="88"/>
      <c r="I235" s="118"/>
    </row>
    <row r="236" spans="1:9">
      <c r="A236" s="117">
        <v>181</v>
      </c>
      <c r="B236" s="80">
        <f t="shared" si="10"/>
        <v>0</v>
      </c>
      <c r="C236" s="80">
        <f t="shared" si="11"/>
        <v>0</v>
      </c>
      <c r="D236" s="80">
        <f t="shared" si="12"/>
        <v>0</v>
      </c>
      <c r="E236" s="80">
        <f t="shared" si="13"/>
        <v>0</v>
      </c>
      <c r="F236" s="79"/>
      <c r="G236" s="74"/>
      <c r="H236" s="68"/>
      <c r="I236" s="118"/>
    </row>
    <row r="237" spans="1:9">
      <c r="A237" s="119">
        <v>182</v>
      </c>
      <c r="B237" s="80">
        <f t="shared" si="10"/>
        <v>0</v>
      </c>
      <c r="C237" s="80">
        <f t="shared" si="11"/>
        <v>0</v>
      </c>
      <c r="D237" s="80">
        <f t="shared" si="12"/>
        <v>0</v>
      </c>
      <c r="E237" s="80">
        <f t="shared" si="13"/>
        <v>0</v>
      </c>
      <c r="F237" s="79"/>
      <c r="G237" s="74"/>
      <c r="H237" s="68"/>
      <c r="I237" s="74"/>
    </row>
    <row r="238" spans="1:9">
      <c r="A238" s="119">
        <v>183</v>
      </c>
      <c r="B238" s="80">
        <f t="shared" si="10"/>
        <v>0</v>
      </c>
      <c r="C238" s="80">
        <f t="shared" si="11"/>
        <v>0</v>
      </c>
      <c r="D238" s="80">
        <f t="shared" si="12"/>
        <v>0</v>
      </c>
      <c r="E238" s="80">
        <f t="shared" si="13"/>
        <v>0</v>
      </c>
      <c r="F238" s="79"/>
      <c r="G238" s="74"/>
      <c r="H238" s="68"/>
      <c r="I238" s="74"/>
    </row>
    <row r="239" spans="1:9">
      <c r="A239" s="119">
        <v>184</v>
      </c>
      <c r="B239" s="80">
        <f t="shared" si="10"/>
        <v>0</v>
      </c>
      <c r="C239" s="80">
        <f t="shared" si="11"/>
        <v>0</v>
      </c>
      <c r="D239" s="80">
        <f t="shared" si="12"/>
        <v>0</v>
      </c>
      <c r="E239" s="80">
        <f t="shared" si="13"/>
        <v>0</v>
      </c>
      <c r="F239" s="79"/>
      <c r="G239" s="74"/>
      <c r="H239" s="68"/>
      <c r="I239" s="74"/>
    </row>
    <row r="240" spans="1:9">
      <c r="A240" s="119">
        <v>185</v>
      </c>
      <c r="B240" s="80">
        <f t="shared" si="10"/>
        <v>0</v>
      </c>
      <c r="C240" s="80">
        <f t="shared" si="11"/>
        <v>0</v>
      </c>
      <c r="D240" s="80">
        <f t="shared" si="12"/>
        <v>0</v>
      </c>
      <c r="E240" s="80">
        <f t="shared" si="13"/>
        <v>0</v>
      </c>
      <c r="F240" s="79"/>
      <c r="G240" s="74"/>
      <c r="H240" s="68"/>
      <c r="I240" s="74"/>
    </row>
    <row r="241" spans="1:9">
      <c r="A241" s="119">
        <v>186</v>
      </c>
      <c r="B241" s="80">
        <f t="shared" si="10"/>
        <v>0</v>
      </c>
      <c r="C241" s="80">
        <f t="shared" si="11"/>
        <v>0</v>
      </c>
      <c r="D241" s="80">
        <f t="shared" si="12"/>
        <v>0</v>
      </c>
      <c r="E241" s="80">
        <f t="shared" si="13"/>
        <v>0</v>
      </c>
      <c r="F241" s="79"/>
      <c r="G241" s="118"/>
      <c r="H241" s="88"/>
      <c r="I241" s="74"/>
    </row>
    <row r="242" spans="1:9">
      <c r="A242" s="119">
        <v>187</v>
      </c>
      <c r="B242" s="80">
        <f t="shared" si="10"/>
        <v>0</v>
      </c>
      <c r="C242" s="80">
        <f t="shared" si="11"/>
        <v>0</v>
      </c>
      <c r="D242" s="80">
        <f t="shared" si="12"/>
        <v>0</v>
      </c>
      <c r="E242" s="80">
        <f t="shared" si="13"/>
        <v>0</v>
      </c>
      <c r="F242" s="79"/>
      <c r="G242" s="74"/>
      <c r="H242" s="68"/>
      <c r="I242" s="74"/>
    </row>
    <row r="243" spans="1:9">
      <c r="A243" s="119">
        <v>188</v>
      </c>
      <c r="B243" s="80">
        <f t="shared" si="10"/>
        <v>0</v>
      </c>
      <c r="C243" s="80">
        <f t="shared" si="11"/>
        <v>0</v>
      </c>
      <c r="D243" s="80">
        <f t="shared" si="12"/>
        <v>0</v>
      </c>
      <c r="E243" s="80">
        <f t="shared" si="13"/>
        <v>0</v>
      </c>
      <c r="F243" s="79"/>
      <c r="G243" s="74"/>
      <c r="H243" s="68"/>
      <c r="I243" s="74"/>
    </row>
    <row r="244" spans="1:9">
      <c r="A244" s="119">
        <v>189</v>
      </c>
      <c r="B244" s="80">
        <f t="shared" si="10"/>
        <v>0</v>
      </c>
      <c r="C244" s="80">
        <f t="shared" si="11"/>
        <v>0</v>
      </c>
      <c r="D244" s="80">
        <f t="shared" si="12"/>
        <v>0</v>
      </c>
      <c r="E244" s="80">
        <f t="shared" si="13"/>
        <v>0</v>
      </c>
      <c r="F244" s="79"/>
      <c r="G244" s="74"/>
      <c r="H244" s="68"/>
      <c r="I244" s="74"/>
    </row>
    <row r="245" spans="1:9">
      <c r="A245" s="119">
        <v>190</v>
      </c>
      <c r="B245" s="80">
        <f t="shared" si="10"/>
        <v>0</v>
      </c>
      <c r="C245" s="80">
        <f t="shared" si="11"/>
        <v>0</v>
      </c>
      <c r="D245" s="80">
        <f t="shared" si="12"/>
        <v>0</v>
      </c>
      <c r="E245" s="80">
        <f t="shared" si="13"/>
        <v>0</v>
      </c>
      <c r="F245" s="79"/>
      <c r="G245" s="74"/>
      <c r="H245" s="68"/>
      <c r="I245" s="74"/>
    </row>
    <row r="246" spans="1:9">
      <c r="A246" s="119">
        <v>191</v>
      </c>
      <c r="B246" s="80">
        <f t="shared" si="10"/>
        <v>0</v>
      </c>
      <c r="C246" s="80">
        <f t="shared" si="11"/>
        <v>0</v>
      </c>
      <c r="D246" s="80">
        <f t="shared" si="12"/>
        <v>0</v>
      </c>
      <c r="E246" s="80">
        <f t="shared" si="13"/>
        <v>0</v>
      </c>
      <c r="F246" s="79"/>
      <c r="G246" s="74"/>
      <c r="H246" s="68"/>
      <c r="I246" s="74"/>
    </row>
    <row r="247" spans="1:9">
      <c r="A247" s="119">
        <v>192</v>
      </c>
      <c r="B247" s="80">
        <f t="shared" si="10"/>
        <v>0</v>
      </c>
      <c r="C247" s="80">
        <f t="shared" si="11"/>
        <v>0</v>
      </c>
      <c r="D247" s="80">
        <f t="shared" si="12"/>
        <v>0</v>
      </c>
      <c r="E247" s="80">
        <f t="shared" si="13"/>
        <v>0</v>
      </c>
      <c r="F247" s="79">
        <v>16</v>
      </c>
      <c r="G247" s="118"/>
      <c r="H247" s="88"/>
      <c r="I247" s="118"/>
    </row>
    <row r="248" spans="1:9">
      <c r="A248" s="119">
        <v>193</v>
      </c>
      <c r="B248" s="80">
        <f t="shared" ref="B248:B311" si="14">IF(A248&gt;12*$D$14,0,$D$20)</f>
        <v>0</v>
      </c>
      <c r="C248" s="80">
        <f t="shared" ref="C248:C311" si="15">IF(A248&gt;12*$D$14,0,E247*$D$10/12)</f>
        <v>0</v>
      </c>
      <c r="D248" s="80">
        <f t="shared" ref="D248:D311" si="16">IF(A248&gt;12*$D$14,0,B248-C248)</f>
        <v>0</v>
      </c>
      <c r="E248" s="80">
        <f t="shared" ref="E248:E311" si="17">IF(A248&gt;12*$D$14,0,E247-D248)</f>
        <v>0</v>
      </c>
      <c r="F248" s="79"/>
      <c r="G248" s="74"/>
      <c r="H248" s="68"/>
      <c r="I248" s="118"/>
    </row>
    <row r="249" spans="1:9">
      <c r="A249" s="119">
        <v>194</v>
      </c>
      <c r="B249" s="80">
        <f t="shared" si="14"/>
        <v>0</v>
      </c>
      <c r="C249" s="80">
        <f t="shared" si="15"/>
        <v>0</v>
      </c>
      <c r="D249" s="80">
        <f t="shared" si="16"/>
        <v>0</v>
      </c>
      <c r="E249" s="80">
        <f t="shared" si="17"/>
        <v>0</v>
      </c>
      <c r="F249" s="79"/>
      <c r="G249" s="74"/>
      <c r="H249" s="68"/>
      <c r="I249" s="74"/>
    </row>
    <row r="250" spans="1:9">
      <c r="A250" s="119">
        <v>195</v>
      </c>
      <c r="B250" s="80">
        <f t="shared" si="14"/>
        <v>0</v>
      </c>
      <c r="C250" s="80">
        <f t="shared" si="15"/>
        <v>0</v>
      </c>
      <c r="D250" s="80">
        <f t="shared" si="16"/>
        <v>0</v>
      </c>
      <c r="E250" s="80">
        <f t="shared" si="17"/>
        <v>0</v>
      </c>
      <c r="F250" s="79"/>
      <c r="G250" s="74"/>
      <c r="H250" s="68"/>
      <c r="I250" s="74"/>
    </row>
    <row r="251" spans="1:9">
      <c r="A251" s="119">
        <v>196</v>
      </c>
      <c r="B251" s="80">
        <f t="shared" si="14"/>
        <v>0</v>
      </c>
      <c r="C251" s="80">
        <f t="shared" si="15"/>
        <v>0</v>
      </c>
      <c r="D251" s="80">
        <f t="shared" si="16"/>
        <v>0</v>
      </c>
      <c r="E251" s="80">
        <f t="shared" si="17"/>
        <v>0</v>
      </c>
      <c r="F251" s="79"/>
      <c r="G251" s="74"/>
      <c r="H251" s="68"/>
      <c r="I251" s="74"/>
    </row>
    <row r="252" spans="1:9">
      <c r="A252" s="119">
        <v>197</v>
      </c>
      <c r="B252" s="80">
        <f t="shared" si="14"/>
        <v>0</v>
      </c>
      <c r="C252" s="80">
        <f t="shared" si="15"/>
        <v>0</v>
      </c>
      <c r="D252" s="80">
        <f t="shared" si="16"/>
        <v>0</v>
      </c>
      <c r="E252" s="80">
        <f t="shared" si="17"/>
        <v>0</v>
      </c>
      <c r="F252" s="79"/>
      <c r="G252" s="74"/>
      <c r="H252" s="68"/>
      <c r="I252" s="74"/>
    </row>
    <row r="253" spans="1:9">
      <c r="A253" s="119">
        <v>198</v>
      </c>
      <c r="B253" s="80">
        <f t="shared" si="14"/>
        <v>0</v>
      </c>
      <c r="C253" s="80">
        <f t="shared" si="15"/>
        <v>0</v>
      </c>
      <c r="D253" s="80">
        <f t="shared" si="16"/>
        <v>0</v>
      </c>
      <c r="E253" s="80">
        <f t="shared" si="17"/>
        <v>0</v>
      </c>
      <c r="F253" s="79"/>
      <c r="G253" s="118"/>
      <c r="H253" s="88"/>
      <c r="I253" s="74"/>
    </row>
    <row r="254" spans="1:9">
      <c r="A254" s="119">
        <v>199</v>
      </c>
      <c r="B254" s="80">
        <f t="shared" si="14"/>
        <v>0</v>
      </c>
      <c r="C254" s="80">
        <f t="shared" si="15"/>
        <v>0</v>
      </c>
      <c r="D254" s="80">
        <f t="shared" si="16"/>
        <v>0</v>
      </c>
      <c r="E254" s="80">
        <f t="shared" si="17"/>
        <v>0</v>
      </c>
      <c r="F254" s="79"/>
      <c r="G254" s="74"/>
      <c r="H254" s="68"/>
      <c r="I254" s="74"/>
    </row>
    <row r="255" spans="1:9">
      <c r="A255" s="119">
        <v>200</v>
      </c>
      <c r="B255" s="80">
        <f t="shared" si="14"/>
        <v>0</v>
      </c>
      <c r="C255" s="80">
        <f t="shared" si="15"/>
        <v>0</v>
      </c>
      <c r="D255" s="80">
        <f t="shared" si="16"/>
        <v>0</v>
      </c>
      <c r="E255" s="80">
        <f t="shared" si="17"/>
        <v>0</v>
      </c>
      <c r="F255" s="79"/>
      <c r="G255" s="74"/>
      <c r="H255" s="68"/>
      <c r="I255" s="74"/>
    </row>
    <row r="256" spans="1:9">
      <c r="A256" s="119">
        <v>201</v>
      </c>
      <c r="B256" s="80">
        <f t="shared" si="14"/>
        <v>0</v>
      </c>
      <c r="C256" s="80">
        <f t="shared" si="15"/>
        <v>0</v>
      </c>
      <c r="D256" s="80">
        <f t="shared" si="16"/>
        <v>0</v>
      </c>
      <c r="E256" s="80">
        <f t="shared" si="17"/>
        <v>0</v>
      </c>
      <c r="F256" s="79"/>
      <c r="G256" s="74"/>
      <c r="H256" s="68"/>
      <c r="I256" s="74"/>
    </row>
    <row r="257" spans="1:9">
      <c r="A257" s="119">
        <v>202</v>
      </c>
      <c r="B257" s="80">
        <f t="shared" si="14"/>
        <v>0</v>
      </c>
      <c r="C257" s="80">
        <f t="shared" si="15"/>
        <v>0</v>
      </c>
      <c r="D257" s="80">
        <f t="shared" si="16"/>
        <v>0</v>
      </c>
      <c r="E257" s="80">
        <f t="shared" si="17"/>
        <v>0</v>
      </c>
      <c r="F257" s="79"/>
      <c r="G257" s="74"/>
      <c r="H257" s="68"/>
      <c r="I257" s="74"/>
    </row>
    <row r="258" spans="1:9">
      <c r="A258" s="119">
        <v>203</v>
      </c>
      <c r="B258" s="80">
        <f t="shared" si="14"/>
        <v>0</v>
      </c>
      <c r="C258" s="80">
        <f t="shared" si="15"/>
        <v>0</v>
      </c>
      <c r="D258" s="80">
        <f t="shared" si="16"/>
        <v>0</v>
      </c>
      <c r="E258" s="80">
        <f t="shared" si="17"/>
        <v>0</v>
      </c>
      <c r="F258" s="79"/>
      <c r="G258" s="74"/>
      <c r="H258" s="68"/>
      <c r="I258" s="74"/>
    </row>
    <row r="259" spans="1:9">
      <c r="A259" s="119">
        <v>204</v>
      </c>
      <c r="B259" s="80">
        <f t="shared" si="14"/>
        <v>0</v>
      </c>
      <c r="C259" s="80">
        <f t="shared" si="15"/>
        <v>0</v>
      </c>
      <c r="D259" s="80">
        <f t="shared" si="16"/>
        <v>0</v>
      </c>
      <c r="E259" s="80">
        <f t="shared" si="17"/>
        <v>0</v>
      </c>
      <c r="F259" s="79">
        <v>17</v>
      </c>
      <c r="G259" s="118"/>
      <c r="H259" s="88"/>
      <c r="I259" s="118"/>
    </row>
    <row r="260" spans="1:9">
      <c r="A260" s="119">
        <v>205</v>
      </c>
      <c r="B260" s="80">
        <f t="shared" si="14"/>
        <v>0</v>
      </c>
      <c r="C260" s="80">
        <f t="shared" si="15"/>
        <v>0</v>
      </c>
      <c r="D260" s="80">
        <f t="shared" si="16"/>
        <v>0</v>
      </c>
      <c r="E260" s="80">
        <f t="shared" si="17"/>
        <v>0</v>
      </c>
      <c r="F260" s="79"/>
      <c r="G260" s="74"/>
      <c r="H260" s="68"/>
      <c r="I260" s="118"/>
    </row>
    <row r="261" spans="1:9">
      <c r="A261" s="119">
        <v>206</v>
      </c>
      <c r="B261" s="80">
        <f t="shared" si="14"/>
        <v>0</v>
      </c>
      <c r="C261" s="80">
        <f t="shared" si="15"/>
        <v>0</v>
      </c>
      <c r="D261" s="80">
        <f t="shared" si="16"/>
        <v>0</v>
      </c>
      <c r="E261" s="80">
        <f t="shared" si="17"/>
        <v>0</v>
      </c>
      <c r="F261" s="79"/>
      <c r="G261" s="74"/>
      <c r="H261" s="68"/>
      <c r="I261" s="74"/>
    </row>
    <row r="262" spans="1:9">
      <c r="A262" s="119">
        <v>207</v>
      </c>
      <c r="B262" s="80">
        <f t="shared" si="14"/>
        <v>0</v>
      </c>
      <c r="C262" s="80">
        <f t="shared" si="15"/>
        <v>0</v>
      </c>
      <c r="D262" s="80">
        <f t="shared" si="16"/>
        <v>0</v>
      </c>
      <c r="E262" s="80">
        <f t="shared" si="17"/>
        <v>0</v>
      </c>
      <c r="F262" s="79"/>
      <c r="G262" s="74"/>
      <c r="H262" s="68"/>
      <c r="I262" s="74"/>
    </row>
    <row r="263" spans="1:9">
      <c r="A263" s="119">
        <v>208</v>
      </c>
      <c r="B263" s="80">
        <f t="shared" si="14"/>
        <v>0</v>
      </c>
      <c r="C263" s="80">
        <f t="shared" si="15"/>
        <v>0</v>
      </c>
      <c r="D263" s="80">
        <f t="shared" si="16"/>
        <v>0</v>
      </c>
      <c r="E263" s="80">
        <f t="shared" si="17"/>
        <v>0</v>
      </c>
      <c r="F263" s="79"/>
      <c r="G263" s="74"/>
      <c r="H263" s="68"/>
      <c r="I263" s="74"/>
    </row>
    <row r="264" spans="1:9">
      <c r="A264" s="119">
        <v>209</v>
      </c>
      <c r="B264" s="80">
        <f t="shared" si="14"/>
        <v>0</v>
      </c>
      <c r="C264" s="80">
        <f t="shared" si="15"/>
        <v>0</v>
      </c>
      <c r="D264" s="80">
        <f t="shared" si="16"/>
        <v>0</v>
      </c>
      <c r="E264" s="80">
        <f t="shared" si="17"/>
        <v>0</v>
      </c>
      <c r="F264" s="79"/>
      <c r="G264" s="74"/>
      <c r="H264" s="68"/>
      <c r="I264" s="74"/>
    </row>
    <row r="265" spans="1:9">
      <c r="A265" s="119">
        <v>210</v>
      </c>
      <c r="B265" s="80">
        <f t="shared" si="14"/>
        <v>0</v>
      </c>
      <c r="C265" s="80">
        <f t="shared" si="15"/>
        <v>0</v>
      </c>
      <c r="D265" s="80">
        <f t="shared" si="16"/>
        <v>0</v>
      </c>
      <c r="E265" s="80">
        <f t="shared" si="17"/>
        <v>0</v>
      </c>
      <c r="F265" s="79"/>
      <c r="G265" s="118"/>
      <c r="H265" s="88"/>
      <c r="I265" s="74"/>
    </row>
    <row r="266" spans="1:9">
      <c r="A266" s="119">
        <v>211</v>
      </c>
      <c r="B266" s="80">
        <f t="shared" si="14"/>
        <v>0</v>
      </c>
      <c r="C266" s="80">
        <f t="shared" si="15"/>
        <v>0</v>
      </c>
      <c r="D266" s="80">
        <f t="shared" si="16"/>
        <v>0</v>
      </c>
      <c r="E266" s="80">
        <f t="shared" si="17"/>
        <v>0</v>
      </c>
      <c r="F266" s="79"/>
      <c r="G266" s="74"/>
      <c r="H266" s="68"/>
      <c r="I266" s="74"/>
    </row>
    <row r="267" spans="1:9">
      <c r="A267" s="119">
        <v>212</v>
      </c>
      <c r="B267" s="80">
        <f t="shared" si="14"/>
        <v>0</v>
      </c>
      <c r="C267" s="80">
        <f t="shared" si="15"/>
        <v>0</v>
      </c>
      <c r="D267" s="80">
        <f t="shared" si="16"/>
        <v>0</v>
      </c>
      <c r="E267" s="80">
        <f t="shared" si="17"/>
        <v>0</v>
      </c>
      <c r="F267" s="79"/>
      <c r="G267" s="74"/>
      <c r="H267" s="68"/>
      <c r="I267" s="74"/>
    </row>
    <row r="268" spans="1:9">
      <c r="A268" s="119">
        <v>213</v>
      </c>
      <c r="B268" s="80">
        <f t="shared" si="14"/>
        <v>0</v>
      </c>
      <c r="C268" s="80">
        <f t="shared" si="15"/>
        <v>0</v>
      </c>
      <c r="D268" s="80">
        <f t="shared" si="16"/>
        <v>0</v>
      </c>
      <c r="E268" s="80">
        <f t="shared" si="17"/>
        <v>0</v>
      </c>
      <c r="F268" s="79"/>
      <c r="G268" s="74"/>
      <c r="H268" s="68"/>
      <c r="I268" s="74"/>
    </row>
    <row r="269" spans="1:9">
      <c r="A269" s="119">
        <v>214</v>
      </c>
      <c r="B269" s="80">
        <f t="shared" si="14"/>
        <v>0</v>
      </c>
      <c r="C269" s="80">
        <f t="shared" si="15"/>
        <v>0</v>
      </c>
      <c r="D269" s="80">
        <f t="shared" si="16"/>
        <v>0</v>
      </c>
      <c r="E269" s="80">
        <f t="shared" si="17"/>
        <v>0</v>
      </c>
      <c r="F269" s="79"/>
      <c r="G269" s="74"/>
      <c r="H269" s="68"/>
      <c r="I269" s="74"/>
    </row>
    <row r="270" spans="1:9">
      <c r="A270" s="119">
        <v>215</v>
      </c>
      <c r="B270" s="80">
        <f t="shared" si="14"/>
        <v>0</v>
      </c>
      <c r="C270" s="80">
        <f t="shared" si="15"/>
        <v>0</v>
      </c>
      <c r="D270" s="80">
        <f t="shared" si="16"/>
        <v>0</v>
      </c>
      <c r="E270" s="80">
        <f t="shared" si="17"/>
        <v>0</v>
      </c>
      <c r="F270" s="79"/>
      <c r="G270" s="74"/>
      <c r="H270" s="68"/>
      <c r="I270" s="74"/>
    </row>
    <row r="271" spans="1:9">
      <c r="A271" s="119">
        <v>216</v>
      </c>
      <c r="B271" s="80">
        <f t="shared" si="14"/>
        <v>0</v>
      </c>
      <c r="C271" s="80">
        <f t="shared" si="15"/>
        <v>0</v>
      </c>
      <c r="D271" s="80">
        <f t="shared" si="16"/>
        <v>0</v>
      </c>
      <c r="E271" s="80">
        <f t="shared" si="17"/>
        <v>0</v>
      </c>
      <c r="F271" s="79">
        <v>18</v>
      </c>
      <c r="G271" s="118"/>
      <c r="H271" s="88"/>
      <c r="I271" s="118"/>
    </row>
    <row r="272" spans="1:9">
      <c r="A272" s="119">
        <v>217</v>
      </c>
      <c r="B272" s="80">
        <f t="shared" si="14"/>
        <v>0</v>
      </c>
      <c r="C272" s="80">
        <f t="shared" si="15"/>
        <v>0</v>
      </c>
      <c r="D272" s="80">
        <f t="shared" si="16"/>
        <v>0</v>
      </c>
      <c r="E272" s="80">
        <f t="shared" si="17"/>
        <v>0</v>
      </c>
      <c r="F272" s="79"/>
      <c r="G272" s="74"/>
      <c r="H272" s="68"/>
      <c r="I272" s="118"/>
    </row>
    <row r="273" spans="1:9">
      <c r="A273" s="119">
        <v>218</v>
      </c>
      <c r="B273" s="80">
        <f t="shared" si="14"/>
        <v>0</v>
      </c>
      <c r="C273" s="80">
        <f t="shared" si="15"/>
        <v>0</v>
      </c>
      <c r="D273" s="80">
        <f t="shared" si="16"/>
        <v>0</v>
      </c>
      <c r="E273" s="80">
        <f t="shared" si="17"/>
        <v>0</v>
      </c>
      <c r="F273" s="79"/>
      <c r="G273" s="74"/>
      <c r="H273" s="68"/>
      <c r="I273" s="74"/>
    </row>
    <row r="274" spans="1:9">
      <c r="A274" s="119">
        <v>219</v>
      </c>
      <c r="B274" s="80">
        <f t="shared" si="14"/>
        <v>0</v>
      </c>
      <c r="C274" s="80">
        <f t="shared" si="15"/>
        <v>0</v>
      </c>
      <c r="D274" s="80">
        <f t="shared" si="16"/>
        <v>0</v>
      </c>
      <c r="E274" s="80">
        <f t="shared" si="17"/>
        <v>0</v>
      </c>
      <c r="F274" s="79"/>
      <c r="G274" s="74"/>
      <c r="H274" s="68"/>
      <c r="I274" s="74"/>
    </row>
    <row r="275" spans="1:9">
      <c r="A275" s="119">
        <v>220</v>
      </c>
      <c r="B275" s="80">
        <f t="shared" si="14"/>
        <v>0</v>
      </c>
      <c r="C275" s="80">
        <f t="shared" si="15"/>
        <v>0</v>
      </c>
      <c r="D275" s="80">
        <f t="shared" si="16"/>
        <v>0</v>
      </c>
      <c r="E275" s="80">
        <f t="shared" si="17"/>
        <v>0</v>
      </c>
      <c r="F275" s="79"/>
      <c r="G275" s="74"/>
      <c r="H275" s="68"/>
      <c r="I275" s="74"/>
    </row>
    <row r="276" spans="1:9">
      <c r="A276" s="119">
        <v>221</v>
      </c>
      <c r="B276" s="80">
        <f t="shared" si="14"/>
        <v>0</v>
      </c>
      <c r="C276" s="80">
        <f t="shared" si="15"/>
        <v>0</v>
      </c>
      <c r="D276" s="80">
        <f t="shared" si="16"/>
        <v>0</v>
      </c>
      <c r="E276" s="80">
        <f t="shared" si="17"/>
        <v>0</v>
      </c>
      <c r="F276" s="79"/>
      <c r="G276" s="74"/>
      <c r="H276" s="68"/>
      <c r="I276" s="74"/>
    </row>
    <row r="277" spans="1:9">
      <c r="A277" s="119">
        <v>222</v>
      </c>
      <c r="B277" s="80">
        <f t="shared" si="14"/>
        <v>0</v>
      </c>
      <c r="C277" s="80">
        <f t="shared" si="15"/>
        <v>0</v>
      </c>
      <c r="D277" s="80">
        <f t="shared" si="16"/>
        <v>0</v>
      </c>
      <c r="E277" s="80">
        <f t="shared" si="17"/>
        <v>0</v>
      </c>
      <c r="F277" s="79"/>
      <c r="G277" s="118"/>
      <c r="H277" s="88"/>
      <c r="I277" s="74"/>
    </row>
    <row r="278" spans="1:9">
      <c r="A278" s="119">
        <v>223</v>
      </c>
      <c r="B278" s="80">
        <f t="shared" si="14"/>
        <v>0</v>
      </c>
      <c r="C278" s="80">
        <f t="shared" si="15"/>
        <v>0</v>
      </c>
      <c r="D278" s="80">
        <f t="shared" si="16"/>
        <v>0</v>
      </c>
      <c r="E278" s="80">
        <f t="shared" si="17"/>
        <v>0</v>
      </c>
      <c r="F278" s="79"/>
      <c r="G278" s="74"/>
      <c r="H278" s="68"/>
      <c r="I278" s="74"/>
    </row>
    <row r="279" spans="1:9">
      <c r="A279" s="119">
        <v>224</v>
      </c>
      <c r="B279" s="80">
        <f t="shared" si="14"/>
        <v>0</v>
      </c>
      <c r="C279" s="80">
        <f t="shared" si="15"/>
        <v>0</v>
      </c>
      <c r="D279" s="80">
        <f t="shared" si="16"/>
        <v>0</v>
      </c>
      <c r="E279" s="80">
        <f t="shared" si="17"/>
        <v>0</v>
      </c>
      <c r="F279" s="79"/>
      <c r="G279" s="74"/>
      <c r="H279" s="68"/>
      <c r="I279" s="74"/>
    </row>
    <row r="280" spans="1:9">
      <c r="A280" s="119">
        <v>225</v>
      </c>
      <c r="B280" s="80">
        <f t="shared" si="14"/>
        <v>0</v>
      </c>
      <c r="C280" s="80">
        <f t="shared" si="15"/>
        <v>0</v>
      </c>
      <c r="D280" s="80">
        <f t="shared" si="16"/>
        <v>0</v>
      </c>
      <c r="E280" s="80">
        <f t="shared" si="17"/>
        <v>0</v>
      </c>
      <c r="F280" s="79"/>
      <c r="G280" s="74"/>
      <c r="H280" s="68"/>
      <c r="I280" s="74"/>
    </row>
    <row r="281" spans="1:9">
      <c r="A281" s="119">
        <v>226</v>
      </c>
      <c r="B281" s="80">
        <f t="shared" si="14"/>
        <v>0</v>
      </c>
      <c r="C281" s="80">
        <f t="shared" si="15"/>
        <v>0</v>
      </c>
      <c r="D281" s="80">
        <f t="shared" si="16"/>
        <v>0</v>
      </c>
      <c r="E281" s="80">
        <f t="shared" si="17"/>
        <v>0</v>
      </c>
      <c r="F281" s="79"/>
      <c r="G281" s="74"/>
      <c r="H281" s="68"/>
      <c r="I281" s="74"/>
    </row>
    <row r="282" spans="1:9">
      <c r="A282" s="119">
        <v>227</v>
      </c>
      <c r="B282" s="80">
        <f t="shared" si="14"/>
        <v>0</v>
      </c>
      <c r="C282" s="80">
        <f t="shared" si="15"/>
        <v>0</v>
      </c>
      <c r="D282" s="80">
        <f t="shared" si="16"/>
        <v>0</v>
      </c>
      <c r="E282" s="80">
        <f t="shared" si="17"/>
        <v>0</v>
      </c>
      <c r="F282" s="79"/>
      <c r="G282" s="74"/>
      <c r="H282" s="68"/>
      <c r="I282" s="74"/>
    </row>
    <row r="283" spans="1:9">
      <c r="A283" s="119">
        <v>228</v>
      </c>
      <c r="B283" s="80">
        <f t="shared" si="14"/>
        <v>0</v>
      </c>
      <c r="C283" s="80">
        <f t="shared" si="15"/>
        <v>0</v>
      </c>
      <c r="D283" s="80">
        <f t="shared" si="16"/>
        <v>0</v>
      </c>
      <c r="E283" s="80">
        <f t="shared" si="17"/>
        <v>0</v>
      </c>
      <c r="F283" s="79">
        <v>19</v>
      </c>
      <c r="G283" s="118"/>
      <c r="H283" s="88"/>
      <c r="I283" s="118"/>
    </row>
    <row r="284" spans="1:9">
      <c r="A284" s="119">
        <v>229</v>
      </c>
      <c r="B284" s="80">
        <f t="shared" si="14"/>
        <v>0</v>
      </c>
      <c r="C284" s="80">
        <f t="shared" si="15"/>
        <v>0</v>
      </c>
      <c r="D284" s="80">
        <f t="shared" si="16"/>
        <v>0</v>
      </c>
      <c r="E284" s="80">
        <f t="shared" si="17"/>
        <v>0</v>
      </c>
      <c r="F284" s="79"/>
      <c r="G284" s="74"/>
      <c r="H284" s="68"/>
      <c r="I284" s="118"/>
    </row>
    <row r="285" spans="1:9">
      <c r="A285" s="119">
        <v>230</v>
      </c>
      <c r="B285" s="80">
        <f t="shared" si="14"/>
        <v>0</v>
      </c>
      <c r="C285" s="80">
        <f t="shared" si="15"/>
        <v>0</v>
      </c>
      <c r="D285" s="80">
        <f t="shared" si="16"/>
        <v>0</v>
      </c>
      <c r="E285" s="80">
        <f t="shared" si="17"/>
        <v>0</v>
      </c>
      <c r="F285" s="79"/>
      <c r="G285" s="74"/>
      <c r="H285" s="68"/>
      <c r="I285" s="74"/>
    </row>
    <row r="286" spans="1:9">
      <c r="A286" s="119">
        <v>231</v>
      </c>
      <c r="B286" s="80">
        <f t="shared" si="14"/>
        <v>0</v>
      </c>
      <c r="C286" s="80">
        <f t="shared" si="15"/>
        <v>0</v>
      </c>
      <c r="D286" s="80">
        <f t="shared" si="16"/>
        <v>0</v>
      </c>
      <c r="E286" s="80">
        <f t="shared" si="17"/>
        <v>0</v>
      </c>
      <c r="F286" s="79"/>
      <c r="G286" s="74"/>
      <c r="H286" s="68"/>
      <c r="I286" s="74"/>
    </row>
    <row r="287" spans="1:9">
      <c r="A287" s="119">
        <v>232</v>
      </c>
      <c r="B287" s="80">
        <f t="shared" si="14"/>
        <v>0</v>
      </c>
      <c r="C287" s="80">
        <f t="shared" si="15"/>
        <v>0</v>
      </c>
      <c r="D287" s="80">
        <f t="shared" si="16"/>
        <v>0</v>
      </c>
      <c r="E287" s="80">
        <f t="shared" si="17"/>
        <v>0</v>
      </c>
      <c r="F287" s="79"/>
      <c r="G287" s="74"/>
      <c r="H287" s="68"/>
      <c r="I287" s="74"/>
    </row>
    <row r="288" spans="1:9">
      <c r="A288" s="119">
        <v>233</v>
      </c>
      <c r="B288" s="80">
        <f t="shared" si="14"/>
        <v>0</v>
      </c>
      <c r="C288" s="80">
        <f t="shared" si="15"/>
        <v>0</v>
      </c>
      <c r="D288" s="80">
        <f t="shared" si="16"/>
        <v>0</v>
      </c>
      <c r="E288" s="80">
        <f t="shared" si="17"/>
        <v>0</v>
      </c>
      <c r="F288" s="79"/>
      <c r="G288" s="74"/>
      <c r="H288" s="68"/>
      <c r="I288" s="74"/>
    </row>
    <row r="289" spans="1:9">
      <c r="A289" s="119">
        <v>234</v>
      </c>
      <c r="B289" s="80">
        <f t="shared" si="14"/>
        <v>0</v>
      </c>
      <c r="C289" s="80">
        <f t="shared" si="15"/>
        <v>0</v>
      </c>
      <c r="D289" s="80">
        <f t="shared" si="16"/>
        <v>0</v>
      </c>
      <c r="E289" s="80">
        <f t="shared" si="17"/>
        <v>0</v>
      </c>
      <c r="F289" s="79"/>
      <c r="G289" s="118"/>
      <c r="H289" s="88"/>
      <c r="I289" s="74"/>
    </row>
    <row r="290" spans="1:9">
      <c r="A290" s="119">
        <v>235</v>
      </c>
      <c r="B290" s="80">
        <f t="shared" si="14"/>
        <v>0</v>
      </c>
      <c r="C290" s="80">
        <f t="shared" si="15"/>
        <v>0</v>
      </c>
      <c r="D290" s="80">
        <f t="shared" si="16"/>
        <v>0</v>
      </c>
      <c r="E290" s="80">
        <f t="shared" si="17"/>
        <v>0</v>
      </c>
      <c r="F290" s="79"/>
      <c r="G290" s="74"/>
      <c r="H290" s="68"/>
      <c r="I290" s="74"/>
    </row>
    <row r="291" spans="1:9">
      <c r="A291" s="119">
        <v>236</v>
      </c>
      <c r="B291" s="80">
        <f t="shared" si="14"/>
        <v>0</v>
      </c>
      <c r="C291" s="80">
        <f t="shared" si="15"/>
        <v>0</v>
      </c>
      <c r="D291" s="80">
        <f t="shared" si="16"/>
        <v>0</v>
      </c>
      <c r="E291" s="80">
        <f t="shared" si="17"/>
        <v>0</v>
      </c>
      <c r="F291" s="79"/>
      <c r="G291" s="74"/>
      <c r="H291" s="68"/>
      <c r="I291" s="74"/>
    </row>
    <row r="292" spans="1:9">
      <c r="A292" s="119">
        <v>237</v>
      </c>
      <c r="B292" s="80">
        <f t="shared" si="14"/>
        <v>0</v>
      </c>
      <c r="C292" s="80">
        <f t="shared" si="15"/>
        <v>0</v>
      </c>
      <c r="D292" s="80">
        <f t="shared" si="16"/>
        <v>0</v>
      </c>
      <c r="E292" s="80">
        <f t="shared" si="17"/>
        <v>0</v>
      </c>
      <c r="F292" s="79"/>
      <c r="G292" s="74"/>
      <c r="H292" s="68"/>
      <c r="I292" s="74"/>
    </row>
    <row r="293" spans="1:9">
      <c r="A293" s="119">
        <v>238</v>
      </c>
      <c r="B293" s="80">
        <f t="shared" si="14"/>
        <v>0</v>
      </c>
      <c r="C293" s="80">
        <f t="shared" si="15"/>
        <v>0</v>
      </c>
      <c r="D293" s="80">
        <f t="shared" si="16"/>
        <v>0</v>
      </c>
      <c r="E293" s="80">
        <f t="shared" si="17"/>
        <v>0</v>
      </c>
      <c r="F293" s="79"/>
      <c r="G293" s="74"/>
      <c r="H293" s="68"/>
      <c r="I293" s="74"/>
    </row>
    <row r="294" spans="1:9">
      <c r="A294" s="119">
        <v>239</v>
      </c>
      <c r="B294" s="80">
        <f t="shared" si="14"/>
        <v>0</v>
      </c>
      <c r="C294" s="80">
        <f t="shared" si="15"/>
        <v>0</v>
      </c>
      <c r="D294" s="80">
        <f t="shared" si="16"/>
        <v>0</v>
      </c>
      <c r="E294" s="80">
        <f t="shared" si="17"/>
        <v>0</v>
      </c>
      <c r="F294" s="79"/>
      <c r="G294" s="74"/>
      <c r="H294" s="68"/>
      <c r="I294" s="74"/>
    </row>
    <row r="295" spans="1:9">
      <c r="A295" s="119">
        <v>240</v>
      </c>
      <c r="B295" s="80">
        <f t="shared" si="14"/>
        <v>0</v>
      </c>
      <c r="C295" s="80">
        <f t="shared" si="15"/>
        <v>0</v>
      </c>
      <c r="D295" s="80">
        <f t="shared" si="16"/>
        <v>0</v>
      </c>
      <c r="E295" s="80">
        <f t="shared" si="17"/>
        <v>0</v>
      </c>
      <c r="F295" s="79">
        <v>20</v>
      </c>
      <c r="G295" s="118"/>
      <c r="H295" s="88"/>
      <c r="I295" s="118"/>
    </row>
    <row r="296" spans="1:9">
      <c r="A296" s="119">
        <v>241</v>
      </c>
      <c r="B296" s="80">
        <f t="shared" si="14"/>
        <v>0</v>
      </c>
      <c r="C296" s="80">
        <f t="shared" si="15"/>
        <v>0</v>
      </c>
      <c r="D296" s="80">
        <f t="shared" si="16"/>
        <v>0</v>
      </c>
      <c r="E296" s="80">
        <f t="shared" si="17"/>
        <v>0</v>
      </c>
      <c r="F296" s="79"/>
      <c r="G296" s="74"/>
      <c r="H296" s="68"/>
      <c r="I296" s="118"/>
    </row>
    <row r="297" spans="1:9">
      <c r="A297" s="119">
        <v>242</v>
      </c>
      <c r="B297" s="80">
        <f t="shared" si="14"/>
        <v>0</v>
      </c>
      <c r="C297" s="80">
        <f t="shared" si="15"/>
        <v>0</v>
      </c>
      <c r="D297" s="80">
        <f t="shared" si="16"/>
        <v>0</v>
      </c>
      <c r="E297" s="80">
        <f t="shared" si="17"/>
        <v>0</v>
      </c>
      <c r="F297" s="79"/>
      <c r="G297" s="74"/>
      <c r="H297" s="68"/>
      <c r="I297" s="74"/>
    </row>
    <row r="298" spans="1:9">
      <c r="A298" s="119">
        <v>243</v>
      </c>
      <c r="B298" s="80">
        <f t="shared" si="14"/>
        <v>0</v>
      </c>
      <c r="C298" s="80">
        <f t="shared" si="15"/>
        <v>0</v>
      </c>
      <c r="D298" s="80">
        <f t="shared" si="16"/>
        <v>0</v>
      </c>
      <c r="E298" s="80">
        <f t="shared" si="17"/>
        <v>0</v>
      </c>
      <c r="F298" s="79"/>
      <c r="G298" s="74"/>
      <c r="H298" s="68"/>
      <c r="I298" s="74"/>
    </row>
    <row r="299" spans="1:9">
      <c r="A299" s="119">
        <v>244</v>
      </c>
      <c r="B299" s="80">
        <f t="shared" si="14"/>
        <v>0</v>
      </c>
      <c r="C299" s="80">
        <f t="shared" si="15"/>
        <v>0</v>
      </c>
      <c r="D299" s="80">
        <f t="shared" si="16"/>
        <v>0</v>
      </c>
      <c r="E299" s="80">
        <f t="shared" si="17"/>
        <v>0</v>
      </c>
      <c r="F299" s="79"/>
      <c r="G299" s="74"/>
      <c r="H299" s="68"/>
      <c r="I299" s="74"/>
    </row>
    <row r="300" spans="1:9">
      <c r="A300" s="119">
        <v>245</v>
      </c>
      <c r="B300" s="80">
        <f t="shared" si="14"/>
        <v>0</v>
      </c>
      <c r="C300" s="80">
        <f t="shared" si="15"/>
        <v>0</v>
      </c>
      <c r="D300" s="80">
        <f t="shared" si="16"/>
        <v>0</v>
      </c>
      <c r="E300" s="80">
        <f t="shared" si="17"/>
        <v>0</v>
      </c>
      <c r="F300" s="79"/>
      <c r="G300" s="74"/>
      <c r="H300" s="68"/>
      <c r="I300" s="74"/>
    </row>
    <row r="301" spans="1:9">
      <c r="A301" s="119">
        <v>246</v>
      </c>
      <c r="B301" s="80">
        <f t="shared" si="14"/>
        <v>0</v>
      </c>
      <c r="C301" s="80">
        <f t="shared" si="15"/>
        <v>0</v>
      </c>
      <c r="D301" s="80">
        <f t="shared" si="16"/>
        <v>0</v>
      </c>
      <c r="E301" s="80">
        <f t="shared" si="17"/>
        <v>0</v>
      </c>
      <c r="F301" s="79"/>
      <c r="G301" s="118"/>
      <c r="H301" s="88"/>
      <c r="I301" s="74"/>
    </row>
    <row r="302" spans="1:9">
      <c r="A302" s="119">
        <v>247</v>
      </c>
      <c r="B302" s="80">
        <f t="shared" si="14"/>
        <v>0</v>
      </c>
      <c r="C302" s="80">
        <f t="shared" si="15"/>
        <v>0</v>
      </c>
      <c r="D302" s="80">
        <f t="shared" si="16"/>
        <v>0</v>
      </c>
      <c r="E302" s="80">
        <f t="shared" si="17"/>
        <v>0</v>
      </c>
      <c r="F302" s="79"/>
      <c r="G302" s="74"/>
      <c r="H302" s="68"/>
      <c r="I302" s="74"/>
    </row>
    <row r="303" spans="1:9">
      <c r="A303" s="119">
        <v>248</v>
      </c>
      <c r="B303" s="80">
        <f t="shared" si="14"/>
        <v>0</v>
      </c>
      <c r="C303" s="80">
        <f t="shared" si="15"/>
        <v>0</v>
      </c>
      <c r="D303" s="80">
        <f t="shared" si="16"/>
        <v>0</v>
      </c>
      <c r="E303" s="80">
        <f t="shared" si="17"/>
        <v>0</v>
      </c>
      <c r="F303" s="79"/>
      <c r="G303" s="74"/>
      <c r="H303" s="68"/>
      <c r="I303" s="74"/>
    </row>
    <row r="304" spans="1:9">
      <c r="A304" s="119">
        <v>249</v>
      </c>
      <c r="B304" s="80">
        <f t="shared" si="14"/>
        <v>0</v>
      </c>
      <c r="C304" s="80">
        <f t="shared" si="15"/>
        <v>0</v>
      </c>
      <c r="D304" s="80">
        <f t="shared" si="16"/>
        <v>0</v>
      </c>
      <c r="E304" s="80">
        <f t="shared" si="17"/>
        <v>0</v>
      </c>
      <c r="F304" s="79"/>
      <c r="G304" s="74"/>
      <c r="H304" s="68"/>
      <c r="I304" s="74"/>
    </row>
    <row r="305" spans="1:9">
      <c r="A305" s="119">
        <v>250</v>
      </c>
      <c r="B305" s="80">
        <f t="shared" si="14"/>
        <v>0</v>
      </c>
      <c r="C305" s="80">
        <f t="shared" si="15"/>
        <v>0</v>
      </c>
      <c r="D305" s="80">
        <f t="shared" si="16"/>
        <v>0</v>
      </c>
      <c r="E305" s="80">
        <f t="shared" si="17"/>
        <v>0</v>
      </c>
      <c r="F305" s="79"/>
      <c r="G305" s="74"/>
      <c r="H305" s="68"/>
      <c r="I305" s="74"/>
    </row>
    <row r="306" spans="1:9">
      <c r="A306" s="119">
        <v>251</v>
      </c>
      <c r="B306" s="80">
        <f t="shared" si="14"/>
        <v>0</v>
      </c>
      <c r="C306" s="80">
        <f t="shared" si="15"/>
        <v>0</v>
      </c>
      <c r="D306" s="80">
        <f t="shared" si="16"/>
        <v>0</v>
      </c>
      <c r="E306" s="80">
        <f t="shared" si="17"/>
        <v>0</v>
      </c>
      <c r="F306" s="79"/>
      <c r="G306" s="74"/>
      <c r="H306" s="68"/>
      <c r="I306" s="74"/>
    </row>
    <row r="307" spans="1:9">
      <c r="A307" s="119">
        <v>252</v>
      </c>
      <c r="B307" s="80">
        <f t="shared" si="14"/>
        <v>0</v>
      </c>
      <c r="C307" s="80">
        <f t="shared" si="15"/>
        <v>0</v>
      </c>
      <c r="D307" s="80">
        <f t="shared" si="16"/>
        <v>0</v>
      </c>
      <c r="E307" s="80">
        <f t="shared" si="17"/>
        <v>0</v>
      </c>
      <c r="F307" s="79">
        <v>21</v>
      </c>
      <c r="G307" s="118"/>
      <c r="H307" s="88"/>
      <c r="I307" s="118"/>
    </row>
    <row r="308" spans="1:9">
      <c r="A308" s="119">
        <v>253</v>
      </c>
      <c r="B308" s="80">
        <f t="shared" si="14"/>
        <v>0</v>
      </c>
      <c r="C308" s="80">
        <f t="shared" si="15"/>
        <v>0</v>
      </c>
      <c r="D308" s="80">
        <f t="shared" si="16"/>
        <v>0</v>
      </c>
      <c r="E308" s="80">
        <f t="shared" si="17"/>
        <v>0</v>
      </c>
      <c r="F308" s="79"/>
      <c r="G308" s="74"/>
      <c r="H308" s="68"/>
      <c r="I308" s="118"/>
    </row>
    <row r="309" spans="1:9">
      <c r="A309" s="119">
        <v>254</v>
      </c>
      <c r="B309" s="80">
        <f t="shared" si="14"/>
        <v>0</v>
      </c>
      <c r="C309" s="80">
        <f t="shared" si="15"/>
        <v>0</v>
      </c>
      <c r="D309" s="80">
        <f t="shared" si="16"/>
        <v>0</v>
      </c>
      <c r="E309" s="80">
        <f t="shared" si="17"/>
        <v>0</v>
      </c>
      <c r="F309" s="79"/>
      <c r="G309" s="74"/>
      <c r="H309" s="68"/>
      <c r="I309" s="74"/>
    </row>
    <row r="310" spans="1:9">
      <c r="A310" s="119">
        <v>255</v>
      </c>
      <c r="B310" s="80">
        <f t="shared" si="14"/>
        <v>0</v>
      </c>
      <c r="C310" s="80">
        <f t="shared" si="15"/>
        <v>0</v>
      </c>
      <c r="D310" s="80">
        <f t="shared" si="16"/>
        <v>0</v>
      </c>
      <c r="E310" s="80">
        <f t="shared" si="17"/>
        <v>0</v>
      </c>
      <c r="F310" s="79"/>
      <c r="G310" s="74"/>
      <c r="H310" s="68"/>
      <c r="I310" s="74"/>
    </row>
    <row r="311" spans="1:9">
      <c r="A311" s="119">
        <v>256</v>
      </c>
      <c r="B311" s="80">
        <f t="shared" si="14"/>
        <v>0</v>
      </c>
      <c r="C311" s="80">
        <f t="shared" si="15"/>
        <v>0</v>
      </c>
      <c r="D311" s="80">
        <f t="shared" si="16"/>
        <v>0</v>
      </c>
      <c r="E311" s="80">
        <f t="shared" si="17"/>
        <v>0</v>
      </c>
      <c r="F311" s="79"/>
      <c r="G311" s="74"/>
      <c r="H311" s="68"/>
      <c r="I311" s="74"/>
    </row>
    <row r="312" spans="1:9">
      <c r="A312" s="119">
        <v>257</v>
      </c>
      <c r="B312" s="80">
        <f t="shared" ref="B312:B375" si="18">IF(A312&gt;12*$D$14,0,$D$20)</f>
        <v>0</v>
      </c>
      <c r="C312" s="80">
        <f t="shared" ref="C312:C375" si="19">IF(A312&gt;12*$D$14,0,E311*$D$10/12)</f>
        <v>0</v>
      </c>
      <c r="D312" s="80">
        <f t="shared" ref="D312:D375" si="20">IF(A312&gt;12*$D$14,0,B312-C312)</f>
        <v>0</v>
      </c>
      <c r="E312" s="80">
        <f t="shared" ref="E312:E375" si="21">IF(A312&gt;12*$D$14,0,E311-D312)</f>
        <v>0</v>
      </c>
      <c r="F312" s="79"/>
      <c r="G312" s="74"/>
      <c r="H312" s="68"/>
      <c r="I312" s="74"/>
    </row>
    <row r="313" spans="1:9">
      <c r="A313" s="119">
        <v>258</v>
      </c>
      <c r="B313" s="80">
        <f t="shared" si="18"/>
        <v>0</v>
      </c>
      <c r="C313" s="80">
        <f t="shared" si="19"/>
        <v>0</v>
      </c>
      <c r="D313" s="80">
        <f t="shared" si="20"/>
        <v>0</v>
      </c>
      <c r="E313" s="80">
        <f t="shared" si="21"/>
        <v>0</v>
      </c>
      <c r="F313" s="79"/>
      <c r="G313" s="118"/>
      <c r="H313" s="88"/>
      <c r="I313" s="74"/>
    </row>
    <row r="314" spans="1:9">
      <c r="A314" s="119">
        <v>259</v>
      </c>
      <c r="B314" s="80">
        <f t="shared" si="18"/>
        <v>0</v>
      </c>
      <c r="C314" s="80">
        <f t="shared" si="19"/>
        <v>0</v>
      </c>
      <c r="D314" s="80">
        <f t="shared" si="20"/>
        <v>0</v>
      </c>
      <c r="E314" s="80">
        <f t="shared" si="21"/>
        <v>0</v>
      </c>
      <c r="F314" s="79"/>
      <c r="G314" s="74"/>
      <c r="H314" s="68"/>
      <c r="I314" s="74"/>
    </row>
    <row r="315" spans="1:9">
      <c r="A315" s="119">
        <v>260</v>
      </c>
      <c r="B315" s="80">
        <f t="shared" si="18"/>
        <v>0</v>
      </c>
      <c r="C315" s="80">
        <f t="shared" si="19"/>
        <v>0</v>
      </c>
      <c r="D315" s="80">
        <f t="shared" si="20"/>
        <v>0</v>
      </c>
      <c r="E315" s="80">
        <f t="shared" si="21"/>
        <v>0</v>
      </c>
      <c r="F315" s="79"/>
      <c r="G315" s="74"/>
      <c r="H315" s="68"/>
      <c r="I315" s="74"/>
    </row>
    <row r="316" spans="1:9">
      <c r="A316" s="119">
        <v>261</v>
      </c>
      <c r="B316" s="80">
        <f t="shared" si="18"/>
        <v>0</v>
      </c>
      <c r="C316" s="80">
        <f t="shared" si="19"/>
        <v>0</v>
      </c>
      <c r="D316" s="80">
        <f t="shared" si="20"/>
        <v>0</v>
      </c>
      <c r="E316" s="80">
        <f t="shared" si="21"/>
        <v>0</v>
      </c>
      <c r="F316" s="79"/>
      <c r="G316" s="74"/>
      <c r="H316" s="68"/>
      <c r="I316" s="74"/>
    </row>
    <row r="317" spans="1:9">
      <c r="A317" s="119">
        <v>262</v>
      </c>
      <c r="B317" s="80">
        <f t="shared" si="18"/>
        <v>0</v>
      </c>
      <c r="C317" s="80">
        <f t="shared" si="19"/>
        <v>0</v>
      </c>
      <c r="D317" s="80">
        <f t="shared" si="20"/>
        <v>0</v>
      </c>
      <c r="E317" s="80">
        <f t="shared" si="21"/>
        <v>0</v>
      </c>
      <c r="F317" s="79"/>
      <c r="G317" s="74"/>
      <c r="H317" s="68"/>
      <c r="I317" s="74"/>
    </row>
    <row r="318" spans="1:9">
      <c r="A318" s="119">
        <v>263</v>
      </c>
      <c r="B318" s="80">
        <f t="shared" si="18"/>
        <v>0</v>
      </c>
      <c r="C318" s="80">
        <f t="shared" si="19"/>
        <v>0</v>
      </c>
      <c r="D318" s="80">
        <f t="shared" si="20"/>
        <v>0</v>
      </c>
      <c r="E318" s="80">
        <f t="shared" si="21"/>
        <v>0</v>
      </c>
      <c r="F318" s="79"/>
      <c r="G318" s="74"/>
      <c r="H318" s="68"/>
      <c r="I318" s="74"/>
    </row>
    <row r="319" spans="1:9">
      <c r="A319" s="119">
        <v>264</v>
      </c>
      <c r="B319" s="80">
        <f t="shared" si="18"/>
        <v>0</v>
      </c>
      <c r="C319" s="80">
        <f t="shared" si="19"/>
        <v>0</v>
      </c>
      <c r="D319" s="80">
        <f t="shared" si="20"/>
        <v>0</v>
      </c>
      <c r="E319" s="80">
        <f t="shared" si="21"/>
        <v>0</v>
      </c>
      <c r="F319" s="79">
        <v>22</v>
      </c>
      <c r="G319" s="118"/>
      <c r="H319" s="88"/>
      <c r="I319" s="118"/>
    </row>
    <row r="320" spans="1:9">
      <c r="A320" s="119">
        <v>265</v>
      </c>
      <c r="B320" s="80">
        <f t="shared" si="18"/>
        <v>0</v>
      </c>
      <c r="C320" s="80">
        <f t="shared" si="19"/>
        <v>0</v>
      </c>
      <c r="D320" s="80">
        <f t="shared" si="20"/>
        <v>0</v>
      </c>
      <c r="E320" s="80">
        <f t="shared" si="21"/>
        <v>0</v>
      </c>
      <c r="F320" s="79"/>
      <c r="G320" s="74"/>
      <c r="H320" s="68"/>
      <c r="I320" s="118"/>
    </row>
    <row r="321" spans="1:9">
      <c r="A321" s="119">
        <v>266</v>
      </c>
      <c r="B321" s="80">
        <f t="shared" si="18"/>
        <v>0</v>
      </c>
      <c r="C321" s="80">
        <f t="shared" si="19"/>
        <v>0</v>
      </c>
      <c r="D321" s="80">
        <f t="shared" si="20"/>
        <v>0</v>
      </c>
      <c r="E321" s="80">
        <f t="shared" si="21"/>
        <v>0</v>
      </c>
      <c r="F321" s="79"/>
      <c r="G321" s="74"/>
      <c r="H321" s="68"/>
      <c r="I321" s="74"/>
    </row>
    <row r="322" spans="1:9">
      <c r="A322" s="119">
        <v>267</v>
      </c>
      <c r="B322" s="80">
        <f t="shared" si="18"/>
        <v>0</v>
      </c>
      <c r="C322" s="80">
        <f t="shared" si="19"/>
        <v>0</v>
      </c>
      <c r="D322" s="80">
        <f t="shared" si="20"/>
        <v>0</v>
      </c>
      <c r="E322" s="80">
        <f t="shared" si="21"/>
        <v>0</v>
      </c>
      <c r="F322" s="79"/>
      <c r="G322" s="74"/>
      <c r="H322" s="68"/>
      <c r="I322" s="74"/>
    </row>
    <row r="323" spans="1:9">
      <c r="A323" s="119">
        <v>268</v>
      </c>
      <c r="B323" s="80">
        <f t="shared" si="18"/>
        <v>0</v>
      </c>
      <c r="C323" s="80">
        <f t="shared" si="19"/>
        <v>0</v>
      </c>
      <c r="D323" s="80">
        <f t="shared" si="20"/>
        <v>0</v>
      </c>
      <c r="E323" s="80">
        <f t="shared" si="21"/>
        <v>0</v>
      </c>
      <c r="F323" s="79"/>
      <c r="G323" s="74"/>
      <c r="H323" s="68"/>
      <c r="I323" s="74"/>
    </row>
    <row r="324" spans="1:9">
      <c r="A324" s="119">
        <v>269</v>
      </c>
      <c r="B324" s="80">
        <f t="shared" si="18"/>
        <v>0</v>
      </c>
      <c r="C324" s="80">
        <f t="shared" si="19"/>
        <v>0</v>
      </c>
      <c r="D324" s="80">
        <f t="shared" si="20"/>
        <v>0</v>
      </c>
      <c r="E324" s="80">
        <f t="shared" si="21"/>
        <v>0</v>
      </c>
      <c r="F324" s="79"/>
      <c r="G324" s="74"/>
      <c r="H324" s="68"/>
      <c r="I324" s="74"/>
    </row>
    <row r="325" spans="1:9">
      <c r="A325" s="119">
        <v>270</v>
      </c>
      <c r="B325" s="80">
        <f t="shared" si="18"/>
        <v>0</v>
      </c>
      <c r="C325" s="80">
        <f t="shared" si="19"/>
        <v>0</v>
      </c>
      <c r="D325" s="80">
        <f t="shared" si="20"/>
        <v>0</v>
      </c>
      <c r="E325" s="80">
        <f t="shared" si="21"/>
        <v>0</v>
      </c>
      <c r="F325" s="79"/>
      <c r="G325" s="118"/>
      <c r="H325" s="88"/>
      <c r="I325" s="74"/>
    </row>
    <row r="326" spans="1:9">
      <c r="A326" s="119">
        <v>271</v>
      </c>
      <c r="B326" s="80">
        <f t="shared" si="18"/>
        <v>0</v>
      </c>
      <c r="C326" s="80">
        <f t="shared" si="19"/>
        <v>0</v>
      </c>
      <c r="D326" s="80">
        <f t="shared" si="20"/>
        <v>0</v>
      </c>
      <c r="E326" s="80">
        <f t="shared" si="21"/>
        <v>0</v>
      </c>
      <c r="F326" s="79"/>
      <c r="G326" s="74"/>
      <c r="H326" s="68"/>
      <c r="I326" s="74"/>
    </row>
    <row r="327" spans="1:9">
      <c r="A327" s="119">
        <v>272</v>
      </c>
      <c r="B327" s="80">
        <f t="shared" si="18"/>
        <v>0</v>
      </c>
      <c r="C327" s="80">
        <f t="shared" si="19"/>
        <v>0</v>
      </c>
      <c r="D327" s="80">
        <f t="shared" si="20"/>
        <v>0</v>
      </c>
      <c r="E327" s="80">
        <f t="shared" si="21"/>
        <v>0</v>
      </c>
      <c r="F327" s="79"/>
      <c r="G327" s="74"/>
      <c r="H327" s="68"/>
      <c r="I327" s="74"/>
    </row>
    <row r="328" spans="1:9">
      <c r="A328" s="119">
        <v>273</v>
      </c>
      <c r="B328" s="80">
        <f t="shared" si="18"/>
        <v>0</v>
      </c>
      <c r="C328" s="80">
        <f t="shared" si="19"/>
        <v>0</v>
      </c>
      <c r="D328" s="80">
        <f t="shared" si="20"/>
        <v>0</v>
      </c>
      <c r="E328" s="80">
        <f t="shared" si="21"/>
        <v>0</v>
      </c>
      <c r="F328" s="79"/>
      <c r="G328" s="74"/>
      <c r="H328" s="68"/>
      <c r="I328" s="74"/>
    </row>
    <row r="329" spans="1:9">
      <c r="A329" s="119">
        <v>274</v>
      </c>
      <c r="B329" s="80">
        <f t="shared" si="18"/>
        <v>0</v>
      </c>
      <c r="C329" s="80">
        <f t="shared" si="19"/>
        <v>0</v>
      </c>
      <c r="D329" s="80">
        <f t="shared" si="20"/>
        <v>0</v>
      </c>
      <c r="E329" s="80">
        <f t="shared" si="21"/>
        <v>0</v>
      </c>
      <c r="F329" s="79"/>
      <c r="G329" s="74"/>
      <c r="H329" s="68"/>
      <c r="I329" s="74"/>
    </row>
    <row r="330" spans="1:9">
      <c r="A330" s="119">
        <v>275</v>
      </c>
      <c r="B330" s="80">
        <f t="shared" si="18"/>
        <v>0</v>
      </c>
      <c r="C330" s="80">
        <f t="shared" si="19"/>
        <v>0</v>
      </c>
      <c r="D330" s="80">
        <f t="shared" si="20"/>
        <v>0</v>
      </c>
      <c r="E330" s="80">
        <f t="shared" si="21"/>
        <v>0</v>
      </c>
      <c r="F330" s="79"/>
      <c r="G330" s="74"/>
      <c r="H330" s="68"/>
      <c r="I330" s="74"/>
    </row>
    <row r="331" spans="1:9">
      <c r="A331" s="119">
        <v>276</v>
      </c>
      <c r="B331" s="80">
        <f t="shared" si="18"/>
        <v>0</v>
      </c>
      <c r="C331" s="80">
        <f t="shared" si="19"/>
        <v>0</v>
      </c>
      <c r="D331" s="80">
        <f t="shared" si="20"/>
        <v>0</v>
      </c>
      <c r="E331" s="80">
        <f t="shared" si="21"/>
        <v>0</v>
      </c>
      <c r="F331" s="79">
        <v>23</v>
      </c>
      <c r="G331" s="118"/>
      <c r="H331" s="88"/>
      <c r="I331" s="118"/>
    </row>
    <row r="332" spans="1:9">
      <c r="A332" s="119">
        <v>277</v>
      </c>
      <c r="B332" s="80">
        <f t="shared" si="18"/>
        <v>0</v>
      </c>
      <c r="C332" s="80">
        <f t="shared" si="19"/>
        <v>0</v>
      </c>
      <c r="D332" s="80">
        <f t="shared" si="20"/>
        <v>0</v>
      </c>
      <c r="E332" s="80">
        <f t="shared" si="21"/>
        <v>0</v>
      </c>
      <c r="F332" s="79"/>
      <c r="G332" s="74"/>
      <c r="H332" s="68"/>
      <c r="I332" s="118"/>
    </row>
    <row r="333" spans="1:9">
      <c r="A333" s="119">
        <v>278</v>
      </c>
      <c r="B333" s="80">
        <f t="shared" si="18"/>
        <v>0</v>
      </c>
      <c r="C333" s="80">
        <f t="shared" si="19"/>
        <v>0</v>
      </c>
      <c r="D333" s="80">
        <f t="shared" si="20"/>
        <v>0</v>
      </c>
      <c r="E333" s="80">
        <f t="shared" si="21"/>
        <v>0</v>
      </c>
      <c r="F333" s="79"/>
      <c r="G333" s="74"/>
      <c r="H333" s="68"/>
      <c r="I333" s="74"/>
    </row>
    <row r="334" spans="1:9">
      <c r="A334" s="119">
        <v>279</v>
      </c>
      <c r="B334" s="80">
        <f t="shared" si="18"/>
        <v>0</v>
      </c>
      <c r="C334" s="80">
        <f t="shared" si="19"/>
        <v>0</v>
      </c>
      <c r="D334" s="80">
        <f t="shared" si="20"/>
        <v>0</v>
      </c>
      <c r="E334" s="80">
        <f t="shared" si="21"/>
        <v>0</v>
      </c>
      <c r="F334" s="79"/>
      <c r="G334" s="74"/>
      <c r="H334" s="68"/>
      <c r="I334" s="74"/>
    </row>
    <row r="335" spans="1:9">
      <c r="A335" s="119">
        <v>280</v>
      </c>
      <c r="B335" s="80">
        <f t="shared" si="18"/>
        <v>0</v>
      </c>
      <c r="C335" s="80">
        <f t="shared" si="19"/>
        <v>0</v>
      </c>
      <c r="D335" s="80">
        <f t="shared" si="20"/>
        <v>0</v>
      </c>
      <c r="E335" s="80">
        <f t="shared" si="21"/>
        <v>0</v>
      </c>
      <c r="F335" s="79"/>
      <c r="G335" s="74"/>
      <c r="H335" s="68"/>
      <c r="I335" s="74"/>
    </row>
    <row r="336" spans="1:9">
      <c r="A336" s="119">
        <v>281</v>
      </c>
      <c r="B336" s="80">
        <f t="shared" si="18"/>
        <v>0</v>
      </c>
      <c r="C336" s="80">
        <f t="shared" si="19"/>
        <v>0</v>
      </c>
      <c r="D336" s="80">
        <f t="shared" si="20"/>
        <v>0</v>
      </c>
      <c r="E336" s="80">
        <f t="shared" si="21"/>
        <v>0</v>
      </c>
      <c r="F336" s="79"/>
      <c r="G336" s="74"/>
      <c r="H336" s="68"/>
      <c r="I336" s="74"/>
    </row>
    <row r="337" spans="1:9">
      <c r="A337" s="119">
        <v>282</v>
      </c>
      <c r="B337" s="80">
        <f t="shared" si="18"/>
        <v>0</v>
      </c>
      <c r="C337" s="80">
        <f t="shared" si="19"/>
        <v>0</v>
      </c>
      <c r="D337" s="80">
        <f t="shared" si="20"/>
        <v>0</v>
      </c>
      <c r="E337" s="80">
        <f t="shared" si="21"/>
        <v>0</v>
      </c>
      <c r="F337" s="79"/>
      <c r="G337" s="118"/>
      <c r="H337" s="88"/>
      <c r="I337" s="74"/>
    </row>
    <row r="338" spans="1:9">
      <c r="A338" s="119">
        <v>283</v>
      </c>
      <c r="B338" s="80">
        <f t="shared" si="18"/>
        <v>0</v>
      </c>
      <c r="C338" s="80">
        <f t="shared" si="19"/>
        <v>0</v>
      </c>
      <c r="D338" s="80">
        <f t="shared" si="20"/>
        <v>0</v>
      </c>
      <c r="E338" s="80">
        <f t="shared" si="21"/>
        <v>0</v>
      </c>
      <c r="F338" s="79"/>
      <c r="G338" s="74"/>
      <c r="H338" s="68"/>
      <c r="I338" s="74"/>
    </row>
    <row r="339" spans="1:9">
      <c r="A339" s="119">
        <v>284</v>
      </c>
      <c r="B339" s="80">
        <f t="shared" si="18"/>
        <v>0</v>
      </c>
      <c r="C339" s="80">
        <f t="shared" si="19"/>
        <v>0</v>
      </c>
      <c r="D339" s="80">
        <f t="shared" si="20"/>
        <v>0</v>
      </c>
      <c r="E339" s="80">
        <f t="shared" si="21"/>
        <v>0</v>
      </c>
      <c r="F339" s="79"/>
      <c r="G339" s="74"/>
      <c r="H339" s="68"/>
      <c r="I339" s="74"/>
    </row>
    <row r="340" spans="1:9">
      <c r="A340" s="119">
        <v>285</v>
      </c>
      <c r="B340" s="80">
        <f t="shared" si="18"/>
        <v>0</v>
      </c>
      <c r="C340" s="80">
        <f t="shared" si="19"/>
        <v>0</v>
      </c>
      <c r="D340" s="80">
        <f t="shared" si="20"/>
        <v>0</v>
      </c>
      <c r="E340" s="80">
        <f t="shared" si="21"/>
        <v>0</v>
      </c>
      <c r="F340" s="79"/>
      <c r="G340" s="74"/>
      <c r="H340" s="68"/>
      <c r="I340" s="74"/>
    </row>
    <row r="341" spans="1:9">
      <c r="A341" s="119">
        <v>286</v>
      </c>
      <c r="B341" s="80">
        <f t="shared" si="18"/>
        <v>0</v>
      </c>
      <c r="C341" s="80">
        <f t="shared" si="19"/>
        <v>0</v>
      </c>
      <c r="D341" s="80">
        <f t="shared" si="20"/>
        <v>0</v>
      </c>
      <c r="E341" s="80">
        <f t="shared" si="21"/>
        <v>0</v>
      </c>
      <c r="F341" s="79"/>
      <c r="G341" s="74"/>
      <c r="H341" s="68"/>
      <c r="I341" s="74"/>
    </row>
    <row r="342" spans="1:9">
      <c r="A342" s="119">
        <v>287</v>
      </c>
      <c r="B342" s="80">
        <f t="shared" si="18"/>
        <v>0</v>
      </c>
      <c r="C342" s="80">
        <f t="shared" si="19"/>
        <v>0</v>
      </c>
      <c r="D342" s="80">
        <f t="shared" si="20"/>
        <v>0</v>
      </c>
      <c r="E342" s="80">
        <f t="shared" si="21"/>
        <v>0</v>
      </c>
      <c r="F342" s="79"/>
      <c r="G342" s="74"/>
      <c r="H342" s="68"/>
      <c r="I342" s="74"/>
    </row>
    <row r="343" spans="1:9">
      <c r="A343" s="119">
        <v>288</v>
      </c>
      <c r="B343" s="80">
        <f t="shared" si="18"/>
        <v>0</v>
      </c>
      <c r="C343" s="80">
        <f t="shared" si="19"/>
        <v>0</v>
      </c>
      <c r="D343" s="80">
        <f t="shared" si="20"/>
        <v>0</v>
      </c>
      <c r="E343" s="80">
        <f t="shared" si="21"/>
        <v>0</v>
      </c>
      <c r="F343" s="79">
        <v>24</v>
      </c>
      <c r="G343" s="118"/>
      <c r="H343" s="88"/>
      <c r="I343" s="118"/>
    </row>
    <row r="344" spans="1:9">
      <c r="A344" s="119">
        <v>289</v>
      </c>
      <c r="B344" s="80">
        <f t="shared" si="18"/>
        <v>0</v>
      </c>
      <c r="C344" s="80">
        <f t="shared" si="19"/>
        <v>0</v>
      </c>
      <c r="D344" s="80">
        <f t="shared" si="20"/>
        <v>0</v>
      </c>
      <c r="E344" s="80">
        <f t="shared" si="21"/>
        <v>0</v>
      </c>
      <c r="F344" s="79"/>
      <c r="G344" s="74"/>
      <c r="H344" s="68"/>
      <c r="I344" s="118"/>
    </row>
    <row r="345" spans="1:9">
      <c r="A345" s="119">
        <v>290</v>
      </c>
      <c r="B345" s="80">
        <f t="shared" si="18"/>
        <v>0</v>
      </c>
      <c r="C345" s="80">
        <f t="shared" si="19"/>
        <v>0</v>
      </c>
      <c r="D345" s="80">
        <f t="shared" si="20"/>
        <v>0</v>
      </c>
      <c r="E345" s="80">
        <f t="shared" si="21"/>
        <v>0</v>
      </c>
      <c r="F345" s="79"/>
      <c r="G345" s="74"/>
      <c r="H345" s="68"/>
      <c r="I345" s="74"/>
    </row>
    <row r="346" spans="1:9">
      <c r="A346" s="119">
        <v>291</v>
      </c>
      <c r="B346" s="80">
        <f t="shared" si="18"/>
        <v>0</v>
      </c>
      <c r="C346" s="80">
        <f t="shared" si="19"/>
        <v>0</v>
      </c>
      <c r="D346" s="80">
        <f t="shared" si="20"/>
        <v>0</v>
      </c>
      <c r="E346" s="80">
        <f t="shared" si="21"/>
        <v>0</v>
      </c>
      <c r="F346" s="79"/>
      <c r="G346" s="74"/>
      <c r="H346" s="68"/>
      <c r="I346" s="74"/>
    </row>
    <row r="347" spans="1:9">
      <c r="A347" s="119">
        <v>292</v>
      </c>
      <c r="B347" s="80">
        <f t="shared" si="18"/>
        <v>0</v>
      </c>
      <c r="C347" s="80">
        <f t="shared" si="19"/>
        <v>0</v>
      </c>
      <c r="D347" s="80">
        <f t="shared" si="20"/>
        <v>0</v>
      </c>
      <c r="E347" s="80">
        <f t="shared" si="21"/>
        <v>0</v>
      </c>
      <c r="F347" s="79"/>
      <c r="G347" s="74"/>
      <c r="H347" s="68"/>
      <c r="I347" s="74"/>
    </row>
    <row r="348" spans="1:9">
      <c r="A348" s="119">
        <v>293</v>
      </c>
      <c r="B348" s="80">
        <f t="shared" si="18"/>
        <v>0</v>
      </c>
      <c r="C348" s="80">
        <f t="shared" si="19"/>
        <v>0</v>
      </c>
      <c r="D348" s="80">
        <f t="shared" si="20"/>
        <v>0</v>
      </c>
      <c r="E348" s="80">
        <f t="shared" si="21"/>
        <v>0</v>
      </c>
      <c r="F348" s="79"/>
      <c r="G348" s="74"/>
      <c r="H348" s="68"/>
      <c r="I348" s="74"/>
    </row>
    <row r="349" spans="1:9">
      <c r="A349" s="119">
        <v>294</v>
      </c>
      <c r="B349" s="80">
        <f t="shared" si="18"/>
        <v>0</v>
      </c>
      <c r="C349" s="80">
        <f t="shared" si="19"/>
        <v>0</v>
      </c>
      <c r="D349" s="80">
        <f t="shared" si="20"/>
        <v>0</v>
      </c>
      <c r="E349" s="80">
        <f t="shared" si="21"/>
        <v>0</v>
      </c>
      <c r="F349" s="79"/>
      <c r="G349" s="118"/>
      <c r="H349" s="88"/>
      <c r="I349" s="74"/>
    </row>
    <row r="350" spans="1:9">
      <c r="A350" s="119">
        <v>295</v>
      </c>
      <c r="B350" s="80">
        <f t="shared" si="18"/>
        <v>0</v>
      </c>
      <c r="C350" s="80">
        <f t="shared" si="19"/>
        <v>0</v>
      </c>
      <c r="D350" s="80">
        <f t="shared" si="20"/>
        <v>0</v>
      </c>
      <c r="E350" s="80">
        <f t="shared" si="21"/>
        <v>0</v>
      </c>
      <c r="F350" s="79"/>
      <c r="G350" s="74"/>
      <c r="H350" s="68"/>
      <c r="I350" s="74"/>
    </row>
    <row r="351" spans="1:9">
      <c r="A351" s="119">
        <v>296</v>
      </c>
      <c r="B351" s="80">
        <f t="shared" si="18"/>
        <v>0</v>
      </c>
      <c r="C351" s="80">
        <f t="shared" si="19"/>
        <v>0</v>
      </c>
      <c r="D351" s="80">
        <f t="shared" si="20"/>
        <v>0</v>
      </c>
      <c r="E351" s="80">
        <f t="shared" si="21"/>
        <v>0</v>
      </c>
      <c r="F351" s="79"/>
      <c r="G351" s="74"/>
      <c r="H351" s="68"/>
      <c r="I351" s="74"/>
    </row>
    <row r="352" spans="1:9">
      <c r="A352" s="119">
        <v>297</v>
      </c>
      <c r="B352" s="80">
        <f t="shared" si="18"/>
        <v>0</v>
      </c>
      <c r="C352" s="80">
        <f t="shared" si="19"/>
        <v>0</v>
      </c>
      <c r="D352" s="80">
        <f t="shared" si="20"/>
        <v>0</v>
      </c>
      <c r="E352" s="80">
        <f t="shared" si="21"/>
        <v>0</v>
      </c>
      <c r="F352" s="79"/>
      <c r="G352" s="74"/>
      <c r="H352" s="68"/>
      <c r="I352" s="74"/>
    </row>
    <row r="353" spans="1:9">
      <c r="A353" s="119">
        <v>298</v>
      </c>
      <c r="B353" s="80">
        <f t="shared" si="18"/>
        <v>0</v>
      </c>
      <c r="C353" s="80">
        <f t="shared" si="19"/>
        <v>0</v>
      </c>
      <c r="D353" s="80">
        <f t="shared" si="20"/>
        <v>0</v>
      </c>
      <c r="E353" s="80">
        <f t="shared" si="21"/>
        <v>0</v>
      </c>
      <c r="F353" s="79"/>
      <c r="G353" s="74"/>
      <c r="H353" s="68"/>
      <c r="I353" s="74"/>
    </row>
    <row r="354" spans="1:9">
      <c r="A354" s="119">
        <v>299</v>
      </c>
      <c r="B354" s="80">
        <f t="shared" si="18"/>
        <v>0</v>
      </c>
      <c r="C354" s="80">
        <f t="shared" si="19"/>
        <v>0</v>
      </c>
      <c r="D354" s="80">
        <f t="shared" si="20"/>
        <v>0</v>
      </c>
      <c r="E354" s="80">
        <f t="shared" si="21"/>
        <v>0</v>
      </c>
      <c r="F354" s="79"/>
      <c r="G354" s="74"/>
      <c r="H354" s="68"/>
      <c r="I354" s="74"/>
    </row>
    <row r="355" spans="1:9">
      <c r="A355" s="119">
        <v>300</v>
      </c>
      <c r="B355" s="80">
        <f t="shared" si="18"/>
        <v>0</v>
      </c>
      <c r="C355" s="80">
        <f t="shared" si="19"/>
        <v>0</v>
      </c>
      <c r="D355" s="80">
        <f t="shared" si="20"/>
        <v>0</v>
      </c>
      <c r="E355" s="80">
        <f t="shared" si="21"/>
        <v>0</v>
      </c>
      <c r="F355" s="79">
        <v>25</v>
      </c>
      <c r="G355" s="118"/>
      <c r="H355" s="88"/>
      <c r="I355" s="118"/>
    </row>
    <row r="356" spans="1:9">
      <c r="A356" s="119">
        <v>301</v>
      </c>
      <c r="B356" s="80">
        <f t="shared" si="18"/>
        <v>0</v>
      </c>
      <c r="C356" s="80">
        <f t="shared" si="19"/>
        <v>0</v>
      </c>
      <c r="D356" s="80">
        <f t="shared" si="20"/>
        <v>0</v>
      </c>
      <c r="E356" s="80">
        <f t="shared" si="21"/>
        <v>0</v>
      </c>
      <c r="F356" s="79"/>
      <c r="G356" s="74"/>
      <c r="H356" s="68"/>
      <c r="I356" s="118"/>
    </row>
    <row r="357" spans="1:9">
      <c r="A357" s="119">
        <v>302</v>
      </c>
      <c r="B357" s="80">
        <f t="shared" si="18"/>
        <v>0</v>
      </c>
      <c r="C357" s="80">
        <f t="shared" si="19"/>
        <v>0</v>
      </c>
      <c r="D357" s="80">
        <f t="shared" si="20"/>
        <v>0</v>
      </c>
      <c r="E357" s="80">
        <f t="shared" si="21"/>
        <v>0</v>
      </c>
      <c r="F357" s="79"/>
      <c r="G357" s="74"/>
      <c r="H357" s="68"/>
      <c r="I357" s="74"/>
    </row>
    <row r="358" spans="1:9">
      <c r="A358" s="119">
        <v>303</v>
      </c>
      <c r="B358" s="80">
        <f t="shared" si="18"/>
        <v>0</v>
      </c>
      <c r="C358" s="80">
        <f t="shared" si="19"/>
        <v>0</v>
      </c>
      <c r="D358" s="80">
        <f t="shared" si="20"/>
        <v>0</v>
      </c>
      <c r="E358" s="80">
        <f t="shared" si="21"/>
        <v>0</v>
      </c>
      <c r="F358" s="79"/>
      <c r="G358" s="74"/>
      <c r="H358" s="68"/>
      <c r="I358" s="74"/>
    </row>
    <row r="359" spans="1:9">
      <c r="A359" s="119">
        <v>304</v>
      </c>
      <c r="B359" s="80">
        <f t="shared" si="18"/>
        <v>0</v>
      </c>
      <c r="C359" s="80">
        <f t="shared" si="19"/>
        <v>0</v>
      </c>
      <c r="D359" s="80">
        <f t="shared" si="20"/>
        <v>0</v>
      </c>
      <c r="E359" s="80">
        <f t="shared" si="21"/>
        <v>0</v>
      </c>
      <c r="F359" s="79"/>
      <c r="G359" s="74"/>
      <c r="H359" s="68"/>
      <c r="I359" s="74"/>
    </row>
    <row r="360" spans="1:9">
      <c r="A360" s="119">
        <v>305</v>
      </c>
      <c r="B360" s="80">
        <f t="shared" si="18"/>
        <v>0</v>
      </c>
      <c r="C360" s="80">
        <f t="shared" si="19"/>
        <v>0</v>
      </c>
      <c r="D360" s="80">
        <f t="shared" si="20"/>
        <v>0</v>
      </c>
      <c r="E360" s="80">
        <f t="shared" si="21"/>
        <v>0</v>
      </c>
      <c r="F360" s="79"/>
      <c r="G360" s="74"/>
      <c r="H360" s="68"/>
      <c r="I360" s="74"/>
    </row>
    <row r="361" spans="1:9">
      <c r="A361" s="119">
        <v>306</v>
      </c>
      <c r="B361" s="80">
        <f t="shared" si="18"/>
        <v>0</v>
      </c>
      <c r="C361" s="80">
        <f t="shared" si="19"/>
        <v>0</v>
      </c>
      <c r="D361" s="80">
        <f t="shared" si="20"/>
        <v>0</v>
      </c>
      <c r="E361" s="80">
        <f t="shared" si="21"/>
        <v>0</v>
      </c>
      <c r="F361" s="79"/>
      <c r="G361" s="118"/>
      <c r="H361" s="88"/>
      <c r="I361" s="74"/>
    </row>
    <row r="362" spans="1:9">
      <c r="A362" s="119">
        <v>307</v>
      </c>
      <c r="B362" s="80">
        <f t="shared" si="18"/>
        <v>0</v>
      </c>
      <c r="C362" s="80">
        <f t="shared" si="19"/>
        <v>0</v>
      </c>
      <c r="D362" s="80">
        <f t="shared" si="20"/>
        <v>0</v>
      </c>
      <c r="E362" s="80">
        <f t="shared" si="21"/>
        <v>0</v>
      </c>
      <c r="F362" s="79"/>
      <c r="G362" s="74"/>
      <c r="H362" s="68"/>
      <c r="I362" s="74"/>
    </row>
    <row r="363" spans="1:9">
      <c r="A363" s="119">
        <v>308</v>
      </c>
      <c r="B363" s="80">
        <f t="shared" si="18"/>
        <v>0</v>
      </c>
      <c r="C363" s="80">
        <f t="shared" si="19"/>
        <v>0</v>
      </c>
      <c r="D363" s="80">
        <f t="shared" si="20"/>
        <v>0</v>
      </c>
      <c r="E363" s="80">
        <f t="shared" si="21"/>
        <v>0</v>
      </c>
      <c r="F363" s="79"/>
      <c r="G363" s="74"/>
      <c r="H363" s="68"/>
      <c r="I363" s="74"/>
    </row>
    <row r="364" spans="1:9">
      <c r="A364" s="119">
        <v>309</v>
      </c>
      <c r="B364" s="80">
        <f t="shared" si="18"/>
        <v>0</v>
      </c>
      <c r="C364" s="80">
        <f t="shared" si="19"/>
        <v>0</v>
      </c>
      <c r="D364" s="80">
        <f t="shared" si="20"/>
        <v>0</v>
      </c>
      <c r="E364" s="80">
        <f t="shared" si="21"/>
        <v>0</v>
      </c>
      <c r="F364" s="79"/>
      <c r="G364" s="74"/>
      <c r="H364" s="68"/>
      <c r="I364" s="74"/>
    </row>
    <row r="365" spans="1:9">
      <c r="A365" s="119">
        <v>310</v>
      </c>
      <c r="B365" s="80">
        <f t="shared" si="18"/>
        <v>0</v>
      </c>
      <c r="C365" s="80">
        <f t="shared" si="19"/>
        <v>0</v>
      </c>
      <c r="D365" s="80">
        <f t="shared" si="20"/>
        <v>0</v>
      </c>
      <c r="E365" s="80">
        <f t="shared" si="21"/>
        <v>0</v>
      </c>
      <c r="F365" s="79"/>
      <c r="G365" s="74"/>
      <c r="H365" s="68"/>
      <c r="I365" s="74"/>
    </row>
    <row r="366" spans="1:9">
      <c r="A366" s="119">
        <v>311</v>
      </c>
      <c r="B366" s="80">
        <f t="shared" si="18"/>
        <v>0</v>
      </c>
      <c r="C366" s="80">
        <f t="shared" si="19"/>
        <v>0</v>
      </c>
      <c r="D366" s="80">
        <f t="shared" si="20"/>
        <v>0</v>
      </c>
      <c r="E366" s="80">
        <f t="shared" si="21"/>
        <v>0</v>
      </c>
      <c r="F366" s="79"/>
      <c r="G366" s="74"/>
      <c r="H366" s="68"/>
      <c r="I366" s="74"/>
    </row>
    <row r="367" spans="1:9">
      <c r="A367" s="119">
        <v>312</v>
      </c>
      <c r="B367" s="80">
        <f t="shared" si="18"/>
        <v>0</v>
      </c>
      <c r="C367" s="80">
        <f t="shared" si="19"/>
        <v>0</v>
      </c>
      <c r="D367" s="80">
        <f t="shared" si="20"/>
        <v>0</v>
      </c>
      <c r="E367" s="80">
        <f t="shared" si="21"/>
        <v>0</v>
      </c>
      <c r="F367" s="79">
        <v>26</v>
      </c>
      <c r="G367" s="118"/>
      <c r="H367" s="88"/>
      <c r="I367" s="118"/>
    </row>
    <row r="368" spans="1:9">
      <c r="A368" s="119">
        <v>313</v>
      </c>
      <c r="B368" s="80">
        <f t="shared" si="18"/>
        <v>0</v>
      </c>
      <c r="C368" s="80">
        <f t="shared" si="19"/>
        <v>0</v>
      </c>
      <c r="D368" s="80">
        <f t="shared" si="20"/>
        <v>0</v>
      </c>
      <c r="E368" s="80">
        <f t="shared" si="21"/>
        <v>0</v>
      </c>
      <c r="F368" s="79"/>
      <c r="G368" s="74"/>
      <c r="H368" s="68"/>
      <c r="I368" s="118"/>
    </row>
    <row r="369" spans="1:9">
      <c r="A369" s="119">
        <v>314</v>
      </c>
      <c r="B369" s="80">
        <f t="shared" si="18"/>
        <v>0</v>
      </c>
      <c r="C369" s="80">
        <f t="shared" si="19"/>
        <v>0</v>
      </c>
      <c r="D369" s="80">
        <f t="shared" si="20"/>
        <v>0</v>
      </c>
      <c r="E369" s="80">
        <f t="shared" si="21"/>
        <v>0</v>
      </c>
      <c r="F369" s="79"/>
      <c r="G369" s="74"/>
      <c r="H369" s="68"/>
      <c r="I369" s="74"/>
    </row>
    <row r="370" spans="1:9">
      <c r="A370" s="119">
        <v>315</v>
      </c>
      <c r="B370" s="80">
        <f t="shared" si="18"/>
        <v>0</v>
      </c>
      <c r="C370" s="80">
        <f t="shared" si="19"/>
        <v>0</v>
      </c>
      <c r="D370" s="80">
        <f t="shared" si="20"/>
        <v>0</v>
      </c>
      <c r="E370" s="80">
        <f t="shared" si="21"/>
        <v>0</v>
      </c>
      <c r="F370" s="79"/>
      <c r="G370" s="74"/>
      <c r="H370" s="68"/>
      <c r="I370" s="74"/>
    </row>
    <row r="371" spans="1:9">
      <c r="A371" s="119">
        <v>316</v>
      </c>
      <c r="B371" s="80">
        <f t="shared" si="18"/>
        <v>0</v>
      </c>
      <c r="C371" s="80">
        <f t="shared" si="19"/>
        <v>0</v>
      </c>
      <c r="D371" s="80">
        <f t="shared" si="20"/>
        <v>0</v>
      </c>
      <c r="E371" s="80">
        <f t="shared" si="21"/>
        <v>0</v>
      </c>
      <c r="F371" s="79"/>
      <c r="G371" s="74"/>
      <c r="H371" s="68"/>
      <c r="I371" s="74"/>
    </row>
    <row r="372" spans="1:9">
      <c r="A372" s="119">
        <v>317</v>
      </c>
      <c r="B372" s="80">
        <f t="shared" si="18"/>
        <v>0</v>
      </c>
      <c r="C372" s="80">
        <f t="shared" si="19"/>
        <v>0</v>
      </c>
      <c r="D372" s="80">
        <f t="shared" si="20"/>
        <v>0</v>
      </c>
      <c r="E372" s="80">
        <f t="shared" si="21"/>
        <v>0</v>
      </c>
      <c r="F372" s="79"/>
      <c r="G372" s="74"/>
      <c r="H372" s="68"/>
      <c r="I372" s="74"/>
    </row>
    <row r="373" spans="1:9">
      <c r="A373" s="119">
        <v>318</v>
      </c>
      <c r="B373" s="80">
        <f t="shared" si="18"/>
        <v>0</v>
      </c>
      <c r="C373" s="80">
        <f t="shared" si="19"/>
        <v>0</v>
      </c>
      <c r="D373" s="80">
        <f t="shared" si="20"/>
        <v>0</v>
      </c>
      <c r="E373" s="80">
        <f t="shared" si="21"/>
        <v>0</v>
      </c>
      <c r="F373" s="79"/>
      <c r="G373" s="118"/>
      <c r="H373" s="88"/>
      <c r="I373" s="74"/>
    </row>
    <row r="374" spans="1:9">
      <c r="A374" s="119">
        <v>319</v>
      </c>
      <c r="B374" s="80">
        <f t="shared" si="18"/>
        <v>0</v>
      </c>
      <c r="C374" s="80">
        <f t="shared" si="19"/>
        <v>0</v>
      </c>
      <c r="D374" s="80">
        <f t="shared" si="20"/>
        <v>0</v>
      </c>
      <c r="E374" s="80">
        <f t="shared" si="21"/>
        <v>0</v>
      </c>
      <c r="F374" s="79"/>
      <c r="G374" s="74"/>
      <c r="H374" s="68"/>
      <c r="I374" s="74"/>
    </row>
    <row r="375" spans="1:9">
      <c r="A375" s="119">
        <v>320</v>
      </c>
      <c r="B375" s="80">
        <f t="shared" si="18"/>
        <v>0</v>
      </c>
      <c r="C375" s="80">
        <f t="shared" si="19"/>
        <v>0</v>
      </c>
      <c r="D375" s="80">
        <f t="shared" si="20"/>
        <v>0</v>
      </c>
      <c r="E375" s="80">
        <f t="shared" si="21"/>
        <v>0</v>
      </c>
      <c r="F375" s="79"/>
      <c r="G375" s="74"/>
      <c r="H375" s="68"/>
      <c r="I375" s="74"/>
    </row>
    <row r="376" spans="1:9">
      <c r="A376" s="119">
        <v>321</v>
      </c>
      <c r="B376" s="80">
        <f t="shared" ref="B376:B439" si="22">IF(A376&gt;12*$D$14,0,$D$20)</f>
        <v>0</v>
      </c>
      <c r="C376" s="80">
        <f t="shared" ref="C376:C439" si="23">IF(A376&gt;12*$D$14,0,E375*$D$10/12)</f>
        <v>0</v>
      </c>
      <c r="D376" s="80">
        <f t="shared" ref="D376:D439" si="24">IF(A376&gt;12*$D$14,0,B376-C376)</f>
        <v>0</v>
      </c>
      <c r="E376" s="80">
        <f t="shared" ref="E376:E439" si="25">IF(A376&gt;12*$D$14,0,E375-D376)</f>
        <v>0</v>
      </c>
      <c r="F376" s="79"/>
      <c r="G376" s="74"/>
      <c r="H376" s="68"/>
      <c r="I376" s="74"/>
    </row>
    <row r="377" spans="1:9">
      <c r="A377" s="119">
        <v>322</v>
      </c>
      <c r="B377" s="80">
        <f t="shared" si="22"/>
        <v>0</v>
      </c>
      <c r="C377" s="80">
        <f t="shared" si="23"/>
        <v>0</v>
      </c>
      <c r="D377" s="80">
        <f t="shared" si="24"/>
        <v>0</v>
      </c>
      <c r="E377" s="80">
        <f t="shared" si="25"/>
        <v>0</v>
      </c>
      <c r="F377" s="79"/>
      <c r="G377" s="74"/>
      <c r="H377" s="68"/>
      <c r="I377" s="74"/>
    </row>
    <row r="378" spans="1:9">
      <c r="A378" s="119">
        <v>323</v>
      </c>
      <c r="B378" s="80">
        <f t="shared" si="22"/>
        <v>0</v>
      </c>
      <c r="C378" s="80">
        <f t="shared" si="23"/>
        <v>0</v>
      </c>
      <c r="D378" s="80">
        <f t="shared" si="24"/>
        <v>0</v>
      </c>
      <c r="E378" s="80">
        <f t="shared" si="25"/>
        <v>0</v>
      </c>
      <c r="F378" s="79"/>
      <c r="G378" s="74"/>
      <c r="H378" s="68"/>
      <c r="I378" s="74"/>
    </row>
    <row r="379" spans="1:9">
      <c r="A379" s="119">
        <v>324</v>
      </c>
      <c r="B379" s="80">
        <f t="shared" si="22"/>
        <v>0</v>
      </c>
      <c r="C379" s="80">
        <f t="shared" si="23"/>
        <v>0</v>
      </c>
      <c r="D379" s="80">
        <f t="shared" si="24"/>
        <v>0</v>
      </c>
      <c r="E379" s="80">
        <f t="shared" si="25"/>
        <v>0</v>
      </c>
      <c r="F379" s="79">
        <v>27</v>
      </c>
      <c r="G379" s="118"/>
      <c r="H379" s="88"/>
      <c r="I379" s="118"/>
    </row>
    <row r="380" spans="1:9">
      <c r="A380" s="119">
        <v>325</v>
      </c>
      <c r="B380" s="80">
        <f t="shared" si="22"/>
        <v>0</v>
      </c>
      <c r="C380" s="80">
        <f t="shared" si="23"/>
        <v>0</v>
      </c>
      <c r="D380" s="80">
        <f t="shared" si="24"/>
        <v>0</v>
      </c>
      <c r="E380" s="80">
        <f t="shared" si="25"/>
        <v>0</v>
      </c>
      <c r="F380" s="79"/>
      <c r="G380" s="74"/>
      <c r="H380" s="68"/>
      <c r="I380" s="118"/>
    </row>
    <row r="381" spans="1:9">
      <c r="A381" s="119">
        <v>326</v>
      </c>
      <c r="B381" s="80">
        <f t="shared" si="22"/>
        <v>0</v>
      </c>
      <c r="C381" s="80">
        <f t="shared" si="23"/>
        <v>0</v>
      </c>
      <c r="D381" s="80">
        <f t="shared" si="24"/>
        <v>0</v>
      </c>
      <c r="E381" s="80">
        <f t="shared" si="25"/>
        <v>0</v>
      </c>
      <c r="F381" s="79"/>
      <c r="G381" s="74"/>
      <c r="H381" s="68"/>
      <c r="I381" s="74"/>
    </row>
    <row r="382" spans="1:9">
      <c r="A382" s="119">
        <v>327</v>
      </c>
      <c r="B382" s="80">
        <f t="shared" si="22"/>
        <v>0</v>
      </c>
      <c r="C382" s="80">
        <f t="shared" si="23"/>
        <v>0</v>
      </c>
      <c r="D382" s="80">
        <f t="shared" si="24"/>
        <v>0</v>
      </c>
      <c r="E382" s="80">
        <f t="shared" si="25"/>
        <v>0</v>
      </c>
      <c r="F382" s="79"/>
      <c r="G382" s="74"/>
      <c r="H382" s="68"/>
      <c r="I382" s="74"/>
    </row>
    <row r="383" spans="1:9">
      <c r="A383" s="119">
        <v>328</v>
      </c>
      <c r="B383" s="80">
        <f t="shared" si="22"/>
        <v>0</v>
      </c>
      <c r="C383" s="80">
        <f t="shared" si="23"/>
        <v>0</v>
      </c>
      <c r="D383" s="80">
        <f t="shared" si="24"/>
        <v>0</v>
      </c>
      <c r="E383" s="80">
        <f t="shared" si="25"/>
        <v>0</v>
      </c>
      <c r="F383" s="79"/>
      <c r="G383" s="74"/>
      <c r="H383" s="68"/>
      <c r="I383" s="74"/>
    </row>
    <row r="384" spans="1:9">
      <c r="A384" s="119">
        <v>329</v>
      </c>
      <c r="B384" s="80">
        <f t="shared" si="22"/>
        <v>0</v>
      </c>
      <c r="C384" s="80">
        <f t="shared" si="23"/>
        <v>0</v>
      </c>
      <c r="D384" s="80">
        <f t="shared" si="24"/>
        <v>0</v>
      </c>
      <c r="E384" s="80">
        <f t="shared" si="25"/>
        <v>0</v>
      </c>
      <c r="F384" s="79"/>
      <c r="G384" s="74"/>
      <c r="H384" s="68"/>
      <c r="I384" s="74"/>
    </row>
    <row r="385" spans="1:9">
      <c r="A385" s="119">
        <v>330</v>
      </c>
      <c r="B385" s="80">
        <f t="shared" si="22"/>
        <v>0</v>
      </c>
      <c r="C385" s="80">
        <f t="shared" si="23"/>
        <v>0</v>
      </c>
      <c r="D385" s="80">
        <f t="shared" si="24"/>
        <v>0</v>
      </c>
      <c r="E385" s="80">
        <f t="shared" si="25"/>
        <v>0</v>
      </c>
      <c r="F385" s="79"/>
      <c r="G385" s="118"/>
      <c r="H385" s="88"/>
      <c r="I385" s="74"/>
    </row>
    <row r="386" spans="1:9">
      <c r="A386" s="119">
        <v>331</v>
      </c>
      <c r="B386" s="80">
        <f t="shared" si="22"/>
        <v>0</v>
      </c>
      <c r="C386" s="80">
        <f t="shared" si="23"/>
        <v>0</v>
      </c>
      <c r="D386" s="80">
        <f t="shared" si="24"/>
        <v>0</v>
      </c>
      <c r="E386" s="80">
        <f t="shared" si="25"/>
        <v>0</v>
      </c>
      <c r="F386" s="79"/>
      <c r="G386" s="74"/>
      <c r="H386" s="68"/>
      <c r="I386" s="74"/>
    </row>
    <row r="387" spans="1:9">
      <c r="A387" s="119">
        <v>332</v>
      </c>
      <c r="B387" s="80">
        <f t="shared" si="22"/>
        <v>0</v>
      </c>
      <c r="C387" s="80">
        <f t="shared" si="23"/>
        <v>0</v>
      </c>
      <c r="D387" s="80">
        <f t="shared" si="24"/>
        <v>0</v>
      </c>
      <c r="E387" s="80">
        <f t="shared" si="25"/>
        <v>0</v>
      </c>
      <c r="F387" s="79"/>
      <c r="G387" s="74"/>
      <c r="H387" s="68"/>
      <c r="I387" s="74"/>
    </row>
    <row r="388" spans="1:9">
      <c r="A388" s="119">
        <v>333</v>
      </c>
      <c r="B388" s="80">
        <f t="shared" si="22"/>
        <v>0</v>
      </c>
      <c r="C388" s="80">
        <f t="shared" si="23"/>
        <v>0</v>
      </c>
      <c r="D388" s="80">
        <f t="shared" si="24"/>
        <v>0</v>
      </c>
      <c r="E388" s="80">
        <f t="shared" si="25"/>
        <v>0</v>
      </c>
      <c r="F388" s="79"/>
      <c r="G388" s="74"/>
      <c r="H388" s="68"/>
      <c r="I388" s="74"/>
    </row>
    <row r="389" spans="1:9">
      <c r="A389" s="119">
        <v>334</v>
      </c>
      <c r="B389" s="80">
        <f t="shared" si="22"/>
        <v>0</v>
      </c>
      <c r="C389" s="80">
        <f t="shared" si="23"/>
        <v>0</v>
      </c>
      <c r="D389" s="80">
        <f t="shared" si="24"/>
        <v>0</v>
      </c>
      <c r="E389" s="80">
        <f t="shared" si="25"/>
        <v>0</v>
      </c>
      <c r="F389" s="79"/>
      <c r="G389" s="74"/>
      <c r="H389" s="68"/>
      <c r="I389" s="74"/>
    </row>
    <row r="390" spans="1:9">
      <c r="A390" s="119">
        <v>335</v>
      </c>
      <c r="B390" s="80">
        <f t="shared" si="22"/>
        <v>0</v>
      </c>
      <c r="C390" s="80">
        <f t="shared" si="23"/>
        <v>0</v>
      </c>
      <c r="D390" s="80">
        <f t="shared" si="24"/>
        <v>0</v>
      </c>
      <c r="E390" s="80">
        <f t="shared" si="25"/>
        <v>0</v>
      </c>
      <c r="F390" s="79"/>
      <c r="G390" s="74"/>
      <c r="H390" s="68"/>
      <c r="I390" s="74"/>
    </row>
    <row r="391" spans="1:9">
      <c r="A391" s="119">
        <v>336</v>
      </c>
      <c r="B391" s="80">
        <f t="shared" si="22"/>
        <v>0</v>
      </c>
      <c r="C391" s="80">
        <f t="shared" si="23"/>
        <v>0</v>
      </c>
      <c r="D391" s="80">
        <f t="shared" si="24"/>
        <v>0</v>
      </c>
      <c r="E391" s="80">
        <f t="shared" si="25"/>
        <v>0</v>
      </c>
      <c r="F391" s="79">
        <v>28</v>
      </c>
      <c r="G391" s="118"/>
      <c r="H391" s="88"/>
      <c r="I391" s="118"/>
    </row>
    <row r="392" spans="1:9">
      <c r="A392" s="119">
        <v>337</v>
      </c>
      <c r="B392" s="80">
        <f t="shared" si="22"/>
        <v>0</v>
      </c>
      <c r="C392" s="80">
        <f t="shared" si="23"/>
        <v>0</v>
      </c>
      <c r="D392" s="80">
        <f t="shared" si="24"/>
        <v>0</v>
      </c>
      <c r="E392" s="80">
        <f t="shared" si="25"/>
        <v>0</v>
      </c>
      <c r="F392" s="79"/>
      <c r="G392" s="74"/>
      <c r="H392" s="68"/>
      <c r="I392" s="118"/>
    </row>
    <row r="393" spans="1:9">
      <c r="A393" s="119">
        <v>338</v>
      </c>
      <c r="B393" s="80">
        <f t="shared" si="22"/>
        <v>0</v>
      </c>
      <c r="C393" s="80">
        <f t="shared" si="23"/>
        <v>0</v>
      </c>
      <c r="D393" s="80">
        <f t="shared" si="24"/>
        <v>0</v>
      </c>
      <c r="E393" s="80">
        <f t="shared" si="25"/>
        <v>0</v>
      </c>
      <c r="F393" s="79"/>
      <c r="G393" s="74"/>
      <c r="H393" s="68"/>
      <c r="I393" s="74"/>
    </row>
    <row r="394" spans="1:9">
      <c r="A394" s="119">
        <v>339</v>
      </c>
      <c r="B394" s="80">
        <f t="shared" si="22"/>
        <v>0</v>
      </c>
      <c r="C394" s="80">
        <f t="shared" si="23"/>
        <v>0</v>
      </c>
      <c r="D394" s="80">
        <f t="shared" si="24"/>
        <v>0</v>
      </c>
      <c r="E394" s="80">
        <f t="shared" si="25"/>
        <v>0</v>
      </c>
      <c r="F394" s="79"/>
      <c r="G394" s="74"/>
      <c r="H394" s="68"/>
      <c r="I394" s="74"/>
    </row>
    <row r="395" spans="1:9">
      <c r="A395" s="119">
        <v>340</v>
      </c>
      <c r="B395" s="80">
        <f t="shared" si="22"/>
        <v>0</v>
      </c>
      <c r="C395" s="80">
        <f t="shared" si="23"/>
        <v>0</v>
      </c>
      <c r="D395" s="80">
        <f t="shared" si="24"/>
        <v>0</v>
      </c>
      <c r="E395" s="80">
        <f t="shared" si="25"/>
        <v>0</v>
      </c>
      <c r="F395" s="79"/>
      <c r="G395" s="74"/>
      <c r="H395" s="68"/>
      <c r="I395" s="74"/>
    </row>
    <row r="396" spans="1:9">
      <c r="A396" s="119">
        <v>341</v>
      </c>
      <c r="B396" s="80">
        <f t="shared" si="22"/>
        <v>0</v>
      </c>
      <c r="C396" s="80">
        <f t="shared" si="23"/>
        <v>0</v>
      </c>
      <c r="D396" s="80">
        <f t="shared" si="24"/>
        <v>0</v>
      </c>
      <c r="E396" s="80">
        <f t="shared" si="25"/>
        <v>0</v>
      </c>
      <c r="F396" s="79"/>
      <c r="G396" s="74"/>
      <c r="H396" s="68"/>
      <c r="I396" s="74"/>
    </row>
    <row r="397" spans="1:9">
      <c r="A397" s="119">
        <v>342</v>
      </c>
      <c r="B397" s="80">
        <f t="shared" si="22"/>
        <v>0</v>
      </c>
      <c r="C397" s="80">
        <f t="shared" si="23"/>
        <v>0</v>
      </c>
      <c r="D397" s="80">
        <f t="shared" si="24"/>
        <v>0</v>
      </c>
      <c r="E397" s="80">
        <f t="shared" si="25"/>
        <v>0</v>
      </c>
      <c r="F397" s="79"/>
      <c r="G397" s="118"/>
      <c r="H397" s="88"/>
      <c r="I397" s="74"/>
    </row>
    <row r="398" spans="1:9">
      <c r="A398" s="119">
        <v>343</v>
      </c>
      <c r="B398" s="80">
        <f t="shared" si="22"/>
        <v>0</v>
      </c>
      <c r="C398" s="80">
        <f t="shared" si="23"/>
        <v>0</v>
      </c>
      <c r="D398" s="80">
        <f t="shared" si="24"/>
        <v>0</v>
      </c>
      <c r="E398" s="80">
        <f t="shared" si="25"/>
        <v>0</v>
      </c>
      <c r="F398" s="79"/>
      <c r="G398" s="74"/>
      <c r="H398" s="68"/>
      <c r="I398" s="74"/>
    </row>
    <row r="399" spans="1:9">
      <c r="A399" s="119">
        <v>344</v>
      </c>
      <c r="B399" s="80">
        <f t="shared" si="22"/>
        <v>0</v>
      </c>
      <c r="C399" s="80">
        <f t="shared" si="23"/>
        <v>0</v>
      </c>
      <c r="D399" s="80">
        <f t="shared" si="24"/>
        <v>0</v>
      </c>
      <c r="E399" s="80">
        <f t="shared" si="25"/>
        <v>0</v>
      </c>
      <c r="F399" s="79"/>
      <c r="G399" s="74"/>
      <c r="H399" s="68"/>
      <c r="I399" s="74"/>
    </row>
    <row r="400" spans="1:9">
      <c r="A400" s="119">
        <v>345</v>
      </c>
      <c r="B400" s="80">
        <f t="shared" si="22"/>
        <v>0</v>
      </c>
      <c r="C400" s="80">
        <f t="shared" si="23"/>
        <v>0</v>
      </c>
      <c r="D400" s="80">
        <f t="shared" si="24"/>
        <v>0</v>
      </c>
      <c r="E400" s="80">
        <f t="shared" si="25"/>
        <v>0</v>
      </c>
      <c r="F400" s="79"/>
      <c r="G400" s="74"/>
      <c r="H400" s="68"/>
      <c r="I400" s="74"/>
    </row>
    <row r="401" spans="1:9">
      <c r="A401" s="119">
        <v>346</v>
      </c>
      <c r="B401" s="80">
        <f t="shared" si="22"/>
        <v>0</v>
      </c>
      <c r="C401" s="80">
        <f t="shared" si="23"/>
        <v>0</v>
      </c>
      <c r="D401" s="80">
        <f t="shared" si="24"/>
        <v>0</v>
      </c>
      <c r="E401" s="80">
        <f t="shared" si="25"/>
        <v>0</v>
      </c>
      <c r="F401" s="79"/>
      <c r="G401" s="74"/>
      <c r="H401" s="68"/>
      <c r="I401" s="74"/>
    </row>
    <row r="402" spans="1:9">
      <c r="A402" s="119">
        <v>347</v>
      </c>
      <c r="B402" s="80">
        <f t="shared" si="22"/>
        <v>0</v>
      </c>
      <c r="C402" s="80">
        <f t="shared" si="23"/>
        <v>0</v>
      </c>
      <c r="D402" s="80">
        <f t="shared" si="24"/>
        <v>0</v>
      </c>
      <c r="E402" s="80">
        <f t="shared" si="25"/>
        <v>0</v>
      </c>
      <c r="F402" s="79"/>
      <c r="G402" s="74"/>
      <c r="H402" s="68"/>
      <c r="I402" s="74"/>
    </row>
    <row r="403" spans="1:9">
      <c r="A403" s="119">
        <v>348</v>
      </c>
      <c r="B403" s="80">
        <f t="shared" si="22"/>
        <v>0</v>
      </c>
      <c r="C403" s="80">
        <f t="shared" si="23"/>
        <v>0</v>
      </c>
      <c r="D403" s="80">
        <f t="shared" si="24"/>
        <v>0</v>
      </c>
      <c r="E403" s="80">
        <f t="shared" si="25"/>
        <v>0</v>
      </c>
      <c r="F403" s="79">
        <v>29</v>
      </c>
      <c r="G403" s="118"/>
      <c r="H403" s="88"/>
      <c r="I403" s="118"/>
    </row>
    <row r="404" spans="1:9">
      <c r="A404" s="119">
        <v>349</v>
      </c>
      <c r="B404" s="80">
        <f t="shared" si="22"/>
        <v>0</v>
      </c>
      <c r="C404" s="80">
        <f t="shared" si="23"/>
        <v>0</v>
      </c>
      <c r="D404" s="80">
        <f t="shared" si="24"/>
        <v>0</v>
      </c>
      <c r="E404" s="80">
        <f t="shared" si="25"/>
        <v>0</v>
      </c>
      <c r="F404" s="79"/>
      <c r="G404" s="74"/>
      <c r="H404" s="68"/>
      <c r="I404" s="118"/>
    </row>
    <row r="405" spans="1:9">
      <c r="A405" s="119">
        <v>350</v>
      </c>
      <c r="B405" s="80">
        <f t="shared" si="22"/>
        <v>0</v>
      </c>
      <c r="C405" s="80">
        <f t="shared" si="23"/>
        <v>0</v>
      </c>
      <c r="D405" s="80">
        <f t="shared" si="24"/>
        <v>0</v>
      </c>
      <c r="E405" s="80">
        <f t="shared" si="25"/>
        <v>0</v>
      </c>
      <c r="F405" s="79"/>
      <c r="G405" s="74"/>
      <c r="H405" s="68"/>
      <c r="I405" s="74"/>
    </row>
    <row r="406" spans="1:9">
      <c r="A406" s="119">
        <v>351</v>
      </c>
      <c r="B406" s="80">
        <f t="shared" si="22"/>
        <v>0</v>
      </c>
      <c r="C406" s="80">
        <f t="shared" si="23"/>
        <v>0</v>
      </c>
      <c r="D406" s="80">
        <f t="shared" si="24"/>
        <v>0</v>
      </c>
      <c r="E406" s="80">
        <f t="shared" si="25"/>
        <v>0</v>
      </c>
      <c r="F406" s="79"/>
      <c r="G406" s="74"/>
      <c r="H406" s="68"/>
      <c r="I406" s="74"/>
    </row>
    <row r="407" spans="1:9">
      <c r="A407" s="119">
        <v>352</v>
      </c>
      <c r="B407" s="80">
        <f t="shared" si="22"/>
        <v>0</v>
      </c>
      <c r="C407" s="80">
        <f t="shared" si="23"/>
        <v>0</v>
      </c>
      <c r="D407" s="80">
        <f t="shared" si="24"/>
        <v>0</v>
      </c>
      <c r="E407" s="80">
        <f t="shared" si="25"/>
        <v>0</v>
      </c>
      <c r="F407" s="79"/>
      <c r="G407" s="74"/>
      <c r="H407" s="68"/>
      <c r="I407" s="74"/>
    </row>
    <row r="408" spans="1:9">
      <c r="A408" s="119">
        <v>353</v>
      </c>
      <c r="B408" s="80">
        <f t="shared" si="22"/>
        <v>0</v>
      </c>
      <c r="C408" s="80">
        <f t="shared" si="23"/>
        <v>0</v>
      </c>
      <c r="D408" s="80">
        <f t="shared" si="24"/>
        <v>0</v>
      </c>
      <c r="E408" s="80">
        <f t="shared" si="25"/>
        <v>0</v>
      </c>
      <c r="F408" s="79"/>
      <c r="G408" s="74"/>
      <c r="H408" s="68"/>
      <c r="I408" s="74"/>
    </row>
    <row r="409" spans="1:9">
      <c r="A409" s="119">
        <v>354</v>
      </c>
      <c r="B409" s="80">
        <f t="shared" si="22"/>
        <v>0</v>
      </c>
      <c r="C409" s="80">
        <f t="shared" si="23"/>
        <v>0</v>
      </c>
      <c r="D409" s="80">
        <f t="shared" si="24"/>
        <v>0</v>
      </c>
      <c r="E409" s="80">
        <f t="shared" si="25"/>
        <v>0</v>
      </c>
      <c r="F409" s="79"/>
      <c r="G409" s="118"/>
      <c r="H409" s="88"/>
      <c r="I409" s="74"/>
    </row>
    <row r="410" spans="1:9">
      <c r="A410" s="119">
        <v>355</v>
      </c>
      <c r="B410" s="80">
        <f t="shared" si="22"/>
        <v>0</v>
      </c>
      <c r="C410" s="80">
        <f t="shared" si="23"/>
        <v>0</v>
      </c>
      <c r="D410" s="80">
        <f t="shared" si="24"/>
        <v>0</v>
      </c>
      <c r="E410" s="80">
        <f t="shared" si="25"/>
        <v>0</v>
      </c>
      <c r="F410" s="79"/>
      <c r="G410" s="74"/>
      <c r="H410" s="68"/>
      <c r="I410" s="74"/>
    </row>
    <row r="411" spans="1:9">
      <c r="A411" s="119">
        <v>356</v>
      </c>
      <c r="B411" s="80">
        <f t="shared" si="22"/>
        <v>0</v>
      </c>
      <c r="C411" s="80">
        <f t="shared" si="23"/>
        <v>0</v>
      </c>
      <c r="D411" s="80">
        <f t="shared" si="24"/>
        <v>0</v>
      </c>
      <c r="E411" s="80">
        <f t="shared" si="25"/>
        <v>0</v>
      </c>
      <c r="F411" s="79"/>
      <c r="G411" s="74"/>
      <c r="H411" s="68"/>
      <c r="I411" s="74"/>
    </row>
    <row r="412" spans="1:9">
      <c r="A412" s="119">
        <v>357</v>
      </c>
      <c r="B412" s="80">
        <f t="shared" si="22"/>
        <v>0</v>
      </c>
      <c r="C412" s="80">
        <f t="shared" si="23"/>
        <v>0</v>
      </c>
      <c r="D412" s="80">
        <f t="shared" si="24"/>
        <v>0</v>
      </c>
      <c r="E412" s="80">
        <f t="shared" si="25"/>
        <v>0</v>
      </c>
      <c r="F412" s="79"/>
      <c r="G412" s="74"/>
      <c r="H412" s="68"/>
      <c r="I412" s="74"/>
    </row>
    <row r="413" spans="1:9">
      <c r="A413" s="119">
        <v>358</v>
      </c>
      <c r="B413" s="80">
        <f t="shared" si="22"/>
        <v>0</v>
      </c>
      <c r="C413" s="80">
        <f t="shared" si="23"/>
        <v>0</v>
      </c>
      <c r="D413" s="80">
        <f t="shared" si="24"/>
        <v>0</v>
      </c>
      <c r="E413" s="80">
        <f t="shared" si="25"/>
        <v>0</v>
      </c>
      <c r="F413" s="79"/>
      <c r="G413" s="74"/>
      <c r="H413" s="68"/>
      <c r="I413" s="74"/>
    </row>
    <row r="414" spans="1:9">
      <c r="A414" s="119">
        <v>359</v>
      </c>
      <c r="B414" s="80">
        <f t="shared" si="22"/>
        <v>0</v>
      </c>
      <c r="C414" s="80">
        <f t="shared" si="23"/>
        <v>0</v>
      </c>
      <c r="D414" s="80">
        <f t="shared" si="24"/>
        <v>0</v>
      </c>
      <c r="E414" s="80">
        <f t="shared" si="25"/>
        <v>0</v>
      </c>
      <c r="F414" s="79"/>
      <c r="G414" s="74"/>
      <c r="H414" s="68"/>
      <c r="I414" s="74"/>
    </row>
    <row r="415" spans="1:9">
      <c r="A415" s="119">
        <v>360</v>
      </c>
      <c r="B415" s="80">
        <f t="shared" si="22"/>
        <v>0</v>
      </c>
      <c r="C415" s="80">
        <f t="shared" si="23"/>
        <v>0</v>
      </c>
      <c r="D415" s="80">
        <f t="shared" si="24"/>
        <v>0</v>
      </c>
      <c r="E415" s="80">
        <f t="shared" si="25"/>
        <v>0</v>
      </c>
      <c r="F415" s="79">
        <v>30</v>
      </c>
      <c r="G415" s="118"/>
      <c r="H415" s="88"/>
      <c r="I415" s="118"/>
    </row>
    <row r="416" spans="1:9">
      <c r="A416" s="119">
        <v>361</v>
      </c>
      <c r="B416" s="80">
        <f t="shared" si="22"/>
        <v>0</v>
      </c>
      <c r="C416" s="80">
        <f t="shared" si="23"/>
        <v>0</v>
      </c>
      <c r="D416" s="80">
        <f t="shared" si="24"/>
        <v>0</v>
      </c>
      <c r="E416" s="80">
        <f t="shared" si="25"/>
        <v>0</v>
      </c>
      <c r="F416" s="79"/>
      <c r="G416" s="74"/>
      <c r="H416" s="68"/>
      <c r="I416" s="118"/>
    </row>
    <row r="417" spans="1:9">
      <c r="A417" s="119">
        <v>362</v>
      </c>
      <c r="B417" s="80">
        <f t="shared" si="22"/>
        <v>0</v>
      </c>
      <c r="C417" s="80">
        <f t="shared" si="23"/>
        <v>0</v>
      </c>
      <c r="D417" s="80">
        <f t="shared" si="24"/>
        <v>0</v>
      </c>
      <c r="E417" s="80">
        <f t="shared" si="25"/>
        <v>0</v>
      </c>
      <c r="F417" s="79"/>
      <c r="G417" s="74"/>
      <c r="H417" s="68"/>
      <c r="I417" s="74"/>
    </row>
    <row r="418" spans="1:9">
      <c r="A418" s="119">
        <v>363</v>
      </c>
      <c r="B418" s="80">
        <f t="shared" si="22"/>
        <v>0</v>
      </c>
      <c r="C418" s="80">
        <f t="shared" si="23"/>
        <v>0</v>
      </c>
      <c r="D418" s="80">
        <f t="shared" si="24"/>
        <v>0</v>
      </c>
      <c r="E418" s="80">
        <f t="shared" si="25"/>
        <v>0</v>
      </c>
      <c r="F418" s="79"/>
      <c r="G418" s="74"/>
      <c r="H418" s="68"/>
      <c r="I418" s="74"/>
    </row>
    <row r="419" spans="1:9">
      <c r="A419" s="119">
        <v>364</v>
      </c>
      <c r="B419" s="80">
        <f t="shared" si="22"/>
        <v>0</v>
      </c>
      <c r="C419" s="80">
        <f t="shared" si="23"/>
        <v>0</v>
      </c>
      <c r="D419" s="80">
        <f t="shared" si="24"/>
        <v>0</v>
      </c>
      <c r="E419" s="80">
        <f t="shared" si="25"/>
        <v>0</v>
      </c>
      <c r="F419" s="79"/>
      <c r="G419" s="74"/>
      <c r="H419" s="68"/>
      <c r="I419" s="74"/>
    </row>
    <row r="420" spans="1:9">
      <c r="A420" s="119">
        <v>365</v>
      </c>
      <c r="B420" s="80">
        <f t="shared" si="22"/>
        <v>0</v>
      </c>
      <c r="C420" s="80">
        <f t="shared" si="23"/>
        <v>0</v>
      </c>
      <c r="D420" s="80">
        <f t="shared" si="24"/>
        <v>0</v>
      </c>
      <c r="E420" s="80">
        <f t="shared" si="25"/>
        <v>0</v>
      </c>
      <c r="F420" s="79"/>
      <c r="G420" s="74"/>
      <c r="H420" s="68"/>
      <c r="I420" s="74"/>
    </row>
    <row r="421" spans="1:9">
      <c r="A421" s="119">
        <v>366</v>
      </c>
      <c r="B421" s="80">
        <f t="shared" si="22"/>
        <v>0</v>
      </c>
      <c r="C421" s="80">
        <f t="shared" si="23"/>
        <v>0</v>
      </c>
      <c r="D421" s="80">
        <f t="shared" si="24"/>
        <v>0</v>
      </c>
      <c r="E421" s="80">
        <f t="shared" si="25"/>
        <v>0</v>
      </c>
      <c r="F421" s="79"/>
      <c r="G421" s="118"/>
      <c r="H421" s="88"/>
      <c r="I421" s="74"/>
    </row>
    <row r="422" spans="1:9">
      <c r="A422" s="119">
        <v>367</v>
      </c>
      <c r="B422" s="80">
        <f t="shared" si="22"/>
        <v>0</v>
      </c>
      <c r="C422" s="80">
        <f t="shared" si="23"/>
        <v>0</v>
      </c>
      <c r="D422" s="80">
        <f t="shared" si="24"/>
        <v>0</v>
      </c>
      <c r="E422" s="80">
        <f t="shared" si="25"/>
        <v>0</v>
      </c>
      <c r="F422" s="79"/>
      <c r="G422" s="74"/>
      <c r="H422" s="68"/>
      <c r="I422" s="74"/>
    </row>
    <row r="423" spans="1:9">
      <c r="A423" s="119">
        <v>368</v>
      </c>
      <c r="B423" s="80">
        <f t="shared" si="22"/>
        <v>0</v>
      </c>
      <c r="C423" s="80">
        <f t="shared" si="23"/>
        <v>0</v>
      </c>
      <c r="D423" s="80">
        <f t="shared" si="24"/>
        <v>0</v>
      </c>
      <c r="E423" s="80">
        <f t="shared" si="25"/>
        <v>0</v>
      </c>
      <c r="F423" s="79"/>
      <c r="G423" s="74"/>
      <c r="H423" s="68"/>
      <c r="I423" s="74"/>
    </row>
    <row r="424" spans="1:9">
      <c r="A424" s="119">
        <v>369</v>
      </c>
      <c r="B424" s="80">
        <f t="shared" si="22"/>
        <v>0</v>
      </c>
      <c r="C424" s="80">
        <f t="shared" si="23"/>
        <v>0</v>
      </c>
      <c r="D424" s="80">
        <f t="shared" si="24"/>
        <v>0</v>
      </c>
      <c r="E424" s="80">
        <f t="shared" si="25"/>
        <v>0</v>
      </c>
      <c r="F424" s="79"/>
      <c r="G424" s="74"/>
      <c r="H424" s="68"/>
      <c r="I424" s="74"/>
    </row>
    <row r="425" spans="1:9">
      <c r="A425" s="119">
        <v>370</v>
      </c>
      <c r="B425" s="80">
        <f t="shared" si="22"/>
        <v>0</v>
      </c>
      <c r="C425" s="80">
        <f t="shared" si="23"/>
        <v>0</v>
      </c>
      <c r="D425" s="80">
        <f t="shared" si="24"/>
        <v>0</v>
      </c>
      <c r="E425" s="80">
        <f t="shared" si="25"/>
        <v>0</v>
      </c>
      <c r="F425" s="79"/>
      <c r="G425" s="74"/>
      <c r="H425" s="68"/>
      <c r="I425" s="74"/>
    </row>
    <row r="426" spans="1:9">
      <c r="A426" s="119">
        <v>371</v>
      </c>
      <c r="B426" s="80">
        <f t="shared" si="22"/>
        <v>0</v>
      </c>
      <c r="C426" s="80">
        <f t="shared" si="23"/>
        <v>0</v>
      </c>
      <c r="D426" s="80">
        <f t="shared" si="24"/>
        <v>0</v>
      </c>
      <c r="E426" s="80">
        <f t="shared" si="25"/>
        <v>0</v>
      </c>
      <c r="F426" s="79"/>
      <c r="G426" s="74"/>
      <c r="H426" s="68"/>
      <c r="I426" s="74"/>
    </row>
    <row r="427" spans="1:9">
      <c r="A427" s="119">
        <v>372</v>
      </c>
      <c r="B427" s="80">
        <f t="shared" si="22"/>
        <v>0</v>
      </c>
      <c r="C427" s="80">
        <f t="shared" si="23"/>
        <v>0</v>
      </c>
      <c r="D427" s="80">
        <f t="shared" si="24"/>
        <v>0</v>
      </c>
      <c r="E427" s="80">
        <f t="shared" si="25"/>
        <v>0</v>
      </c>
      <c r="F427" s="79">
        <v>31</v>
      </c>
      <c r="G427" s="118"/>
      <c r="H427" s="88"/>
      <c r="I427" s="118"/>
    </row>
    <row r="428" spans="1:9">
      <c r="A428" s="119">
        <v>373</v>
      </c>
      <c r="B428" s="80">
        <f t="shared" si="22"/>
        <v>0</v>
      </c>
      <c r="C428" s="80">
        <f t="shared" si="23"/>
        <v>0</v>
      </c>
      <c r="D428" s="80">
        <f t="shared" si="24"/>
        <v>0</v>
      </c>
      <c r="E428" s="80">
        <f t="shared" si="25"/>
        <v>0</v>
      </c>
      <c r="F428" s="79"/>
      <c r="G428" s="74"/>
      <c r="H428" s="68"/>
      <c r="I428" s="118"/>
    </row>
    <row r="429" spans="1:9">
      <c r="A429" s="119">
        <v>374</v>
      </c>
      <c r="B429" s="80">
        <f t="shared" si="22"/>
        <v>0</v>
      </c>
      <c r="C429" s="80">
        <f t="shared" si="23"/>
        <v>0</v>
      </c>
      <c r="D429" s="80">
        <f t="shared" si="24"/>
        <v>0</v>
      </c>
      <c r="E429" s="80">
        <f t="shared" si="25"/>
        <v>0</v>
      </c>
      <c r="F429" s="79"/>
      <c r="G429" s="74"/>
      <c r="H429" s="68"/>
      <c r="I429" s="74"/>
    </row>
    <row r="430" spans="1:9">
      <c r="A430" s="119">
        <v>375</v>
      </c>
      <c r="B430" s="80">
        <f t="shared" si="22"/>
        <v>0</v>
      </c>
      <c r="C430" s="80">
        <f t="shared" si="23"/>
        <v>0</v>
      </c>
      <c r="D430" s="80">
        <f t="shared" si="24"/>
        <v>0</v>
      </c>
      <c r="E430" s="80">
        <f t="shared" si="25"/>
        <v>0</v>
      </c>
      <c r="F430" s="79"/>
      <c r="G430" s="74"/>
      <c r="H430" s="68"/>
      <c r="I430" s="74"/>
    </row>
    <row r="431" spans="1:9">
      <c r="A431" s="119">
        <v>376</v>
      </c>
      <c r="B431" s="80">
        <f t="shared" si="22"/>
        <v>0</v>
      </c>
      <c r="C431" s="80">
        <f t="shared" si="23"/>
        <v>0</v>
      </c>
      <c r="D431" s="80">
        <f t="shared" si="24"/>
        <v>0</v>
      </c>
      <c r="E431" s="80">
        <f t="shared" si="25"/>
        <v>0</v>
      </c>
      <c r="F431" s="79"/>
      <c r="G431" s="74"/>
      <c r="H431" s="68"/>
      <c r="I431" s="74"/>
    </row>
    <row r="432" spans="1:9">
      <c r="A432" s="119">
        <v>377</v>
      </c>
      <c r="B432" s="80">
        <f t="shared" si="22"/>
        <v>0</v>
      </c>
      <c r="C432" s="80">
        <f t="shared" si="23"/>
        <v>0</v>
      </c>
      <c r="D432" s="80">
        <f t="shared" si="24"/>
        <v>0</v>
      </c>
      <c r="E432" s="80">
        <f t="shared" si="25"/>
        <v>0</v>
      </c>
      <c r="F432" s="79"/>
      <c r="G432" s="74"/>
      <c r="H432" s="68"/>
      <c r="I432" s="74"/>
    </row>
    <row r="433" spans="1:9">
      <c r="A433" s="119">
        <v>378</v>
      </c>
      <c r="B433" s="80">
        <f t="shared" si="22"/>
        <v>0</v>
      </c>
      <c r="C433" s="80">
        <f t="shared" si="23"/>
        <v>0</v>
      </c>
      <c r="D433" s="80">
        <f t="shared" si="24"/>
        <v>0</v>
      </c>
      <c r="E433" s="80">
        <f t="shared" si="25"/>
        <v>0</v>
      </c>
      <c r="F433" s="79"/>
      <c r="G433" s="118"/>
      <c r="H433" s="88"/>
      <c r="I433" s="74"/>
    </row>
    <row r="434" spans="1:9">
      <c r="A434" s="119">
        <v>379</v>
      </c>
      <c r="B434" s="80">
        <f t="shared" si="22"/>
        <v>0</v>
      </c>
      <c r="C434" s="80">
        <f t="shared" si="23"/>
        <v>0</v>
      </c>
      <c r="D434" s="80">
        <f t="shared" si="24"/>
        <v>0</v>
      </c>
      <c r="E434" s="80">
        <f t="shared" si="25"/>
        <v>0</v>
      </c>
      <c r="F434" s="79"/>
      <c r="G434" s="74"/>
      <c r="H434" s="68"/>
      <c r="I434" s="74"/>
    </row>
    <row r="435" spans="1:9">
      <c r="A435" s="119">
        <v>380</v>
      </c>
      <c r="B435" s="80">
        <f t="shared" si="22"/>
        <v>0</v>
      </c>
      <c r="C435" s="80">
        <f t="shared" si="23"/>
        <v>0</v>
      </c>
      <c r="D435" s="80">
        <f t="shared" si="24"/>
        <v>0</v>
      </c>
      <c r="E435" s="80">
        <f t="shared" si="25"/>
        <v>0</v>
      </c>
      <c r="F435" s="79"/>
      <c r="G435" s="74"/>
      <c r="H435" s="68"/>
      <c r="I435" s="74"/>
    </row>
    <row r="436" spans="1:9">
      <c r="A436" s="119">
        <v>381</v>
      </c>
      <c r="B436" s="80">
        <f t="shared" si="22"/>
        <v>0</v>
      </c>
      <c r="C436" s="80">
        <f t="shared" si="23"/>
        <v>0</v>
      </c>
      <c r="D436" s="80">
        <f t="shared" si="24"/>
        <v>0</v>
      </c>
      <c r="E436" s="80">
        <f t="shared" si="25"/>
        <v>0</v>
      </c>
      <c r="F436" s="79"/>
      <c r="G436" s="74"/>
      <c r="H436" s="68"/>
      <c r="I436" s="74"/>
    </row>
    <row r="437" spans="1:9">
      <c r="A437" s="119">
        <v>382</v>
      </c>
      <c r="B437" s="80">
        <f t="shared" si="22"/>
        <v>0</v>
      </c>
      <c r="C437" s="80">
        <f t="shared" si="23"/>
        <v>0</v>
      </c>
      <c r="D437" s="80">
        <f t="shared" si="24"/>
        <v>0</v>
      </c>
      <c r="E437" s="80">
        <f t="shared" si="25"/>
        <v>0</v>
      </c>
      <c r="F437" s="79"/>
      <c r="G437" s="74"/>
      <c r="H437" s="68"/>
      <c r="I437" s="74"/>
    </row>
    <row r="438" spans="1:9">
      <c r="A438" s="119">
        <v>383</v>
      </c>
      <c r="B438" s="80">
        <f t="shared" si="22"/>
        <v>0</v>
      </c>
      <c r="C438" s="80">
        <f t="shared" si="23"/>
        <v>0</v>
      </c>
      <c r="D438" s="80">
        <f t="shared" si="24"/>
        <v>0</v>
      </c>
      <c r="E438" s="80">
        <f t="shared" si="25"/>
        <v>0</v>
      </c>
      <c r="F438" s="79"/>
      <c r="G438" s="74"/>
      <c r="H438" s="68"/>
      <c r="I438" s="74"/>
    </row>
    <row r="439" spans="1:9">
      <c r="A439" s="119">
        <v>384</v>
      </c>
      <c r="B439" s="80">
        <f t="shared" si="22"/>
        <v>0</v>
      </c>
      <c r="C439" s="80">
        <f t="shared" si="23"/>
        <v>0</v>
      </c>
      <c r="D439" s="80">
        <f t="shared" si="24"/>
        <v>0</v>
      </c>
      <c r="E439" s="80">
        <f t="shared" si="25"/>
        <v>0</v>
      </c>
      <c r="F439" s="79">
        <v>32</v>
      </c>
      <c r="G439" s="118"/>
      <c r="H439" s="88"/>
      <c r="I439" s="118"/>
    </row>
    <row r="440" spans="1:9">
      <c r="A440" s="119">
        <v>385</v>
      </c>
      <c r="B440" s="80">
        <f t="shared" ref="B440:B503" si="26">IF(A440&gt;12*$D$14,0,$D$20)</f>
        <v>0</v>
      </c>
      <c r="C440" s="80">
        <f t="shared" ref="C440:C503" si="27">IF(A440&gt;12*$D$14,0,E439*$D$10/12)</f>
        <v>0</v>
      </c>
      <c r="D440" s="80">
        <f t="shared" ref="D440:D503" si="28">IF(A440&gt;12*$D$14,0,B440-C440)</f>
        <v>0</v>
      </c>
      <c r="E440" s="80">
        <f t="shared" ref="E440:E503" si="29">IF(A440&gt;12*$D$14,0,E439-D440)</f>
        <v>0</v>
      </c>
      <c r="F440" s="79"/>
      <c r="G440" s="74"/>
      <c r="H440" s="68"/>
      <c r="I440" s="118"/>
    </row>
    <row r="441" spans="1:9">
      <c r="A441" s="119">
        <v>386</v>
      </c>
      <c r="B441" s="80">
        <f t="shared" si="26"/>
        <v>0</v>
      </c>
      <c r="C441" s="80">
        <f t="shared" si="27"/>
        <v>0</v>
      </c>
      <c r="D441" s="80">
        <f t="shared" si="28"/>
        <v>0</v>
      </c>
      <c r="E441" s="80">
        <f t="shared" si="29"/>
        <v>0</v>
      </c>
      <c r="F441" s="79"/>
      <c r="G441" s="74"/>
      <c r="H441" s="68"/>
      <c r="I441" s="74"/>
    </row>
    <row r="442" spans="1:9">
      <c r="A442" s="119">
        <v>387</v>
      </c>
      <c r="B442" s="80">
        <f t="shared" si="26"/>
        <v>0</v>
      </c>
      <c r="C442" s="80">
        <f t="shared" si="27"/>
        <v>0</v>
      </c>
      <c r="D442" s="80">
        <f t="shared" si="28"/>
        <v>0</v>
      </c>
      <c r="E442" s="80">
        <f t="shared" si="29"/>
        <v>0</v>
      </c>
      <c r="F442" s="79"/>
      <c r="G442" s="74"/>
      <c r="H442" s="68"/>
      <c r="I442" s="74"/>
    </row>
    <row r="443" spans="1:9">
      <c r="A443" s="119">
        <v>388</v>
      </c>
      <c r="B443" s="80">
        <f t="shared" si="26"/>
        <v>0</v>
      </c>
      <c r="C443" s="80">
        <f t="shared" si="27"/>
        <v>0</v>
      </c>
      <c r="D443" s="80">
        <f t="shared" si="28"/>
        <v>0</v>
      </c>
      <c r="E443" s="80">
        <f t="shared" si="29"/>
        <v>0</v>
      </c>
      <c r="F443" s="79"/>
      <c r="G443" s="74"/>
      <c r="H443" s="68"/>
      <c r="I443" s="74"/>
    </row>
    <row r="444" spans="1:9">
      <c r="A444" s="119">
        <v>389</v>
      </c>
      <c r="B444" s="80">
        <f t="shared" si="26"/>
        <v>0</v>
      </c>
      <c r="C444" s="80">
        <f t="shared" si="27"/>
        <v>0</v>
      </c>
      <c r="D444" s="80">
        <f t="shared" si="28"/>
        <v>0</v>
      </c>
      <c r="E444" s="80">
        <f t="shared" si="29"/>
        <v>0</v>
      </c>
      <c r="F444" s="79"/>
      <c r="G444" s="74"/>
      <c r="H444" s="68"/>
      <c r="I444" s="74"/>
    </row>
    <row r="445" spans="1:9">
      <c r="A445" s="119">
        <v>390</v>
      </c>
      <c r="B445" s="80">
        <f t="shared" si="26"/>
        <v>0</v>
      </c>
      <c r="C445" s="80">
        <f t="shared" si="27"/>
        <v>0</v>
      </c>
      <c r="D445" s="80">
        <f t="shared" si="28"/>
        <v>0</v>
      </c>
      <c r="E445" s="80">
        <f t="shared" si="29"/>
        <v>0</v>
      </c>
      <c r="F445" s="79"/>
      <c r="G445" s="118"/>
      <c r="H445" s="88"/>
      <c r="I445" s="74"/>
    </row>
    <row r="446" spans="1:9">
      <c r="A446" s="119">
        <v>391</v>
      </c>
      <c r="B446" s="80">
        <f t="shared" si="26"/>
        <v>0</v>
      </c>
      <c r="C446" s="80">
        <f t="shared" si="27"/>
        <v>0</v>
      </c>
      <c r="D446" s="80">
        <f t="shared" si="28"/>
        <v>0</v>
      </c>
      <c r="E446" s="80">
        <f t="shared" si="29"/>
        <v>0</v>
      </c>
      <c r="F446" s="79"/>
      <c r="G446" s="74"/>
      <c r="H446" s="68"/>
      <c r="I446" s="74"/>
    </row>
    <row r="447" spans="1:9">
      <c r="A447" s="119">
        <v>392</v>
      </c>
      <c r="B447" s="80">
        <f t="shared" si="26"/>
        <v>0</v>
      </c>
      <c r="C447" s="80">
        <f t="shared" si="27"/>
        <v>0</v>
      </c>
      <c r="D447" s="80">
        <f t="shared" si="28"/>
        <v>0</v>
      </c>
      <c r="E447" s="80">
        <f t="shared" si="29"/>
        <v>0</v>
      </c>
      <c r="F447" s="79"/>
      <c r="G447" s="74"/>
      <c r="H447" s="68"/>
      <c r="I447" s="74"/>
    </row>
    <row r="448" spans="1:9">
      <c r="A448" s="119">
        <v>393</v>
      </c>
      <c r="B448" s="80">
        <f t="shared" si="26"/>
        <v>0</v>
      </c>
      <c r="C448" s="80">
        <f t="shared" si="27"/>
        <v>0</v>
      </c>
      <c r="D448" s="80">
        <f t="shared" si="28"/>
        <v>0</v>
      </c>
      <c r="E448" s="80">
        <f t="shared" si="29"/>
        <v>0</v>
      </c>
      <c r="F448" s="79"/>
      <c r="G448" s="74"/>
      <c r="H448" s="68"/>
      <c r="I448" s="74"/>
    </row>
    <row r="449" spans="1:9">
      <c r="A449" s="119">
        <v>394</v>
      </c>
      <c r="B449" s="80">
        <f t="shared" si="26"/>
        <v>0</v>
      </c>
      <c r="C449" s="80">
        <f t="shared" si="27"/>
        <v>0</v>
      </c>
      <c r="D449" s="80">
        <f t="shared" si="28"/>
        <v>0</v>
      </c>
      <c r="E449" s="80">
        <f t="shared" si="29"/>
        <v>0</v>
      </c>
      <c r="F449" s="79"/>
      <c r="G449" s="74"/>
      <c r="H449" s="68"/>
      <c r="I449" s="74"/>
    </row>
    <row r="450" spans="1:9">
      <c r="A450" s="119">
        <v>395</v>
      </c>
      <c r="B450" s="80">
        <f t="shared" si="26"/>
        <v>0</v>
      </c>
      <c r="C450" s="80">
        <f t="shared" si="27"/>
        <v>0</v>
      </c>
      <c r="D450" s="80">
        <f t="shared" si="28"/>
        <v>0</v>
      </c>
      <c r="E450" s="80">
        <f t="shared" si="29"/>
        <v>0</v>
      </c>
      <c r="F450" s="79"/>
      <c r="G450" s="74"/>
      <c r="H450" s="68"/>
      <c r="I450" s="74"/>
    </row>
    <row r="451" spans="1:9">
      <c r="A451" s="119">
        <v>396</v>
      </c>
      <c r="B451" s="80">
        <f t="shared" si="26"/>
        <v>0</v>
      </c>
      <c r="C451" s="80">
        <f t="shared" si="27"/>
        <v>0</v>
      </c>
      <c r="D451" s="80">
        <f t="shared" si="28"/>
        <v>0</v>
      </c>
      <c r="E451" s="80">
        <f t="shared" si="29"/>
        <v>0</v>
      </c>
      <c r="F451" s="79">
        <v>33</v>
      </c>
      <c r="G451" s="118"/>
      <c r="H451" s="88"/>
      <c r="I451" s="118"/>
    </row>
    <row r="452" spans="1:9">
      <c r="A452" s="119">
        <v>397</v>
      </c>
      <c r="B452" s="80">
        <f t="shared" si="26"/>
        <v>0</v>
      </c>
      <c r="C452" s="80">
        <f t="shared" si="27"/>
        <v>0</v>
      </c>
      <c r="D452" s="80">
        <f t="shared" si="28"/>
        <v>0</v>
      </c>
      <c r="E452" s="80">
        <f t="shared" si="29"/>
        <v>0</v>
      </c>
      <c r="F452" s="79"/>
      <c r="G452" s="74"/>
      <c r="H452" s="68"/>
      <c r="I452" s="118"/>
    </row>
    <row r="453" spans="1:9">
      <c r="A453" s="119">
        <v>398</v>
      </c>
      <c r="B453" s="80">
        <f t="shared" si="26"/>
        <v>0</v>
      </c>
      <c r="C453" s="80">
        <f t="shared" si="27"/>
        <v>0</v>
      </c>
      <c r="D453" s="80">
        <f t="shared" si="28"/>
        <v>0</v>
      </c>
      <c r="E453" s="80">
        <f t="shared" si="29"/>
        <v>0</v>
      </c>
      <c r="F453" s="79"/>
      <c r="G453" s="74"/>
      <c r="H453" s="68"/>
      <c r="I453" s="74"/>
    </row>
    <row r="454" spans="1:9">
      <c r="A454" s="119">
        <v>399</v>
      </c>
      <c r="B454" s="80">
        <f t="shared" si="26"/>
        <v>0</v>
      </c>
      <c r="C454" s="80">
        <f t="shared" si="27"/>
        <v>0</v>
      </c>
      <c r="D454" s="80">
        <f t="shared" si="28"/>
        <v>0</v>
      </c>
      <c r="E454" s="80">
        <f t="shared" si="29"/>
        <v>0</v>
      </c>
      <c r="F454" s="79"/>
      <c r="G454" s="74"/>
      <c r="H454" s="68"/>
      <c r="I454" s="74"/>
    </row>
    <row r="455" spans="1:9">
      <c r="A455" s="119">
        <v>400</v>
      </c>
      <c r="B455" s="80">
        <f t="shared" si="26"/>
        <v>0</v>
      </c>
      <c r="C455" s="80">
        <f t="shared" si="27"/>
        <v>0</v>
      </c>
      <c r="D455" s="80">
        <f t="shared" si="28"/>
        <v>0</v>
      </c>
      <c r="E455" s="80">
        <f t="shared" si="29"/>
        <v>0</v>
      </c>
      <c r="F455" s="79"/>
      <c r="G455" s="74"/>
      <c r="H455" s="68"/>
      <c r="I455" s="74"/>
    </row>
    <row r="456" spans="1:9">
      <c r="A456" s="119">
        <v>401</v>
      </c>
      <c r="B456" s="80">
        <f t="shared" si="26"/>
        <v>0</v>
      </c>
      <c r="C456" s="80">
        <f t="shared" si="27"/>
        <v>0</v>
      </c>
      <c r="D456" s="80">
        <f t="shared" si="28"/>
        <v>0</v>
      </c>
      <c r="E456" s="80">
        <f t="shared" si="29"/>
        <v>0</v>
      </c>
      <c r="F456" s="79"/>
      <c r="G456" s="74"/>
      <c r="H456" s="68"/>
      <c r="I456" s="74"/>
    </row>
    <row r="457" spans="1:9">
      <c r="A457" s="119">
        <v>402</v>
      </c>
      <c r="B457" s="80">
        <f t="shared" si="26"/>
        <v>0</v>
      </c>
      <c r="C457" s="80">
        <f t="shared" si="27"/>
        <v>0</v>
      </c>
      <c r="D457" s="80">
        <f t="shared" si="28"/>
        <v>0</v>
      </c>
      <c r="E457" s="80">
        <f t="shared" si="29"/>
        <v>0</v>
      </c>
      <c r="F457" s="79"/>
      <c r="G457" s="118"/>
      <c r="H457" s="88"/>
      <c r="I457" s="74"/>
    </row>
    <row r="458" spans="1:9">
      <c r="A458" s="119">
        <v>403</v>
      </c>
      <c r="B458" s="80">
        <f t="shared" si="26"/>
        <v>0</v>
      </c>
      <c r="C458" s="80">
        <f t="shared" si="27"/>
        <v>0</v>
      </c>
      <c r="D458" s="80">
        <f t="shared" si="28"/>
        <v>0</v>
      </c>
      <c r="E458" s="80">
        <f t="shared" si="29"/>
        <v>0</v>
      </c>
      <c r="F458" s="79"/>
      <c r="G458" s="74"/>
      <c r="H458" s="68"/>
      <c r="I458" s="74"/>
    </row>
    <row r="459" spans="1:9">
      <c r="A459" s="119">
        <v>404</v>
      </c>
      <c r="B459" s="80">
        <f t="shared" si="26"/>
        <v>0</v>
      </c>
      <c r="C459" s="80">
        <f t="shared" si="27"/>
        <v>0</v>
      </c>
      <c r="D459" s="80">
        <f t="shared" si="28"/>
        <v>0</v>
      </c>
      <c r="E459" s="80">
        <f t="shared" si="29"/>
        <v>0</v>
      </c>
      <c r="F459" s="79"/>
      <c r="G459" s="74"/>
      <c r="H459" s="68"/>
      <c r="I459" s="74"/>
    </row>
    <row r="460" spans="1:9">
      <c r="A460" s="119">
        <v>405</v>
      </c>
      <c r="B460" s="80">
        <f t="shared" si="26"/>
        <v>0</v>
      </c>
      <c r="C460" s="80">
        <f t="shared" si="27"/>
        <v>0</v>
      </c>
      <c r="D460" s="80">
        <f t="shared" si="28"/>
        <v>0</v>
      </c>
      <c r="E460" s="80">
        <f t="shared" si="29"/>
        <v>0</v>
      </c>
      <c r="F460" s="79"/>
      <c r="G460" s="74"/>
      <c r="H460" s="68"/>
      <c r="I460" s="74"/>
    </row>
    <row r="461" spans="1:9">
      <c r="A461" s="119">
        <v>406</v>
      </c>
      <c r="B461" s="80">
        <f t="shared" si="26"/>
        <v>0</v>
      </c>
      <c r="C461" s="80">
        <f t="shared" si="27"/>
        <v>0</v>
      </c>
      <c r="D461" s="80">
        <f t="shared" si="28"/>
        <v>0</v>
      </c>
      <c r="E461" s="80">
        <f t="shared" si="29"/>
        <v>0</v>
      </c>
      <c r="F461" s="79"/>
      <c r="G461" s="74"/>
      <c r="H461" s="68"/>
      <c r="I461" s="74"/>
    </row>
    <row r="462" spans="1:9">
      <c r="A462" s="119">
        <v>407</v>
      </c>
      <c r="B462" s="80">
        <f t="shared" si="26"/>
        <v>0</v>
      </c>
      <c r="C462" s="80">
        <f t="shared" si="27"/>
        <v>0</v>
      </c>
      <c r="D462" s="80">
        <f t="shared" si="28"/>
        <v>0</v>
      </c>
      <c r="E462" s="80">
        <f t="shared" si="29"/>
        <v>0</v>
      </c>
      <c r="F462" s="79"/>
      <c r="G462" s="74"/>
      <c r="H462" s="68"/>
      <c r="I462" s="74"/>
    </row>
    <row r="463" spans="1:9">
      <c r="A463" s="119">
        <v>408</v>
      </c>
      <c r="B463" s="80">
        <f t="shared" si="26"/>
        <v>0</v>
      </c>
      <c r="C463" s="80">
        <f t="shared" si="27"/>
        <v>0</v>
      </c>
      <c r="D463" s="80">
        <f t="shared" si="28"/>
        <v>0</v>
      </c>
      <c r="E463" s="80">
        <f t="shared" si="29"/>
        <v>0</v>
      </c>
      <c r="F463" s="79">
        <v>34</v>
      </c>
      <c r="G463" s="118"/>
      <c r="H463" s="88"/>
      <c r="I463" s="118"/>
    </row>
    <row r="464" spans="1:9">
      <c r="A464" s="119">
        <v>409</v>
      </c>
      <c r="B464" s="80">
        <f t="shared" si="26"/>
        <v>0</v>
      </c>
      <c r="C464" s="80">
        <f t="shared" si="27"/>
        <v>0</v>
      </c>
      <c r="D464" s="80">
        <f t="shared" si="28"/>
        <v>0</v>
      </c>
      <c r="E464" s="80">
        <f t="shared" si="29"/>
        <v>0</v>
      </c>
      <c r="F464" s="79"/>
      <c r="G464" s="74"/>
      <c r="H464" s="68"/>
      <c r="I464" s="118"/>
    </row>
    <row r="465" spans="1:9">
      <c r="A465" s="119">
        <v>410</v>
      </c>
      <c r="B465" s="80">
        <f t="shared" si="26"/>
        <v>0</v>
      </c>
      <c r="C465" s="80">
        <f t="shared" si="27"/>
        <v>0</v>
      </c>
      <c r="D465" s="80">
        <f t="shared" si="28"/>
        <v>0</v>
      </c>
      <c r="E465" s="80">
        <f t="shared" si="29"/>
        <v>0</v>
      </c>
      <c r="F465" s="79"/>
      <c r="G465" s="74"/>
      <c r="H465" s="68"/>
      <c r="I465" s="74"/>
    </row>
    <row r="466" spans="1:9">
      <c r="A466" s="119">
        <v>411</v>
      </c>
      <c r="B466" s="80">
        <f t="shared" si="26"/>
        <v>0</v>
      </c>
      <c r="C466" s="80">
        <f t="shared" si="27"/>
        <v>0</v>
      </c>
      <c r="D466" s="80">
        <f t="shared" si="28"/>
        <v>0</v>
      </c>
      <c r="E466" s="80">
        <f t="shared" si="29"/>
        <v>0</v>
      </c>
      <c r="F466" s="79"/>
      <c r="G466" s="74"/>
      <c r="H466" s="68"/>
      <c r="I466" s="74"/>
    </row>
    <row r="467" spans="1:9">
      <c r="A467" s="119">
        <v>412</v>
      </c>
      <c r="B467" s="80">
        <f t="shared" si="26"/>
        <v>0</v>
      </c>
      <c r="C467" s="80">
        <f t="shared" si="27"/>
        <v>0</v>
      </c>
      <c r="D467" s="80">
        <f t="shared" si="28"/>
        <v>0</v>
      </c>
      <c r="E467" s="80">
        <f t="shared" si="29"/>
        <v>0</v>
      </c>
      <c r="F467" s="79"/>
      <c r="G467" s="74"/>
      <c r="H467" s="68"/>
      <c r="I467" s="74"/>
    </row>
    <row r="468" spans="1:9">
      <c r="A468" s="119">
        <v>413</v>
      </c>
      <c r="B468" s="80">
        <f t="shared" si="26"/>
        <v>0</v>
      </c>
      <c r="C468" s="80">
        <f t="shared" si="27"/>
        <v>0</v>
      </c>
      <c r="D468" s="80">
        <f t="shared" si="28"/>
        <v>0</v>
      </c>
      <c r="E468" s="80">
        <f t="shared" si="29"/>
        <v>0</v>
      </c>
      <c r="F468" s="79"/>
      <c r="G468" s="74"/>
      <c r="H468" s="68"/>
      <c r="I468" s="74"/>
    </row>
    <row r="469" spans="1:9">
      <c r="A469" s="119">
        <v>414</v>
      </c>
      <c r="B469" s="80">
        <f t="shared" si="26"/>
        <v>0</v>
      </c>
      <c r="C469" s="80">
        <f t="shared" si="27"/>
        <v>0</v>
      </c>
      <c r="D469" s="80">
        <f t="shared" si="28"/>
        <v>0</v>
      </c>
      <c r="E469" s="80">
        <f t="shared" si="29"/>
        <v>0</v>
      </c>
      <c r="F469" s="79"/>
      <c r="G469" s="118"/>
      <c r="H469" s="88"/>
      <c r="I469" s="74"/>
    </row>
    <row r="470" spans="1:9">
      <c r="A470" s="119">
        <v>415</v>
      </c>
      <c r="B470" s="80">
        <f t="shared" si="26"/>
        <v>0</v>
      </c>
      <c r="C470" s="80">
        <f t="shared" si="27"/>
        <v>0</v>
      </c>
      <c r="D470" s="80">
        <f t="shared" si="28"/>
        <v>0</v>
      </c>
      <c r="E470" s="80">
        <f t="shared" si="29"/>
        <v>0</v>
      </c>
      <c r="F470" s="79"/>
      <c r="G470" s="74"/>
      <c r="H470" s="68"/>
      <c r="I470" s="74"/>
    </row>
    <row r="471" spans="1:9">
      <c r="A471" s="119">
        <v>416</v>
      </c>
      <c r="B471" s="80">
        <f t="shared" si="26"/>
        <v>0</v>
      </c>
      <c r="C471" s="80">
        <f t="shared" si="27"/>
        <v>0</v>
      </c>
      <c r="D471" s="80">
        <f t="shared" si="28"/>
        <v>0</v>
      </c>
      <c r="E471" s="80">
        <f t="shared" si="29"/>
        <v>0</v>
      </c>
      <c r="F471" s="79"/>
      <c r="G471" s="74"/>
      <c r="H471" s="68"/>
      <c r="I471" s="74"/>
    </row>
    <row r="472" spans="1:9">
      <c r="A472" s="119">
        <v>417</v>
      </c>
      <c r="B472" s="80">
        <f t="shared" si="26"/>
        <v>0</v>
      </c>
      <c r="C472" s="80">
        <f t="shared" si="27"/>
        <v>0</v>
      </c>
      <c r="D472" s="80">
        <f t="shared" si="28"/>
        <v>0</v>
      </c>
      <c r="E472" s="80">
        <f t="shared" si="29"/>
        <v>0</v>
      </c>
      <c r="F472" s="79"/>
      <c r="G472" s="74"/>
      <c r="H472" s="68"/>
      <c r="I472" s="74"/>
    </row>
    <row r="473" spans="1:9">
      <c r="A473" s="119">
        <v>418</v>
      </c>
      <c r="B473" s="80">
        <f t="shared" si="26"/>
        <v>0</v>
      </c>
      <c r="C473" s="80">
        <f t="shared" si="27"/>
        <v>0</v>
      </c>
      <c r="D473" s="80">
        <f t="shared" si="28"/>
        <v>0</v>
      </c>
      <c r="E473" s="80">
        <f t="shared" si="29"/>
        <v>0</v>
      </c>
      <c r="F473" s="79"/>
      <c r="G473" s="74"/>
      <c r="H473" s="68"/>
      <c r="I473" s="74"/>
    </row>
    <row r="474" spans="1:9">
      <c r="A474" s="119">
        <v>419</v>
      </c>
      <c r="B474" s="80">
        <f t="shared" si="26"/>
        <v>0</v>
      </c>
      <c r="C474" s="80">
        <f t="shared" si="27"/>
        <v>0</v>
      </c>
      <c r="D474" s="80">
        <f t="shared" si="28"/>
        <v>0</v>
      </c>
      <c r="E474" s="80">
        <f t="shared" si="29"/>
        <v>0</v>
      </c>
      <c r="F474" s="79"/>
      <c r="G474" s="74"/>
      <c r="H474" s="68"/>
      <c r="I474" s="74"/>
    </row>
    <row r="475" spans="1:9">
      <c r="A475" s="119">
        <v>420</v>
      </c>
      <c r="B475" s="80">
        <f t="shared" si="26"/>
        <v>0</v>
      </c>
      <c r="C475" s="80">
        <f t="shared" si="27"/>
        <v>0</v>
      </c>
      <c r="D475" s="80">
        <f t="shared" si="28"/>
        <v>0</v>
      </c>
      <c r="E475" s="80">
        <f t="shared" si="29"/>
        <v>0</v>
      </c>
      <c r="F475" s="79">
        <v>35</v>
      </c>
      <c r="G475" s="118"/>
      <c r="H475" s="88"/>
      <c r="I475" s="118"/>
    </row>
    <row r="476" spans="1:9">
      <c r="A476" s="119">
        <v>421</v>
      </c>
      <c r="B476" s="80">
        <f t="shared" si="26"/>
        <v>0</v>
      </c>
      <c r="C476" s="80">
        <f t="shared" si="27"/>
        <v>0</v>
      </c>
      <c r="D476" s="80">
        <f t="shared" si="28"/>
        <v>0</v>
      </c>
      <c r="E476" s="80">
        <f t="shared" si="29"/>
        <v>0</v>
      </c>
      <c r="F476" s="79"/>
      <c r="G476" s="74"/>
      <c r="H476" s="68"/>
      <c r="I476" s="118"/>
    </row>
    <row r="477" spans="1:9">
      <c r="A477" s="119">
        <v>422</v>
      </c>
      <c r="B477" s="80">
        <f t="shared" si="26"/>
        <v>0</v>
      </c>
      <c r="C477" s="80">
        <f t="shared" si="27"/>
        <v>0</v>
      </c>
      <c r="D477" s="80">
        <f t="shared" si="28"/>
        <v>0</v>
      </c>
      <c r="E477" s="80">
        <f t="shared" si="29"/>
        <v>0</v>
      </c>
      <c r="F477" s="79"/>
      <c r="G477" s="74"/>
      <c r="H477" s="68"/>
      <c r="I477" s="74"/>
    </row>
    <row r="478" spans="1:9">
      <c r="A478" s="119">
        <v>423</v>
      </c>
      <c r="B478" s="80">
        <f t="shared" si="26"/>
        <v>0</v>
      </c>
      <c r="C478" s="80">
        <f t="shared" si="27"/>
        <v>0</v>
      </c>
      <c r="D478" s="80">
        <f t="shared" si="28"/>
        <v>0</v>
      </c>
      <c r="E478" s="80">
        <f t="shared" si="29"/>
        <v>0</v>
      </c>
      <c r="F478" s="79"/>
      <c r="G478" s="74"/>
      <c r="H478" s="68"/>
      <c r="I478" s="74"/>
    </row>
    <row r="479" spans="1:9">
      <c r="A479" s="119">
        <v>424</v>
      </c>
      <c r="B479" s="80">
        <f t="shared" si="26"/>
        <v>0</v>
      </c>
      <c r="C479" s="80">
        <f t="shared" si="27"/>
        <v>0</v>
      </c>
      <c r="D479" s="80">
        <f t="shared" si="28"/>
        <v>0</v>
      </c>
      <c r="E479" s="80">
        <f t="shared" si="29"/>
        <v>0</v>
      </c>
      <c r="F479" s="79"/>
      <c r="G479" s="74"/>
      <c r="H479" s="68"/>
      <c r="I479" s="74"/>
    </row>
    <row r="480" spans="1:9">
      <c r="A480" s="119">
        <v>425</v>
      </c>
      <c r="B480" s="80">
        <f t="shared" si="26"/>
        <v>0</v>
      </c>
      <c r="C480" s="80">
        <f t="shared" si="27"/>
        <v>0</v>
      </c>
      <c r="D480" s="80">
        <f t="shared" si="28"/>
        <v>0</v>
      </c>
      <c r="E480" s="80">
        <f t="shared" si="29"/>
        <v>0</v>
      </c>
      <c r="F480" s="79"/>
      <c r="G480" s="74"/>
      <c r="H480" s="68"/>
      <c r="I480" s="74"/>
    </row>
    <row r="481" spans="1:9">
      <c r="A481" s="119">
        <v>426</v>
      </c>
      <c r="B481" s="80">
        <f t="shared" si="26"/>
        <v>0</v>
      </c>
      <c r="C481" s="80">
        <f t="shared" si="27"/>
        <v>0</v>
      </c>
      <c r="D481" s="80">
        <f t="shared" si="28"/>
        <v>0</v>
      </c>
      <c r="E481" s="80">
        <f t="shared" si="29"/>
        <v>0</v>
      </c>
      <c r="F481" s="79"/>
      <c r="G481" s="118"/>
      <c r="H481" s="88"/>
      <c r="I481" s="74"/>
    </row>
    <row r="482" spans="1:9">
      <c r="A482" s="119">
        <v>427</v>
      </c>
      <c r="B482" s="80">
        <f t="shared" si="26"/>
        <v>0</v>
      </c>
      <c r="C482" s="80">
        <f t="shared" si="27"/>
        <v>0</v>
      </c>
      <c r="D482" s="80">
        <f t="shared" si="28"/>
        <v>0</v>
      </c>
      <c r="E482" s="80">
        <f t="shared" si="29"/>
        <v>0</v>
      </c>
      <c r="F482" s="79"/>
      <c r="G482" s="74"/>
      <c r="H482" s="68"/>
      <c r="I482" s="74"/>
    </row>
    <row r="483" spans="1:9">
      <c r="A483" s="119">
        <v>428</v>
      </c>
      <c r="B483" s="80">
        <f t="shared" si="26"/>
        <v>0</v>
      </c>
      <c r="C483" s="80">
        <f t="shared" si="27"/>
        <v>0</v>
      </c>
      <c r="D483" s="80">
        <f t="shared" si="28"/>
        <v>0</v>
      </c>
      <c r="E483" s="80">
        <f t="shared" si="29"/>
        <v>0</v>
      </c>
      <c r="F483" s="79"/>
      <c r="G483" s="74"/>
      <c r="H483" s="68"/>
      <c r="I483" s="74"/>
    </row>
    <row r="484" spans="1:9">
      <c r="A484" s="119">
        <v>429</v>
      </c>
      <c r="B484" s="80">
        <f t="shared" si="26"/>
        <v>0</v>
      </c>
      <c r="C484" s="80">
        <f t="shared" si="27"/>
        <v>0</v>
      </c>
      <c r="D484" s="80">
        <f t="shared" si="28"/>
        <v>0</v>
      </c>
      <c r="E484" s="80">
        <f t="shared" si="29"/>
        <v>0</v>
      </c>
      <c r="F484" s="79"/>
      <c r="G484" s="74"/>
      <c r="H484" s="68"/>
      <c r="I484" s="74"/>
    </row>
    <row r="485" spans="1:9">
      <c r="A485" s="119">
        <v>430</v>
      </c>
      <c r="B485" s="80">
        <f t="shared" si="26"/>
        <v>0</v>
      </c>
      <c r="C485" s="80">
        <f t="shared" si="27"/>
        <v>0</v>
      </c>
      <c r="D485" s="80">
        <f t="shared" si="28"/>
        <v>0</v>
      </c>
      <c r="E485" s="80">
        <f t="shared" si="29"/>
        <v>0</v>
      </c>
      <c r="F485" s="79"/>
      <c r="G485" s="74"/>
      <c r="H485" s="68"/>
      <c r="I485" s="74"/>
    </row>
    <row r="486" spans="1:9">
      <c r="A486" s="119">
        <v>431</v>
      </c>
      <c r="B486" s="80">
        <f t="shared" si="26"/>
        <v>0</v>
      </c>
      <c r="C486" s="80">
        <f t="shared" si="27"/>
        <v>0</v>
      </c>
      <c r="D486" s="80">
        <f t="shared" si="28"/>
        <v>0</v>
      </c>
      <c r="E486" s="80">
        <f t="shared" si="29"/>
        <v>0</v>
      </c>
      <c r="F486" s="79"/>
      <c r="G486" s="74"/>
      <c r="H486" s="68"/>
      <c r="I486" s="74"/>
    </row>
    <row r="487" spans="1:9">
      <c r="A487" s="119">
        <v>432</v>
      </c>
      <c r="B487" s="80">
        <f t="shared" si="26"/>
        <v>0</v>
      </c>
      <c r="C487" s="80">
        <f t="shared" si="27"/>
        <v>0</v>
      </c>
      <c r="D487" s="80">
        <f t="shared" si="28"/>
        <v>0</v>
      </c>
      <c r="E487" s="80">
        <f t="shared" si="29"/>
        <v>0</v>
      </c>
      <c r="F487" s="79">
        <v>36</v>
      </c>
      <c r="G487" s="118"/>
      <c r="H487" s="88"/>
      <c r="I487" s="118"/>
    </row>
    <row r="488" spans="1:9">
      <c r="A488" s="119">
        <v>433</v>
      </c>
      <c r="B488" s="80">
        <f t="shared" si="26"/>
        <v>0</v>
      </c>
      <c r="C488" s="80">
        <f t="shared" si="27"/>
        <v>0</v>
      </c>
      <c r="D488" s="80">
        <f t="shared" si="28"/>
        <v>0</v>
      </c>
      <c r="E488" s="80">
        <f t="shared" si="29"/>
        <v>0</v>
      </c>
      <c r="F488" s="79"/>
      <c r="G488" s="74"/>
      <c r="H488" s="68"/>
      <c r="I488" s="118"/>
    </row>
    <row r="489" spans="1:9">
      <c r="A489" s="119">
        <v>434</v>
      </c>
      <c r="B489" s="80">
        <f t="shared" si="26"/>
        <v>0</v>
      </c>
      <c r="C489" s="80">
        <f t="shared" si="27"/>
        <v>0</v>
      </c>
      <c r="D489" s="80">
        <f t="shared" si="28"/>
        <v>0</v>
      </c>
      <c r="E489" s="80">
        <f t="shared" si="29"/>
        <v>0</v>
      </c>
      <c r="F489" s="79"/>
      <c r="G489" s="74"/>
      <c r="H489" s="68"/>
      <c r="I489" s="74"/>
    </row>
    <row r="490" spans="1:9">
      <c r="A490" s="119">
        <v>435</v>
      </c>
      <c r="B490" s="80">
        <f t="shared" si="26"/>
        <v>0</v>
      </c>
      <c r="C490" s="80">
        <f t="shared" si="27"/>
        <v>0</v>
      </c>
      <c r="D490" s="80">
        <f t="shared" si="28"/>
        <v>0</v>
      </c>
      <c r="E490" s="80">
        <f t="shared" si="29"/>
        <v>0</v>
      </c>
      <c r="F490" s="79"/>
      <c r="G490" s="74"/>
      <c r="H490" s="68"/>
      <c r="I490" s="74"/>
    </row>
    <row r="491" spans="1:9">
      <c r="A491" s="119">
        <v>436</v>
      </c>
      <c r="B491" s="80">
        <f t="shared" si="26"/>
        <v>0</v>
      </c>
      <c r="C491" s="80">
        <f t="shared" si="27"/>
        <v>0</v>
      </c>
      <c r="D491" s="80">
        <f t="shared" si="28"/>
        <v>0</v>
      </c>
      <c r="E491" s="80">
        <f t="shared" si="29"/>
        <v>0</v>
      </c>
      <c r="F491" s="79"/>
      <c r="G491" s="74"/>
      <c r="H491" s="68"/>
      <c r="I491" s="74"/>
    </row>
    <row r="492" spans="1:9">
      <c r="A492" s="119">
        <v>437</v>
      </c>
      <c r="B492" s="80">
        <f t="shared" si="26"/>
        <v>0</v>
      </c>
      <c r="C492" s="80">
        <f t="shared" si="27"/>
        <v>0</v>
      </c>
      <c r="D492" s="80">
        <f t="shared" si="28"/>
        <v>0</v>
      </c>
      <c r="E492" s="80">
        <f t="shared" si="29"/>
        <v>0</v>
      </c>
      <c r="F492" s="79"/>
      <c r="G492" s="74"/>
      <c r="H492" s="68"/>
      <c r="I492" s="74"/>
    </row>
    <row r="493" spans="1:9">
      <c r="A493" s="119">
        <v>438</v>
      </c>
      <c r="B493" s="80">
        <f t="shared" si="26"/>
        <v>0</v>
      </c>
      <c r="C493" s="80">
        <f t="shared" si="27"/>
        <v>0</v>
      </c>
      <c r="D493" s="80">
        <f t="shared" si="28"/>
        <v>0</v>
      </c>
      <c r="E493" s="80">
        <f t="shared" si="29"/>
        <v>0</v>
      </c>
      <c r="F493" s="79"/>
      <c r="G493" s="118"/>
      <c r="H493" s="88"/>
      <c r="I493" s="74"/>
    </row>
    <row r="494" spans="1:9">
      <c r="A494" s="119">
        <v>439</v>
      </c>
      <c r="B494" s="80">
        <f t="shared" si="26"/>
        <v>0</v>
      </c>
      <c r="C494" s="80">
        <f t="shared" si="27"/>
        <v>0</v>
      </c>
      <c r="D494" s="80">
        <f t="shared" si="28"/>
        <v>0</v>
      </c>
      <c r="E494" s="80">
        <f t="shared" si="29"/>
        <v>0</v>
      </c>
      <c r="F494" s="79"/>
      <c r="G494" s="74"/>
      <c r="H494" s="68"/>
      <c r="I494" s="74"/>
    </row>
    <row r="495" spans="1:9">
      <c r="A495" s="119">
        <v>440</v>
      </c>
      <c r="B495" s="80">
        <f t="shared" si="26"/>
        <v>0</v>
      </c>
      <c r="C495" s="80">
        <f t="shared" si="27"/>
        <v>0</v>
      </c>
      <c r="D495" s="80">
        <f t="shared" si="28"/>
        <v>0</v>
      </c>
      <c r="E495" s="80">
        <f t="shared" si="29"/>
        <v>0</v>
      </c>
      <c r="F495" s="79"/>
      <c r="G495" s="74"/>
      <c r="H495" s="68"/>
      <c r="I495" s="74"/>
    </row>
    <row r="496" spans="1:9">
      <c r="A496" s="119">
        <v>441</v>
      </c>
      <c r="B496" s="80">
        <f t="shared" si="26"/>
        <v>0</v>
      </c>
      <c r="C496" s="80">
        <f t="shared" si="27"/>
        <v>0</v>
      </c>
      <c r="D496" s="80">
        <f t="shared" si="28"/>
        <v>0</v>
      </c>
      <c r="E496" s="80">
        <f t="shared" si="29"/>
        <v>0</v>
      </c>
      <c r="F496" s="79"/>
      <c r="G496" s="74"/>
      <c r="H496" s="68"/>
      <c r="I496" s="74"/>
    </row>
    <row r="497" spans="1:9">
      <c r="A497" s="119">
        <v>442</v>
      </c>
      <c r="B497" s="80">
        <f t="shared" si="26"/>
        <v>0</v>
      </c>
      <c r="C497" s="80">
        <f t="shared" si="27"/>
        <v>0</v>
      </c>
      <c r="D497" s="80">
        <f t="shared" si="28"/>
        <v>0</v>
      </c>
      <c r="E497" s="80">
        <f t="shared" si="29"/>
        <v>0</v>
      </c>
      <c r="F497" s="79"/>
      <c r="G497" s="74"/>
      <c r="H497" s="68"/>
      <c r="I497" s="74"/>
    </row>
    <row r="498" spans="1:9">
      <c r="A498" s="119">
        <v>443</v>
      </c>
      <c r="B498" s="80">
        <f t="shared" si="26"/>
        <v>0</v>
      </c>
      <c r="C498" s="80">
        <f t="shared" si="27"/>
        <v>0</v>
      </c>
      <c r="D498" s="80">
        <f t="shared" si="28"/>
        <v>0</v>
      </c>
      <c r="E498" s="80">
        <f t="shared" si="29"/>
        <v>0</v>
      </c>
      <c r="F498" s="79"/>
      <c r="G498" s="74"/>
      <c r="H498" s="68"/>
      <c r="I498" s="74"/>
    </row>
    <row r="499" spans="1:9">
      <c r="A499" s="119">
        <v>444</v>
      </c>
      <c r="B499" s="80">
        <f t="shared" si="26"/>
        <v>0</v>
      </c>
      <c r="C499" s="80">
        <f t="shared" si="27"/>
        <v>0</v>
      </c>
      <c r="D499" s="80">
        <f t="shared" si="28"/>
        <v>0</v>
      </c>
      <c r="E499" s="80">
        <f t="shared" si="29"/>
        <v>0</v>
      </c>
      <c r="F499" s="79">
        <v>37</v>
      </c>
      <c r="G499" s="118"/>
      <c r="H499" s="88"/>
      <c r="I499" s="118"/>
    </row>
    <row r="500" spans="1:9">
      <c r="A500" s="119">
        <v>445</v>
      </c>
      <c r="B500" s="80">
        <f t="shared" si="26"/>
        <v>0</v>
      </c>
      <c r="C500" s="80">
        <f t="shared" si="27"/>
        <v>0</v>
      </c>
      <c r="D500" s="80">
        <f t="shared" si="28"/>
        <v>0</v>
      </c>
      <c r="E500" s="80">
        <f t="shared" si="29"/>
        <v>0</v>
      </c>
      <c r="F500" s="79"/>
      <c r="G500" s="74"/>
      <c r="H500" s="68"/>
      <c r="I500" s="118"/>
    </row>
    <row r="501" spans="1:9">
      <c r="A501" s="119">
        <v>446</v>
      </c>
      <c r="B501" s="80">
        <f t="shared" si="26"/>
        <v>0</v>
      </c>
      <c r="C501" s="80">
        <f t="shared" si="27"/>
        <v>0</v>
      </c>
      <c r="D501" s="80">
        <f t="shared" si="28"/>
        <v>0</v>
      </c>
      <c r="E501" s="80">
        <f t="shared" si="29"/>
        <v>0</v>
      </c>
      <c r="F501" s="79"/>
      <c r="G501" s="74"/>
      <c r="H501" s="68"/>
      <c r="I501" s="74"/>
    </row>
    <row r="502" spans="1:9">
      <c r="A502" s="119">
        <v>447</v>
      </c>
      <c r="B502" s="80">
        <f t="shared" si="26"/>
        <v>0</v>
      </c>
      <c r="C502" s="80">
        <f t="shared" si="27"/>
        <v>0</v>
      </c>
      <c r="D502" s="80">
        <f t="shared" si="28"/>
        <v>0</v>
      </c>
      <c r="E502" s="80">
        <f t="shared" si="29"/>
        <v>0</v>
      </c>
      <c r="F502" s="79"/>
      <c r="G502" s="74"/>
      <c r="H502" s="68"/>
      <c r="I502" s="74"/>
    </row>
    <row r="503" spans="1:9">
      <c r="A503" s="119">
        <v>448</v>
      </c>
      <c r="B503" s="80">
        <f t="shared" si="26"/>
        <v>0</v>
      </c>
      <c r="C503" s="80">
        <f t="shared" si="27"/>
        <v>0</v>
      </c>
      <c r="D503" s="80">
        <f t="shared" si="28"/>
        <v>0</v>
      </c>
      <c r="E503" s="80">
        <f t="shared" si="29"/>
        <v>0</v>
      </c>
      <c r="F503" s="79"/>
      <c r="G503" s="74"/>
      <c r="H503" s="68"/>
      <c r="I503" s="74"/>
    </row>
    <row r="504" spans="1:9">
      <c r="A504" s="119">
        <v>449</v>
      </c>
      <c r="B504" s="80">
        <f t="shared" ref="B504:B535" si="30">IF(A504&gt;12*$D$14,0,$D$20)</f>
        <v>0</v>
      </c>
      <c r="C504" s="80">
        <f t="shared" ref="C504:C535" si="31">IF(A504&gt;12*$D$14,0,E503*$D$10/12)</f>
        <v>0</v>
      </c>
      <c r="D504" s="80">
        <f t="shared" ref="D504:D535" si="32">IF(A504&gt;12*$D$14,0,B504-C504)</f>
        <v>0</v>
      </c>
      <c r="E504" s="80">
        <f t="shared" ref="E504:E535" si="33">IF(A504&gt;12*$D$14,0,E503-D504)</f>
        <v>0</v>
      </c>
      <c r="F504" s="79"/>
      <c r="G504" s="74"/>
      <c r="H504" s="68"/>
      <c r="I504" s="74"/>
    </row>
    <row r="505" spans="1:9">
      <c r="A505" s="119">
        <v>450</v>
      </c>
      <c r="B505" s="80">
        <f t="shared" si="30"/>
        <v>0</v>
      </c>
      <c r="C505" s="80">
        <f t="shared" si="31"/>
        <v>0</v>
      </c>
      <c r="D505" s="80">
        <f t="shared" si="32"/>
        <v>0</v>
      </c>
      <c r="E505" s="80">
        <f t="shared" si="33"/>
        <v>0</v>
      </c>
      <c r="F505" s="79"/>
      <c r="G505" s="118"/>
      <c r="H505" s="88"/>
      <c r="I505" s="74"/>
    </row>
    <row r="506" spans="1:9">
      <c r="A506" s="119">
        <v>451</v>
      </c>
      <c r="B506" s="80">
        <f t="shared" si="30"/>
        <v>0</v>
      </c>
      <c r="C506" s="80">
        <f t="shared" si="31"/>
        <v>0</v>
      </c>
      <c r="D506" s="80">
        <f t="shared" si="32"/>
        <v>0</v>
      </c>
      <c r="E506" s="80">
        <f t="shared" si="33"/>
        <v>0</v>
      </c>
      <c r="F506" s="79"/>
      <c r="G506" s="74"/>
      <c r="H506" s="68"/>
      <c r="I506" s="74"/>
    </row>
    <row r="507" spans="1:9">
      <c r="A507" s="119">
        <v>452</v>
      </c>
      <c r="B507" s="80">
        <f t="shared" si="30"/>
        <v>0</v>
      </c>
      <c r="C507" s="80">
        <f t="shared" si="31"/>
        <v>0</v>
      </c>
      <c r="D507" s="80">
        <f t="shared" si="32"/>
        <v>0</v>
      </c>
      <c r="E507" s="80">
        <f t="shared" si="33"/>
        <v>0</v>
      </c>
      <c r="F507" s="79"/>
      <c r="G507" s="74"/>
      <c r="H507" s="68"/>
      <c r="I507" s="74"/>
    </row>
    <row r="508" spans="1:9">
      <c r="A508" s="119">
        <v>453</v>
      </c>
      <c r="B508" s="80">
        <f t="shared" si="30"/>
        <v>0</v>
      </c>
      <c r="C508" s="80">
        <f t="shared" si="31"/>
        <v>0</v>
      </c>
      <c r="D508" s="80">
        <f t="shared" si="32"/>
        <v>0</v>
      </c>
      <c r="E508" s="80">
        <f t="shared" si="33"/>
        <v>0</v>
      </c>
      <c r="F508" s="79"/>
      <c r="G508" s="74"/>
      <c r="H508" s="68"/>
      <c r="I508" s="74"/>
    </row>
    <row r="509" spans="1:9">
      <c r="A509" s="119">
        <v>454</v>
      </c>
      <c r="B509" s="80">
        <f t="shared" si="30"/>
        <v>0</v>
      </c>
      <c r="C509" s="80">
        <f t="shared" si="31"/>
        <v>0</v>
      </c>
      <c r="D509" s="80">
        <f t="shared" si="32"/>
        <v>0</v>
      </c>
      <c r="E509" s="80">
        <f t="shared" si="33"/>
        <v>0</v>
      </c>
      <c r="F509" s="79"/>
      <c r="G509" s="74"/>
      <c r="H509" s="68"/>
      <c r="I509" s="74"/>
    </row>
    <row r="510" spans="1:9">
      <c r="A510" s="119">
        <v>455</v>
      </c>
      <c r="B510" s="80">
        <f t="shared" si="30"/>
        <v>0</v>
      </c>
      <c r="C510" s="80">
        <f t="shared" si="31"/>
        <v>0</v>
      </c>
      <c r="D510" s="80">
        <f t="shared" si="32"/>
        <v>0</v>
      </c>
      <c r="E510" s="80">
        <f t="shared" si="33"/>
        <v>0</v>
      </c>
      <c r="F510" s="79"/>
      <c r="G510" s="74"/>
      <c r="H510" s="68"/>
      <c r="I510" s="74"/>
    </row>
    <row r="511" spans="1:9">
      <c r="A511" s="119">
        <v>456</v>
      </c>
      <c r="B511" s="80">
        <f t="shared" si="30"/>
        <v>0</v>
      </c>
      <c r="C511" s="80">
        <f t="shared" si="31"/>
        <v>0</v>
      </c>
      <c r="D511" s="80">
        <f t="shared" si="32"/>
        <v>0</v>
      </c>
      <c r="E511" s="80">
        <f t="shared" si="33"/>
        <v>0</v>
      </c>
      <c r="F511" s="81">
        <v>38</v>
      </c>
      <c r="G511" s="74"/>
      <c r="H511" s="68"/>
      <c r="I511" s="74"/>
    </row>
    <row r="512" spans="1:9">
      <c r="A512" s="119">
        <v>457</v>
      </c>
      <c r="B512" s="80">
        <f t="shared" si="30"/>
        <v>0</v>
      </c>
      <c r="C512" s="80">
        <f t="shared" si="31"/>
        <v>0</v>
      </c>
      <c r="D512" s="80">
        <f t="shared" si="32"/>
        <v>0</v>
      </c>
      <c r="E512" s="80">
        <f t="shared" si="33"/>
        <v>0</v>
      </c>
      <c r="F512" s="79"/>
      <c r="G512" s="74"/>
      <c r="H512" s="68"/>
      <c r="I512" s="74"/>
    </row>
    <row r="513" spans="1:9">
      <c r="A513" s="119">
        <v>458</v>
      </c>
      <c r="B513" s="80">
        <f t="shared" si="30"/>
        <v>0</v>
      </c>
      <c r="C513" s="80">
        <f t="shared" si="31"/>
        <v>0</v>
      </c>
      <c r="D513" s="80">
        <f t="shared" si="32"/>
        <v>0</v>
      </c>
      <c r="E513" s="80">
        <f t="shared" si="33"/>
        <v>0</v>
      </c>
      <c r="F513" s="79"/>
      <c r="G513" s="74"/>
      <c r="H513" s="68"/>
      <c r="I513" s="74"/>
    </row>
    <row r="514" spans="1:9">
      <c r="A514" s="119">
        <v>459</v>
      </c>
      <c r="B514" s="80">
        <f t="shared" si="30"/>
        <v>0</v>
      </c>
      <c r="C514" s="80">
        <f t="shared" si="31"/>
        <v>0</v>
      </c>
      <c r="D514" s="80">
        <f t="shared" si="32"/>
        <v>0</v>
      </c>
      <c r="E514" s="80">
        <f t="shared" si="33"/>
        <v>0</v>
      </c>
      <c r="F514" s="79"/>
      <c r="G514" s="74"/>
      <c r="H514" s="68"/>
      <c r="I514" s="74"/>
    </row>
    <row r="515" spans="1:9">
      <c r="A515" s="119">
        <v>460</v>
      </c>
      <c r="B515" s="80">
        <f t="shared" si="30"/>
        <v>0</v>
      </c>
      <c r="C515" s="80">
        <f t="shared" si="31"/>
        <v>0</v>
      </c>
      <c r="D515" s="80">
        <f t="shared" si="32"/>
        <v>0</v>
      </c>
      <c r="E515" s="80">
        <f t="shared" si="33"/>
        <v>0</v>
      </c>
      <c r="F515" s="79"/>
      <c r="G515" s="74"/>
      <c r="H515" s="68"/>
      <c r="I515" s="74"/>
    </row>
    <row r="516" spans="1:9">
      <c r="A516" s="119">
        <v>461</v>
      </c>
      <c r="B516" s="80">
        <f t="shared" si="30"/>
        <v>0</v>
      </c>
      <c r="C516" s="80">
        <f t="shared" si="31"/>
        <v>0</v>
      </c>
      <c r="D516" s="80">
        <f t="shared" si="32"/>
        <v>0</v>
      </c>
      <c r="E516" s="80">
        <f t="shared" si="33"/>
        <v>0</v>
      </c>
      <c r="F516" s="79"/>
      <c r="G516" s="74"/>
      <c r="H516" s="68"/>
      <c r="I516" s="74"/>
    </row>
    <row r="517" spans="1:9">
      <c r="A517" s="119">
        <v>462</v>
      </c>
      <c r="B517" s="80">
        <f t="shared" si="30"/>
        <v>0</v>
      </c>
      <c r="C517" s="80">
        <f t="shared" si="31"/>
        <v>0</v>
      </c>
      <c r="D517" s="80">
        <f t="shared" si="32"/>
        <v>0</v>
      </c>
      <c r="E517" s="80">
        <f t="shared" si="33"/>
        <v>0</v>
      </c>
      <c r="F517" s="79"/>
      <c r="G517" s="74"/>
      <c r="H517" s="68"/>
      <c r="I517" s="74"/>
    </row>
    <row r="518" spans="1:9">
      <c r="A518" s="119">
        <v>463</v>
      </c>
      <c r="B518" s="80">
        <f t="shared" si="30"/>
        <v>0</v>
      </c>
      <c r="C518" s="80">
        <f t="shared" si="31"/>
        <v>0</v>
      </c>
      <c r="D518" s="80">
        <f t="shared" si="32"/>
        <v>0</v>
      </c>
      <c r="E518" s="80">
        <f t="shared" si="33"/>
        <v>0</v>
      </c>
      <c r="F518" s="79"/>
      <c r="G518" s="74"/>
      <c r="H518" s="68"/>
      <c r="I518" s="74"/>
    </row>
    <row r="519" spans="1:9">
      <c r="A519" s="119">
        <v>464</v>
      </c>
      <c r="B519" s="80">
        <f t="shared" si="30"/>
        <v>0</v>
      </c>
      <c r="C519" s="80">
        <f t="shared" si="31"/>
        <v>0</v>
      </c>
      <c r="D519" s="80">
        <f t="shared" si="32"/>
        <v>0</v>
      </c>
      <c r="E519" s="80">
        <f t="shared" si="33"/>
        <v>0</v>
      </c>
      <c r="F519" s="79"/>
      <c r="G519" s="74"/>
      <c r="H519" s="68"/>
      <c r="I519" s="74"/>
    </row>
    <row r="520" spans="1:9">
      <c r="A520" s="119">
        <v>465</v>
      </c>
      <c r="B520" s="80">
        <f t="shared" si="30"/>
        <v>0</v>
      </c>
      <c r="C520" s="80">
        <f t="shared" si="31"/>
        <v>0</v>
      </c>
      <c r="D520" s="80">
        <f t="shared" si="32"/>
        <v>0</v>
      </c>
      <c r="E520" s="80">
        <f t="shared" si="33"/>
        <v>0</v>
      </c>
      <c r="F520" s="79"/>
      <c r="G520" s="74"/>
      <c r="H520" s="68"/>
      <c r="I520" s="74"/>
    </row>
    <row r="521" spans="1:9">
      <c r="A521" s="119">
        <v>466</v>
      </c>
      <c r="B521" s="80">
        <f t="shared" si="30"/>
        <v>0</v>
      </c>
      <c r="C521" s="80">
        <f t="shared" si="31"/>
        <v>0</v>
      </c>
      <c r="D521" s="80">
        <f t="shared" si="32"/>
        <v>0</v>
      </c>
      <c r="E521" s="80">
        <f t="shared" si="33"/>
        <v>0</v>
      </c>
      <c r="F521" s="79"/>
      <c r="G521" s="74"/>
      <c r="H521" s="68"/>
      <c r="I521" s="74"/>
    </row>
    <row r="522" spans="1:9">
      <c r="A522" s="119">
        <v>467</v>
      </c>
      <c r="B522" s="80">
        <f t="shared" si="30"/>
        <v>0</v>
      </c>
      <c r="C522" s="80">
        <f t="shared" si="31"/>
        <v>0</v>
      </c>
      <c r="D522" s="80">
        <f t="shared" si="32"/>
        <v>0</v>
      </c>
      <c r="E522" s="80">
        <f t="shared" si="33"/>
        <v>0</v>
      </c>
      <c r="F522" s="79"/>
      <c r="G522" s="74"/>
      <c r="H522" s="68"/>
      <c r="I522" s="74"/>
    </row>
    <row r="523" spans="1:9">
      <c r="A523" s="119">
        <v>468</v>
      </c>
      <c r="B523" s="80">
        <f t="shared" si="30"/>
        <v>0</v>
      </c>
      <c r="C523" s="80">
        <f t="shared" si="31"/>
        <v>0</v>
      </c>
      <c r="D523" s="80">
        <f t="shared" si="32"/>
        <v>0</v>
      </c>
      <c r="E523" s="80">
        <f t="shared" si="33"/>
        <v>0</v>
      </c>
      <c r="F523" s="79">
        <v>39</v>
      </c>
      <c r="G523" s="74"/>
      <c r="H523" s="68"/>
      <c r="I523" s="74"/>
    </row>
    <row r="524" spans="1:9">
      <c r="A524" s="119">
        <v>469</v>
      </c>
      <c r="B524" s="80">
        <f t="shared" si="30"/>
        <v>0</v>
      </c>
      <c r="C524" s="80">
        <f t="shared" si="31"/>
        <v>0</v>
      </c>
      <c r="D524" s="80">
        <f t="shared" si="32"/>
        <v>0</v>
      </c>
      <c r="E524" s="80">
        <f t="shared" si="33"/>
        <v>0</v>
      </c>
      <c r="F524" s="79"/>
      <c r="G524" s="74"/>
      <c r="H524" s="68"/>
      <c r="I524" s="74"/>
    </row>
    <row r="525" spans="1:9">
      <c r="A525" s="119">
        <v>470</v>
      </c>
      <c r="B525" s="80">
        <f t="shared" si="30"/>
        <v>0</v>
      </c>
      <c r="C525" s="80">
        <f t="shared" si="31"/>
        <v>0</v>
      </c>
      <c r="D525" s="80">
        <f t="shared" si="32"/>
        <v>0</v>
      </c>
      <c r="E525" s="80">
        <f t="shared" si="33"/>
        <v>0</v>
      </c>
      <c r="F525" s="79"/>
      <c r="G525" s="74"/>
      <c r="H525" s="68"/>
      <c r="I525" s="74"/>
    </row>
    <row r="526" spans="1:9">
      <c r="A526" s="119">
        <v>471</v>
      </c>
      <c r="B526" s="80">
        <f t="shared" si="30"/>
        <v>0</v>
      </c>
      <c r="C526" s="80">
        <f t="shared" si="31"/>
        <v>0</v>
      </c>
      <c r="D526" s="80">
        <f t="shared" si="32"/>
        <v>0</v>
      </c>
      <c r="E526" s="80">
        <f t="shared" si="33"/>
        <v>0</v>
      </c>
      <c r="F526" s="79"/>
      <c r="G526" s="74"/>
      <c r="H526" s="68"/>
      <c r="I526" s="74"/>
    </row>
    <row r="527" spans="1:9">
      <c r="A527" s="119">
        <v>472</v>
      </c>
      <c r="B527" s="80">
        <f t="shared" si="30"/>
        <v>0</v>
      </c>
      <c r="C527" s="80">
        <f t="shared" si="31"/>
        <v>0</v>
      </c>
      <c r="D527" s="80">
        <f t="shared" si="32"/>
        <v>0</v>
      </c>
      <c r="E527" s="80">
        <f t="shared" si="33"/>
        <v>0</v>
      </c>
      <c r="F527" s="79"/>
      <c r="G527" s="74"/>
      <c r="H527" s="68"/>
      <c r="I527" s="74"/>
    </row>
    <row r="528" spans="1:9">
      <c r="A528" s="119">
        <v>473</v>
      </c>
      <c r="B528" s="80">
        <f t="shared" si="30"/>
        <v>0</v>
      </c>
      <c r="C528" s="80">
        <f t="shared" si="31"/>
        <v>0</v>
      </c>
      <c r="D528" s="80">
        <f t="shared" si="32"/>
        <v>0</v>
      </c>
      <c r="E528" s="80">
        <f t="shared" si="33"/>
        <v>0</v>
      </c>
      <c r="F528" s="79"/>
      <c r="G528" s="74"/>
      <c r="H528" s="68"/>
      <c r="I528" s="74"/>
    </row>
    <row r="529" spans="1:9">
      <c r="A529" s="119">
        <v>474</v>
      </c>
      <c r="B529" s="80">
        <f t="shared" si="30"/>
        <v>0</v>
      </c>
      <c r="C529" s="80">
        <f t="shared" si="31"/>
        <v>0</v>
      </c>
      <c r="D529" s="80">
        <f t="shared" si="32"/>
        <v>0</v>
      </c>
      <c r="E529" s="80">
        <f t="shared" si="33"/>
        <v>0</v>
      </c>
      <c r="F529" s="79"/>
      <c r="G529" s="74"/>
      <c r="H529" s="68"/>
      <c r="I529" s="74"/>
    </row>
    <row r="530" spans="1:9">
      <c r="A530" s="119">
        <v>475</v>
      </c>
      <c r="B530" s="80">
        <f t="shared" si="30"/>
        <v>0</v>
      </c>
      <c r="C530" s="80">
        <f t="shared" si="31"/>
        <v>0</v>
      </c>
      <c r="D530" s="80">
        <f t="shared" si="32"/>
        <v>0</v>
      </c>
      <c r="E530" s="80">
        <f t="shared" si="33"/>
        <v>0</v>
      </c>
      <c r="F530" s="79"/>
      <c r="G530" s="74"/>
      <c r="H530" s="68"/>
      <c r="I530" s="74"/>
    </row>
    <row r="531" spans="1:9">
      <c r="A531" s="119">
        <v>476</v>
      </c>
      <c r="B531" s="80">
        <f t="shared" si="30"/>
        <v>0</v>
      </c>
      <c r="C531" s="80">
        <f t="shared" si="31"/>
        <v>0</v>
      </c>
      <c r="D531" s="80">
        <f t="shared" si="32"/>
        <v>0</v>
      </c>
      <c r="E531" s="80">
        <f t="shared" si="33"/>
        <v>0</v>
      </c>
      <c r="F531" s="79"/>
      <c r="G531" s="74"/>
      <c r="H531" s="68"/>
      <c r="I531" s="74"/>
    </row>
    <row r="532" spans="1:9">
      <c r="A532" s="119">
        <v>477</v>
      </c>
      <c r="B532" s="80">
        <f t="shared" si="30"/>
        <v>0</v>
      </c>
      <c r="C532" s="80">
        <f t="shared" si="31"/>
        <v>0</v>
      </c>
      <c r="D532" s="80">
        <f t="shared" si="32"/>
        <v>0</v>
      </c>
      <c r="E532" s="80">
        <f t="shared" si="33"/>
        <v>0</v>
      </c>
      <c r="F532" s="79"/>
      <c r="G532" s="74"/>
      <c r="H532" s="68"/>
      <c r="I532" s="74"/>
    </row>
    <row r="533" spans="1:9">
      <c r="A533" s="119">
        <v>478</v>
      </c>
      <c r="B533" s="80">
        <f t="shared" si="30"/>
        <v>0</v>
      </c>
      <c r="C533" s="80">
        <f t="shared" si="31"/>
        <v>0</v>
      </c>
      <c r="D533" s="80">
        <f t="shared" si="32"/>
        <v>0</v>
      </c>
      <c r="E533" s="80">
        <f t="shared" si="33"/>
        <v>0</v>
      </c>
      <c r="F533" s="79"/>
      <c r="G533" s="74"/>
      <c r="H533" s="68"/>
      <c r="I533" s="74"/>
    </row>
    <row r="534" spans="1:9">
      <c r="A534" s="119">
        <v>479</v>
      </c>
      <c r="B534" s="80">
        <f t="shared" si="30"/>
        <v>0</v>
      </c>
      <c r="C534" s="80">
        <f t="shared" si="31"/>
        <v>0</v>
      </c>
      <c r="D534" s="80">
        <f t="shared" si="32"/>
        <v>0</v>
      </c>
      <c r="E534" s="80">
        <f t="shared" si="33"/>
        <v>0</v>
      </c>
      <c r="F534" s="79"/>
      <c r="G534" s="74"/>
      <c r="H534" s="68"/>
      <c r="I534" s="74"/>
    </row>
    <row r="535" spans="1:9">
      <c r="A535" s="119">
        <v>480</v>
      </c>
      <c r="B535" s="80">
        <f t="shared" si="30"/>
        <v>0</v>
      </c>
      <c r="C535" s="80">
        <f t="shared" si="31"/>
        <v>0</v>
      </c>
      <c r="D535" s="80">
        <f t="shared" si="32"/>
        <v>0</v>
      </c>
      <c r="E535" s="80">
        <f t="shared" si="33"/>
        <v>0</v>
      </c>
      <c r="F535" s="79">
        <v>40</v>
      </c>
      <c r="G535" s="74"/>
      <c r="H535" s="68"/>
      <c r="I535" s="74"/>
    </row>
    <row r="536" spans="1:9">
      <c r="A536" s="59"/>
      <c r="G536" s="74"/>
      <c r="H536" s="68"/>
      <c r="I536" s="74"/>
    </row>
    <row r="537" spans="1:9">
      <c r="A537" s="59"/>
      <c r="G537" s="74"/>
      <c r="H537" s="68"/>
      <c r="I537" s="74"/>
    </row>
    <row r="538" spans="1:9">
      <c r="A538" s="59"/>
      <c r="G538" s="74"/>
      <c r="H538" s="68"/>
      <c r="I538" s="74"/>
    </row>
    <row r="539" spans="1:9">
      <c r="A539" s="59"/>
      <c r="G539" s="74"/>
      <c r="H539" s="68"/>
      <c r="I539" s="74"/>
    </row>
    <row r="540" spans="1:9">
      <c r="A540" s="59"/>
      <c r="G540" s="74"/>
      <c r="H540" s="68"/>
      <c r="I540" s="74"/>
    </row>
    <row r="541" spans="1:9">
      <c r="A541" s="59"/>
      <c r="G541" s="74"/>
      <c r="H541" s="68"/>
      <c r="I541" s="74"/>
    </row>
    <row r="542" spans="1:9">
      <c r="A542" s="59"/>
      <c r="G542" s="74"/>
      <c r="H542" s="68"/>
      <c r="I542" s="74"/>
    </row>
    <row r="543" spans="1:9">
      <c r="G543" s="74"/>
      <c r="H543" s="68"/>
      <c r="I543" s="74"/>
    </row>
    <row r="544" spans="1:9">
      <c r="G544" s="74"/>
      <c r="H544" s="68"/>
      <c r="I544" s="74"/>
    </row>
    <row r="545" spans="7:9">
      <c r="G545" s="74"/>
      <c r="H545" s="68"/>
      <c r="I545" s="74"/>
    </row>
    <row r="546" spans="7:9">
      <c r="G546" s="74"/>
      <c r="H546" s="68"/>
      <c r="I546" s="74"/>
    </row>
    <row r="547" spans="7:9">
      <c r="G547" s="74"/>
      <c r="H547" s="68"/>
      <c r="I547" s="74"/>
    </row>
    <row r="548" spans="7:9">
      <c r="G548" s="74"/>
      <c r="H548" s="68"/>
      <c r="I548" s="74"/>
    </row>
    <row r="549" spans="7:9">
      <c r="G549" s="74"/>
      <c r="H549" s="68"/>
      <c r="I549" s="74"/>
    </row>
    <row r="550" spans="7:9">
      <c r="G550" s="74"/>
      <c r="H550" s="68"/>
      <c r="I550" s="74"/>
    </row>
    <row r="551" spans="7:9">
      <c r="G551" s="74"/>
      <c r="H551" s="68"/>
      <c r="I551" s="74"/>
    </row>
    <row r="552" spans="7:9">
      <c r="G552" s="74"/>
      <c r="H552" s="68"/>
      <c r="I552" s="74"/>
    </row>
    <row r="553" spans="7:9">
      <c r="G553" s="74"/>
      <c r="H553" s="68"/>
      <c r="I553" s="74"/>
    </row>
    <row r="554" spans="7:9">
      <c r="G554" s="74"/>
      <c r="H554" s="68"/>
      <c r="I554" s="74"/>
    </row>
    <row r="555" spans="7:9">
      <c r="G555" s="74"/>
      <c r="H555" s="68"/>
      <c r="I555" s="74"/>
    </row>
    <row r="556" spans="7:9">
      <c r="G556" s="74"/>
      <c r="H556" s="68"/>
      <c r="I556" s="74"/>
    </row>
    <row r="557" spans="7:9">
      <c r="G557" s="74"/>
      <c r="H557" s="68"/>
      <c r="I557" s="74"/>
    </row>
    <row r="558" spans="7:9">
      <c r="G558" s="74"/>
      <c r="H558" s="68"/>
      <c r="I558" s="74"/>
    </row>
    <row r="559" spans="7:9">
      <c r="G559" s="74"/>
      <c r="H559" s="68"/>
      <c r="I559" s="74"/>
    </row>
    <row r="560" spans="7:9">
      <c r="G560" s="74"/>
      <c r="H560" s="68"/>
      <c r="I560" s="74"/>
    </row>
    <row r="561" spans="7:9">
      <c r="G561" s="74"/>
      <c r="H561" s="68"/>
      <c r="I561" s="74"/>
    </row>
    <row r="562" spans="7:9">
      <c r="G562" s="74"/>
      <c r="H562" s="68"/>
      <c r="I562" s="74"/>
    </row>
    <row r="563" spans="7:9">
      <c r="G563" s="74"/>
      <c r="H563" s="68"/>
      <c r="I563" s="74"/>
    </row>
    <row r="564" spans="7:9">
      <c r="G564" s="74"/>
      <c r="H564" s="68"/>
      <c r="I564" s="74"/>
    </row>
    <row r="565" spans="7:9">
      <c r="G565" s="74"/>
      <c r="H565" s="68"/>
      <c r="I565" s="74"/>
    </row>
    <row r="566" spans="7:9">
      <c r="G566" s="74"/>
      <c r="H566" s="68"/>
      <c r="I566" s="74"/>
    </row>
    <row r="567" spans="7:9">
      <c r="G567" s="74"/>
      <c r="H567" s="68"/>
      <c r="I567" s="74"/>
    </row>
    <row r="568" spans="7:9">
      <c r="G568" s="74"/>
      <c r="H568" s="68"/>
      <c r="I568" s="74"/>
    </row>
    <row r="569" spans="7:9">
      <c r="G569" s="74"/>
      <c r="H569" s="68"/>
      <c r="I569" s="74"/>
    </row>
    <row r="570" spans="7:9">
      <c r="G570" s="74"/>
      <c r="H570" s="68"/>
      <c r="I570" s="74"/>
    </row>
    <row r="571" spans="7:9">
      <c r="G571" s="74"/>
      <c r="H571" s="68"/>
      <c r="I571" s="74"/>
    </row>
    <row r="572" spans="7:9">
      <c r="G572" s="74"/>
      <c r="H572" s="68"/>
      <c r="I572" s="74"/>
    </row>
    <row r="573" spans="7:9">
      <c r="G573" s="74"/>
      <c r="H573" s="68"/>
      <c r="I573" s="74"/>
    </row>
    <row r="574" spans="7:9">
      <c r="G574" s="74"/>
      <c r="H574" s="68"/>
      <c r="I574" s="74"/>
    </row>
    <row r="575" spans="7:9">
      <c r="G575" s="74"/>
      <c r="H575" s="68"/>
      <c r="I575" s="74"/>
    </row>
    <row r="576" spans="7:9">
      <c r="G576" s="74"/>
      <c r="H576" s="68"/>
      <c r="I576" s="74"/>
    </row>
    <row r="577" spans="7:9">
      <c r="G577" s="74"/>
      <c r="H577" s="68"/>
      <c r="I577" s="74"/>
    </row>
    <row r="578" spans="7:9">
      <c r="G578" s="74"/>
      <c r="H578" s="68"/>
      <c r="I578" s="74"/>
    </row>
    <row r="579" spans="7:9">
      <c r="G579" s="74"/>
      <c r="H579" s="68"/>
      <c r="I579" s="74"/>
    </row>
    <row r="580" spans="7:9">
      <c r="G580" s="74"/>
      <c r="H580" s="68"/>
      <c r="I580" s="74"/>
    </row>
    <row r="581" spans="7:9">
      <c r="G581" s="74"/>
      <c r="H581" s="68"/>
      <c r="I581" s="74"/>
    </row>
    <row r="582" spans="7:9">
      <c r="G582" s="74"/>
      <c r="H582" s="68"/>
      <c r="I582" s="74"/>
    </row>
    <row r="583" spans="7:9">
      <c r="G583" s="74"/>
      <c r="H583" s="68"/>
      <c r="I583" s="74"/>
    </row>
    <row r="584" spans="7:9">
      <c r="G584" s="74"/>
      <c r="H584" s="68"/>
      <c r="I584" s="74"/>
    </row>
    <row r="585" spans="7:9">
      <c r="G585" s="74"/>
      <c r="H585" s="68"/>
      <c r="I585" s="74"/>
    </row>
    <row r="586" spans="7:9">
      <c r="G586" s="74"/>
      <c r="H586" s="68"/>
      <c r="I586" s="74"/>
    </row>
    <row r="587" spans="7:9">
      <c r="G587" s="74"/>
      <c r="H587" s="68"/>
      <c r="I587" s="74"/>
    </row>
    <row r="588" spans="7:9">
      <c r="G588" s="74"/>
      <c r="H588" s="68"/>
      <c r="I588" s="74"/>
    </row>
    <row r="589" spans="7:9">
      <c r="G589" s="74"/>
      <c r="H589" s="68"/>
      <c r="I589" s="74"/>
    </row>
    <row r="590" spans="7:9">
      <c r="G590" s="74"/>
      <c r="H590" s="68"/>
      <c r="I590" s="74"/>
    </row>
    <row r="591" spans="7:9">
      <c r="G591" s="74"/>
      <c r="H591" s="68"/>
      <c r="I591" s="74"/>
    </row>
    <row r="592" spans="7:9">
      <c r="G592" s="74"/>
      <c r="H592" s="68"/>
      <c r="I592" s="74"/>
    </row>
    <row r="593" spans="7:9">
      <c r="G593" s="74"/>
      <c r="H593" s="68"/>
      <c r="I593" s="74"/>
    </row>
    <row r="594" spans="7:9">
      <c r="G594" s="74"/>
      <c r="H594" s="68"/>
      <c r="I594" s="74"/>
    </row>
    <row r="595" spans="7:9">
      <c r="G595" s="74"/>
      <c r="H595" s="68"/>
      <c r="I595" s="74"/>
    </row>
    <row r="596" spans="7:9">
      <c r="G596" s="74"/>
      <c r="H596" s="68"/>
      <c r="I596" s="74"/>
    </row>
    <row r="597" spans="7:9">
      <c r="G597" s="74"/>
      <c r="H597" s="68"/>
      <c r="I597" s="74"/>
    </row>
    <row r="598" spans="7:9">
      <c r="G598" s="74"/>
      <c r="H598" s="68"/>
      <c r="I598" s="74"/>
    </row>
    <row r="599" spans="7:9">
      <c r="G599" s="74"/>
      <c r="H599" s="68"/>
      <c r="I599" s="74"/>
    </row>
    <row r="600" spans="7:9">
      <c r="G600" s="74"/>
      <c r="H600" s="68"/>
      <c r="I600" s="74"/>
    </row>
    <row r="601" spans="7:9">
      <c r="G601" s="74"/>
      <c r="H601" s="68"/>
      <c r="I601" s="74"/>
    </row>
    <row r="602" spans="7:9">
      <c r="G602" s="74"/>
      <c r="H602" s="68"/>
      <c r="I602" s="74"/>
    </row>
    <row r="603" spans="7:9">
      <c r="G603" s="74"/>
      <c r="H603" s="68"/>
      <c r="I603" s="74"/>
    </row>
    <row r="604" spans="7:9">
      <c r="G604" s="74"/>
      <c r="H604" s="68"/>
      <c r="I604" s="74"/>
    </row>
    <row r="605" spans="7:9">
      <c r="G605" s="74"/>
      <c r="H605" s="68"/>
      <c r="I605" s="74"/>
    </row>
    <row r="606" spans="7:9">
      <c r="G606" s="74"/>
      <c r="H606" s="68"/>
      <c r="I606" s="74"/>
    </row>
    <row r="607" spans="7:9">
      <c r="G607" s="74"/>
      <c r="H607" s="68"/>
      <c r="I607" s="74"/>
    </row>
    <row r="608" spans="7:9">
      <c r="G608" s="74"/>
      <c r="H608" s="68"/>
      <c r="I608" s="74"/>
    </row>
    <row r="609" spans="7:9">
      <c r="G609" s="74"/>
      <c r="H609" s="68"/>
      <c r="I609" s="74"/>
    </row>
    <row r="610" spans="7:9">
      <c r="G610" s="74"/>
      <c r="H610" s="68"/>
      <c r="I610" s="74"/>
    </row>
    <row r="611" spans="7:9">
      <c r="G611" s="74"/>
      <c r="H611" s="68"/>
      <c r="I611" s="74"/>
    </row>
    <row r="612" spans="7:9">
      <c r="G612" s="74"/>
      <c r="H612" s="68"/>
      <c r="I612" s="74"/>
    </row>
    <row r="613" spans="7:9">
      <c r="G613" s="74"/>
      <c r="H613" s="68"/>
      <c r="I613" s="74"/>
    </row>
    <row r="614" spans="7:9">
      <c r="G614" s="74"/>
      <c r="H614" s="68"/>
      <c r="I614" s="74"/>
    </row>
    <row r="615" spans="7:9">
      <c r="G615" s="74"/>
      <c r="H615" s="68"/>
      <c r="I615" s="74"/>
    </row>
    <row r="616" spans="7:9">
      <c r="G616" s="74"/>
      <c r="H616" s="68"/>
      <c r="I616" s="74"/>
    </row>
    <row r="617" spans="7:9">
      <c r="G617" s="74"/>
      <c r="H617" s="68"/>
      <c r="I617" s="74"/>
    </row>
    <row r="618" spans="7:9">
      <c r="G618" s="74"/>
      <c r="H618" s="68"/>
      <c r="I618" s="74"/>
    </row>
    <row r="619" spans="7:9">
      <c r="G619" s="74"/>
      <c r="H619" s="68"/>
      <c r="I619" s="74"/>
    </row>
    <row r="620" spans="7:9">
      <c r="G620" s="74"/>
      <c r="H620" s="68"/>
      <c r="I620" s="74"/>
    </row>
    <row r="621" spans="7:9">
      <c r="G621" s="74"/>
      <c r="H621" s="68"/>
      <c r="I621" s="74"/>
    </row>
    <row r="622" spans="7:9">
      <c r="G622" s="74"/>
      <c r="H622" s="68"/>
      <c r="I622" s="74"/>
    </row>
    <row r="623" spans="7:9">
      <c r="G623" s="74"/>
      <c r="H623" s="68"/>
      <c r="I623" s="74"/>
    </row>
    <row r="624" spans="7:9">
      <c r="G624" s="74"/>
      <c r="H624" s="68"/>
      <c r="I624" s="74"/>
    </row>
    <row r="625" spans="7:9">
      <c r="G625" s="74"/>
      <c r="H625" s="68"/>
      <c r="I625" s="74"/>
    </row>
    <row r="626" spans="7:9">
      <c r="G626" s="74"/>
      <c r="H626" s="68"/>
      <c r="I626" s="74"/>
    </row>
    <row r="627" spans="7:9">
      <c r="G627" s="74"/>
      <c r="H627" s="68"/>
      <c r="I627" s="74"/>
    </row>
    <row r="628" spans="7:9">
      <c r="G628" s="74"/>
      <c r="H628" s="68"/>
      <c r="I628" s="74"/>
    </row>
    <row r="629" spans="7:9">
      <c r="G629" s="74"/>
      <c r="H629" s="68"/>
      <c r="I629" s="74"/>
    </row>
    <row r="630" spans="7:9">
      <c r="G630" s="74"/>
      <c r="H630" s="68"/>
      <c r="I630" s="74"/>
    </row>
    <row r="631" spans="7:9">
      <c r="G631" s="74"/>
      <c r="H631" s="68"/>
      <c r="I631" s="74"/>
    </row>
    <row r="632" spans="7:9">
      <c r="G632" s="74"/>
      <c r="H632" s="68"/>
      <c r="I632" s="74"/>
    </row>
    <row r="633" spans="7:9">
      <c r="G633" s="74"/>
      <c r="H633" s="68"/>
      <c r="I633" s="74"/>
    </row>
    <row r="634" spans="7:9">
      <c r="G634" s="74"/>
      <c r="H634" s="68"/>
      <c r="I634" s="74"/>
    </row>
    <row r="635" spans="7:9">
      <c r="G635" s="74"/>
      <c r="H635" s="68"/>
      <c r="I635" s="74"/>
    </row>
    <row r="636" spans="7:9">
      <c r="G636" s="74"/>
      <c r="H636" s="68"/>
      <c r="I636" s="74"/>
    </row>
    <row r="637" spans="7:9">
      <c r="G637" s="74"/>
      <c r="H637" s="68"/>
      <c r="I637" s="74"/>
    </row>
    <row r="638" spans="7:9">
      <c r="G638" s="74"/>
      <c r="H638" s="68"/>
      <c r="I638" s="74"/>
    </row>
    <row r="639" spans="7:9">
      <c r="G639" s="74"/>
      <c r="H639" s="68"/>
      <c r="I639" s="74"/>
    </row>
    <row r="640" spans="7:9">
      <c r="G640" s="74"/>
      <c r="H640" s="68"/>
      <c r="I640" s="74"/>
    </row>
    <row r="641" spans="7:9">
      <c r="G641" s="74"/>
      <c r="H641" s="68"/>
      <c r="I641" s="74"/>
    </row>
    <row r="642" spans="7:9">
      <c r="G642" s="74"/>
      <c r="H642" s="68"/>
      <c r="I642" s="74"/>
    </row>
    <row r="643" spans="7:9">
      <c r="G643" s="74"/>
      <c r="H643" s="68"/>
      <c r="I643" s="74"/>
    </row>
    <row r="644" spans="7:9">
      <c r="G644" s="74"/>
      <c r="H644" s="68"/>
      <c r="I644" s="74"/>
    </row>
    <row r="645" spans="7:9">
      <c r="G645" s="74"/>
      <c r="H645" s="68"/>
      <c r="I645" s="74"/>
    </row>
    <row r="646" spans="7:9">
      <c r="G646" s="74"/>
      <c r="H646" s="68"/>
      <c r="I646" s="74"/>
    </row>
    <row r="647" spans="7:9">
      <c r="G647" s="74"/>
      <c r="H647" s="68"/>
      <c r="I647" s="74"/>
    </row>
    <row r="648" spans="7:9">
      <c r="G648" s="74"/>
      <c r="H648" s="68"/>
      <c r="I648" s="74"/>
    </row>
    <row r="649" spans="7:9">
      <c r="G649" s="74"/>
      <c r="H649" s="68"/>
      <c r="I649" s="74"/>
    </row>
    <row r="650" spans="7:9">
      <c r="G650" s="74"/>
      <c r="H650" s="68"/>
      <c r="I650" s="74"/>
    </row>
    <row r="651" spans="7:9">
      <c r="G651" s="74"/>
      <c r="H651" s="68"/>
      <c r="I651" s="74"/>
    </row>
    <row r="652" spans="7:9">
      <c r="G652" s="74"/>
      <c r="H652" s="68"/>
      <c r="I652" s="74"/>
    </row>
    <row r="653" spans="7:9">
      <c r="G653" s="74"/>
      <c r="H653" s="68"/>
      <c r="I653" s="74"/>
    </row>
    <row r="654" spans="7:9">
      <c r="G654" s="74"/>
      <c r="H654" s="68"/>
      <c r="I654" s="74"/>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X216"/>
  <sheetViews>
    <sheetView showGridLines="0" zoomScaleNormal="100" zoomScaleSheetLayoutView="90" workbookViewId="0">
      <selection activeCell="G8" sqref="G8:H8"/>
    </sheetView>
  </sheetViews>
  <sheetFormatPr defaultColWidth="9.140625" defaultRowHeight="12.75"/>
  <cols>
    <col min="1" max="1" width="2.42578125" style="184" customWidth="1"/>
    <col min="2" max="2" width="5.42578125" style="184" customWidth="1"/>
    <col min="3" max="3" width="18" style="184" customWidth="1"/>
    <col min="4" max="4" width="7.28515625" style="184" customWidth="1"/>
    <col min="5" max="5" width="12.5703125" style="184" customWidth="1"/>
    <col min="6" max="6" width="10.42578125" style="184" customWidth="1"/>
    <col min="7" max="8" width="6.42578125" style="184" customWidth="1"/>
    <col min="9" max="9" width="1.7109375" style="184" customWidth="1"/>
    <col min="10" max="11" width="6.42578125" style="184" customWidth="1"/>
    <col min="12" max="12" width="1.7109375" style="184" customWidth="1"/>
    <col min="13" max="14" width="6.42578125" style="184" customWidth="1"/>
    <col min="15" max="15" width="1.7109375" style="184" customWidth="1"/>
    <col min="16" max="17" width="6.42578125" style="184" customWidth="1"/>
    <col min="18" max="18" width="1.7109375" style="184" customWidth="1"/>
    <col min="19" max="20" width="7" style="184" customWidth="1"/>
    <col min="21" max="21" width="5.85546875" style="184" customWidth="1"/>
    <col min="22" max="22" width="13.140625" style="184" hidden="1" customWidth="1"/>
    <col min="23" max="23" width="24.85546875" style="184" hidden="1" customWidth="1"/>
    <col min="24" max="24" width="73.42578125" style="184" hidden="1" customWidth="1"/>
    <col min="25" max="16384" width="9.140625" style="184"/>
  </cols>
  <sheetData>
    <row r="1" spans="1:24" s="156" customFormat="1" ht="13.5" customHeight="1">
      <c r="A1" s="2229" t="str">
        <f>CONCATENATE("PART FOUR -  USES OF FUNDS","  -  ",'Part I-Project Information'!$O$4," ",'Part I-Project Information'!$F$24,", ",'Part I-Project Information'!$F$27,", ",'Part I-Project Information'!$J$28," County")</f>
        <v>PART FOUR -  USES OF FUNDS  -  20##-### SB OHF Test Villas, Peachtree Corners, Gwinnett County</v>
      </c>
      <c r="B1" s="2230"/>
      <c r="C1" s="2230"/>
      <c r="D1" s="2230"/>
      <c r="E1" s="2230"/>
      <c r="F1" s="2230"/>
      <c r="G1" s="2230"/>
      <c r="H1" s="2230"/>
      <c r="I1" s="2230"/>
      <c r="J1" s="2230"/>
      <c r="K1" s="2230"/>
      <c r="L1" s="2230"/>
      <c r="M1" s="2230"/>
      <c r="N1" s="2230"/>
      <c r="O1" s="2230"/>
      <c r="P1" s="2230"/>
      <c r="Q1" s="2230"/>
      <c r="R1" s="2230"/>
      <c r="S1" s="2230"/>
      <c r="T1" s="2230"/>
      <c r="W1" s="2228" t="str">
        <f>A1</f>
        <v>PART FOUR -  USES OF FUNDS  -  20##-### SB OHF Test Villas, Peachtree Corners, Gwinnett County</v>
      </c>
      <c r="X1" s="2228"/>
    </row>
    <row r="2" spans="1:24" ht="2.25" customHeight="1"/>
    <row r="3" spans="1:24" s="156" customFormat="1" ht="9.75" customHeight="1">
      <c r="A3" s="160"/>
      <c r="B3" s="160"/>
      <c r="C3" s="160"/>
      <c r="D3" s="160"/>
      <c r="E3" s="160"/>
      <c r="F3" s="160"/>
      <c r="G3" s="160"/>
      <c r="H3" s="160"/>
      <c r="I3" s="160"/>
      <c r="J3" s="160"/>
      <c r="K3" s="160"/>
      <c r="L3" s="160"/>
      <c r="M3" s="160"/>
      <c r="N3" s="160"/>
      <c r="O3" s="160"/>
      <c r="P3" s="160"/>
      <c r="Q3" s="160"/>
      <c r="R3" s="160"/>
      <c r="S3" s="160"/>
      <c r="T3" s="160"/>
    </row>
    <row r="4" spans="1:24" s="156" customFormat="1" ht="1.9" customHeight="1" thickBot="1">
      <c r="A4" s="159"/>
      <c r="B4" s="159"/>
      <c r="C4" s="159"/>
      <c r="D4" s="327"/>
      <c r="E4" s="327"/>
      <c r="F4" s="327"/>
      <c r="G4" s="327"/>
      <c r="H4" s="327"/>
      <c r="I4" s="160"/>
      <c r="J4" s="159"/>
      <c r="K4" s="159"/>
      <c r="L4" s="159"/>
      <c r="M4" s="159"/>
      <c r="N4" s="159"/>
      <c r="O4" s="159"/>
      <c r="P4" s="159"/>
      <c r="Q4" s="159"/>
      <c r="R4" s="159"/>
      <c r="S4" s="159"/>
      <c r="T4" s="159"/>
    </row>
    <row r="5" spans="1:24" s="156" customFormat="1" ht="19.5" customHeight="1" thickBot="1">
      <c r="A5" s="294" t="s">
        <v>572</v>
      </c>
      <c r="B5" s="294" t="s">
        <v>839</v>
      </c>
      <c r="G5" s="327"/>
      <c r="H5" s="327"/>
      <c r="I5" s="327"/>
      <c r="J5" s="2175" t="s">
        <v>250</v>
      </c>
      <c r="K5" s="2176"/>
      <c r="L5" s="233"/>
      <c r="M5" s="2212" t="s">
        <v>460</v>
      </c>
      <c r="N5" s="2213"/>
      <c r="P5" s="2175" t="s">
        <v>251</v>
      </c>
      <c r="Q5" s="2176"/>
      <c r="S5" s="2175" t="s">
        <v>252</v>
      </c>
      <c r="T5" s="2176"/>
      <c r="W5" s="295" t="str">
        <f>B5</f>
        <v>DEVELOPMENT BUDGET</v>
      </c>
    </row>
    <row r="6" spans="1:24" s="156" customFormat="1" ht="19.5" customHeight="1" thickBot="1">
      <c r="G6" s="2216" t="s">
        <v>93</v>
      </c>
      <c r="H6" s="2217"/>
      <c r="J6" s="2177"/>
      <c r="K6" s="2178"/>
      <c r="L6" s="233"/>
      <c r="M6" s="2214"/>
      <c r="N6" s="2215"/>
      <c r="P6" s="2177"/>
      <c r="Q6" s="2178"/>
      <c r="S6" s="2177"/>
      <c r="T6" s="2178"/>
      <c r="W6" s="2156" t="s">
        <v>2338</v>
      </c>
      <c r="X6" s="2156"/>
    </row>
    <row r="7" spans="1:24" s="156" customFormat="1" ht="12" customHeight="1">
      <c r="B7" s="160" t="s">
        <v>94</v>
      </c>
      <c r="O7" s="159" t="str">
        <f>B7</f>
        <v>PRE-DEVELOPMENT COSTS</v>
      </c>
      <c r="W7" s="156" t="str">
        <f>B7</f>
        <v>PRE-DEVELOPMENT COSTS</v>
      </c>
    </row>
    <row r="8" spans="1:24" s="156" customFormat="1" ht="12.6" customHeight="1">
      <c r="B8" s="156" t="s">
        <v>1803</v>
      </c>
      <c r="G8" s="2150"/>
      <c r="H8" s="2151"/>
      <c r="J8" s="2150"/>
      <c r="K8" s="2151"/>
      <c r="L8" s="180"/>
      <c r="M8" s="2150"/>
      <c r="N8" s="2151"/>
      <c r="P8" s="2150"/>
      <c r="Q8" s="2151"/>
      <c r="S8" s="2150"/>
      <c r="T8" s="2151"/>
      <c r="V8" s="367"/>
      <c r="W8" s="2157"/>
      <c r="X8" s="2158"/>
    </row>
    <row r="9" spans="1:24" s="156" customFormat="1" ht="12.6" customHeight="1">
      <c r="B9" s="156" t="s">
        <v>432</v>
      </c>
      <c r="G9" s="2148"/>
      <c r="H9" s="2149"/>
      <c r="J9" s="2148"/>
      <c r="K9" s="2149"/>
      <c r="L9" s="180"/>
      <c r="M9" s="2148"/>
      <c r="N9" s="2149"/>
      <c r="P9" s="2148"/>
      <c r="Q9" s="2149"/>
      <c r="S9" s="2148"/>
      <c r="T9" s="2149"/>
      <c r="V9" s="367"/>
      <c r="W9" s="2159"/>
      <c r="X9" s="2160"/>
    </row>
    <row r="10" spans="1:24" s="156" customFormat="1" ht="12.6" customHeight="1">
      <c r="B10" s="156" t="s">
        <v>457</v>
      </c>
      <c r="G10" s="2148"/>
      <c r="H10" s="2149"/>
      <c r="J10" s="2148"/>
      <c r="K10" s="2149"/>
      <c r="L10" s="180"/>
      <c r="M10" s="2148"/>
      <c r="N10" s="2149"/>
      <c r="P10" s="2148"/>
      <c r="Q10" s="2149"/>
      <c r="S10" s="2148"/>
      <c r="T10" s="2149"/>
      <c r="V10" s="367"/>
      <c r="W10" s="2159"/>
      <c r="X10" s="2160"/>
    </row>
    <row r="11" spans="1:24" s="156" customFormat="1" ht="12.6" customHeight="1">
      <c r="B11" s="156" t="s">
        <v>458</v>
      </c>
      <c r="G11" s="2148"/>
      <c r="H11" s="2149"/>
      <c r="J11" s="2148"/>
      <c r="K11" s="2149"/>
      <c r="L11" s="180"/>
      <c r="M11" s="2148"/>
      <c r="N11" s="2149"/>
      <c r="P11" s="2148"/>
      <c r="Q11" s="2149"/>
      <c r="S11" s="2148"/>
      <c r="T11" s="2149"/>
      <c r="V11" s="367"/>
      <c r="W11" s="2159"/>
      <c r="X11" s="2160"/>
    </row>
    <row r="12" spans="1:24" s="156" customFormat="1" ht="12.6" customHeight="1">
      <c r="B12" s="156" t="s">
        <v>2217</v>
      </c>
      <c r="G12" s="2148"/>
      <c r="H12" s="2149"/>
      <c r="J12" s="2148"/>
      <c r="K12" s="2149"/>
      <c r="L12" s="180"/>
      <c r="M12" s="2148"/>
      <c r="N12" s="2149"/>
      <c r="P12" s="2148"/>
      <c r="Q12" s="2149"/>
      <c r="S12" s="2148"/>
      <c r="T12" s="2149"/>
      <c r="V12" s="367"/>
      <c r="W12" s="2159"/>
      <c r="X12" s="2160"/>
    </row>
    <row r="13" spans="1:24" s="156" customFormat="1" ht="12.6" customHeight="1">
      <c r="B13" s="156" t="s">
        <v>170</v>
      </c>
      <c r="G13" s="2148"/>
      <c r="H13" s="2149"/>
      <c r="J13" s="2148"/>
      <c r="K13" s="2149"/>
      <c r="L13" s="180"/>
      <c r="M13" s="2148"/>
      <c r="N13" s="2149"/>
      <c r="P13" s="2148"/>
      <c r="Q13" s="2149"/>
      <c r="S13" s="2148"/>
      <c r="T13" s="2149"/>
      <c r="V13" s="367"/>
      <c r="W13" s="2159"/>
      <c r="X13" s="2160"/>
    </row>
    <row r="14" spans="1:24" s="156" customFormat="1" ht="12.6" customHeight="1">
      <c r="A14" s="266" t="str">
        <f>IF(AND(G14&gt;0,OR(C14="",C14="&lt;Enter detailed description here; use Comments section if needed&gt;")),"X","")</f>
        <v/>
      </c>
      <c r="B14" s="156" t="s">
        <v>686</v>
      </c>
      <c r="C14" s="1891" t="s">
        <v>2143</v>
      </c>
      <c r="D14" s="1891"/>
      <c r="E14" s="1891"/>
      <c r="F14" s="1892"/>
      <c r="G14" s="2148"/>
      <c r="H14" s="2149"/>
      <c r="J14" s="2148"/>
      <c r="K14" s="2149"/>
      <c r="L14" s="180"/>
      <c r="M14" s="2148"/>
      <c r="N14" s="2149"/>
      <c r="P14" s="2148"/>
      <c r="Q14" s="2149"/>
      <c r="S14" s="2148"/>
      <c r="T14" s="2149"/>
      <c r="U14" s="265" t="str">
        <f>IF(AND(G14&gt;0,OR(C14="",C14="&lt;Enter detailed description here; use Comments section if needed&gt;")),"NO DESCRIPTION PROVIDED - please enter detailed description in Other box at left; use Comments section below if needed.","")</f>
        <v/>
      </c>
      <c r="V14" s="368"/>
      <c r="W14" s="2159"/>
      <c r="X14" s="2160"/>
    </row>
    <row r="15" spans="1:24" s="156" customFormat="1" ht="12.6" customHeight="1">
      <c r="A15" s="266" t="str">
        <f>IF(AND(G15&gt;0,OR(C15="",C15="&lt;Enter detailed description here; use Comments section if needed&gt;")),"X","")</f>
        <v/>
      </c>
      <c r="B15" s="156" t="s">
        <v>686</v>
      </c>
      <c r="C15" s="1891" t="s">
        <v>2143</v>
      </c>
      <c r="D15" s="1891"/>
      <c r="E15" s="1891"/>
      <c r="F15" s="1892"/>
      <c r="G15" s="2148"/>
      <c r="H15" s="2149"/>
      <c r="J15" s="2148"/>
      <c r="K15" s="2149"/>
      <c r="L15" s="180"/>
      <c r="M15" s="2148"/>
      <c r="N15" s="2149"/>
      <c r="P15" s="2148"/>
      <c r="Q15" s="2149"/>
      <c r="S15" s="2148"/>
      <c r="T15" s="2149"/>
      <c r="U15" s="265" t="str">
        <f>IF(AND(G15&gt;0,OR(C15="",C15="&lt;Enter detailed description here; use Comments section if needed&gt;")),"NO DESCRIPTION PROVIDED - please enter detailed description in Other box at left; use Comments section below if needed.","")</f>
        <v/>
      </c>
      <c r="V15" s="368"/>
      <c r="W15" s="2159"/>
      <c r="X15" s="2160"/>
    </row>
    <row r="16" spans="1:24" s="156" customFormat="1" ht="12.6" customHeight="1" thickBot="1">
      <c r="A16" s="266" t="str">
        <f>IF(AND(G16&gt;0,OR(C16="",C16="&lt;Enter detailed description here; use Comments section if needed&gt;")),"X","")</f>
        <v/>
      </c>
      <c r="B16" s="156" t="s">
        <v>686</v>
      </c>
      <c r="C16" s="1891" t="s">
        <v>2143</v>
      </c>
      <c r="D16" s="1891"/>
      <c r="E16" s="1891"/>
      <c r="F16" s="1892"/>
      <c r="G16" s="2152"/>
      <c r="H16" s="2153"/>
      <c r="J16" s="2152"/>
      <c r="K16" s="2153"/>
      <c r="L16" s="180"/>
      <c r="M16" s="2152"/>
      <c r="N16" s="2153"/>
      <c r="P16" s="2152"/>
      <c r="Q16" s="2153"/>
      <c r="S16" s="2152"/>
      <c r="T16" s="2153"/>
      <c r="U16" s="265" t="str">
        <f>IF(AND(G16&gt;0,OR(C16="",C16="&lt;Enter detailed description here; use Comments section if needed&gt;")),"NO DESCRIPTION PROVIDED - please enter detailed description in Other box at left; use Comments section below if needed.","")</f>
        <v/>
      </c>
      <c r="V16" s="368"/>
      <c r="W16" s="2159"/>
      <c r="X16" s="2160"/>
    </row>
    <row r="17" spans="2:24" s="156" customFormat="1" ht="12.6" customHeight="1" thickTop="1">
      <c r="F17" s="234" t="s">
        <v>171</v>
      </c>
      <c r="G17" s="2154">
        <f>SUM(G8:H16)</f>
        <v>0</v>
      </c>
      <c r="H17" s="2163"/>
      <c r="J17" s="2154">
        <f>SUM(J8:K16)</f>
        <v>0</v>
      </c>
      <c r="K17" s="2155"/>
      <c r="L17" s="180"/>
      <c r="M17" s="2154">
        <f>SUM(M8:N16)</f>
        <v>0</v>
      </c>
      <c r="N17" s="2163"/>
      <c r="P17" s="2154">
        <f>SUM(P8:Q16)</f>
        <v>0</v>
      </c>
      <c r="Q17" s="2163"/>
      <c r="S17" s="2154">
        <f>SUM(S8:T16)</f>
        <v>0</v>
      </c>
      <c r="T17" s="2163"/>
      <c r="V17" s="369">
        <f>SUM(V8:V16)</f>
        <v>0</v>
      </c>
      <c r="W17" s="2161"/>
      <c r="X17" s="2162"/>
    </row>
    <row r="18" spans="2:24" s="156" customFormat="1" ht="12" customHeight="1">
      <c r="B18" s="160" t="s">
        <v>1959</v>
      </c>
      <c r="J18" s="233"/>
      <c r="K18" s="233"/>
      <c r="M18" s="233"/>
      <c r="N18" s="233"/>
      <c r="O18" s="235" t="str">
        <f>B18</f>
        <v>ACQUISITION</v>
      </c>
      <c r="P18" s="233"/>
      <c r="Q18" s="233"/>
      <c r="S18" s="233"/>
      <c r="T18" s="233"/>
      <c r="W18" s="156" t="str">
        <f>B18</f>
        <v>ACQUISITION</v>
      </c>
    </row>
    <row r="19" spans="2:24" s="156" customFormat="1" ht="12.6" customHeight="1">
      <c r="B19" s="156" t="s">
        <v>1960</v>
      </c>
      <c r="G19" s="2150"/>
      <c r="H19" s="2151"/>
      <c r="J19" s="236"/>
      <c r="K19" s="233"/>
      <c r="L19" s="236"/>
      <c r="M19" s="236"/>
      <c r="N19" s="233"/>
      <c r="P19" s="236"/>
      <c r="Q19" s="233"/>
      <c r="S19" s="2150"/>
      <c r="T19" s="2151"/>
      <c r="V19" s="367"/>
      <c r="W19" s="2157"/>
      <c r="X19" s="2158"/>
    </row>
    <row r="20" spans="2:24" s="156" customFormat="1" ht="12.6" customHeight="1">
      <c r="B20" s="156" t="s">
        <v>1039</v>
      </c>
      <c r="G20" s="2148"/>
      <c r="H20" s="2149"/>
      <c r="J20" s="236"/>
      <c r="K20" s="233"/>
      <c r="L20" s="236"/>
      <c r="M20" s="236"/>
      <c r="N20" s="233"/>
      <c r="P20" s="236"/>
      <c r="Q20" s="233"/>
      <c r="S20" s="2148"/>
      <c r="T20" s="2149"/>
      <c r="V20" s="367"/>
      <c r="W20" s="2159"/>
      <c r="X20" s="2160"/>
    </row>
    <row r="21" spans="2:24" s="156" customFormat="1" ht="12.6" customHeight="1">
      <c r="B21" s="156" t="s">
        <v>433</v>
      </c>
      <c r="G21" s="2148"/>
      <c r="H21" s="2149"/>
      <c r="J21" s="236"/>
      <c r="K21" s="233"/>
      <c r="L21" s="236"/>
      <c r="M21" s="2150"/>
      <c r="N21" s="2151"/>
      <c r="P21" s="236"/>
      <c r="Q21" s="233"/>
      <c r="S21" s="2148"/>
      <c r="T21" s="2149"/>
      <c r="V21" s="367"/>
      <c r="W21" s="2159"/>
      <c r="X21" s="2160"/>
    </row>
    <row r="22" spans="2:24" s="156" customFormat="1" ht="12.6" customHeight="1" thickBot="1">
      <c r="B22" s="156" t="s">
        <v>404</v>
      </c>
      <c r="G22" s="2152"/>
      <c r="H22" s="2153"/>
      <c r="J22" s="236"/>
      <c r="K22" s="233"/>
      <c r="L22" s="236"/>
      <c r="M22" s="2152"/>
      <c r="N22" s="2153"/>
      <c r="P22" s="236"/>
      <c r="Q22" s="233"/>
      <c r="S22" s="2152"/>
      <c r="T22" s="2153"/>
      <c r="V22" s="367"/>
      <c r="W22" s="2159"/>
      <c r="X22" s="2160"/>
    </row>
    <row r="23" spans="2:24" s="156" customFormat="1" ht="12.6" customHeight="1" thickTop="1">
      <c r="F23" s="234" t="s">
        <v>171</v>
      </c>
      <c r="G23" s="2154">
        <f>SUM(G19:H22)</f>
        <v>0</v>
      </c>
      <c r="H23" s="2163"/>
      <c r="J23" s="236"/>
      <c r="K23" s="233"/>
      <c r="L23" s="236"/>
      <c r="M23" s="2154">
        <f>SUM(M21:N22)</f>
        <v>0</v>
      </c>
      <c r="N23" s="2163"/>
      <c r="P23" s="236"/>
      <c r="Q23" s="233"/>
      <c r="S23" s="2154">
        <f>SUM(S19:T22)</f>
        <v>0</v>
      </c>
      <c r="T23" s="2163"/>
      <c r="V23" s="369">
        <f>SUM(V19:V22)</f>
        <v>0</v>
      </c>
      <c r="W23" s="2161"/>
      <c r="X23" s="2162"/>
    </row>
    <row r="24" spans="2:24" s="156" customFormat="1" ht="12" customHeight="1">
      <c r="B24" s="160" t="s">
        <v>1040</v>
      </c>
      <c r="J24" s="236"/>
      <c r="K24" s="233"/>
      <c r="M24" s="236"/>
      <c r="N24" s="233"/>
      <c r="O24" s="235" t="str">
        <f>B24</f>
        <v>LAND IMPROVEMENTS</v>
      </c>
      <c r="P24" s="236"/>
      <c r="Q24" s="233"/>
      <c r="S24" s="236"/>
      <c r="T24" s="233"/>
      <c r="W24" s="156" t="str">
        <f>B24</f>
        <v>LAND IMPROVEMENTS</v>
      </c>
    </row>
    <row r="25" spans="2:24" s="156" customFormat="1" ht="12.6" customHeight="1">
      <c r="B25" s="156" t="s">
        <v>1041</v>
      </c>
      <c r="G25" s="2150"/>
      <c r="H25" s="2151"/>
      <c r="J25" s="2150"/>
      <c r="K25" s="2151"/>
      <c r="L25" s="180"/>
      <c r="M25" s="2218"/>
      <c r="N25" s="2219"/>
      <c r="P25" s="2218"/>
      <c r="Q25" s="2219"/>
      <c r="S25" s="2150"/>
      <c r="T25" s="2151"/>
      <c r="V25" s="367"/>
      <c r="W25" s="2157"/>
      <c r="X25" s="2158"/>
    </row>
    <row r="26" spans="2:24" s="156" customFormat="1" ht="12.6" customHeight="1" thickBot="1">
      <c r="B26" s="156" t="s">
        <v>1042</v>
      </c>
      <c r="G26" s="2152"/>
      <c r="H26" s="2153"/>
      <c r="J26" s="2152"/>
      <c r="K26" s="2153"/>
      <c r="L26" s="237"/>
      <c r="M26" s="2275"/>
      <c r="N26" s="2275"/>
      <c r="P26" s="2275"/>
      <c r="Q26" s="2275"/>
      <c r="S26" s="2152"/>
      <c r="T26" s="2153"/>
      <c r="V26" s="367"/>
      <c r="W26" s="2159"/>
      <c r="X26" s="2160"/>
    </row>
    <row r="27" spans="2:24" s="156" customFormat="1" ht="12.6" customHeight="1" thickTop="1">
      <c r="F27" s="234" t="s">
        <v>171</v>
      </c>
      <c r="G27" s="2154">
        <f>SUM(G25:H26)</f>
        <v>0</v>
      </c>
      <c r="H27" s="2163"/>
      <c r="J27" s="2154">
        <f>SUM(J25:K26)</f>
        <v>0</v>
      </c>
      <c r="K27" s="2163"/>
      <c r="L27" s="236"/>
      <c r="M27" s="2154">
        <f>M25</f>
        <v>0</v>
      </c>
      <c r="N27" s="2163"/>
      <c r="P27" s="2154">
        <f>P25</f>
        <v>0</v>
      </c>
      <c r="Q27" s="2163"/>
      <c r="S27" s="2154">
        <f>SUM(S25:T26)</f>
        <v>0</v>
      </c>
      <c r="T27" s="2163"/>
      <c r="V27" s="369">
        <f>SUM(V25:V26)</f>
        <v>0</v>
      </c>
      <c r="W27" s="2161"/>
      <c r="X27" s="2162"/>
    </row>
    <row r="28" spans="2:24" s="156" customFormat="1" ht="12" customHeight="1">
      <c r="B28" s="160" t="s">
        <v>1043</v>
      </c>
      <c r="J28" s="236"/>
      <c r="K28" s="233"/>
      <c r="M28" s="236"/>
      <c r="N28" s="233"/>
      <c r="O28" s="235" t="str">
        <f>B28</f>
        <v>STRUCTURES</v>
      </c>
      <c r="P28" s="236"/>
      <c r="Q28" s="233"/>
      <c r="S28" s="236"/>
      <c r="T28" s="233"/>
      <c r="W28" s="156" t="str">
        <f>B28</f>
        <v>STRUCTURES</v>
      </c>
    </row>
    <row r="29" spans="2:24" s="156" customFormat="1" ht="12.6" customHeight="1">
      <c r="B29" s="156" t="s">
        <v>1044</v>
      </c>
      <c r="G29" s="2150"/>
      <c r="H29" s="2151"/>
      <c r="J29" s="2150"/>
      <c r="K29" s="2151"/>
      <c r="L29" s="180"/>
      <c r="M29" s="2150"/>
      <c r="N29" s="2151"/>
      <c r="P29" s="2150"/>
      <c r="Q29" s="2151"/>
      <c r="S29" s="2150"/>
      <c r="T29" s="2151"/>
      <c r="V29" s="367"/>
      <c r="W29" s="2157"/>
      <c r="X29" s="2158"/>
    </row>
    <row r="30" spans="2:24" s="156" customFormat="1" ht="12.6" customHeight="1">
      <c r="B30" s="156" t="s">
        <v>1045</v>
      </c>
      <c r="G30" s="2148"/>
      <c r="H30" s="2149"/>
      <c r="J30" s="2148"/>
      <c r="K30" s="2149"/>
      <c r="L30" s="180"/>
      <c r="M30" s="2148"/>
      <c r="N30" s="2149"/>
      <c r="P30" s="2148"/>
      <c r="Q30" s="2149"/>
      <c r="S30" s="2148"/>
      <c r="T30" s="2149"/>
      <c r="V30" s="367"/>
      <c r="W30" s="2159"/>
      <c r="X30" s="2160"/>
    </row>
    <row r="31" spans="2:24" s="156" customFormat="1" ht="12.6" customHeight="1">
      <c r="B31" s="156" t="s">
        <v>2395</v>
      </c>
      <c r="G31" s="2148"/>
      <c r="H31" s="2149"/>
      <c r="J31" s="2148"/>
      <c r="K31" s="2149"/>
      <c r="L31" s="380"/>
      <c r="M31" s="2148"/>
      <c r="N31" s="2149"/>
      <c r="P31" s="2148"/>
      <c r="Q31" s="2149"/>
      <c r="S31" s="2148"/>
      <c r="T31" s="2149"/>
      <c r="V31" s="367"/>
      <c r="W31" s="2159"/>
      <c r="X31" s="2160"/>
    </row>
    <row r="32" spans="2:24" ht="12.6" customHeight="1" thickBot="1">
      <c r="B32" s="156" t="s">
        <v>2394</v>
      </c>
      <c r="G32" s="2152"/>
      <c r="H32" s="2153"/>
      <c r="I32" s="156"/>
      <c r="J32" s="2152"/>
      <c r="K32" s="2153"/>
      <c r="L32" s="180"/>
      <c r="M32" s="2152"/>
      <c r="N32" s="2153"/>
      <c r="O32" s="156"/>
      <c r="P32" s="2152"/>
      <c r="Q32" s="2153"/>
      <c r="R32" s="156"/>
      <c r="S32" s="2152"/>
      <c r="T32" s="2153"/>
      <c r="V32" s="367"/>
      <c r="W32" s="2159"/>
      <c r="X32" s="2160"/>
    </row>
    <row r="33" spans="1:24" s="156" customFormat="1" ht="12.6" customHeight="1" thickTop="1">
      <c r="C33" s="2274"/>
      <c r="D33" s="2274"/>
      <c r="E33" s="238"/>
      <c r="F33" s="234" t="s">
        <v>171</v>
      </c>
      <c r="G33" s="2154">
        <f>SUM(G29:H32)</f>
        <v>0</v>
      </c>
      <c r="H33" s="2163"/>
      <c r="J33" s="2154">
        <f>SUM(J29:K32)</f>
        <v>0</v>
      </c>
      <c r="K33" s="2163"/>
      <c r="L33" s="180"/>
      <c r="M33" s="2154">
        <f>SUM(M29:N32)</f>
        <v>0</v>
      </c>
      <c r="N33" s="2163"/>
      <c r="P33" s="2154">
        <f>SUM(P29:Q32)</f>
        <v>0</v>
      </c>
      <c r="Q33" s="2163"/>
      <c r="S33" s="2154">
        <f>SUM(S29:T32)</f>
        <v>0</v>
      </c>
      <c r="T33" s="2163"/>
      <c r="V33" s="369">
        <f>SUM(V29:V32)</f>
        <v>0</v>
      </c>
      <c r="W33" s="2161"/>
      <c r="X33" s="2162"/>
    </row>
    <row r="34" spans="1:24" s="156" customFormat="1" ht="12" customHeight="1">
      <c r="B34" s="160" t="s">
        <v>2084</v>
      </c>
      <c r="E34" s="329">
        <f>SUM(E35:E37)</f>
        <v>0.14000000000000001</v>
      </c>
      <c r="F34" s="328"/>
      <c r="G34" s="257"/>
      <c r="H34" s="184"/>
      <c r="I34" s="184"/>
      <c r="J34" s="236"/>
      <c r="K34" s="233"/>
      <c r="M34" s="236"/>
      <c r="N34" s="233"/>
      <c r="O34" s="235" t="str">
        <f>B34</f>
        <v>CONTRACTOR SERVICES</v>
      </c>
      <c r="P34" s="236"/>
      <c r="Q34" s="233"/>
      <c r="S34" s="236"/>
      <c r="T34" s="233"/>
      <c r="W34" s="156" t="str">
        <f>B34</f>
        <v>CONTRACTOR SERVICES</v>
      </c>
    </row>
    <row r="35" spans="1:24" s="156" customFormat="1" ht="12.6" customHeight="1">
      <c r="B35" s="156" t="s">
        <v>2085</v>
      </c>
      <c r="E35" s="239">
        <f>'DCA Underwriting Assumptions'!$R$73</f>
        <v>0.06</v>
      </c>
      <c r="F35" s="280">
        <f>E35*(G27+G33)</f>
        <v>0</v>
      </c>
      <c r="G35" s="2150"/>
      <c r="H35" s="2151"/>
      <c r="I35" s="184"/>
      <c r="J35" s="2150"/>
      <c r="K35" s="2151"/>
      <c r="L35" s="180"/>
      <c r="M35" s="2150"/>
      <c r="N35" s="2151"/>
      <c r="P35" s="2150"/>
      <c r="Q35" s="2151"/>
      <c r="S35" s="2150"/>
      <c r="T35" s="2151"/>
      <c r="V35" s="367"/>
      <c r="W35" s="2157"/>
      <c r="X35" s="2158"/>
    </row>
    <row r="36" spans="1:24" s="156" customFormat="1" ht="12.6" customHeight="1">
      <c r="B36" s="156" t="s">
        <v>2363</v>
      </c>
      <c r="E36" s="239">
        <f>'DCA Underwriting Assumptions'!$R$74</f>
        <v>0.02</v>
      </c>
      <c r="F36" s="280">
        <f>E36*(G27+G33)</f>
        <v>0</v>
      </c>
      <c r="G36" s="2148"/>
      <c r="H36" s="2149"/>
      <c r="I36" s="184"/>
      <c r="J36" s="2148"/>
      <c r="K36" s="2149"/>
      <c r="L36" s="180"/>
      <c r="M36" s="2148"/>
      <c r="N36" s="2149"/>
      <c r="P36" s="2148"/>
      <c r="Q36" s="2149"/>
      <c r="S36" s="2148"/>
      <c r="T36" s="2149"/>
      <c r="V36" s="367"/>
      <c r="W36" s="2159"/>
      <c r="X36" s="2160"/>
    </row>
    <row r="37" spans="1:24" s="156" customFormat="1" ht="12.6" customHeight="1" thickBot="1">
      <c r="B37" s="156" t="s">
        <v>2364</v>
      </c>
      <c r="E37" s="239">
        <f>'DCA Underwriting Assumptions'!$R$75</f>
        <v>0.06</v>
      </c>
      <c r="F37" s="280">
        <f>E37*(G27+G33)</f>
        <v>0</v>
      </c>
      <c r="G37" s="2152"/>
      <c r="H37" s="2153"/>
      <c r="I37" s="184"/>
      <c r="J37" s="2152"/>
      <c r="K37" s="2153"/>
      <c r="L37" s="325"/>
      <c r="M37" s="2152"/>
      <c r="N37" s="2153"/>
      <c r="P37" s="2152"/>
      <c r="Q37" s="2153"/>
      <c r="S37" s="2152"/>
      <c r="T37" s="2153"/>
      <c r="V37" s="367"/>
      <c r="W37" s="2159"/>
      <c r="X37" s="2160"/>
    </row>
    <row r="38" spans="1:24" s="156" customFormat="1" ht="12.6" customHeight="1" thickTop="1">
      <c r="B38" s="156" t="s">
        <v>1825</v>
      </c>
      <c r="D38" s="242"/>
      <c r="E38" s="169"/>
      <c r="F38" s="281" t="s">
        <v>171</v>
      </c>
      <c r="G38" s="2154">
        <f>SUM(G35:H37)</f>
        <v>0</v>
      </c>
      <c r="H38" s="2163"/>
      <c r="J38" s="2154">
        <f>SUM(J35:K37)</f>
        <v>0</v>
      </c>
      <c r="K38" s="2163"/>
      <c r="L38" s="236"/>
      <c r="M38" s="2154">
        <f>SUM(M35:N37)</f>
        <v>0</v>
      </c>
      <c r="N38" s="2163"/>
      <c r="P38" s="2154">
        <f>SUM(P35:Q37)</f>
        <v>0</v>
      </c>
      <c r="Q38" s="2163"/>
      <c r="S38" s="2154">
        <f>SUM(S35:T37)</f>
        <v>0</v>
      </c>
      <c r="T38" s="2163"/>
      <c r="V38" s="369">
        <f>SUM(V35:V37)</f>
        <v>0</v>
      </c>
      <c r="W38" s="2161"/>
      <c r="X38" s="2162"/>
    </row>
    <row r="39" spans="1:24" s="156" customFormat="1" ht="3" customHeight="1">
      <c r="A39" s="322"/>
      <c r="B39" s="322"/>
      <c r="C39" s="322"/>
      <c r="D39" s="322"/>
      <c r="E39" s="322"/>
      <c r="F39" s="322"/>
      <c r="G39" s="322"/>
      <c r="H39" s="322"/>
      <c r="I39" s="322"/>
      <c r="J39" s="322"/>
      <c r="K39" s="322"/>
      <c r="L39" s="322"/>
      <c r="M39" s="322"/>
      <c r="N39" s="322"/>
      <c r="O39" s="322"/>
      <c r="P39" s="322"/>
      <c r="Q39" s="322"/>
      <c r="R39" s="322"/>
      <c r="S39" s="322"/>
      <c r="T39" s="322"/>
    </row>
    <row r="40" spans="1:24" s="156" customFormat="1" ht="12" customHeight="1">
      <c r="B40" s="160" t="s">
        <v>2365</v>
      </c>
      <c r="J40" s="236"/>
      <c r="K40" s="233"/>
      <c r="M40" s="236"/>
      <c r="N40" s="233"/>
      <c r="O40" s="235" t="str">
        <f>B40</f>
        <v>OTHER CONSTRUCTION HARD COSTS (Non-GC work scope items done by Owner)</v>
      </c>
      <c r="P40" s="236"/>
      <c r="Q40" s="233"/>
      <c r="S40" s="236"/>
      <c r="T40" s="233"/>
      <c r="W40" s="156" t="str">
        <f>B40</f>
        <v>OTHER CONSTRUCTION HARD COSTS (Non-GC work scope items done by Owner)</v>
      </c>
    </row>
    <row r="41" spans="1:24" ht="12.6" customHeight="1">
      <c r="B41" s="156" t="s">
        <v>686</v>
      </c>
      <c r="C41" s="1891" t="s">
        <v>2143</v>
      </c>
      <c r="D41" s="2224"/>
      <c r="E41" s="2224"/>
      <c r="F41" s="2225"/>
      <c r="G41" s="2173"/>
      <c r="H41" s="2174"/>
      <c r="I41" s="156"/>
      <c r="J41" s="2173"/>
      <c r="K41" s="2174"/>
      <c r="L41" s="326"/>
      <c r="M41" s="2173"/>
      <c r="N41" s="2174"/>
      <c r="O41" s="156"/>
      <c r="P41" s="2173"/>
      <c r="Q41" s="2174"/>
      <c r="R41" s="156"/>
      <c r="S41" s="2173"/>
      <c r="T41" s="2174"/>
      <c r="V41" s="367"/>
      <c r="W41" s="2157"/>
      <c r="X41" s="2158"/>
    </row>
    <row r="42" spans="1:24" s="156" customFormat="1" ht="6" customHeight="1">
      <c r="A42" s="159"/>
      <c r="B42" s="159"/>
      <c r="C42" s="159"/>
      <c r="D42" s="157"/>
      <c r="E42" s="157"/>
      <c r="F42" s="157"/>
      <c r="G42" s="159"/>
      <c r="H42" s="159"/>
      <c r="I42" s="159"/>
      <c r="J42" s="159"/>
      <c r="K42" s="159"/>
      <c r="L42" s="159"/>
      <c r="M42" s="159"/>
      <c r="N42" s="159"/>
      <c r="O42" s="159"/>
      <c r="P42" s="159"/>
      <c r="Q42" s="159"/>
      <c r="R42" s="159"/>
      <c r="S42" s="159"/>
      <c r="T42" s="159"/>
      <c r="W42" s="2159"/>
      <c r="X42" s="2160"/>
    </row>
    <row r="43" spans="1:24" s="156" customFormat="1" ht="12.6" customHeight="1">
      <c r="B43" s="377" t="s">
        <v>2368</v>
      </c>
      <c r="C43" s="378"/>
      <c r="E43" s="2222" t="s">
        <v>2367</v>
      </c>
      <c r="F43" s="374" t="e">
        <f>B44/'Part VI-Revenues &amp; Expenses'!$O$67</f>
        <v>#DIV/0!</v>
      </c>
      <c r="G43" s="375" t="s">
        <v>2386</v>
      </c>
      <c r="H43" s="323"/>
      <c r="I43" s="323"/>
      <c r="J43" s="2276" t="e">
        <f>B44/'Part VI-Revenues &amp; Expenses'!$O$67</f>
        <v>#DIV/0!</v>
      </c>
      <c r="K43" s="2276"/>
      <c r="L43" s="323"/>
      <c r="M43" s="2277" t="s">
        <v>1294</v>
      </c>
      <c r="N43" s="2277"/>
      <c r="O43" s="323"/>
      <c r="P43" s="2276" t="e">
        <f>B44/'Part I-Project Information'!$P$64</f>
        <v>#DIV/0!</v>
      </c>
      <c r="Q43" s="2276"/>
      <c r="R43" s="323"/>
      <c r="S43" s="2171" t="s">
        <v>2393</v>
      </c>
      <c r="T43" s="2172"/>
      <c r="W43" s="2159"/>
      <c r="X43" s="2160"/>
    </row>
    <row r="44" spans="1:24" s="156" customFormat="1" ht="12.6" customHeight="1">
      <c r="B44" s="2210">
        <f>G27+G33+G38+G41</f>
        <v>0</v>
      </c>
      <c r="C44" s="2211"/>
      <c r="E44" s="2223"/>
      <c r="F44" s="373" t="e">
        <f>B44/'Part VI-Revenues &amp; Expenses'!$O$165</f>
        <v>#DIV/0!</v>
      </c>
      <c r="G44" s="376" t="s">
        <v>2387</v>
      </c>
      <c r="H44" s="372"/>
      <c r="I44" s="372"/>
      <c r="J44" s="2226" t="e">
        <f>B44/'Part VI-Revenues &amp; Expenses'!$O$167</f>
        <v>#DIV/0!</v>
      </c>
      <c r="K44" s="2226"/>
      <c r="L44" s="372"/>
      <c r="M44" s="2227" t="s">
        <v>2392</v>
      </c>
      <c r="N44" s="2227"/>
      <c r="O44" s="372"/>
      <c r="P44" s="372"/>
      <c r="Q44" s="372"/>
      <c r="R44" s="372"/>
      <c r="S44" s="372"/>
      <c r="T44" s="223"/>
      <c r="W44" s="2161"/>
      <c r="X44" s="2162"/>
    </row>
    <row r="45" spans="1:24" s="156" customFormat="1" ht="3" customHeight="1" thickBot="1">
      <c r="A45" s="159"/>
      <c r="B45" s="159"/>
      <c r="C45" s="159"/>
      <c r="D45" s="159"/>
      <c r="E45" s="159"/>
      <c r="F45" s="159"/>
      <c r="G45" s="159"/>
      <c r="H45" s="159"/>
      <c r="I45" s="159"/>
      <c r="J45" s="159"/>
      <c r="K45" s="159"/>
      <c r="L45" s="159"/>
      <c r="M45" s="159"/>
      <c r="N45" s="159"/>
      <c r="O45" s="159"/>
      <c r="P45" s="159"/>
      <c r="Q45" s="159"/>
      <c r="R45" s="159"/>
      <c r="S45" s="159"/>
      <c r="T45" s="159"/>
    </row>
    <row r="46" spans="1:24" s="156" customFormat="1" ht="18.75" customHeight="1" thickBot="1">
      <c r="A46" s="294" t="s">
        <v>572</v>
      </c>
      <c r="B46" s="294" t="s">
        <v>2418</v>
      </c>
      <c r="H46" s="169"/>
      <c r="I46" s="169"/>
      <c r="J46" s="2175" t="s">
        <v>250</v>
      </c>
      <c r="K46" s="2176"/>
      <c r="L46" s="233"/>
      <c r="M46" s="2212" t="s">
        <v>460</v>
      </c>
      <c r="N46" s="2213"/>
      <c r="P46" s="2175" t="s">
        <v>251</v>
      </c>
      <c r="Q46" s="2176"/>
      <c r="S46" s="2175" t="s">
        <v>252</v>
      </c>
      <c r="T46" s="2176"/>
      <c r="W46" s="295" t="str">
        <f>B46</f>
        <v>DEVELOPMENT BUDGET (cont'd)</v>
      </c>
    </row>
    <row r="47" spans="1:24" s="156" customFormat="1" ht="18.75" customHeight="1" thickBot="1">
      <c r="G47" s="2216" t="s">
        <v>93</v>
      </c>
      <c r="H47" s="2217"/>
      <c r="J47" s="2177"/>
      <c r="K47" s="2178"/>
      <c r="L47" s="233"/>
      <c r="M47" s="2214"/>
      <c r="N47" s="2215"/>
      <c r="P47" s="2177"/>
      <c r="Q47" s="2178"/>
      <c r="S47" s="2177"/>
      <c r="T47" s="2178"/>
      <c r="W47" s="2156" t="s">
        <v>2338</v>
      </c>
      <c r="X47" s="2156"/>
    </row>
    <row r="48" spans="1:24" s="156" customFormat="1" ht="12" customHeight="1">
      <c r="B48" s="160" t="s">
        <v>669</v>
      </c>
      <c r="J48" s="236"/>
      <c r="K48" s="233"/>
      <c r="M48" s="236"/>
      <c r="N48" s="233"/>
      <c r="O48" s="235" t="str">
        <f>B48</f>
        <v>CONSTRUCTION PERIOD FINANCING</v>
      </c>
      <c r="P48" s="236"/>
      <c r="Q48" s="233"/>
      <c r="S48" s="236"/>
      <c r="T48" s="233"/>
      <c r="W48" s="156" t="str">
        <f>B48</f>
        <v>CONSTRUCTION PERIOD FINANCING</v>
      </c>
    </row>
    <row r="49" spans="1:24" s="156" customFormat="1" ht="12" customHeight="1">
      <c r="B49" s="156" t="s">
        <v>259</v>
      </c>
      <c r="G49" s="2150"/>
      <c r="H49" s="2151"/>
      <c r="J49" s="2150"/>
      <c r="K49" s="2151"/>
      <c r="L49" s="180"/>
      <c r="M49" s="2150"/>
      <c r="N49" s="2151"/>
      <c r="P49" s="2150"/>
      <c r="Q49" s="2151"/>
      <c r="S49" s="2150"/>
      <c r="T49" s="2151"/>
    </row>
    <row r="50" spans="1:24" s="156" customFormat="1" ht="12" customHeight="1">
      <c r="B50" s="156" t="s">
        <v>2086</v>
      </c>
      <c r="G50" s="2148"/>
      <c r="H50" s="2149"/>
      <c r="J50" s="2148"/>
      <c r="K50" s="2149"/>
      <c r="L50" s="180"/>
      <c r="M50" s="2148"/>
      <c r="N50" s="2149"/>
      <c r="P50" s="2148"/>
      <c r="Q50" s="2149"/>
      <c r="S50" s="2148"/>
      <c r="T50" s="2149"/>
      <c r="V50" s="367"/>
      <c r="W50" s="2157"/>
      <c r="X50" s="2158"/>
    </row>
    <row r="51" spans="1:24" s="156" customFormat="1" ht="12" customHeight="1">
      <c r="B51" s="156" t="s">
        <v>2087</v>
      </c>
      <c r="G51" s="2148"/>
      <c r="H51" s="2149"/>
      <c r="J51" s="2148"/>
      <c r="K51" s="2149"/>
      <c r="L51" s="180"/>
      <c r="M51" s="2148"/>
      <c r="N51" s="2149"/>
      <c r="P51" s="2148"/>
      <c r="Q51" s="2149"/>
      <c r="S51" s="2148"/>
      <c r="T51" s="2149"/>
      <c r="V51" s="367"/>
      <c r="W51" s="2159"/>
      <c r="X51" s="2160"/>
    </row>
    <row r="52" spans="1:24" s="156" customFormat="1" ht="12" customHeight="1">
      <c r="B52" s="156" t="s">
        <v>2088</v>
      </c>
      <c r="G52" s="2148"/>
      <c r="H52" s="2149"/>
      <c r="J52" s="2148"/>
      <c r="K52" s="2149"/>
      <c r="L52" s="180"/>
      <c r="M52" s="2148"/>
      <c r="N52" s="2149"/>
      <c r="P52" s="2148"/>
      <c r="Q52" s="2149"/>
      <c r="S52" s="2148"/>
      <c r="T52" s="2149"/>
      <c r="V52" s="367"/>
      <c r="W52" s="2159"/>
      <c r="X52" s="2160"/>
    </row>
    <row r="53" spans="1:24" s="156" customFormat="1" ht="12" customHeight="1">
      <c r="B53" s="156" t="s">
        <v>2339</v>
      </c>
      <c r="G53" s="2148"/>
      <c r="H53" s="2149"/>
      <c r="J53" s="2148"/>
      <c r="K53" s="2149"/>
      <c r="L53" s="308"/>
      <c r="M53" s="2148"/>
      <c r="N53" s="2149"/>
      <c r="P53" s="2148"/>
      <c r="Q53" s="2149"/>
      <c r="S53" s="2148"/>
      <c r="T53" s="2149"/>
      <c r="V53" s="367"/>
      <c r="W53" s="2159"/>
      <c r="X53" s="2160"/>
    </row>
    <row r="54" spans="1:24" s="156" customFormat="1" ht="12" customHeight="1">
      <c r="B54" s="156" t="s">
        <v>670</v>
      </c>
      <c r="G54" s="2148"/>
      <c r="H54" s="2149"/>
      <c r="J54" s="2148"/>
      <c r="K54" s="2149"/>
      <c r="L54" s="180"/>
      <c r="M54" s="2148"/>
      <c r="N54" s="2149"/>
      <c r="P54" s="2148"/>
      <c r="Q54" s="2149"/>
      <c r="S54" s="2148"/>
      <c r="T54" s="2149"/>
      <c r="V54" s="367"/>
      <c r="W54" s="2159"/>
      <c r="X54" s="2160"/>
    </row>
    <row r="55" spans="1:24" s="156" customFormat="1" ht="12" customHeight="1">
      <c r="B55" s="156" t="s">
        <v>2089</v>
      </c>
      <c r="G55" s="2148"/>
      <c r="H55" s="2149"/>
      <c r="J55" s="2148"/>
      <c r="K55" s="2149"/>
      <c r="L55" s="180"/>
      <c r="M55" s="2148"/>
      <c r="N55" s="2149"/>
      <c r="P55" s="2148"/>
      <c r="Q55" s="2149"/>
      <c r="S55" s="2148"/>
      <c r="T55" s="2149"/>
      <c r="V55" s="367"/>
      <c r="W55" s="2159"/>
      <c r="X55" s="2160"/>
    </row>
    <row r="56" spans="1:24" s="156" customFormat="1" ht="12" customHeight="1">
      <c r="B56" s="156" t="s">
        <v>1178</v>
      </c>
      <c r="G56" s="2148"/>
      <c r="H56" s="2149"/>
      <c r="J56" s="2148"/>
      <c r="K56" s="2149"/>
      <c r="L56" s="313"/>
      <c r="M56" s="2148"/>
      <c r="N56" s="2149"/>
      <c r="P56" s="2148"/>
      <c r="Q56" s="2149"/>
      <c r="S56" s="2148"/>
      <c r="T56" s="2149"/>
      <c r="V56" s="367"/>
      <c r="W56" s="2159"/>
      <c r="X56" s="2160"/>
    </row>
    <row r="57" spans="1:24" s="156" customFormat="1" ht="12" customHeight="1">
      <c r="B57" s="241" t="s">
        <v>1069</v>
      </c>
      <c r="D57" s="239"/>
      <c r="E57" s="239"/>
      <c r="F57" s="240"/>
      <c r="G57" s="2148"/>
      <c r="H57" s="2149"/>
      <c r="I57" s="184"/>
      <c r="J57" s="2148"/>
      <c r="K57" s="2149"/>
      <c r="L57" s="180"/>
      <c r="M57" s="2148"/>
      <c r="N57" s="2149"/>
      <c r="P57" s="2148"/>
      <c r="Q57" s="2149"/>
      <c r="S57" s="2148"/>
      <c r="T57" s="2149"/>
      <c r="V57" s="367"/>
      <c r="W57" s="2159"/>
      <c r="X57" s="2160"/>
    </row>
    <row r="58" spans="1:24" s="156" customFormat="1" ht="12" customHeight="1">
      <c r="A58" s="266" t="str">
        <f>IF(AND(G58&gt;0,OR(C58="",C58="&lt;Enter detailed description here; use Comments section if needed&gt;")),"X","")</f>
        <v/>
      </c>
      <c r="B58" s="156" t="s">
        <v>686</v>
      </c>
      <c r="C58" s="1891" t="s">
        <v>2143</v>
      </c>
      <c r="D58" s="1891"/>
      <c r="E58" s="1891"/>
      <c r="F58" s="1892"/>
      <c r="G58" s="2148"/>
      <c r="H58" s="2149"/>
      <c r="J58" s="2148"/>
      <c r="K58" s="2149"/>
      <c r="L58" s="338"/>
      <c r="M58" s="2148"/>
      <c r="N58" s="2149"/>
      <c r="P58" s="2148"/>
      <c r="Q58" s="2149"/>
      <c r="S58" s="2148"/>
      <c r="T58" s="2149"/>
      <c r="U58" s="265" t="str">
        <f>IF(AND(G58&gt;0,OR(C58="",C58="&lt;Enter detailed description here; use Comments section if needed&gt;")),"NO DESCRIPTION PROVIDED - please enter detailed description in Other box at left; use Comments section below if needed.","")</f>
        <v/>
      </c>
      <c r="V58" s="367"/>
      <c r="W58" s="2159"/>
      <c r="X58" s="2160"/>
    </row>
    <row r="59" spans="1:24" s="156" customFormat="1" ht="12" customHeight="1" thickBot="1">
      <c r="A59" s="266" t="str">
        <f>IF(AND(G59&gt;0,OR(C59="",C59="&lt;Enter detailed description here; use Comments section if needed&gt;")),"X","")</f>
        <v/>
      </c>
      <c r="B59" s="156" t="s">
        <v>686</v>
      </c>
      <c r="C59" s="1891" t="s">
        <v>2143</v>
      </c>
      <c r="D59" s="1891"/>
      <c r="E59" s="1891"/>
      <c r="F59" s="1892"/>
      <c r="G59" s="2152"/>
      <c r="H59" s="2153"/>
      <c r="J59" s="2152"/>
      <c r="K59" s="2153"/>
      <c r="L59" s="180"/>
      <c r="M59" s="2152"/>
      <c r="N59" s="2153"/>
      <c r="P59" s="2152"/>
      <c r="Q59" s="2153"/>
      <c r="S59" s="2152"/>
      <c r="T59" s="2153"/>
      <c r="U59" s="265" t="str">
        <f>IF(AND(G59&gt;0,OR(C59="",C59="&lt;Enter detailed description here; use Comments section if needed&gt;")),"NO DESCRIPTION PROVIDED - please enter detailed description in Other box at left; use Comments section below if needed.","")</f>
        <v/>
      </c>
      <c r="V59" s="367"/>
      <c r="W59" s="2159"/>
      <c r="X59" s="2160"/>
    </row>
    <row r="60" spans="1:24" s="156" customFormat="1" ht="12" customHeight="1" thickTop="1">
      <c r="F60" s="234" t="s">
        <v>171</v>
      </c>
      <c r="G60" s="2154">
        <f>SUM(G49:H59)</f>
        <v>0</v>
      </c>
      <c r="H60" s="2163"/>
      <c r="J60" s="2154">
        <f>SUM(J49:K59)</f>
        <v>0</v>
      </c>
      <c r="K60" s="2163"/>
      <c r="L60" s="236"/>
      <c r="M60" s="2154">
        <f>SUM(M49:N59)</f>
        <v>0</v>
      </c>
      <c r="N60" s="2163"/>
      <c r="P60" s="2154">
        <f>SUM(P49:Q59)</f>
        <v>0</v>
      </c>
      <c r="Q60" s="2163"/>
      <c r="S60" s="2154">
        <f>SUM(S49:T59)</f>
        <v>0</v>
      </c>
      <c r="T60" s="2163"/>
      <c r="V60" s="369">
        <f>SUM(V50:V59)</f>
        <v>0</v>
      </c>
      <c r="W60" s="2161"/>
      <c r="X60" s="2162"/>
    </row>
    <row r="61" spans="1:24" s="156" customFormat="1" ht="12" customHeight="1">
      <c r="B61" s="160" t="s">
        <v>447</v>
      </c>
      <c r="G61" s="233"/>
      <c r="H61" s="233"/>
      <c r="J61" s="233"/>
      <c r="K61" s="233"/>
      <c r="M61" s="233"/>
      <c r="N61" s="233"/>
      <c r="O61" s="235" t="str">
        <f>B61</f>
        <v>PROFESSIONAL SERVICES</v>
      </c>
      <c r="P61" s="233"/>
      <c r="Q61" s="233"/>
      <c r="S61" s="233"/>
      <c r="T61" s="233"/>
      <c r="W61" s="156" t="str">
        <f>B61</f>
        <v>PROFESSIONAL SERVICES</v>
      </c>
    </row>
    <row r="62" spans="1:24" s="156" customFormat="1" ht="12" customHeight="1">
      <c r="B62" s="156" t="s">
        <v>448</v>
      </c>
      <c r="G62" s="2150"/>
      <c r="H62" s="2151"/>
      <c r="J62" s="2150"/>
      <c r="K62" s="2151"/>
      <c r="L62" s="180"/>
      <c r="M62" s="2150"/>
      <c r="N62" s="2151"/>
      <c r="P62" s="2150"/>
      <c r="Q62" s="2151"/>
      <c r="S62" s="2150"/>
      <c r="T62" s="2151"/>
      <c r="V62" s="367"/>
      <c r="W62" s="2157"/>
      <c r="X62" s="2158"/>
    </row>
    <row r="63" spans="1:24" s="156" customFormat="1" ht="12" customHeight="1">
      <c r="B63" s="156" t="s">
        <v>449</v>
      </c>
      <c r="G63" s="2148"/>
      <c r="H63" s="2149"/>
      <c r="J63" s="2148"/>
      <c r="K63" s="2149"/>
      <c r="L63" s="180"/>
      <c r="M63" s="2148"/>
      <c r="N63" s="2149"/>
      <c r="P63" s="2148"/>
      <c r="Q63" s="2149"/>
      <c r="S63" s="2148"/>
      <c r="T63" s="2149"/>
      <c r="V63" s="367"/>
      <c r="W63" s="2159"/>
      <c r="X63" s="2160"/>
    </row>
    <row r="64" spans="1:24" s="156" customFormat="1" ht="12" customHeight="1">
      <c r="B64" s="156" t="s">
        <v>1047</v>
      </c>
      <c r="G64" s="2148"/>
      <c r="H64" s="2149"/>
      <c r="J64" s="2148"/>
      <c r="K64" s="2149"/>
      <c r="L64" s="180"/>
      <c r="M64" s="2148"/>
      <c r="N64" s="2149"/>
      <c r="P64" s="2148"/>
      <c r="Q64" s="2149"/>
      <c r="S64" s="2148"/>
      <c r="T64" s="2149"/>
      <c r="V64" s="367"/>
      <c r="W64" s="2159"/>
      <c r="X64" s="2160"/>
    </row>
    <row r="65" spans="1:24" s="156" customFormat="1" ht="12" customHeight="1">
      <c r="B65" s="156" t="s">
        <v>1048</v>
      </c>
      <c r="G65" s="2148"/>
      <c r="H65" s="2149"/>
      <c r="J65" s="2148"/>
      <c r="K65" s="2149"/>
      <c r="L65" s="180"/>
      <c r="M65" s="2148"/>
      <c r="N65" s="2149"/>
      <c r="P65" s="2148"/>
      <c r="Q65" s="2149"/>
      <c r="S65" s="2148"/>
      <c r="T65" s="2149"/>
      <c r="V65" s="367"/>
      <c r="W65" s="2159"/>
      <c r="X65" s="2160"/>
    </row>
    <row r="66" spans="1:24" s="156" customFormat="1" ht="12" customHeight="1">
      <c r="B66" s="156" t="s">
        <v>1049</v>
      </c>
      <c r="G66" s="2148"/>
      <c r="H66" s="2149"/>
      <c r="J66" s="2148"/>
      <c r="K66" s="2149"/>
      <c r="L66" s="180"/>
      <c r="M66" s="2148"/>
      <c r="N66" s="2149"/>
      <c r="P66" s="2148"/>
      <c r="Q66" s="2149"/>
      <c r="S66" s="2148"/>
      <c r="T66" s="2149"/>
      <c r="V66" s="367"/>
      <c r="W66" s="2159"/>
      <c r="X66" s="2160"/>
    </row>
    <row r="67" spans="1:24" s="156" customFormat="1" ht="12" customHeight="1">
      <c r="B67" s="156" t="s">
        <v>1050</v>
      </c>
      <c r="G67" s="2148"/>
      <c r="H67" s="2149"/>
      <c r="J67" s="2148"/>
      <c r="K67" s="2149"/>
      <c r="L67" s="180"/>
      <c r="M67" s="2148"/>
      <c r="N67" s="2149"/>
      <c r="P67" s="2148"/>
      <c r="Q67" s="2149"/>
      <c r="S67" s="2148"/>
      <c r="T67" s="2149"/>
      <c r="V67" s="367"/>
      <c r="W67" s="2159"/>
      <c r="X67" s="2160"/>
    </row>
    <row r="68" spans="1:24" s="156" customFormat="1" ht="12" customHeight="1">
      <c r="B68" s="156" t="s">
        <v>450</v>
      </c>
      <c r="G68" s="2148"/>
      <c r="H68" s="2149"/>
      <c r="J68" s="2148"/>
      <c r="K68" s="2149"/>
      <c r="L68" s="180"/>
      <c r="M68" s="2148"/>
      <c r="N68" s="2149"/>
      <c r="P68" s="2148"/>
      <c r="Q68" s="2149"/>
      <c r="S68" s="2148"/>
      <c r="T68" s="2149"/>
      <c r="V68" s="367"/>
      <c r="W68" s="2159"/>
      <c r="X68" s="2160"/>
    </row>
    <row r="69" spans="1:24" s="156" customFormat="1" ht="12" customHeight="1">
      <c r="B69" s="156" t="s">
        <v>451</v>
      </c>
      <c r="G69" s="2148"/>
      <c r="H69" s="2149"/>
      <c r="J69" s="2148"/>
      <c r="K69" s="2149"/>
      <c r="L69" s="180"/>
      <c r="M69" s="2148"/>
      <c r="N69" s="2149"/>
      <c r="P69" s="2148"/>
      <c r="Q69" s="2149"/>
      <c r="S69" s="2148"/>
      <c r="T69" s="2149"/>
      <c r="V69" s="367"/>
      <c r="W69" s="2159"/>
      <c r="X69" s="2160"/>
    </row>
    <row r="70" spans="1:24" s="156" customFormat="1" ht="12" customHeight="1">
      <c r="B70" s="156" t="s">
        <v>1834</v>
      </c>
      <c r="G70" s="2148"/>
      <c r="H70" s="2149"/>
      <c r="J70" s="2148"/>
      <c r="K70" s="2149"/>
      <c r="L70" s="180"/>
      <c r="M70" s="2148"/>
      <c r="N70" s="2149"/>
      <c r="P70" s="2148"/>
      <c r="Q70" s="2149"/>
      <c r="S70" s="2148"/>
      <c r="T70" s="2149"/>
      <c r="V70" s="367"/>
      <c r="W70" s="2159"/>
      <c r="X70" s="2160"/>
    </row>
    <row r="71" spans="1:24" s="156" customFormat="1" ht="12" customHeight="1">
      <c r="B71" s="156" t="s">
        <v>1179</v>
      </c>
      <c r="G71" s="2148"/>
      <c r="H71" s="2149"/>
      <c r="J71" s="2148"/>
      <c r="K71" s="2149"/>
      <c r="L71" s="342"/>
      <c r="M71" s="2148"/>
      <c r="N71" s="2149"/>
      <c r="P71" s="2148"/>
      <c r="Q71" s="2149"/>
      <c r="S71" s="2148"/>
      <c r="T71" s="2149"/>
      <c r="V71" s="367"/>
      <c r="W71" s="2159"/>
      <c r="X71" s="2160"/>
    </row>
    <row r="72" spans="1:24" s="156" customFormat="1" ht="12" customHeight="1" thickBot="1">
      <c r="A72" s="266" t="str">
        <f>IF(AND(G72&gt;0,OR(C72="",C72="&lt;Enter detailed description here; use Comments section if needed&gt;")),"X","")</f>
        <v/>
      </c>
      <c r="B72" s="156" t="s">
        <v>686</v>
      </c>
      <c r="C72" s="1891" t="s">
        <v>2143</v>
      </c>
      <c r="D72" s="1891"/>
      <c r="E72" s="1891"/>
      <c r="F72" s="1892"/>
      <c r="G72" s="2152"/>
      <c r="H72" s="2153"/>
      <c r="J72" s="2152"/>
      <c r="K72" s="2153"/>
      <c r="L72" s="180"/>
      <c r="M72" s="2152"/>
      <c r="N72" s="2153"/>
      <c r="P72" s="2152"/>
      <c r="Q72" s="2153"/>
      <c r="S72" s="2152"/>
      <c r="T72" s="2153"/>
      <c r="U72" s="265" t="str">
        <f>IF(AND(G72&gt;0,OR(C72="",C72="&lt;Enter detailed description here; use Comments section if needed&gt;")),"NO DESCRIPTION PROVIDED - please enter detailed description in Other box at left; use Comments section below if needed.","")</f>
        <v/>
      </c>
      <c r="V72" s="367"/>
      <c r="W72" s="2159"/>
      <c r="X72" s="2160"/>
    </row>
    <row r="73" spans="1:24" s="156" customFormat="1" ht="12" customHeight="1" thickTop="1">
      <c r="F73" s="234" t="s">
        <v>171</v>
      </c>
      <c r="G73" s="2154">
        <f>SUM(G62:H72)</f>
        <v>0</v>
      </c>
      <c r="H73" s="2163"/>
      <c r="J73" s="2154">
        <f>SUM(J62:K72)</f>
        <v>0</v>
      </c>
      <c r="K73" s="2163"/>
      <c r="L73" s="236"/>
      <c r="M73" s="2154">
        <f>SUM(M62:N72)</f>
        <v>0</v>
      </c>
      <c r="N73" s="2163"/>
      <c r="P73" s="2154">
        <f>SUM(P62:Q72)</f>
        <v>0</v>
      </c>
      <c r="Q73" s="2163"/>
      <c r="S73" s="2154">
        <f>SUM(S62:T72)</f>
        <v>0</v>
      </c>
      <c r="T73" s="2163"/>
      <c r="V73" s="369">
        <f>SUM(V62:V72)</f>
        <v>0</v>
      </c>
      <c r="W73" s="2161"/>
      <c r="X73" s="2162"/>
    </row>
    <row r="74" spans="1:24" ht="12" customHeight="1">
      <c r="A74" s="156"/>
      <c r="B74" s="160" t="s">
        <v>1171</v>
      </c>
      <c r="C74" s="156"/>
      <c r="D74" s="156"/>
      <c r="E74" s="156"/>
      <c r="F74" s="156"/>
      <c r="G74" s="156"/>
      <c r="H74" s="156"/>
      <c r="I74" s="156"/>
      <c r="J74" s="236"/>
      <c r="K74" s="236"/>
      <c r="M74" s="236"/>
      <c r="N74" s="236"/>
      <c r="O74" s="235" t="str">
        <f>B74</f>
        <v>LOCAL GOVERNMENT FEES</v>
      </c>
      <c r="P74" s="236"/>
      <c r="Q74" s="236"/>
      <c r="S74" s="236"/>
      <c r="T74" s="236"/>
      <c r="W74" s="156" t="str">
        <f>B74</f>
        <v>LOCAL GOVERNMENT FEES</v>
      </c>
    </row>
    <row r="75" spans="1:24" s="156" customFormat="1" ht="12" customHeight="1">
      <c r="B75" s="156" t="s">
        <v>1172</v>
      </c>
      <c r="G75" s="2150"/>
      <c r="H75" s="2151"/>
      <c r="J75" s="2150"/>
      <c r="K75" s="2151"/>
      <c r="L75" s="180"/>
      <c r="M75" s="2150"/>
      <c r="N75" s="2151"/>
      <c r="P75" s="2150"/>
      <c r="Q75" s="2151"/>
      <c r="S75" s="2150"/>
      <c r="T75" s="2151"/>
      <c r="V75" s="367"/>
      <c r="W75" s="2164"/>
      <c r="X75" s="2165"/>
    </row>
    <row r="76" spans="1:24" s="156" customFormat="1" ht="12" customHeight="1">
      <c r="B76" s="156" t="s">
        <v>1173</v>
      </c>
      <c r="G76" s="2148"/>
      <c r="H76" s="2149"/>
      <c r="J76" s="2148"/>
      <c r="K76" s="2149"/>
      <c r="L76" s="180"/>
      <c r="M76" s="2148"/>
      <c r="N76" s="2149"/>
      <c r="P76" s="2148"/>
      <c r="Q76" s="2149"/>
      <c r="S76" s="2148"/>
      <c r="T76" s="2149"/>
      <c r="V76" s="367"/>
      <c r="W76" s="2166"/>
      <c r="X76" s="2167"/>
    </row>
    <row r="77" spans="1:24" s="156" customFormat="1" ht="12" customHeight="1">
      <c r="B77" s="156" t="s">
        <v>1174</v>
      </c>
      <c r="D77" s="244" t="s">
        <v>1295</v>
      </c>
      <c r="E77" s="245"/>
      <c r="G77" s="2148"/>
      <c r="H77" s="2149"/>
      <c r="I77" s="184"/>
      <c r="J77" s="2148"/>
      <c r="K77" s="2149"/>
      <c r="L77" s="180"/>
      <c r="M77" s="2148"/>
      <c r="N77" s="2149"/>
      <c r="P77" s="2148"/>
      <c r="Q77" s="2149"/>
      <c r="S77" s="2148"/>
      <c r="T77" s="2149"/>
      <c r="V77" s="367"/>
      <c r="W77" s="2166"/>
      <c r="X77" s="2167"/>
    </row>
    <row r="78" spans="1:24" s="156" customFormat="1" ht="12" customHeight="1" thickBot="1">
      <c r="B78" s="156" t="s">
        <v>1175</v>
      </c>
      <c r="D78" s="244" t="s">
        <v>1295</v>
      </c>
      <c r="E78" s="245"/>
      <c r="G78" s="2152"/>
      <c r="H78" s="2153"/>
      <c r="I78" s="184"/>
      <c r="J78" s="2152"/>
      <c r="K78" s="2153"/>
      <c r="L78" s="180"/>
      <c r="M78" s="2152"/>
      <c r="N78" s="2153"/>
      <c r="P78" s="2152"/>
      <c r="Q78" s="2153"/>
      <c r="S78" s="2152"/>
      <c r="T78" s="2153"/>
      <c r="V78" s="367"/>
      <c r="W78" s="2166"/>
      <c r="X78" s="2167"/>
    </row>
    <row r="79" spans="1:24" s="156" customFormat="1" ht="12" customHeight="1" thickTop="1">
      <c r="F79" s="234" t="s">
        <v>171</v>
      </c>
      <c r="G79" s="2154">
        <f>SUM(G75:H78)</f>
        <v>0</v>
      </c>
      <c r="H79" s="2163"/>
      <c r="J79" s="2154">
        <f>SUM(J75:K78)</f>
        <v>0</v>
      </c>
      <c r="K79" s="2163"/>
      <c r="L79" s="236"/>
      <c r="M79" s="2154">
        <f>SUM(M75:N78)</f>
        <v>0</v>
      </c>
      <c r="N79" s="2163"/>
      <c r="P79" s="2154">
        <f>SUM(P75:Q78)</f>
        <v>0</v>
      </c>
      <c r="Q79" s="2163"/>
      <c r="S79" s="2154">
        <f>SUM(S75:T78)</f>
        <v>0</v>
      </c>
      <c r="T79" s="2163"/>
      <c r="V79" s="369">
        <f>SUM(V75:V78)</f>
        <v>0</v>
      </c>
      <c r="W79" s="2168"/>
      <c r="X79" s="2169"/>
    </row>
    <row r="80" spans="1:24" s="156" customFormat="1" ht="12" customHeight="1">
      <c r="B80" s="160" t="s">
        <v>671</v>
      </c>
      <c r="J80" s="236"/>
      <c r="K80" s="236"/>
      <c r="M80" s="236"/>
      <c r="N80" s="236"/>
      <c r="O80" s="235" t="str">
        <f>B80</f>
        <v>PERMANENT FINANCING FEES</v>
      </c>
      <c r="P80" s="236"/>
      <c r="Q80" s="236"/>
      <c r="S80" s="236"/>
      <c r="T80" s="236"/>
      <c r="W80" s="156" t="str">
        <f>B80</f>
        <v>PERMANENT FINANCING FEES</v>
      </c>
    </row>
    <row r="81" spans="1:24" s="156" customFormat="1" ht="12" customHeight="1">
      <c r="B81" s="156" t="s">
        <v>1176</v>
      </c>
      <c r="G81" s="2150"/>
      <c r="H81" s="2151"/>
      <c r="J81" s="2181"/>
      <c r="K81" s="2181"/>
      <c r="L81" s="1476"/>
      <c r="M81" s="2181"/>
      <c r="N81" s="2181"/>
      <c r="P81" s="2181"/>
      <c r="Q81" s="2181"/>
      <c r="S81" s="2150"/>
      <c r="T81" s="2151"/>
      <c r="V81" s="367"/>
      <c r="W81" s="2164"/>
      <c r="X81" s="2165"/>
    </row>
    <row r="82" spans="1:24" s="156" customFormat="1" ht="12" customHeight="1">
      <c r="B82" s="156" t="s">
        <v>1177</v>
      </c>
      <c r="G82" s="2148"/>
      <c r="H82" s="2149"/>
      <c r="J82" s="2181"/>
      <c r="K82" s="2181"/>
      <c r="L82" s="1476"/>
      <c r="M82" s="2181"/>
      <c r="N82" s="2181"/>
      <c r="P82" s="2181"/>
      <c r="Q82" s="2181"/>
      <c r="S82" s="2148"/>
      <c r="T82" s="2149"/>
      <c r="V82" s="367"/>
      <c r="W82" s="2166"/>
      <c r="X82" s="2167"/>
    </row>
    <row r="83" spans="1:24" s="156" customFormat="1" ht="12" customHeight="1">
      <c r="B83" s="156" t="s">
        <v>1178</v>
      </c>
      <c r="G83" s="2148"/>
      <c r="H83" s="2149"/>
      <c r="J83" s="2181"/>
      <c r="K83" s="2181"/>
      <c r="L83" s="1476"/>
      <c r="M83" s="2181"/>
      <c r="N83" s="2181"/>
      <c r="P83" s="2181"/>
      <c r="Q83" s="2181"/>
      <c r="S83" s="2148"/>
      <c r="T83" s="2149"/>
      <c r="V83" s="367"/>
      <c r="W83" s="2166"/>
      <c r="X83" s="2167"/>
    </row>
    <row r="84" spans="1:24" s="156" customFormat="1" ht="12" customHeight="1">
      <c r="B84" s="156" t="s">
        <v>1180</v>
      </c>
      <c r="G84" s="2148"/>
      <c r="H84" s="2149"/>
      <c r="J84" s="2181"/>
      <c r="K84" s="2181"/>
      <c r="L84" s="1476"/>
      <c r="M84" s="2181"/>
      <c r="N84" s="2181"/>
      <c r="P84" s="2181"/>
      <c r="Q84" s="2181"/>
      <c r="S84" s="2148"/>
      <c r="T84" s="2149"/>
      <c r="V84" s="367"/>
      <c r="W84" s="2166"/>
      <c r="X84" s="2167"/>
    </row>
    <row r="85" spans="1:24" s="156" customFormat="1" ht="12" customHeight="1">
      <c r="B85" s="156" t="s">
        <v>3217</v>
      </c>
      <c r="G85" s="2148"/>
      <c r="H85" s="2149"/>
      <c r="J85" s="2181"/>
      <c r="K85" s="2181"/>
      <c r="L85" s="1476"/>
      <c r="M85" s="2181"/>
      <c r="N85" s="2181"/>
      <c r="P85" s="2181"/>
      <c r="Q85" s="2181"/>
      <c r="S85" s="2148"/>
      <c r="T85" s="2149"/>
      <c r="V85" s="367"/>
      <c r="W85" s="2166"/>
      <c r="X85" s="2167"/>
    </row>
    <row r="86" spans="1:24" s="156" customFormat="1" ht="12" customHeight="1" thickBot="1">
      <c r="A86" s="266" t="str">
        <f>IF(AND(G86&gt;0,OR(C86="",C86="&lt;Enter detailed description here; use Comments section if needed&gt;")),"X","")</f>
        <v/>
      </c>
      <c r="B86" s="156" t="s">
        <v>686</v>
      </c>
      <c r="C86" s="1891" t="s">
        <v>2143</v>
      </c>
      <c r="D86" s="1891"/>
      <c r="E86" s="1891"/>
      <c r="F86" s="1892"/>
      <c r="G86" s="2152"/>
      <c r="H86" s="2153"/>
      <c r="J86" s="2220"/>
      <c r="K86" s="2221"/>
      <c r="L86" s="1461"/>
      <c r="M86" s="2220"/>
      <c r="N86" s="2221"/>
      <c r="P86" s="2220"/>
      <c r="Q86" s="2221"/>
      <c r="S86" s="2152"/>
      <c r="T86" s="2153"/>
      <c r="U86" s="265" t="str">
        <f>IF(AND(G86&gt;0,OR(C86="",C86="&lt;Enter detailed description here; use Comments section if needed&gt;")),"NO DESCRIPTION PROVIDED - please enter detailed description in Other box at left; use Comments section below if needed.","")</f>
        <v/>
      </c>
      <c r="V86" s="367"/>
      <c r="W86" s="2166"/>
      <c r="X86" s="2167"/>
    </row>
    <row r="87" spans="1:24" s="156" customFormat="1" ht="12" customHeight="1" thickTop="1">
      <c r="F87" s="234" t="s">
        <v>171</v>
      </c>
      <c r="G87" s="2154">
        <f>SUM(G81:H86)</f>
        <v>0</v>
      </c>
      <c r="H87" s="2163"/>
      <c r="J87" s="2154">
        <f>SUM(J83:K86)</f>
        <v>0</v>
      </c>
      <c r="K87" s="2163"/>
      <c r="L87" s="236"/>
      <c r="M87" s="2154">
        <f>SUM(M83:N86)</f>
        <v>0</v>
      </c>
      <c r="N87" s="2163"/>
      <c r="P87" s="2154">
        <f>SUM(P83:Q86)</f>
        <v>0</v>
      </c>
      <c r="Q87" s="2163"/>
      <c r="S87" s="2154">
        <f>SUM(S81:T86)</f>
        <v>0</v>
      </c>
      <c r="T87" s="2163"/>
      <c r="V87" s="369">
        <f>SUM(V81:V86)</f>
        <v>0</v>
      </c>
      <c r="W87" s="2168"/>
      <c r="X87" s="2169"/>
    </row>
    <row r="88" spans="1:24" s="156" customFormat="1" ht="6" customHeight="1" thickBot="1">
      <c r="A88" s="159"/>
      <c r="B88" s="159"/>
      <c r="C88" s="159"/>
      <c r="D88" s="159"/>
      <c r="E88" s="159"/>
      <c r="F88" s="159"/>
      <c r="G88" s="159"/>
      <c r="H88" s="159"/>
      <c r="I88" s="159"/>
      <c r="J88" s="159"/>
      <c r="K88" s="159"/>
      <c r="L88" s="159"/>
      <c r="M88" s="159"/>
      <c r="N88" s="159"/>
      <c r="O88" s="159"/>
      <c r="P88" s="159"/>
      <c r="Q88" s="159"/>
      <c r="R88" s="159"/>
      <c r="S88" s="159"/>
      <c r="T88" s="159"/>
    </row>
    <row r="89" spans="1:24" s="156" customFormat="1" ht="18" customHeight="1" thickBot="1">
      <c r="A89" s="294" t="s">
        <v>572</v>
      </c>
      <c r="B89" s="294" t="s">
        <v>2417</v>
      </c>
      <c r="H89" s="169"/>
      <c r="I89" s="169"/>
      <c r="J89" s="2175" t="s">
        <v>250</v>
      </c>
      <c r="K89" s="2176"/>
      <c r="L89" s="233"/>
      <c r="M89" s="2212" t="s">
        <v>460</v>
      </c>
      <c r="N89" s="2213"/>
      <c r="P89" s="2175" t="s">
        <v>251</v>
      </c>
      <c r="Q89" s="2176"/>
      <c r="S89" s="2175" t="s">
        <v>252</v>
      </c>
      <c r="T89" s="2176"/>
      <c r="W89" s="295" t="str">
        <f>B89</f>
        <v>DEVELOPMENT BUDGET  (cont'd)</v>
      </c>
    </row>
    <row r="90" spans="1:24" s="156" customFormat="1" ht="18" customHeight="1" thickBot="1">
      <c r="G90" s="2216" t="s">
        <v>93</v>
      </c>
      <c r="H90" s="2217"/>
      <c r="J90" s="2177"/>
      <c r="K90" s="2178"/>
      <c r="L90" s="233"/>
      <c r="M90" s="2214"/>
      <c r="N90" s="2215"/>
      <c r="P90" s="2177"/>
      <c r="Q90" s="2178"/>
      <c r="S90" s="2177"/>
      <c r="T90" s="2178"/>
      <c r="W90" s="2156" t="s">
        <v>2338</v>
      </c>
      <c r="X90" s="2156"/>
    </row>
    <row r="91" spans="1:24" s="156" customFormat="1" ht="13.15" customHeight="1">
      <c r="B91" s="160" t="s">
        <v>672</v>
      </c>
      <c r="J91" s="236"/>
      <c r="K91" s="236"/>
      <c r="M91" s="236"/>
      <c r="N91" s="236"/>
      <c r="O91" s="235" t="str">
        <f>B91</f>
        <v>DCA-RELATED COSTS</v>
      </c>
      <c r="P91" s="236"/>
      <c r="Q91" s="236"/>
      <c r="S91" s="236"/>
      <c r="T91" s="236"/>
      <c r="W91" s="156" t="str">
        <f>B91</f>
        <v>DCA-RELATED COSTS</v>
      </c>
    </row>
    <row r="92" spans="1:24" s="156" customFormat="1" ht="12.6" customHeight="1">
      <c r="B92" s="156" t="s">
        <v>3274</v>
      </c>
      <c r="G92" s="2150"/>
      <c r="H92" s="2151"/>
      <c r="J92" s="236"/>
      <c r="K92" s="236"/>
      <c r="L92" s="180"/>
      <c r="M92" s="236"/>
      <c r="N92" s="236"/>
      <c r="P92" s="236"/>
      <c r="Q92" s="236"/>
      <c r="S92" s="2150"/>
      <c r="T92" s="2151"/>
      <c r="V92" s="367"/>
      <c r="W92" s="2164"/>
      <c r="X92" s="2165"/>
    </row>
    <row r="93" spans="1:24" s="156" customFormat="1" ht="12.6" customHeight="1">
      <c r="B93" s="156" t="s">
        <v>1107</v>
      </c>
      <c r="G93" s="2148"/>
      <c r="H93" s="2149"/>
      <c r="J93" s="236"/>
      <c r="K93" s="236"/>
      <c r="L93" s="246"/>
      <c r="M93" s="236"/>
      <c r="N93" s="236"/>
      <c r="P93" s="236"/>
      <c r="Q93" s="236"/>
      <c r="S93" s="2148"/>
      <c r="T93" s="2149"/>
      <c r="V93" s="367"/>
      <c r="W93" s="2166"/>
      <c r="X93" s="2167"/>
    </row>
    <row r="94" spans="1:24" s="156" customFormat="1" ht="12.6" customHeight="1">
      <c r="B94" s="156" t="s">
        <v>2340</v>
      </c>
      <c r="G94" s="2148"/>
      <c r="H94" s="2149"/>
      <c r="J94" s="236"/>
      <c r="K94" s="236"/>
      <c r="L94" s="246"/>
      <c r="M94" s="236"/>
      <c r="N94" s="236"/>
      <c r="O94" s="169"/>
      <c r="P94" s="236"/>
      <c r="Q94" s="236"/>
      <c r="S94" s="2148"/>
      <c r="T94" s="2149"/>
      <c r="V94" s="367"/>
      <c r="W94" s="2166"/>
      <c r="X94" s="2167"/>
    </row>
    <row r="95" spans="1:24" s="156" customFormat="1" ht="12.6" customHeight="1">
      <c r="B95" s="156" t="s">
        <v>483</v>
      </c>
      <c r="E95" s="2257"/>
      <c r="F95" s="2258"/>
      <c r="G95" s="2148"/>
      <c r="H95" s="2149"/>
      <c r="J95" s="236"/>
      <c r="K95" s="236"/>
      <c r="L95" s="180"/>
      <c r="M95" s="236"/>
      <c r="N95" s="236"/>
      <c r="O95" s="169"/>
      <c r="P95" s="236"/>
      <c r="Q95" s="236"/>
      <c r="S95" s="2148"/>
      <c r="T95" s="2149"/>
      <c r="V95" s="367"/>
      <c r="W95" s="2166"/>
      <c r="X95" s="2167"/>
    </row>
    <row r="96" spans="1:24" s="156" customFormat="1" ht="12.6" customHeight="1">
      <c r="B96" s="156" t="s">
        <v>697</v>
      </c>
      <c r="E96" s="2257"/>
      <c r="F96" s="2258"/>
      <c r="G96" s="2148"/>
      <c r="H96" s="2149"/>
      <c r="J96" s="54"/>
      <c r="K96" s="54"/>
      <c r="L96" s="54"/>
      <c r="M96" s="54"/>
      <c r="N96" s="54"/>
      <c r="O96" s="54"/>
      <c r="P96" s="54"/>
      <c r="Q96" s="54"/>
      <c r="S96" s="2148"/>
      <c r="T96" s="2149"/>
      <c r="V96" s="367"/>
      <c r="W96" s="2166"/>
      <c r="X96" s="2167"/>
    </row>
    <row r="97" spans="1:24" s="156" customFormat="1" ht="12.6" customHeight="1">
      <c r="B97" s="156" t="s">
        <v>3275</v>
      </c>
      <c r="G97" s="2148"/>
      <c r="H97" s="2149"/>
      <c r="J97" s="54"/>
      <c r="K97" s="54"/>
      <c r="L97" s="54"/>
      <c r="M97" s="54"/>
      <c r="N97" s="54"/>
      <c r="O97" s="54"/>
      <c r="P97" s="54"/>
      <c r="Q97" s="54"/>
      <c r="S97" s="2148"/>
      <c r="T97" s="2149"/>
      <c r="V97" s="367"/>
      <c r="W97" s="2166"/>
      <c r="X97" s="2167"/>
    </row>
    <row r="98" spans="1:24" s="156" customFormat="1" ht="12.6" customHeight="1">
      <c r="B98" s="156" t="s">
        <v>3276</v>
      </c>
      <c r="G98" s="2148"/>
      <c r="H98" s="2149"/>
      <c r="J98" s="54"/>
      <c r="K98" s="54"/>
      <c r="L98" s="54"/>
      <c r="M98" s="54"/>
      <c r="N98" s="54"/>
      <c r="O98" s="54"/>
      <c r="P98" s="54"/>
      <c r="Q98" s="54"/>
      <c r="S98" s="2148"/>
      <c r="T98" s="2149"/>
      <c r="V98" s="367"/>
      <c r="W98" s="2166"/>
      <c r="X98" s="2167"/>
    </row>
    <row r="99" spans="1:24" s="156" customFormat="1" ht="12.6" customHeight="1">
      <c r="A99" s="266" t="str">
        <f>IF(AND(G99&gt;0,OR(C99="",C99="&lt;Enter detailed description here; use Comments section if needed&gt;")),"X","")</f>
        <v/>
      </c>
      <c r="B99" s="156" t="s">
        <v>686</v>
      </c>
      <c r="C99" s="1891" t="s">
        <v>2143</v>
      </c>
      <c r="D99" s="1891"/>
      <c r="E99" s="1891"/>
      <c r="F99" s="1892"/>
      <c r="G99" s="2148"/>
      <c r="H99" s="2149"/>
      <c r="J99" s="54"/>
      <c r="K99" s="54"/>
      <c r="L99" s="54"/>
      <c r="M99" s="54"/>
      <c r="N99" s="54"/>
      <c r="O99" s="54"/>
      <c r="P99" s="54"/>
      <c r="Q99" s="54"/>
      <c r="S99" s="2148"/>
      <c r="T99" s="2149"/>
      <c r="U99" s="265" t="str">
        <f>IF(AND(G99&gt;0,OR(C99="",C99="&lt;Enter detailed description here; use Comments section if needed&gt;")),"NO DESCRIPTION PROVIDED - please enter detailed description in Other box at left; use Comments section below if needed.","")</f>
        <v/>
      </c>
      <c r="V99" s="367"/>
      <c r="W99" s="2166"/>
      <c r="X99" s="2167"/>
    </row>
    <row r="100" spans="1:24" s="156" customFormat="1" ht="12.6" customHeight="1" thickBot="1">
      <c r="A100" s="266" t="str">
        <f>IF(AND(G100&gt;0,OR(C100="",C100="&lt;Enter detailed description here; use Comments section if needed&gt;")),"X","")</f>
        <v/>
      </c>
      <c r="B100" s="156" t="s">
        <v>686</v>
      </c>
      <c r="C100" s="1891" t="s">
        <v>2143</v>
      </c>
      <c r="D100" s="1891"/>
      <c r="E100" s="1891"/>
      <c r="F100" s="1892"/>
      <c r="G100" s="2179"/>
      <c r="H100" s="2180"/>
      <c r="J100" s="54"/>
      <c r="K100" s="54"/>
      <c r="L100" s="54"/>
      <c r="M100" s="54"/>
      <c r="N100" s="54"/>
      <c r="O100" s="54"/>
      <c r="P100" s="54"/>
      <c r="Q100" s="54"/>
      <c r="S100" s="2179"/>
      <c r="T100" s="2180"/>
      <c r="U100" s="265" t="str">
        <f>IF(AND(G100&gt;0,OR(C100="",C100="&lt;Enter detailed description here; use Comments section if needed&gt;")),"NO DESCRIPTION PROVIDED - please enter detailed description in Other box at left; use Comments section below if needed.","")</f>
        <v/>
      </c>
      <c r="V100" s="367"/>
      <c r="W100" s="2166"/>
      <c r="X100" s="2167"/>
    </row>
    <row r="101" spans="1:24" s="156" customFormat="1" ht="12.6" customHeight="1" thickTop="1">
      <c r="F101" s="234" t="s">
        <v>171</v>
      </c>
      <c r="G101" s="2154">
        <f>SUM(G92:H100)</f>
        <v>0</v>
      </c>
      <c r="H101" s="2163"/>
      <c r="J101" s="236"/>
      <c r="K101" s="236"/>
      <c r="L101" s="180"/>
      <c r="M101" s="236"/>
      <c r="N101" s="236"/>
      <c r="P101" s="236"/>
      <c r="Q101" s="236"/>
      <c r="S101" s="2154">
        <f>SUM(S92:T100)</f>
        <v>0</v>
      </c>
      <c r="T101" s="2163"/>
      <c r="V101" s="369">
        <f>SUM(V92:V100)</f>
        <v>0</v>
      </c>
      <c r="W101" s="2168"/>
      <c r="X101" s="2169"/>
    </row>
    <row r="102" spans="1:24" s="156" customFormat="1" ht="13.15" customHeight="1">
      <c r="B102" s="160" t="s">
        <v>2042</v>
      </c>
      <c r="J102" s="236"/>
      <c r="K102" s="236"/>
      <c r="M102" s="236"/>
      <c r="N102" s="236"/>
      <c r="O102" s="235" t="str">
        <f>B102</f>
        <v>EQUITY COSTS</v>
      </c>
      <c r="P102" s="236"/>
      <c r="Q102" s="236"/>
      <c r="S102" s="236"/>
      <c r="T102" s="236"/>
      <c r="W102" s="156" t="str">
        <f>B102</f>
        <v>EQUITY COSTS</v>
      </c>
    </row>
    <row r="103" spans="1:24" s="156" customFormat="1" ht="12.6" customHeight="1">
      <c r="B103" s="156" t="s">
        <v>258</v>
      </c>
      <c r="G103" s="2150"/>
      <c r="H103" s="2151"/>
      <c r="J103" s="2181"/>
      <c r="K103" s="2181"/>
      <c r="L103" s="180"/>
      <c r="M103" s="2181"/>
      <c r="N103" s="2181"/>
      <c r="O103" s="169"/>
      <c r="P103" s="2181"/>
      <c r="Q103" s="2181"/>
      <c r="S103" s="2150"/>
      <c r="T103" s="2151"/>
      <c r="V103" s="367"/>
      <c r="W103" s="2164"/>
      <c r="X103" s="2165"/>
    </row>
    <row r="104" spans="1:24" s="156" customFormat="1" ht="12.6" customHeight="1">
      <c r="B104" s="156" t="s">
        <v>260</v>
      </c>
      <c r="G104" s="2148"/>
      <c r="H104" s="2149"/>
      <c r="J104" s="2181"/>
      <c r="K104" s="2181"/>
      <c r="L104" s="180"/>
      <c r="M104" s="2181"/>
      <c r="N104" s="2181"/>
      <c r="O104" s="169"/>
      <c r="P104" s="2181"/>
      <c r="Q104" s="2181"/>
      <c r="S104" s="2148"/>
      <c r="T104" s="2149"/>
      <c r="V104" s="367"/>
      <c r="W104" s="2166"/>
      <c r="X104" s="2167"/>
    </row>
    <row r="105" spans="1:24" s="156" customFormat="1" ht="12.6" customHeight="1">
      <c r="B105" s="156" t="s">
        <v>2117</v>
      </c>
      <c r="G105" s="2148"/>
      <c r="H105" s="2149"/>
      <c r="J105" s="2181"/>
      <c r="K105" s="2181"/>
      <c r="L105" s="180"/>
      <c r="M105" s="2181"/>
      <c r="N105" s="2181"/>
      <c r="O105" s="169"/>
      <c r="P105" s="2181"/>
      <c r="Q105" s="2181"/>
      <c r="S105" s="2148"/>
      <c r="T105" s="2149"/>
      <c r="V105" s="367"/>
      <c r="W105" s="2166"/>
      <c r="X105" s="2167"/>
    </row>
    <row r="106" spans="1:24" s="156" customFormat="1" ht="12.6" customHeight="1" thickBot="1">
      <c r="A106" s="266" t="str">
        <f>IF(AND(G106&gt;0,OR(C106="",C106="&lt;Enter detailed description here; use Comments section if needed&gt;")),"X","")</f>
        <v/>
      </c>
      <c r="B106" s="156" t="s">
        <v>686</v>
      </c>
      <c r="C106" s="1891" t="s">
        <v>2143</v>
      </c>
      <c r="D106" s="1891"/>
      <c r="E106" s="1891"/>
      <c r="F106" s="1892"/>
      <c r="G106" s="2179"/>
      <c r="H106" s="2180"/>
      <c r="J106" s="2220"/>
      <c r="K106" s="2221"/>
      <c r="L106" s="1461"/>
      <c r="M106" s="2220"/>
      <c r="N106" s="2221"/>
      <c r="P106" s="2220"/>
      <c r="Q106" s="2221"/>
      <c r="S106" s="2179"/>
      <c r="T106" s="2180"/>
      <c r="U106" s="265" t="str">
        <f>IF(AND(G106&gt;0,OR(C106="",C106="&lt;Enter detailed description here; use Comments section if needed&gt;")),"NO DESCRIPTION PROVIDED - please enter detailed description in Other box at left; use Comments section below if needed.","")</f>
        <v/>
      </c>
      <c r="V106" s="367"/>
      <c r="W106" s="2166"/>
      <c r="X106" s="2167"/>
    </row>
    <row r="107" spans="1:24" s="156" customFormat="1" ht="12.6" customHeight="1" thickTop="1">
      <c r="F107" s="234" t="s">
        <v>171</v>
      </c>
      <c r="G107" s="2154">
        <f>SUM(G103:H106)</f>
        <v>0</v>
      </c>
      <c r="H107" s="2163"/>
      <c r="J107" s="2154">
        <f>SUM(J106:K106)</f>
        <v>0</v>
      </c>
      <c r="K107" s="2163"/>
      <c r="L107" s="1461"/>
      <c r="M107" s="2154">
        <f>SUM(M106:N106)</f>
        <v>0</v>
      </c>
      <c r="N107" s="2163"/>
      <c r="P107" s="2154">
        <f>SUM(P106:Q106)</f>
        <v>0</v>
      </c>
      <c r="Q107" s="2163"/>
      <c r="S107" s="2154">
        <f>SUM(S103:T106)</f>
        <v>0</v>
      </c>
      <c r="T107" s="2163"/>
      <c r="V107" s="369">
        <f>SUM(V103:V106)</f>
        <v>0</v>
      </c>
      <c r="W107" s="2168"/>
      <c r="X107" s="2169"/>
    </row>
    <row r="108" spans="1:24" s="156" customFormat="1" ht="13.15" customHeight="1">
      <c r="B108" s="160" t="s">
        <v>261</v>
      </c>
      <c r="J108" s="236"/>
      <c r="K108" s="233"/>
      <c r="M108" s="236"/>
      <c r="N108" s="233"/>
      <c r="O108" s="235" t="str">
        <f>B108</f>
        <v>DEVELOPER'S FEE</v>
      </c>
      <c r="P108" s="236"/>
      <c r="Q108" s="233"/>
      <c r="S108" s="236"/>
      <c r="T108" s="233"/>
      <c r="W108" s="156" t="str">
        <f>B108</f>
        <v>DEVELOPER'S FEE</v>
      </c>
    </row>
    <row r="109" spans="1:24" s="156" customFormat="1" ht="12.6" customHeight="1">
      <c r="B109" s="156" t="s">
        <v>1674</v>
      </c>
      <c r="F109" s="283" t="e">
        <f>G109/G113</f>
        <v>#DIV/0!</v>
      </c>
      <c r="G109" s="2150"/>
      <c r="H109" s="2151"/>
      <c r="J109" s="2150"/>
      <c r="K109" s="2151"/>
      <c r="L109" s="235"/>
      <c r="M109" s="2150"/>
      <c r="N109" s="2151"/>
      <c r="P109" s="2150"/>
      <c r="Q109" s="2151"/>
      <c r="S109" s="2150"/>
      <c r="T109" s="2151"/>
      <c r="V109" s="367"/>
      <c r="W109" s="2164"/>
      <c r="X109" s="2165"/>
    </row>
    <row r="110" spans="1:24" s="156" customFormat="1" ht="12.6" customHeight="1">
      <c r="B110" s="156" t="s">
        <v>1675</v>
      </c>
      <c r="F110" s="283" t="e">
        <f>G110/G113</f>
        <v>#DIV/0!</v>
      </c>
      <c r="G110" s="2148"/>
      <c r="H110" s="2149"/>
      <c r="J110" s="2148"/>
      <c r="K110" s="2149"/>
      <c r="L110" s="180"/>
      <c r="M110" s="2148"/>
      <c r="N110" s="2149"/>
      <c r="P110" s="2148"/>
      <c r="Q110" s="2149"/>
      <c r="S110" s="2148"/>
      <c r="T110" s="2149"/>
      <c r="V110" s="367"/>
      <c r="W110" s="2166"/>
      <c r="X110" s="2167"/>
    </row>
    <row r="111" spans="1:24" s="156" customFormat="1" ht="12.6" customHeight="1">
      <c r="B111" s="156" t="s">
        <v>3277</v>
      </c>
      <c r="F111" s="283" t="e">
        <f>G111/G113</f>
        <v>#DIV/0!</v>
      </c>
      <c r="G111" s="2148"/>
      <c r="H111" s="2149"/>
      <c r="J111" s="2148"/>
      <c r="K111" s="2149"/>
      <c r="L111" s="1000"/>
      <c r="M111" s="2148"/>
      <c r="N111" s="2149"/>
      <c r="P111" s="2148"/>
      <c r="Q111" s="2149"/>
      <c r="S111" s="2148"/>
      <c r="T111" s="2149"/>
      <c r="V111" s="367"/>
      <c r="W111" s="2166"/>
      <c r="X111" s="2167"/>
    </row>
    <row r="112" spans="1:24" s="156" customFormat="1" ht="12.6" customHeight="1" thickBot="1">
      <c r="B112" s="156" t="s">
        <v>1667</v>
      </c>
      <c r="F112" s="283" t="e">
        <f>G112/G113</f>
        <v>#DIV/0!</v>
      </c>
      <c r="G112" s="2179"/>
      <c r="H112" s="2180"/>
      <c r="J112" s="2179"/>
      <c r="K112" s="2180"/>
      <c r="L112" s="180"/>
      <c r="M112" s="2179"/>
      <c r="N112" s="2180"/>
      <c r="P112" s="2179"/>
      <c r="Q112" s="2180"/>
      <c r="S112" s="2179"/>
      <c r="T112" s="2180"/>
      <c r="V112" s="367"/>
      <c r="W112" s="2166"/>
      <c r="X112" s="2167"/>
    </row>
    <row r="113" spans="1:24" s="156" customFormat="1" ht="12.6" customHeight="1" thickTop="1">
      <c r="C113" s="265"/>
      <c r="F113" s="234" t="s">
        <v>171</v>
      </c>
      <c r="G113" s="2154">
        <f>SUM(G109:H112)</f>
        <v>0</v>
      </c>
      <c r="H113" s="2163"/>
      <c r="J113" s="2154">
        <f>SUM(J109:K112)</f>
        <v>0</v>
      </c>
      <c r="K113" s="2163"/>
      <c r="L113" s="180"/>
      <c r="M113" s="2154">
        <f>SUM(M109:N112)</f>
        <v>0</v>
      </c>
      <c r="N113" s="2163"/>
      <c r="P113" s="2154">
        <f>SUM(P109:Q112)</f>
        <v>0</v>
      </c>
      <c r="Q113" s="2163"/>
      <c r="S113" s="2154">
        <f>SUM(S109:T112)</f>
        <v>0</v>
      </c>
      <c r="T113" s="2163"/>
      <c r="V113" s="369">
        <f>SUM(V109:V112)</f>
        <v>0</v>
      </c>
      <c r="W113" s="2168"/>
      <c r="X113" s="2169"/>
    </row>
    <row r="114" spans="1:24" s="156" customFormat="1" ht="13.15" customHeight="1">
      <c r="B114" s="160" t="s">
        <v>1208</v>
      </c>
      <c r="J114" s="233"/>
      <c r="K114" s="233"/>
      <c r="M114" s="233"/>
      <c r="N114" s="233"/>
      <c r="O114" s="235" t="str">
        <f>B114</f>
        <v>START-UP AND RESERVES</v>
      </c>
      <c r="P114" s="233"/>
      <c r="Q114" s="233"/>
      <c r="S114" s="233"/>
      <c r="T114" s="233"/>
      <c r="W114" s="156" t="str">
        <f>B114</f>
        <v>START-UP AND RESERVES</v>
      </c>
    </row>
    <row r="115" spans="1:24" s="156" customFormat="1" ht="12.6" customHeight="1">
      <c r="B115" s="156" t="s">
        <v>232</v>
      </c>
      <c r="G115" s="2150"/>
      <c r="H115" s="2151"/>
      <c r="J115" s="247"/>
      <c r="K115" s="247"/>
      <c r="L115" s="247"/>
      <c r="M115" s="247"/>
      <c r="N115" s="247"/>
      <c r="P115" s="247"/>
      <c r="Q115" s="247"/>
      <c r="S115" s="2150"/>
      <c r="T115" s="2151"/>
      <c r="V115" s="367"/>
      <c r="W115" s="2164"/>
      <c r="X115" s="2165"/>
    </row>
    <row r="116" spans="1:24" s="156" customFormat="1" ht="12.6" customHeight="1">
      <c r="B116" s="156" t="s">
        <v>1398</v>
      </c>
      <c r="F116" s="343"/>
      <c r="G116" s="2148"/>
      <c r="H116" s="2149"/>
      <c r="J116" s="2181"/>
      <c r="K116" s="2181"/>
      <c r="L116" s="180"/>
      <c r="M116" s="2181"/>
      <c r="N116" s="2181"/>
      <c r="O116" s="169"/>
      <c r="P116" s="2181"/>
      <c r="Q116" s="2181"/>
      <c r="R116" s="169"/>
      <c r="S116" s="2148"/>
      <c r="T116" s="2149"/>
      <c r="V116" s="367"/>
      <c r="W116" s="2166"/>
      <c r="X116" s="2167"/>
    </row>
    <row r="117" spans="1:24" s="156" customFormat="1" ht="12.6" customHeight="1">
      <c r="B117" s="156" t="s">
        <v>633</v>
      </c>
      <c r="F117" s="344"/>
      <c r="G117" s="2148"/>
      <c r="H117" s="2149"/>
      <c r="J117" s="246"/>
      <c r="K117" s="246"/>
      <c r="L117" s="246"/>
      <c r="M117" s="246"/>
      <c r="N117" s="246"/>
      <c r="O117" s="169"/>
      <c r="P117" s="246"/>
      <c r="Q117" s="246"/>
      <c r="R117" s="169"/>
      <c r="S117" s="2148"/>
      <c r="T117" s="2149"/>
      <c r="V117" s="367"/>
      <c r="W117" s="2166"/>
      <c r="X117" s="2167"/>
    </row>
    <row r="118" spans="1:24" s="156" customFormat="1" ht="12.6" customHeight="1">
      <c r="B118" s="156" t="s">
        <v>1151</v>
      </c>
      <c r="G118" s="2148"/>
      <c r="H118" s="2149"/>
      <c r="J118" s="247"/>
      <c r="K118" s="247"/>
      <c r="L118" s="247"/>
      <c r="M118" s="247"/>
      <c r="N118" s="247"/>
      <c r="P118" s="247"/>
      <c r="Q118" s="247"/>
      <c r="S118" s="2148"/>
      <c r="T118" s="2149"/>
      <c r="V118" s="367"/>
      <c r="W118" s="2166"/>
      <c r="X118" s="2167"/>
    </row>
    <row r="119" spans="1:24" s="156" customFormat="1" ht="12.6" customHeight="1">
      <c r="B119" s="156" t="s">
        <v>1152</v>
      </c>
      <c r="E119" s="825" t="s">
        <v>3106</v>
      </c>
      <c r="F119" s="1431" t="e">
        <f>G119/'Part VI-Revenues &amp; Expenses'!$O$67</f>
        <v>#DIV/0!</v>
      </c>
      <c r="G119" s="2148"/>
      <c r="H119" s="2149"/>
      <c r="J119" s="2150"/>
      <c r="K119" s="2151"/>
      <c r="L119" s="180"/>
      <c r="M119" s="2150"/>
      <c r="N119" s="2151"/>
      <c r="P119" s="2150"/>
      <c r="Q119" s="2151"/>
      <c r="S119" s="2148"/>
      <c r="T119" s="2149"/>
      <c r="V119" s="367"/>
      <c r="W119" s="2166"/>
      <c r="X119" s="2167"/>
    </row>
    <row r="120" spans="1:24" s="156" customFormat="1" ht="12.6" customHeight="1" thickBot="1">
      <c r="A120" s="266" t="str">
        <f>IF(AND(G120&gt;0,OR(C120="",C120="&lt;Enter detailed description here; use Comments section if needed&gt;")),"X","")</f>
        <v/>
      </c>
      <c r="B120" s="156" t="s">
        <v>686</v>
      </c>
      <c r="C120" s="1891" t="s">
        <v>2143</v>
      </c>
      <c r="D120" s="1891"/>
      <c r="E120" s="1891"/>
      <c r="F120" s="1892"/>
      <c r="G120" s="2179"/>
      <c r="H120" s="2180"/>
      <c r="J120" s="2179"/>
      <c r="K120" s="2180"/>
      <c r="L120" s="180"/>
      <c r="M120" s="2179"/>
      <c r="N120" s="2180"/>
      <c r="P120" s="2179"/>
      <c r="Q120" s="2180"/>
      <c r="S120" s="2179"/>
      <c r="T120" s="2180"/>
      <c r="U120" s="265" t="str">
        <f>IF(AND(G120&gt;0,OR(C120="",C120="&lt;Enter detailed description here; use Comments section if needed&gt;")),"NO DESCRIPTION PROVIDED - please enter detailed description in Other box at left; use Comments section below if needed.","")</f>
        <v/>
      </c>
      <c r="V120" s="367"/>
      <c r="W120" s="2166"/>
      <c r="X120" s="2167"/>
    </row>
    <row r="121" spans="1:24" s="156" customFormat="1" ht="12.6" customHeight="1" thickTop="1">
      <c r="B121" s="248"/>
      <c r="F121" s="234" t="s">
        <v>171</v>
      </c>
      <c r="G121" s="2154">
        <f>SUM(G115:H120)</f>
        <v>0</v>
      </c>
      <c r="H121" s="2163"/>
      <c r="J121" s="2154">
        <f>SUM(J119:K120)</f>
        <v>0</v>
      </c>
      <c r="K121" s="2163"/>
      <c r="L121" s="180"/>
      <c r="M121" s="2154">
        <f>SUM(M119:N120)</f>
        <v>0</v>
      </c>
      <c r="N121" s="2163"/>
      <c r="P121" s="2154">
        <f>SUM(P119:Q120)</f>
        <v>0</v>
      </c>
      <c r="Q121" s="2163"/>
      <c r="S121" s="2154">
        <f>SUM(S115:T120)</f>
        <v>0</v>
      </c>
      <c r="T121" s="2163"/>
      <c r="V121" s="369">
        <f>SUM(V115:V120)</f>
        <v>0</v>
      </c>
      <c r="W121" s="2168"/>
      <c r="X121" s="2169"/>
    </row>
    <row r="122" spans="1:24" s="156" customFormat="1" ht="13.15" customHeight="1">
      <c r="B122" s="160" t="s">
        <v>567</v>
      </c>
      <c r="C122" s="155"/>
      <c r="H122" s="243"/>
      <c r="I122" s="243"/>
      <c r="J122" s="233"/>
      <c r="K122" s="233"/>
      <c r="M122" s="233"/>
      <c r="N122" s="233"/>
      <c r="O122" s="235" t="str">
        <f>B122</f>
        <v>OTHER COSTS</v>
      </c>
      <c r="P122" s="233"/>
      <c r="Q122" s="233"/>
      <c r="S122" s="233"/>
      <c r="T122" s="233"/>
      <c r="W122" s="156" t="str">
        <f>B122</f>
        <v>OTHER COSTS</v>
      </c>
    </row>
    <row r="123" spans="1:24" s="156" customFormat="1" ht="12.6" customHeight="1">
      <c r="B123" s="156" t="s">
        <v>568</v>
      </c>
      <c r="C123" s="155"/>
      <c r="G123" s="2150"/>
      <c r="H123" s="2151"/>
      <c r="J123" s="2150"/>
      <c r="K123" s="2151"/>
      <c r="L123" s="235"/>
      <c r="M123" s="2150"/>
      <c r="N123" s="2151"/>
      <c r="P123" s="2150"/>
      <c r="Q123" s="2151"/>
      <c r="S123" s="2150"/>
      <c r="T123" s="2151"/>
      <c r="V123" s="367"/>
      <c r="W123" s="2164"/>
      <c r="X123" s="2165"/>
    </row>
    <row r="124" spans="1:24" s="156" customFormat="1" ht="12.6" customHeight="1" thickBot="1">
      <c r="A124" s="266" t="str">
        <f>IF(AND(G124&gt;0,OR(C124="",C124="&lt;Enter detailed description here; use Comments section if needed&gt;")),"X","")</f>
        <v/>
      </c>
      <c r="B124" s="156" t="s">
        <v>686</v>
      </c>
      <c r="C124" s="1891" t="s">
        <v>2143</v>
      </c>
      <c r="D124" s="1891"/>
      <c r="E124" s="1891"/>
      <c r="F124" s="1892"/>
      <c r="G124" s="2179"/>
      <c r="H124" s="2180"/>
      <c r="J124" s="2179"/>
      <c r="K124" s="2180"/>
      <c r="L124" s="180"/>
      <c r="M124" s="2179"/>
      <c r="N124" s="2180"/>
      <c r="P124" s="2179"/>
      <c r="Q124" s="2180"/>
      <c r="S124" s="2179"/>
      <c r="T124" s="2180"/>
      <c r="U124" s="265" t="str">
        <f>IF(AND(G124&gt;0,OR(C124="",C124="&lt;Enter detailed description here; use Comments section if needed&gt;")),"NO DESCRIPTION PROVIDED - please enter detailed description in Other box at left; use Comments section below if needed.","")</f>
        <v/>
      </c>
      <c r="V124" s="367"/>
      <c r="W124" s="2166"/>
      <c r="X124" s="2167"/>
    </row>
    <row r="125" spans="1:24" s="156" customFormat="1" ht="12.6" customHeight="1" thickTop="1">
      <c r="C125" s="155"/>
      <c r="F125" s="234" t="s">
        <v>171</v>
      </c>
      <c r="G125" s="2154">
        <f>SUM(G123:H124)</f>
        <v>0</v>
      </c>
      <c r="H125" s="2163"/>
      <c r="J125" s="2154">
        <f>SUM(J123:K124)</f>
        <v>0</v>
      </c>
      <c r="K125" s="2163"/>
      <c r="L125" s="180"/>
      <c r="M125" s="2154">
        <f>SUM(M123:N124)</f>
        <v>0</v>
      </c>
      <c r="N125" s="2163"/>
      <c r="P125" s="2154">
        <f>SUM(P123:Q124)</f>
        <v>0</v>
      </c>
      <c r="Q125" s="2163"/>
      <c r="S125" s="2154">
        <f>SUM(S123:T124)</f>
        <v>0</v>
      </c>
      <c r="T125" s="2163"/>
      <c r="V125" s="369">
        <f>SUM(V123:V124)</f>
        <v>0</v>
      </c>
      <c r="W125" s="2166"/>
      <c r="X125" s="2167"/>
    </row>
    <row r="126" spans="1:24" s="156" customFormat="1" ht="3" customHeight="1" thickBot="1">
      <c r="C126" s="155"/>
      <c r="H126" s="243"/>
      <c r="I126" s="243"/>
      <c r="L126" s="169"/>
      <c r="W126" s="2166"/>
      <c r="X126" s="2167"/>
    </row>
    <row r="127" spans="1:24" s="156" customFormat="1" ht="13.9" customHeight="1" thickBot="1">
      <c r="B127" s="165" t="s">
        <v>2384</v>
      </c>
      <c r="G127" s="2182">
        <f>G17+G23+G27+G33+G38+G41+G60+G73+G79+G87+G101+G107+G113+G121+G125</f>
        <v>0</v>
      </c>
      <c r="H127" s="2183"/>
      <c r="J127" s="2182">
        <f>J17+J23+J27+J33+J38+J41+J60+J73+J79+J87+J101+J107+J113+J121+J125</f>
        <v>0</v>
      </c>
      <c r="K127" s="2183"/>
      <c r="M127" s="2182">
        <f>M17+M23+M27+M33+M38+M41+M60+M73+M79+M87+M101+M107+M113+M121+M125</f>
        <v>0</v>
      </c>
      <c r="N127" s="2183"/>
      <c r="P127" s="2182">
        <f>P17+P23+P27+P33+P38+P41+P60+P73+P79+P87+P101+P107+P113+P121+P125</f>
        <v>0</v>
      </c>
      <c r="Q127" s="2183"/>
      <c r="S127" s="2182">
        <f>S17+S23+S27+S33+S38+S41+S60+S73+S79+S87+S101+S107+S113+S121+S125</f>
        <v>0</v>
      </c>
      <c r="T127" s="2183"/>
      <c r="V127" s="370">
        <f>V17+V23+V27+V33+V38+V41+V60+V73+V79+V87+V101+V107+V113+V121+V125</f>
        <v>0</v>
      </c>
      <c r="W127" s="2170"/>
      <c r="X127" s="2169"/>
    </row>
    <row r="128" spans="1:24" s="156" customFormat="1" ht="3" customHeight="1">
      <c r="C128" s="155"/>
      <c r="H128" s="243"/>
      <c r="I128" s="243"/>
      <c r="L128" s="169"/>
    </row>
    <row r="129" spans="1:24" s="156" customFormat="1" ht="13.9" customHeight="1">
      <c r="B129" s="360" t="s">
        <v>2381</v>
      </c>
      <c r="C129" s="358"/>
      <c r="D129" s="2208" t="e">
        <f>G127/'Part VI-Revenues &amp; Expenses'!$O$67</f>
        <v>#DIV/0!</v>
      </c>
      <c r="E129" s="2243"/>
      <c r="F129" s="359" t="s">
        <v>2380</v>
      </c>
      <c r="G129" s="2208" t="e">
        <f>G127/'Part VI-Revenues &amp; Expenses'!$O$167</f>
        <v>#DIV/0!</v>
      </c>
      <c r="H129" s="2209"/>
      <c r="I129" s="249"/>
    </row>
    <row r="130" spans="1:24" s="156" customFormat="1" ht="3" customHeight="1">
      <c r="I130" s="249"/>
      <c r="L130" s="249"/>
    </row>
    <row r="131" spans="1:24" s="156" customFormat="1" ht="3.6" customHeight="1" thickBot="1">
      <c r="D131" s="155"/>
      <c r="E131" s="155"/>
      <c r="I131" s="243"/>
      <c r="J131" s="243"/>
      <c r="K131" s="250"/>
      <c r="L131" s="164"/>
      <c r="P131" s="169"/>
    </row>
    <row r="132" spans="1:24" s="156" customFormat="1" ht="25.9" customHeight="1">
      <c r="A132" s="294" t="s">
        <v>685</v>
      </c>
      <c r="B132" s="296" t="s">
        <v>1312</v>
      </c>
      <c r="C132" s="157"/>
      <c r="D132" s="180"/>
      <c r="E132" s="180"/>
      <c r="F132" s="393"/>
      <c r="G132" s="169"/>
      <c r="H132" s="169"/>
      <c r="I132" s="251"/>
      <c r="J132" s="2175" t="s">
        <v>250</v>
      </c>
      <c r="K132" s="2176"/>
      <c r="M132" s="2175" t="s">
        <v>92</v>
      </c>
      <c r="N132" s="2176"/>
      <c r="P132" s="2175" t="s">
        <v>251</v>
      </c>
      <c r="Q132" s="2176"/>
      <c r="W132" s="295" t="str">
        <f>B132</f>
        <v>TAX CREDIT CALCULATION - BASIS METHOD</v>
      </c>
    </row>
    <row r="133" spans="1:24" s="156" customFormat="1" ht="15" customHeight="1" thickBot="1">
      <c r="B133" s="165" t="s">
        <v>1829</v>
      </c>
      <c r="D133" s="180"/>
      <c r="E133" s="180"/>
      <c r="I133" s="251"/>
      <c r="J133" s="2177"/>
      <c r="K133" s="2178"/>
      <c r="L133" s="157"/>
      <c r="M133" s="2177"/>
      <c r="N133" s="2178"/>
      <c r="P133" s="2177"/>
      <c r="Q133" s="2178"/>
      <c r="W133" s="156" t="str">
        <f>B133</f>
        <v>Subtractions From Eligible Basis</v>
      </c>
      <c r="X133" s="199"/>
    </row>
    <row r="134" spans="1:24" s="156" customFormat="1" ht="6" customHeight="1">
      <c r="D134" s="155"/>
      <c r="E134" s="155"/>
      <c r="I134" s="243"/>
      <c r="J134" s="243"/>
      <c r="K134" s="250"/>
      <c r="L134" s="164"/>
      <c r="P134" s="169"/>
    </row>
    <row r="135" spans="1:24" s="156" customFormat="1" ht="13.9" customHeight="1">
      <c r="B135" s="155" t="s">
        <v>131</v>
      </c>
      <c r="D135" s="169"/>
      <c r="E135" s="169"/>
      <c r="F135" s="169"/>
      <c r="G135" s="169"/>
      <c r="H135" s="169"/>
      <c r="I135" s="251"/>
      <c r="J135" s="2234"/>
      <c r="K135" s="2235"/>
      <c r="P135" s="2234"/>
      <c r="Q135" s="2235"/>
      <c r="V135" s="367"/>
      <c r="W135" s="2164"/>
      <c r="X135" s="2165"/>
    </row>
    <row r="136" spans="1:24" s="156" customFormat="1" ht="13.9" customHeight="1">
      <c r="B136" s="169" t="s">
        <v>1918</v>
      </c>
      <c r="D136" s="169"/>
      <c r="E136" s="169"/>
      <c r="F136" s="169"/>
      <c r="G136" s="169"/>
      <c r="H136" s="169"/>
      <c r="I136" s="251"/>
      <c r="J136" s="2206"/>
      <c r="K136" s="2207"/>
      <c r="P136" s="2206"/>
      <c r="Q136" s="2207"/>
      <c r="V136" s="367"/>
      <c r="W136" s="2166"/>
      <c r="X136" s="2167"/>
    </row>
    <row r="137" spans="1:24" s="156" customFormat="1" ht="13.9" customHeight="1">
      <c r="B137" s="169" t="s">
        <v>1677</v>
      </c>
      <c r="D137" s="169"/>
      <c r="E137" s="169"/>
      <c r="I137" s="251"/>
      <c r="J137" s="2206"/>
      <c r="K137" s="2207"/>
      <c r="P137" s="2206"/>
      <c r="Q137" s="2207"/>
      <c r="V137" s="367"/>
      <c r="W137" s="2166"/>
      <c r="X137" s="2167"/>
    </row>
    <row r="138" spans="1:24" s="156" customFormat="1" ht="13.9" customHeight="1">
      <c r="B138" s="169" t="s">
        <v>1678</v>
      </c>
      <c r="D138" s="169"/>
      <c r="E138" s="169"/>
      <c r="I138" s="251"/>
      <c r="J138" s="2206"/>
      <c r="K138" s="2207"/>
      <c r="P138" s="2206"/>
      <c r="Q138" s="2207"/>
      <c r="V138" s="367"/>
      <c r="W138" s="2166"/>
      <c r="X138" s="2167"/>
    </row>
    <row r="139" spans="1:24" s="156" customFormat="1" ht="13.9" customHeight="1">
      <c r="B139" s="169" t="s">
        <v>235</v>
      </c>
      <c r="D139" s="169"/>
      <c r="E139" s="169"/>
      <c r="I139" s="251"/>
      <c r="J139" s="2206"/>
      <c r="K139" s="2207"/>
      <c r="P139" s="2206"/>
      <c r="Q139" s="2207"/>
      <c r="V139" s="367"/>
      <c r="W139" s="2166"/>
      <c r="X139" s="2167"/>
    </row>
    <row r="140" spans="1:24" s="156" customFormat="1" ht="13.9" customHeight="1" thickBot="1">
      <c r="B140" s="169" t="s">
        <v>1454</v>
      </c>
      <c r="C140" s="1891" t="s">
        <v>2143</v>
      </c>
      <c r="D140" s="1891"/>
      <c r="E140" s="1891"/>
      <c r="F140" s="1891"/>
      <c r="G140" s="1891"/>
      <c r="H140" s="1891"/>
      <c r="I140" s="1892"/>
      <c r="J140" s="2266"/>
      <c r="K140" s="2267"/>
      <c r="P140" s="2266"/>
      <c r="Q140" s="2267"/>
      <c r="V140" s="367"/>
      <c r="W140" s="2166"/>
      <c r="X140" s="2167"/>
    </row>
    <row r="141" spans="1:24" s="156" customFormat="1" ht="13.9" customHeight="1" thickBot="1">
      <c r="B141" s="174" t="s">
        <v>1679</v>
      </c>
      <c r="C141" s="177"/>
      <c r="J141" s="2101">
        <f>SUM(J135:K140)</f>
        <v>0</v>
      </c>
      <c r="K141" s="2102"/>
      <c r="P141" s="2101">
        <f>SUM(P135:Q140)</f>
        <v>0</v>
      </c>
      <c r="Q141" s="2102"/>
      <c r="V141" s="369">
        <f>SUM(V135:V140)</f>
        <v>0</v>
      </c>
      <c r="W141" s="2168"/>
      <c r="X141" s="2169"/>
    </row>
    <row r="142" spans="1:24" s="156" customFormat="1" ht="3" customHeight="1"/>
    <row r="143" spans="1:24" s="156" customFormat="1" ht="15" customHeight="1" thickBot="1">
      <c r="B143" s="160" t="s">
        <v>2081</v>
      </c>
      <c r="W143" s="156" t="str">
        <f>B143</f>
        <v>Eligible Basis Calculation</v>
      </c>
    </row>
    <row r="144" spans="1:24" s="156" customFormat="1" ht="13.9" customHeight="1">
      <c r="B144" s="156" t="s">
        <v>1613</v>
      </c>
      <c r="J144" s="2239">
        <f>J127</f>
        <v>0</v>
      </c>
      <c r="K144" s="2240"/>
      <c r="M144" s="2241">
        <f>M127</f>
        <v>0</v>
      </c>
      <c r="N144" s="2242"/>
      <c r="P144" s="2239">
        <f>P127</f>
        <v>0</v>
      </c>
      <c r="Q144" s="2240"/>
      <c r="R144" s="2195" t="s">
        <v>3278</v>
      </c>
      <c r="S144" s="2196"/>
      <c r="T144" s="2196"/>
      <c r="V144" s="367"/>
      <c r="W144" s="2164"/>
      <c r="X144" s="2165"/>
    </row>
    <row r="145" spans="1:24" s="156" customFormat="1" ht="13.9" customHeight="1">
      <c r="B145" s="156" t="s">
        <v>1970</v>
      </c>
      <c r="J145" s="2184">
        <f>J141</f>
        <v>0</v>
      </c>
      <c r="K145" s="2185"/>
      <c r="M145" s="2192"/>
      <c r="N145" s="2192"/>
      <c r="P145" s="2184">
        <f>P141</f>
        <v>0</v>
      </c>
      <c r="Q145" s="2185"/>
      <c r="R145" s="2195"/>
      <c r="S145" s="2196"/>
      <c r="T145" s="2196"/>
      <c r="V145" s="367"/>
      <c r="W145" s="2166"/>
      <c r="X145" s="2167"/>
    </row>
    <row r="146" spans="1:24" s="156" customFormat="1" ht="13.9" customHeight="1">
      <c r="B146" s="156" t="s">
        <v>1971</v>
      </c>
      <c r="J146" s="2184">
        <f>J144-J145</f>
        <v>0</v>
      </c>
      <c r="K146" s="2185"/>
      <c r="M146" s="2188">
        <f>M144</f>
        <v>0</v>
      </c>
      <c r="N146" s="2189"/>
      <c r="P146" s="2184">
        <f>P144-P145</f>
        <v>0</v>
      </c>
      <c r="Q146" s="2185"/>
      <c r="R146" s="2195"/>
      <c r="S146" s="2196"/>
      <c r="T146" s="2196"/>
      <c r="V146" s="367"/>
      <c r="W146" s="2166"/>
      <c r="X146" s="2167"/>
    </row>
    <row r="147" spans="1:24" s="156" customFormat="1" ht="13.9" customHeight="1">
      <c r="B147" s="156" t="s">
        <v>1360</v>
      </c>
      <c r="G147" s="170" t="s">
        <v>1544</v>
      </c>
      <c r="H147" s="2232" t="s">
        <v>1595</v>
      </c>
      <c r="I147" s="2233"/>
      <c r="J147" s="2193"/>
      <c r="K147" s="2194"/>
      <c r="M147" s="2238"/>
      <c r="N147" s="2238"/>
      <c r="P147" s="2193"/>
      <c r="Q147" s="2194"/>
      <c r="R147" s="2197" t="s">
        <v>3279</v>
      </c>
      <c r="S147" s="2198"/>
      <c r="T147" s="2199"/>
      <c r="V147" s="367"/>
      <c r="W147" s="2166"/>
      <c r="X147" s="2167"/>
    </row>
    <row r="148" spans="1:24" s="156" customFormat="1" ht="13.9" customHeight="1">
      <c r="B148" s="156" t="s">
        <v>1838</v>
      </c>
      <c r="J148" s="2184">
        <f>J146*J147</f>
        <v>0</v>
      </c>
      <c r="K148" s="2185"/>
      <c r="M148" s="2190">
        <f>+M146</f>
        <v>0</v>
      </c>
      <c r="N148" s="2191"/>
      <c r="P148" s="2184">
        <f>P146*P147</f>
        <v>0</v>
      </c>
      <c r="Q148" s="2185"/>
      <c r="R148" s="2200"/>
      <c r="S148" s="2201"/>
      <c r="T148" s="2202"/>
      <c r="V148" s="367"/>
      <c r="W148" s="2166"/>
      <c r="X148" s="2167"/>
    </row>
    <row r="149" spans="1:24" s="156" customFormat="1" ht="13.9" customHeight="1">
      <c r="B149" s="156" t="s">
        <v>2253</v>
      </c>
      <c r="J149" s="2186" t="e">
        <f>MIN('Part VI-Revenues &amp; Expenses'!$O$63/'Part VI-Revenues &amp; Expenses'!$O$65,'Part VI-Revenues &amp; Expenses'!$O$163/'Part VI-Revenues &amp; Expenses'!$O$165)</f>
        <v>#DIV/0!</v>
      </c>
      <c r="K149" s="2187"/>
      <c r="M149" s="2186" t="e">
        <f>MIN('Part VI-Revenues &amp; Expenses'!$O$63/'Part VI-Revenues &amp; Expenses'!$O$65,'Part VI-Revenues &amp; Expenses'!$O$163/'Part VI-Revenues &amp; Expenses'!$O$165)</f>
        <v>#DIV/0!</v>
      </c>
      <c r="N149" s="2187"/>
      <c r="P149" s="2186" t="e">
        <f>MIN('Part VI-Revenues &amp; Expenses'!$O$63/'Part VI-Revenues &amp; Expenses'!$O$65,'Part VI-Revenues &amp; Expenses'!$O$163/'Part VI-Revenues &amp; Expenses'!$O$165)</f>
        <v>#DIV/0!</v>
      </c>
      <c r="Q149" s="2187"/>
      <c r="R149" s="2203"/>
      <c r="S149" s="2204"/>
      <c r="T149" s="2205"/>
      <c r="V149" s="367"/>
      <c r="W149" s="2166"/>
      <c r="X149" s="2167"/>
    </row>
    <row r="150" spans="1:24" s="156" customFormat="1" ht="13.9" customHeight="1">
      <c r="B150" s="156" t="s">
        <v>1830</v>
      </c>
      <c r="J150" s="2184" t="e">
        <f>J148*J149</f>
        <v>#DIV/0!</v>
      </c>
      <c r="K150" s="2185"/>
      <c r="M150" s="2184" t="e">
        <f>M148*M149</f>
        <v>#DIV/0!</v>
      </c>
      <c r="N150" s="2185"/>
      <c r="P150" s="2184" t="e">
        <f>P148*P149</f>
        <v>#DIV/0!</v>
      </c>
      <c r="Q150" s="2185"/>
      <c r="V150" s="367"/>
      <c r="W150" s="2166"/>
      <c r="X150" s="2167"/>
    </row>
    <row r="151" spans="1:24" s="156" customFormat="1" ht="13.9" customHeight="1">
      <c r="B151" s="156" t="s">
        <v>1831</v>
      </c>
      <c r="J151" s="2193"/>
      <c r="K151" s="2194"/>
      <c r="M151" s="2193"/>
      <c r="N151" s="2194"/>
      <c r="P151" s="2193"/>
      <c r="Q151" s="2194"/>
      <c r="V151" s="367"/>
      <c r="W151" s="2166"/>
      <c r="X151" s="2167"/>
    </row>
    <row r="152" spans="1:24" s="156" customFormat="1" ht="13.9" customHeight="1" thickBot="1">
      <c r="B152" s="156" t="s">
        <v>2254</v>
      </c>
      <c r="J152" s="2236" t="e">
        <f>J150*J151</f>
        <v>#DIV/0!</v>
      </c>
      <c r="K152" s="2237"/>
      <c r="M152" s="2236" t="e">
        <f>M150*M151</f>
        <v>#DIV/0!</v>
      </c>
      <c r="N152" s="2237"/>
      <c r="P152" s="2236" t="e">
        <f>P150*P151</f>
        <v>#DIV/0!</v>
      </c>
      <c r="Q152" s="2237"/>
      <c r="V152" s="366"/>
      <c r="W152" s="2166"/>
      <c r="X152" s="2167"/>
    </row>
    <row r="153" spans="1:24" s="156" customFormat="1" ht="13.9" customHeight="1" thickBot="1">
      <c r="B153" s="160" t="s">
        <v>1310</v>
      </c>
      <c r="J153" s="2101" t="e">
        <f>J152+M152+P152</f>
        <v>#DIV/0!</v>
      </c>
      <c r="K153" s="2231"/>
      <c r="L153" s="2231"/>
      <c r="M153" s="2231"/>
      <c r="N153" s="2231"/>
      <c r="O153" s="2231"/>
      <c r="P153" s="2231"/>
      <c r="Q153" s="2102"/>
      <c r="V153" s="369">
        <f>SUM(V144:V152)</f>
        <v>0</v>
      </c>
      <c r="W153" s="2168"/>
      <c r="X153" s="2169"/>
    </row>
    <row r="154" spans="1:24" s="156" customFormat="1" ht="6" customHeight="1">
      <c r="B154" s="252"/>
      <c r="L154" s="253"/>
      <c r="M154" s="253"/>
      <c r="N154" s="253"/>
      <c r="O154" s="253"/>
    </row>
    <row r="155" spans="1:24" s="156" customFormat="1" ht="13.9" customHeight="1">
      <c r="A155" s="295" t="s">
        <v>687</v>
      </c>
      <c r="B155" s="295" t="s">
        <v>1313</v>
      </c>
      <c r="H155" s="243"/>
      <c r="I155" s="243"/>
      <c r="L155" s="320"/>
      <c r="M155" s="319"/>
      <c r="N155" s="341"/>
      <c r="O155" s="341"/>
      <c r="P155" s="341"/>
      <c r="Q155" s="341"/>
      <c r="R155" s="345"/>
      <c r="S155" s="345"/>
      <c r="T155" s="345"/>
    </row>
    <row r="156" spans="1:24" s="156" customFormat="1" ht="15" customHeight="1">
      <c r="B156" s="160" t="s">
        <v>154</v>
      </c>
      <c r="H156" s="135"/>
      <c r="M156" s="319"/>
      <c r="N156" s="1454"/>
      <c r="O156" s="1454"/>
      <c r="P156" s="1454"/>
      <c r="Q156" s="1454"/>
      <c r="R156" s="1454"/>
      <c r="S156" s="1454"/>
      <c r="T156" s="1454"/>
      <c r="W156" s="295" t="str">
        <f>B155</f>
        <v>TAX CREDIT CALCULATION - GAP METHOD</v>
      </c>
    </row>
    <row r="157" spans="1:24" s="156" customFormat="1" ht="13.9" customHeight="1">
      <c r="B157" s="156" t="s">
        <v>2369</v>
      </c>
      <c r="J157" s="2247">
        <f>MIN(G127,(G127-O159))</f>
        <v>0</v>
      </c>
      <c r="K157" s="2248"/>
      <c r="L157" s="2249"/>
      <c r="M157" s="319"/>
      <c r="N157" s="1454"/>
      <c r="O157" s="1454"/>
      <c r="P157" s="1454"/>
      <c r="Q157" s="1454"/>
      <c r="R157" s="1454"/>
      <c r="S157" s="1454"/>
      <c r="T157" s="1454"/>
      <c r="V157" s="367"/>
      <c r="W157" s="1455"/>
      <c r="X157" s="1456"/>
    </row>
    <row r="158" spans="1:24" s="156" customFormat="1" ht="13.9" customHeight="1">
      <c r="B158" s="156" t="s">
        <v>242</v>
      </c>
      <c r="J158" s="2184">
        <f>'Part III-Sources of Funds'!$I$38-'Part III-Sources of Funds'!$I$22-'Part III-Sources of Funds'!$I$23-'Part III-Sources of Funds'!$I$29-'Part III-Sources of Funds'!$I$30</f>
        <v>0</v>
      </c>
      <c r="K158" s="2250"/>
      <c r="L158" s="2185"/>
      <c r="M158" s="319"/>
      <c r="N158" s="1454"/>
      <c r="O158" s="1454"/>
      <c r="P158" s="1454"/>
      <c r="Q158" s="1454"/>
      <c r="R158" s="1454"/>
      <c r="S158" s="1454"/>
      <c r="T158" s="1454"/>
      <c r="V158" s="367"/>
      <c r="W158" s="1457"/>
      <c r="X158" s="1458"/>
    </row>
    <row r="159" spans="1:24" s="156" customFormat="1" ht="13.9" customHeight="1">
      <c r="B159" s="156" t="s">
        <v>1982</v>
      </c>
      <c r="J159" s="2262">
        <f>+J157-J158</f>
        <v>0</v>
      </c>
      <c r="K159" s="2263"/>
      <c r="L159" s="2264"/>
      <c r="M159" s="319"/>
      <c r="N159" s="1454"/>
      <c r="O159" s="1454"/>
      <c r="P159" s="1454"/>
      <c r="Q159" s="1454"/>
      <c r="R159" s="1454"/>
      <c r="S159" s="1454"/>
      <c r="T159" s="1454"/>
      <c r="V159" s="367"/>
      <c r="W159" s="1457"/>
      <c r="X159" s="1458"/>
    </row>
    <row r="160" spans="1:24" s="156" customFormat="1" ht="13.9" customHeight="1">
      <c r="B160" s="156" t="s">
        <v>1188</v>
      </c>
      <c r="J160" s="2265" t="str">
        <f>"/ 10"</f>
        <v>/ 10</v>
      </c>
      <c r="K160" s="2265"/>
      <c r="L160" s="2265"/>
      <c r="M160" s="320"/>
      <c r="N160" s="311"/>
      <c r="O160" s="311"/>
      <c r="P160" s="311"/>
      <c r="Q160" s="311"/>
      <c r="R160" s="311"/>
      <c r="W160" s="1457"/>
      <c r="X160" s="1458"/>
    </row>
    <row r="161" spans="1:24" s="156" customFormat="1" ht="13.9" customHeight="1">
      <c r="B161" s="156" t="s">
        <v>1189</v>
      </c>
      <c r="J161" s="2190">
        <f>J159/10</f>
        <v>0</v>
      </c>
      <c r="K161" s="2253"/>
      <c r="L161" s="2191"/>
      <c r="M161" s="184"/>
      <c r="N161" s="1914" t="s">
        <v>1190</v>
      </c>
      <c r="O161" s="1914"/>
      <c r="Q161" s="1914" t="s">
        <v>1619</v>
      </c>
      <c r="R161" s="1914"/>
      <c r="V161" s="367"/>
      <c r="W161" s="1457"/>
      <c r="X161" s="1458"/>
    </row>
    <row r="162" spans="1:24" s="156" customFormat="1" ht="13.9" customHeight="1" thickBot="1">
      <c r="B162" s="156" t="s">
        <v>1359</v>
      </c>
      <c r="J162" s="2254">
        <f>N162+Q162</f>
        <v>0</v>
      </c>
      <c r="K162" s="2255"/>
      <c r="L162" s="2256"/>
      <c r="M162" s="170" t="s">
        <v>1191</v>
      </c>
      <c r="N162" s="2251"/>
      <c r="O162" s="2252"/>
      <c r="P162" s="170" t="s">
        <v>569</v>
      </c>
      <c r="Q162" s="2251"/>
      <c r="R162" s="2252"/>
      <c r="V162" s="367"/>
      <c r="W162" s="1457"/>
      <c r="X162" s="1458"/>
    </row>
    <row r="163" spans="1:24" s="156" customFormat="1" ht="13.9" customHeight="1" thickBot="1">
      <c r="B163" s="160" t="s">
        <v>1311</v>
      </c>
      <c r="J163" s="2101" t="str">
        <f>IF(J162=0,"",J161/J162)</f>
        <v/>
      </c>
      <c r="K163" s="2231"/>
      <c r="L163" s="2102"/>
      <c r="M163" s="184"/>
      <c r="N163" s="169"/>
      <c r="O163" s="169"/>
      <c r="V163" s="367"/>
      <c r="W163" s="1457"/>
      <c r="X163" s="1458"/>
    </row>
    <row r="164" spans="1:24" s="156" customFormat="1" ht="6" customHeight="1">
      <c r="J164" s="254"/>
      <c r="K164" s="254"/>
      <c r="L164" s="254"/>
      <c r="M164" s="184"/>
      <c r="N164" s="162"/>
      <c r="O164" s="162"/>
      <c r="W164" s="1457"/>
      <c r="X164" s="1458"/>
    </row>
    <row r="165" spans="1:24" s="156" customFormat="1" ht="16.149999999999999" customHeight="1">
      <c r="B165" s="160" t="s">
        <v>2457</v>
      </c>
      <c r="J165" s="2244" t="e">
        <f>+MIN(J153,J163)</f>
        <v>#DIV/0!</v>
      </c>
      <c r="K165" s="2245"/>
      <c r="L165" s="2246"/>
      <c r="M165" s="184"/>
      <c r="N165" s="162"/>
      <c r="O165" s="162"/>
      <c r="V165" s="367"/>
      <c r="W165" s="1457"/>
      <c r="X165" s="1458"/>
    </row>
    <row r="166" spans="1:24" s="156" customFormat="1" ht="3" customHeight="1">
      <c r="J166" s="254"/>
      <c r="K166" s="254"/>
      <c r="L166" s="254"/>
      <c r="M166" s="184"/>
      <c r="N166" s="162"/>
      <c r="O166" s="162"/>
      <c r="W166" s="1457"/>
      <c r="X166" s="1458"/>
    </row>
    <row r="167" spans="1:24" s="156" customFormat="1" ht="16.149999999999999" customHeight="1">
      <c r="B167" s="160" t="s">
        <v>327</v>
      </c>
      <c r="J167" s="2259"/>
      <c r="K167" s="2260"/>
      <c r="L167" s="2261"/>
      <c r="M167" s="255" t="e">
        <f>IF(J165=0,"",IF(J167&gt;J165,"ALLOCATION CANNOT EXCEED MAXIMUM - REVISE REQUEST!",""))</f>
        <v>#DIV/0!</v>
      </c>
      <c r="N167" s="162"/>
      <c r="O167" s="162"/>
      <c r="V167" s="367"/>
      <c r="W167" s="1457"/>
      <c r="X167" s="1458"/>
    </row>
    <row r="168" spans="1:24" s="156" customFormat="1" ht="3" customHeight="1">
      <c r="J168" s="254"/>
      <c r="K168" s="254"/>
      <c r="L168" s="254"/>
      <c r="M168" s="184"/>
      <c r="N168" s="162"/>
      <c r="O168" s="162"/>
      <c r="W168" s="1457"/>
      <c r="X168" s="1458"/>
    </row>
    <row r="169" spans="1:24" s="156" customFormat="1" ht="16.149999999999999" customHeight="1">
      <c r="A169" s="295" t="s">
        <v>1614</v>
      </c>
      <c r="B169" s="295" t="s">
        <v>3680</v>
      </c>
      <c r="D169" s="184"/>
      <c r="E169" s="184"/>
      <c r="F169" s="164"/>
      <c r="J169" s="2244">
        <f>IF(J167="",0,+MIN(J165,J167))</f>
        <v>0</v>
      </c>
      <c r="K169" s="2245"/>
      <c r="L169" s="2246"/>
      <c r="N169" s="256"/>
      <c r="O169" s="256"/>
      <c r="P169" s="256"/>
      <c r="Q169" s="256"/>
      <c r="R169" s="256"/>
      <c r="S169" s="256"/>
      <c r="T169" s="256"/>
      <c r="V169" s="367"/>
      <c r="W169" s="1459"/>
      <c r="X169" s="1460"/>
    </row>
    <row r="170" spans="1:24" ht="3" customHeight="1"/>
    <row r="171" spans="1:24" ht="6" customHeight="1"/>
    <row r="172" spans="1:24" ht="12" customHeight="1">
      <c r="A172" s="160" t="s">
        <v>1616</v>
      </c>
      <c r="B172" s="194" t="s">
        <v>531</v>
      </c>
      <c r="K172" s="160" t="s">
        <v>494</v>
      </c>
      <c r="L172" s="160" t="s">
        <v>74</v>
      </c>
    </row>
    <row r="173" spans="1:24" ht="201" customHeight="1">
      <c r="A173" s="2268" t="s">
        <v>134</v>
      </c>
      <c r="B173" s="2269"/>
      <c r="C173" s="2269"/>
      <c r="D173" s="2269"/>
      <c r="E173" s="2269"/>
      <c r="F173" s="2269"/>
      <c r="G173" s="2269"/>
      <c r="H173" s="2269"/>
      <c r="I173" s="2269"/>
      <c r="J173" s="2270"/>
      <c r="K173" s="2271"/>
      <c r="L173" s="2272"/>
      <c r="M173" s="2272"/>
      <c r="N173" s="2272"/>
      <c r="O173" s="2272"/>
      <c r="P173" s="2272"/>
      <c r="Q173" s="2272"/>
      <c r="R173" s="2272"/>
      <c r="S173" s="2272"/>
      <c r="T173" s="2273"/>
      <c r="W173" s="2100" t="s">
        <v>2342</v>
      </c>
      <c r="X173" s="2100"/>
    </row>
    <row r="174" spans="1:24" ht="11.25" customHeight="1"/>
    <row r="175" spans="1:24" ht="12" customHeight="1"/>
    <row r="176" spans="1:24" ht="12" customHeight="1"/>
    <row r="177" spans="1:1" ht="14.45" customHeight="1"/>
    <row r="178" spans="1:1" s="156" customFormat="1" ht="14.45" customHeight="1"/>
    <row r="179" spans="1:1" s="156" customFormat="1" ht="14.45" customHeight="1"/>
    <row r="180" spans="1:1" s="156" customFormat="1" ht="14.45" customHeight="1"/>
    <row r="181" spans="1:1" ht="14.45" customHeight="1"/>
    <row r="182" spans="1:1" s="156" customFormat="1" ht="14.45" customHeight="1">
      <c r="A182" s="165"/>
    </row>
    <row r="183" spans="1:1" ht="14.45" customHeight="1"/>
    <row r="184" spans="1:1" s="156" customFormat="1" ht="14.45" customHeight="1"/>
    <row r="185" spans="1:1" s="156" customFormat="1" ht="14.45" customHeight="1">
      <c r="A185" s="165"/>
    </row>
    <row r="186" spans="1:1" s="156" customFormat="1" ht="14.45" customHeight="1">
      <c r="A186" s="159"/>
    </row>
    <row r="187" spans="1:1" s="156" customFormat="1" ht="14.45" customHeight="1"/>
    <row r="188" spans="1:1" s="156" customFormat="1" ht="14.45" customHeight="1">
      <c r="A188" s="201"/>
    </row>
    <row r="189" spans="1:1" s="156" customFormat="1" ht="14.45" customHeight="1">
      <c r="A189" s="201"/>
    </row>
    <row r="190" spans="1:1" s="156" customFormat="1" ht="14.45" customHeight="1">
      <c r="A190" s="201"/>
    </row>
    <row r="191" spans="1:1" s="156" customFormat="1" ht="14.45" customHeight="1"/>
    <row r="192" spans="1:1" s="156" customFormat="1" ht="14.45" customHeight="1"/>
    <row r="193" ht="14.45" customHeight="1"/>
    <row r="194" ht="14.45" customHeight="1"/>
    <row r="195" ht="14.45" customHeight="1"/>
    <row r="196" ht="14.45" customHeight="1"/>
    <row r="197" ht="14.45" customHeight="1"/>
    <row r="198" ht="14.45" customHeight="1"/>
    <row r="199" ht="14.45" customHeight="1"/>
    <row r="200" ht="14.45" customHeight="1"/>
    <row r="201" s="156" customFormat="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row r="216" ht="14.45" customHeight="1"/>
  </sheetData>
  <sheetProtection algorithmName="SHA-512" hashValue="B+ppocRQhe3F9p3e4tLV4bLJisaY1vpkC9ln4OPYqD2oq/WqNquonBoSi0bFi3CPxFrx4M1eaIxyE0eGz7a2BQ==" saltValue="PKadvAOTrn6tBIkHYwUdsQ==" spinCount="100000" sheet="1" objects="1" scenarios="1" formatCells="0" formatColumns="0" formatRows="0"/>
  <mergeCells count="553">
    <mergeCell ref="P43:Q43"/>
    <mergeCell ref="P46:Q47"/>
    <mergeCell ref="M43:N43"/>
    <mergeCell ref="P38:Q38"/>
    <mergeCell ref="M56:N56"/>
    <mergeCell ref="M33:N33"/>
    <mergeCell ref="G26:H26"/>
    <mergeCell ref="P41:Q41"/>
    <mergeCell ref="G35:H35"/>
    <mergeCell ref="G37:H37"/>
    <mergeCell ref="P37:Q37"/>
    <mergeCell ref="P35:Q35"/>
    <mergeCell ref="P26:Q26"/>
    <mergeCell ref="G27:H27"/>
    <mergeCell ref="P33:Q33"/>
    <mergeCell ref="M35:N35"/>
    <mergeCell ref="P36:Q36"/>
    <mergeCell ref="M36:N36"/>
    <mergeCell ref="P50:Q50"/>
    <mergeCell ref="P51:Q51"/>
    <mergeCell ref="M38:N38"/>
    <mergeCell ref="G51:H51"/>
    <mergeCell ref="G50:H50"/>
    <mergeCell ref="J43:K43"/>
    <mergeCell ref="M26:N26"/>
    <mergeCell ref="J32:K32"/>
    <mergeCell ref="J29:K29"/>
    <mergeCell ref="P32:Q32"/>
    <mergeCell ref="M32:N32"/>
    <mergeCell ref="M31:N31"/>
    <mergeCell ref="P31:Q31"/>
    <mergeCell ref="J38:K38"/>
    <mergeCell ref="J36:K36"/>
    <mergeCell ref="G17:H17"/>
    <mergeCell ref="J33:K33"/>
    <mergeCell ref="J35:K35"/>
    <mergeCell ref="C33:D33"/>
    <mergeCell ref="J71:K71"/>
    <mergeCell ref="P54:Q54"/>
    <mergeCell ref="P66:Q66"/>
    <mergeCell ref="J60:K60"/>
    <mergeCell ref="G19:H19"/>
    <mergeCell ref="G23:H23"/>
    <mergeCell ref="P70:Q70"/>
    <mergeCell ref="J70:K70"/>
    <mergeCell ref="M65:N65"/>
    <mergeCell ref="J30:K30"/>
    <mergeCell ref="G31:H31"/>
    <mergeCell ref="J31:K31"/>
    <mergeCell ref="M25:N25"/>
    <mergeCell ref="G25:H25"/>
    <mergeCell ref="J27:K27"/>
    <mergeCell ref="P69:Q69"/>
    <mergeCell ref="G30:H30"/>
    <mergeCell ref="G32:H32"/>
    <mergeCell ref="G29:H29"/>
    <mergeCell ref="G33:H33"/>
    <mergeCell ref="W173:X173"/>
    <mergeCell ref="J119:K119"/>
    <mergeCell ref="M119:N119"/>
    <mergeCell ref="J167:L167"/>
    <mergeCell ref="J159:L159"/>
    <mergeCell ref="J160:L160"/>
    <mergeCell ref="P120:Q120"/>
    <mergeCell ref="P141:Q141"/>
    <mergeCell ref="P138:Q138"/>
    <mergeCell ref="P125:Q125"/>
    <mergeCell ref="J165:L165"/>
    <mergeCell ref="J150:K150"/>
    <mergeCell ref="J145:K145"/>
    <mergeCell ref="J140:K140"/>
    <mergeCell ref="A173:J173"/>
    <mergeCell ref="K173:T173"/>
    <mergeCell ref="J125:K125"/>
    <mergeCell ref="P121:Q121"/>
    <mergeCell ref="J121:K121"/>
    <mergeCell ref="P140:Q140"/>
    <mergeCell ref="S119:T119"/>
    <mergeCell ref="C124:F124"/>
    <mergeCell ref="S125:T125"/>
    <mergeCell ref="G125:H125"/>
    <mergeCell ref="J132:K133"/>
    <mergeCell ref="M121:N121"/>
    <mergeCell ref="G124:H124"/>
    <mergeCell ref="G75:H75"/>
    <mergeCell ref="G72:H72"/>
    <mergeCell ref="C86:F86"/>
    <mergeCell ref="E96:F96"/>
    <mergeCell ref="E95:F95"/>
    <mergeCell ref="C120:F120"/>
    <mergeCell ref="G120:H120"/>
    <mergeCell ref="C100:F100"/>
    <mergeCell ref="C99:F99"/>
    <mergeCell ref="G111:H111"/>
    <mergeCell ref="J111:K111"/>
    <mergeCell ref="M113:N113"/>
    <mergeCell ref="M112:N112"/>
    <mergeCell ref="J123:K123"/>
    <mergeCell ref="M76:N76"/>
    <mergeCell ref="M75:N75"/>
    <mergeCell ref="J76:K76"/>
    <mergeCell ref="J75:K75"/>
    <mergeCell ref="M73:N73"/>
    <mergeCell ref="M84:N84"/>
    <mergeCell ref="M110:N110"/>
    <mergeCell ref="P79:Q79"/>
    <mergeCell ref="J72:K72"/>
    <mergeCell ref="G110:H110"/>
    <mergeCell ref="G49:H49"/>
    <mergeCell ref="G65:H65"/>
    <mergeCell ref="G70:H70"/>
    <mergeCell ref="P78:Q78"/>
    <mergeCell ref="C72:F72"/>
    <mergeCell ref="G69:H69"/>
    <mergeCell ref="M71:N71"/>
    <mergeCell ref="P71:Q71"/>
    <mergeCell ref="P75:Q75"/>
    <mergeCell ref="P72:Q72"/>
    <mergeCell ref="J55:K55"/>
    <mergeCell ref="J65:K65"/>
    <mergeCell ref="J64:K64"/>
    <mergeCell ref="J59:K59"/>
    <mergeCell ref="M52:N52"/>
    <mergeCell ref="M66:N66"/>
    <mergeCell ref="P81:Q81"/>
    <mergeCell ref="P106:Q106"/>
    <mergeCell ref="P87:Q87"/>
    <mergeCell ref="P83:Q83"/>
    <mergeCell ref="P105:Q105"/>
    <mergeCell ref="J151:K151"/>
    <mergeCell ref="M152:N152"/>
    <mergeCell ref="M151:N151"/>
    <mergeCell ref="P152:Q152"/>
    <mergeCell ref="P151:Q151"/>
    <mergeCell ref="J169:L169"/>
    <mergeCell ref="J157:L157"/>
    <mergeCell ref="J163:L163"/>
    <mergeCell ref="J158:L158"/>
    <mergeCell ref="Q162:R162"/>
    <mergeCell ref="J161:L161"/>
    <mergeCell ref="J162:L162"/>
    <mergeCell ref="N162:O162"/>
    <mergeCell ref="N161:O161"/>
    <mergeCell ref="Q161:R161"/>
    <mergeCell ref="C15:F15"/>
    <mergeCell ref="G127:H127"/>
    <mergeCell ref="D129:E129"/>
    <mergeCell ref="J127:K127"/>
    <mergeCell ref="G113:H113"/>
    <mergeCell ref="M132:N133"/>
    <mergeCell ref="M124:N124"/>
    <mergeCell ref="M125:N125"/>
    <mergeCell ref="G118:H118"/>
    <mergeCell ref="J116:K116"/>
    <mergeCell ref="G117:H117"/>
    <mergeCell ref="G116:H116"/>
    <mergeCell ref="C58:F58"/>
    <mergeCell ref="G58:H58"/>
    <mergeCell ref="J58:K58"/>
    <mergeCell ref="M58:N58"/>
    <mergeCell ref="M87:N87"/>
    <mergeCell ref="M85:N85"/>
    <mergeCell ref="J81:K81"/>
    <mergeCell ref="J86:K86"/>
    <mergeCell ref="J89:K90"/>
    <mergeCell ref="M105:N105"/>
    <mergeCell ref="M103:N103"/>
    <mergeCell ref="M106:N106"/>
    <mergeCell ref="M23:N23"/>
    <mergeCell ref="J153:Q153"/>
    <mergeCell ref="H147:I147"/>
    <mergeCell ref="P135:Q135"/>
    <mergeCell ref="S71:T71"/>
    <mergeCell ref="J120:K120"/>
    <mergeCell ref="J124:K124"/>
    <mergeCell ref="J107:K107"/>
    <mergeCell ref="P107:Q107"/>
    <mergeCell ref="J152:K152"/>
    <mergeCell ref="J149:K149"/>
    <mergeCell ref="M147:N147"/>
    <mergeCell ref="J144:K144"/>
    <mergeCell ref="C140:I140"/>
    <mergeCell ref="J136:K136"/>
    <mergeCell ref="J135:K135"/>
    <mergeCell ref="P146:Q146"/>
    <mergeCell ref="M144:N144"/>
    <mergeCell ref="J139:K139"/>
    <mergeCell ref="J141:K141"/>
    <mergeCell ref="J137:K137"/>
    <mergeCell ref="P137:Q137"/>
    <mergeCell ref="P136:Q136"/>
    <mergeCell ref="P144:Q144"/>
    <mergeCell ref="S37:T37"/>
    <mergeCell ref="W1:X1"/>
    <mergeCell ref="P89:Q90"/>
    <mergeCell ref="P86:Q86"/>
    <mergeCell ref="S65:T65"/>
    <mergeCell ref="S75:T75"/>
    <mergeCell ref="P76:Q76"/>
    <mergeCell ref="P73:Q73"/>
    <mergeCell ref="S77:T77"/>
    <mergeCell ref="S35:T35"/>
    <mergeCell ref="S32:T32"/>
    <mergeCell ref="A1:T1"/>
    <mergeCell ref="M30:N30"/>
    <mergeCell ref="S16:T16"/>
    <mergeCell ref="S5:T6"/>
    <mergeCell ref="S70:T70"/>
    <mergeCell ref="G64:H64"/>
    <mergeCell ref="G47:H47"/>
    <mergeCell ref="J26:K26"/>
    <mergeCell ref="P77:Q77"/>
    <mergeCell ref="M86:N86"/>
    <mergeCell ref="C16:F16"/>
    <mergeCell ref="J25:K25"/>
    <mergeCell ref="M21:N21"/>
    <mergeCell ref="S60:T60"/>
    <mergeCell ref="S62:T62"/>
    <mergeCell ref="P52:Q52"/>
    <mergeCell ref="J56:K56"/>
    <mergeCell ref="P56:Q56"/>
    <mergeCell ref="J54:K54"/>
    <mergeCell ref="M55:N55"/>
    <mergeCell ref="P49:Q49"/>
    <mergeCell ref="J44:K44"/>
    <mergeCell ref="P58:Q58"/>
    <mergeCell ref="J53:K53"/>
    <mergeCell ref="J62:K62"/>
    <mergeCell ref="P57:Q57"/>
    <mergeCell ref="M50:N50"/>
    <mergeCell ref="M51:N51"/>
    <mergeCell ref="J51:K51"/>
    <mergeCell ref="M46:N47"/>
    <mergeCell ref="M44:N44"/>
    <mergeCell ref="M49:N49"/>
    <mergeCell ref="S64:T64"/>
    <mergeCell ref="S51:T51"/>
    <mergeCell ref="S63:T63"/>
    <mergeCell ref="S38:T38"/>
    <mergeCell ref="M53:N53"/>
    <mergeCell ref="P53:Q53"/>
    <mergeCell ref="M60:N60"/>
    <mergeCell ref="C14:F14"/>
    <mergeCell ref="G14:H14"/>
    <mergeCell ref="G36:H36"/>
    <mergeCell ref="P30:Q30"/>
    <mergeCell ref="G38:H38"/>
    <mergeCell ref="G41:H41"/>
    <mergeCell ref="G54:H54"/>
    <mergeCell ref="G63:H63"/>
    <mergeCell ref="G56:H56"/>
    <mergeCell ref="G59:H59"/>
    <mergeCell ref="G60:H60"/>
    <mergeCell ref="G53:H53"/>
    <mergeCell ref="G62:H62"/>
    <mergeCell ref="E43:E44"/>
    <mergeCell ref="C41:F41"/>
    <mergeCell ref="S31:T31"/>
    <mergeCell ref="S29:T29"/>
    <mergeCell ref="G96:H96"/>
    <mergeCell ref="G90:H90"/>
    <mergeCell ref="G94:H94"/>
    <mergeCell ref="G95:H95"/>
    <mergeCell ref="G93:H93"/>
    <mergeCell ref="G98:H98"/>
    <mergeCell ref="G97:H97"/>
    <mergeCell ref="J103:K103"/>
    <mergeCell ref="G99:H99"/>
    <mergeCell ref="G103:H103"/>
    <mergeCell ref="G100:H100"/>
    <mergeCell ref="G101:H101"/>
    <mergeCell ref="J77:K77"/>
    <mergeCell ref="M107:N107"/>
    <mergeCell ref="J83:K83"/>
    <mergeCell ref="J85:K85"/>
    <mergeCell ref="J49:K49"/>
    <mergeCell ref="J87:K87"/>
    <mergeCell ref="M81:N81"/>
    <mergeCell ref="M89:N90"/>
    <mergeCell ref="M72:N72"/>
    <mergeCell ref="J79:K79"/>
    <mergeCell ref="J78:K78"/>
    <mergeCell ref="M77:N77"/>
    <mergeCell ref="M78:N78"/>
    <mergeCell ref="J82:K82"/>
    <mergeCell ref="J84:K84"/>
    <mergeCell ref="M83:N83"/>
    <mergeCell ref="M82:N82"/>
    <mergeCell ref="J106:K106"/>
    <mergeCell ref="J104:K104"/>
    <mergeCell ref="P5:Q6"/>
    <mergeCell ref="G6:H6"/>
    <mergeCell ref="J8:K8"/>
    <mergeCell ref="P10:Q10"/>
    <mergeCell ref="P11:Q11"/>
    <mergeCell ref="M79:N79"/>
    <mergeCell ref="M22:N22"/>
    <mergeCell ref="M29:N29"/>
    <mergeCell ref="P13:Q13"/>
    <mergeCell ref="P16:Q16"/>
    <mergeCell ref="P27:Q27"/>
    <mergeCell ref="M27:N27"/>
    <mergeCell ref="P14:Q14"/>
    <mergeCell ref="M17:N17"/>
    <mergeCell ref="M16:N16"/>
    <mergeCell ref="P25:Q25"/>
    <mergeCell ref="J73:K73"/>
    <mergeCell ref="M14:N14"/>
    <mergeCell ref="P17:Q17"/>
    <mergeCell ref="P29:Q29"/>
    <mergeCell ref="J66:K66"/>
    <mergeCell ref="P59:Q59"/>
    <mergeCell ref="P55:Q55"/>
    <mergeCell ref="P60:Q60"/>
    <mergeCell ref="M5:N6"/>
    <mergeCell ref="J5:K6"/>
    <mergeCell ref="M8:N8"/>
    <mergeCell ref="M9:N9"/>
    <mergeCell ref="M64:N64"/>
    <mergeCell ref="M70:N70"/>
    <mergeCell ref="J50:K50"/>
    <mergeCell ref="J46:K47"/>
    <mergeCell ref="J68:K68"/>
    <mergeCell ref="J52:K52"/>
    <mergeCell ref="M63:N63"/>
    <mergeCell ref="M69:N69"/>
    <mergeCell ref="J69:K69"/>
    <mergeCell ref="J41:K41"/>
    <mergeCell ref="M41:N41"/>
    <mergeCell ref="J37:K37"/>
    <mergeCell ref="M37:N37"/>
    <mergeCell ref="M10:N10"/>
    <mergeCell ref="M11:N11"/>
    <mergeCell ref="J9:K9"/>
    <mergeCell ref="J10:K10"/>
    <mergeCell ref="J11:K11"/>
    <mergeCell ref="J14:K14"/>
    <mergeCell ref="M62:N62"/>
    <mergeCell ref="B44:C44"/>
    <mergeCell ref="G77:H77"/>
    <mergeCell ref="G87:H87"/>
    <mergeCell ref="G86:H86"/>
    <mergeCell ref="G57:H57"/>
    <mergeCell ref="G71:H71"/>
    <mergeCell ref="G79:H79"/>
    <mergeCell ref="G85:H85"/>
    <mergeCell ref="G92:H92"/>
    <mergeCell ref="G82:H82"/>
    <mergeCell ref="G84:H84"/>
    <mergeCell ref="G78:H78"/>
    <mergeCell ref="G81:H81"/>
    <mergeCell ref="G83:H83"/>
    <mergeCell ref="G73:H73"/>
    <mergeCell ref="C59:F59"/>
    <mergeCell ref="G52:H52"/>
    <mergeCell ref="G66:H66"/>
    <mergeCell ref="G55:H55"/>
    <mergeCell ref="G67:H67"/>
    <mergeCell ref="G68:H68"/>
    <mergeCell ref="G121:H121"/>
    <mergeCell ref="G123:H123"/>
    <mergeCell ref="S127:T127"/>
    <mergeCell ref="P150:Q150"/>
    <mergeCell ref="M149:N149"/>
    <mergeCell ref="M146:N146"/>
    <mergeCell ref="M148:N148"/>
    <mergeCell ref="P149:Q149"/>
    <mergeCell ref="M145:N145"/>
    <mergeCell ref="J148:K148"/>
    <mergeCell ref="J147:K147"/>
    <mergeCell ref="J146:K146"/>
    <mergeCell ref="P148:Q148"/>
    <mergeCell ref="P147:Q147"/>
    <mergeCell ref="P145:Q145"/>
    <mergeCell ref="P132:Q133"/>
    <mergeCell ref="P127:Q127"/>
    <mergeCell ref="R144:T146"/>
    <mergeCell ref="R147:T149"/>
    <mergeCell ref="J138:K138"/>
    <mergeCell ref="G129:H129"/>
    <mergeCell ref="M127:N127"/>
    <mergeCell ref="P139:Q139"/>
    <mergeCell ref="M150:N150"/>
    <mergeCell ref="S123:T123"/>
    <mergeCell ref="S124:T124"/>
    <mergeCell ref="M104:N104"/>
    <mergeCell ref="P123:Q123"/>
    <mergeCell ref="P124:Q124"/>
    <mergeCell ref="M123:N123"/>
    <mergeCell ref="S115:T115"/>
    <mergeCell ref="S117:T117"/>
    <mergeCell ref="S121:T121"/>
    <mergeCell ref="S113:T113"/>
    <mergeCell ref="S118:T118"/>
    <mergeCell ref="P110:Q110"/>
    <mergeCell ref="S111:T111"/>
    <mergeCell ref="P119:Q119"/>
    <mergeCell ref="P112:Q112"/>
    <mergeCell ref="P116:Q116"/>
    <mergeCell ref="P113:Q113"/>
    <mergeCell ref="M111:N111"/>
    <mergeCell ref="P111:Q111"/>
    <mergeCell ref="M109:N109"/>
    <mergeCell ref="C106:F106"/>
    <mergeCell ref="G106:H106"/>
    <mergeCell ref="J105:K105"/>
    <mergeCell ref="G112:H112"/>
    <mergeCell ref="G105:H105"/>
    <mergeCell ref="S104:T104"/>
    <mergeCell ref="S106:T106"/>
    <mergeCell ref="S110:T110"/>
    <mergeCell ref="S120:T120"/>
    <mergeCell ref="M120:N120"/>
    <mergeCell ref="S112:T112"/>
    <mergeCell ref="J113:K113"/>
    <mergeCell ref="G115:H115"/>
    <mergeCell ref="S116:T116"/>
    <mergeCell ref="M116:N116"/>
    <mergeCell ref="J112:K112"/>
    <mergeCell ref="G119:H119"/>
    <mergeCell ref="G104:H104"/>
    <mergeCell ref="G109:H109"/>
    <mergeCell ref="G107:H107"/>
    <mergeCell ref="J109:K109"/>
    <mergeCell ref="J110:K110"/>
    <mergeCell ref="S82:T82"/>
    <mergeCell ref="S109:T109"/>
    <mergeCell ref="S92:T92"/>
    <mergeCell ref="P103:Q103"/>
    <mergeCell ref="P104:Q104"/>
    <mergeCell ref="P109:Q109"/>
    <mergeCell ref="S107:T107"/>
    <mergeCell ref="S99:T99"/>
    <mergeCell ref="S103:T103"/>
    <mergeCell ref="S84:T84"/>
    <mergeCell ref="S83:T83"/>
    <mergeCell ref="S86:T86"/>
    <mergeCell ref="S105:T105"/>
    <mergeCell ref="S95:T95"/>
    <mergeCell ref="S97:T97"/>
    <mergeCell ref="S98:T98"/>
    <mergeCell ref="S89:T90"/>
    <mergeCell ref="S85:T85"/>
    <mergeCell ref="S87:T87"/>
    <mergeCell ref="S96:T96"/>
    <mergeCell ref="P85:Q85"/>
    <mergeCell ref="P84:Q84"/>
    <mergeCell ref="P82:Q82"/>
    <mergeCell ref="S81:T81"/>
    <mergeCell ref="S93:T93"/>
    <mergeCell ref="S94:T94"/>
    <mergeCell ref="S100:T100"/>
    <mergeCell ref="S101:T101"/>
    <mergeCell ref="G76:H76"/>
    <mergeCell ref="S55:T55"/>
    <mergeCell ref="S59:T59"/>
    <mergeCell ref="S54:T54"/>
    <mergeCell ref="M54:N54"/>
    <mergeCell ref="S58:T58"/>
    <mergeCell ref="J67:K67"/>
    <mergeCell ref="M67:N67"/>
    <mergeCell ref="J57:K57"/>
    <mergeCell ref="J63:K63"/>
    <mergeCell ref="M68:N68"/>
    <mergeCell ref="P64:Q64"/>
    <mergeCell ref="P65:Q65"/>
    <mergeCell ref="M57:N57"/>
    <mergeCell ref="P63:Q63"/>
    <mergeCell ref="P68:Q68"/>
    <mergeCell ref="P62:Q62"/>
    <mergeCell ref="P67:Q67"/>
    <mergeCell ref="M59:N59"/>
    <mergeCell ref="W75:X79"/>
    <mergeCell ref="W62:X73"/>
    <mergeCell ref="W50:X60"/>
    <mergeCell ref="W35:X38"/>
    <mergeCell ref="S56:T56"/>
    <mergeCell ref="S57:T57"/>
    <mergeCell ref="S49:T49"/>
    <mergeCell ref="S67:T67"/>
    <mergeCell ref="S79:T79"/>
    <mergeCell ref="S66:T66"/>
    <mergeCell ref="S76:T76"/>
    <mergeCell ref="S68:T68"/>
    <mergeCell ref="S69:T69"/>
    <mergeCell ref="S73:T73"/>
    <mergeCell ref="W41:X44"/>
    <mergeCell ref="S72:T72"/>
    <mergeCell ref="S50:T50"/>
    <mergeCell ref="S43:T43"/>
    <mergeCell ref="S78:T78"/>
    <mergeCell ref="S52:T52"/>
    <mergeCell ref="S36:T36"/>
    <mergeCell ref="S53:T53"/>
    <mergeCell ref="S41:T41"/>
    <mergeCell ref="S46:T47"/>
    <mergeCell ref="W144:X153"/>
    <mergeCell ref="W135:X141"/>
    <mergeCell ref="W123:X127"/>
    <mergeCell ref="W115:X121"/>
    <mergeCell ref="W109:X113"/>
    <mergeCell ref="W103:X107"/>
    <mergeCell ref="W92:X101"/>
    <mergeCell ref="W81:X87"/>
    <mergeCell ref="W90:X90"/>
    <mergeCell ref="W6:X6"/>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S33:T33"/>
    <mergeCell ref="S13:T13"/>
    <mergeCell ref="G8:H8"/>
    <mergeCell ref="G9:H9"/>
    <mergeCell ref="J15:K15"/>
    <mergeCell ref="G20:H20"/>
    <mergeCell ref="G21:H21"/>
    <mergeCell ref="G22:H22"/>
    <mergeCell ref="G10:H10"/>
    <mergeCell ref="G13:H13"/>
    <mergeCell ref="G11:H11"/>
    <mergeCell ref="G16:H16"/>
    <mergeCell ref="G12:H12"/>
    <mergeCell ref="J17:K17"/>
    <mergeCell ref="P8:Q8"/>
    <mergeCell ref="P9:Q9"/>
    <mergeCell ref="P15:Q15"/>
    <mergeCell ref="P12:Q12"/>
    <mergeCell ref="J13:K13"/>
    <mergeCell ref="J12:K12"/>
    <mergeCell ref="M12:N12"/>
    <mergeCell ref="M15:N15"/>
    <mergeCell ref="M13:N13"/>
    <mergeCell ref="G15:H15"/>
    <mergeCell ref="J16:K16"/>
  </mergeCells>
  <phoneticPr fontId="7" type="noConversion"/>
  <conditionalFormatting sqref="G35">
    <cfRule type="cellIs" dxfId="78" priority="4" stopIfTrue="1" operator="greaterThan">
      <formula>$F35</formula>
    </cfRule>
  </conditionalFormatting>
  <conditionalFormatting sqref="J169:L169">
    <cfRule type="cellIs" dxfId="77" priority="6" stopIfTrue="1" operator="greaterThan">
      <formula>$J$165</formula>
    </cfRule>
  </conditionalFormatting>
  <conditionalFormatting sqref="G36">
    <cfRule type="cellIs" dxfId="7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75" priority="3" operator="greaterThan">
      <formula>$G$35</formula>
    </cfRule>
  </conditionalFormatting>
  <conditionalFormatting sqref="J36:K37 M36:N37 P36:Q37">
    <cfRule type="cellIs" dxfId="74" priority="2" operator="greaterThan">
      <formula>$G$37</formula>
    </cfRule>
  </conditionalFormatting>
  <conditionalFormatting sqref="G37">
    <cfRule type="cellIs" dxfId="73" priority="1" operator="greaterThan">
      <formula>$F$37</formula>
    </cfRule>
  </conditionalFormatting>
  <dataValidations xWindow="265" yWindow="773" count="3">
    <dataValidation type="list" allowBlank="1" showInputMessage="1" showErrorMessage="1" sqref="H147" xr:uid="{00000000-0002-0000-0700-000000000000}">
      <formula1>"&lt;&lt;Select&gt;&gt;,DDA/QCT, State Boost"</formula1>
    </dataValidation>
    <dataValidation type="list" allowBlank="1" showInputMessage="1" showErrorMessage="1" sqref="E77:E78" xr:uid="{00000000-0002-0000-0700-000001000000}">
      <formula1>"Yes, No"</formula1>
    </dataValidation>
    <dataValidation type="list" allowBlank="1" showInputMessage="1" showErrorMessage="1" sqref="R147:T149" xr:uid="{00000000-0002-0000-0700-000002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Affairs&amp;C&amp;11OHF Final Cost Certification Application&amp;R&amp;11Housing Finance and Development Division</oddHeader>
    <oddFooter>&amp;L&amp;"Arial Narrow,Regular"&amp;G &amp;F&amp;C&amp;"Arial Narrow,Regular"&amp;A&amp;R&amp;"Arial Narrow,Regular"&amp;P of &amp;N</oddFooter>
  </headerFooter>
  <rowBreaks count="3" manualBreakCount="3">
    <brk id="87" max="16383" man="1"/>
    <brk id="130" max="16383" man="1"/>
    <brk id="170"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T46"/>
  <sheetViews>
    <sheetView showGridLines="0" zoomScaleNormal="100" workbookViewId="0">
      <selection activeCell="I7" sqref="I7:M7"/>
    </sheetView>
  </sheetViews>
  <sheetFormatPr defaultColWidth="8.85546875" defaultRowHeight="12.75"/>
  <cols>
    <col min="1" max="1" width="2.140625" style="853" customWidth="1"/>
    <col min="2" max="3" width="8.85546875" style="853"/>
    <col min="4" max="4" width="12.85546875" style="853" customWidth="1"/>
    <col min="5" max="5" width="9.42578125" style="853" customWidth="1"/>
    <col min="6" max="7" width="9.85546875" style="853" customWidth="1"/>
    <col min="8" max="8" width="8.140625" style="853" customWidth="1"/>
    <col min="9" max="13" width="10.85546875" style="853" customWidth="1"/>
    <col min="14" max="14" width="3" style="853" customWidth="1"/>
    <col min="15" max="17" width="8.85546875" style="853"/>
    <col min="18" max="18" width="8.85546875" style="853" customWidth="1"/>
    <col min="19" max="16384" width="8.85546875" style="853"/>
  </cols>
  <sheetData>
    <row r="1" spans="1:20" s="886" customFormat="1" ht="14.1" customHeight="1">
      <c r="A1" s="2302" t="str">
        <f>CONCATENATE("PART FIVE - UTILITY ALLOWANCES","  -  ",'Part I-Project Information'!$O$4," ",'Part I-Project Information'!$F$24,", ",'Part I-Project Information'!$F$27,", ",'Part I-Project Information'!$J$28," County")</f>
        <v>PART FIVE - UTILITY ALLOWANCES  -  20##-### SB OHF Test Villas, Peachtree Corners, Gwinnett County</v>
      </c>
      <c r="B1" s="2303"/>
      <c r="C1" s="2303"/>
      <c r="D1" s="2303"/>
      <c r="E1" s="2303"/>
      <c r="F1" s="2303"/>
      <c r="G1" s="2303"/>
      <c r="H1" s="2303"/>
      <c r="I1" s="2303"/>
      <c r="J1" s="2303"/>
      <c r="K1" s="2303"/>
      <c r="L1" s="2303"/>
      <c r="M1" s="2303"/>
      <c r="N1" s="1013"/>
      <c r="O1" s="1013"/>
      <c r="P1" s="1013"/>
      <c r="Q1" s="1013"/>
      <c r="R1" s="1014"/>
      <c r="S1" s="1014"/>
      <c r="T1" s="1014"/>
    </row>
    <row r="2" spans="1:20" s="886" customFormat="1" ht="7.5" customHeight="1"/>
    <row r="3" spans="1:20" s="886" customFormat="1" ht="12.75" customHeight="1">
      <c r="F3" s="1015" t="s">
        <v>3280</v>
      </c>
      <c r="I3" s="1016" t="str">
        <f>VLOOKUP('Part I-Project Information'!$J$28,'DCA Underwriting Assumptions'!$G$158:$H$317,2)</f>
        <v>North</v>
      </c>
    </row>
    <row r="4" spans="1:20" s="886" customFormat="1" ht="6" customHeight="1"/>
    <row r="5" spans="1:20">
      <c r="A5" s="1017" t="s">
        <v>3281</v>
      </c>
    </row>
    <row r="6" spans="1:20" ht="6" customHeight="1">
      <c r="A6" s="886"/>
    </row>
    <row r="7" spans="1:20" s="886" customFormat="1">
      <c r="A7" s="885" t="s">
        <v>572</v>
      </c>
      <c r="B7" s="885" t="s">
        <v>1977</v>
      </c>
      <c r="F7" s="1018" t="s">
        <v>2232</v>
      </c>
      <c r="G7" s="1018"/>
      <c r="H7" s="1018"/>
      <c r="I7" s="2299"/>
      <c r="J7" s="2300"/>
      <c r="K7" s="2300"/>
      <c r="L7" s="2300"/>
      <c r="M7" s="2301"/>
    </row>
    <row r="8" spans="1:20" s="886" customFormat="1" ht="13.35" customHeight="1">
      <c r="A8" s="885"/>
      <c r="F8" s="1018" t="s">
        <v>591</v>
      </c>
      <c r="G8" s="1018"/>
      <c r="H8" s="851"/>
      <c r="I8" s="2291"/>
      <c r="J8" s="2292"/>
      <c r="K8" s="1019" t="s">
        <v>504</v>
      </c>
      <c r="L8" s="2293"/>
      <c r="M8" s="2294"/>
    </row>
    <row r="9" spans="1:20" s="886" customFormat="1" ht="4.5" customHeight="1">
      <c r="A9" s="885"/>
    </row>
    <row r="10" spans="1:20" s="885" customFormat="1">
      <c r="B10" s="1020"/>
      <c r="C10" s="1020"/>
      <c r="D10" s="1020"/>
      <c r="E10" s="1020"/>
      <c r="F10" s="2295" t="s">
        <v>566</v>
      </c>
      <c r="G10" s="2295"/>
      <c r="I10" s="2296" t="s">
        <v>180</v>
      </c>
      <c r="J10" s="2296"/>
      <c r="K10" s="2296"/>
      <c r="L10" s="2296"/>
      <c r="M10" s="2296"/>
    </row>
    <row r="11" spans="1:20" s="885" customFormat="1">
      <c r="B11" s="1020" t="s">
        <v>737</v>
      </c>
      <c r="D11" s="1020" t="s">
        <v>1452</v>
      </c>
      <c r="F11" s="1021" t="s">
        <v>596</v>
      </c>
      <c r="G11" s="1021" t="s">
        <v>1664</v>
      </c>
      <c r="I11" s="1022" t="s">
        <v>527</v>
      </c>
      <c r="J11" s="1023">
        <v>1</v>
      </c>
      <c r="K11" s="1023">
        <v>2</v>
      </c>
      <c r="L11" s="1023">
        <v>3</v>
      </c>
      <c r="M11" s="1023">
        <v>4</v>
      </c>
    </row>
    <row r="12" spans="1:20" s="886" customFormat="1" ht="12" customHeight="1">
      <c r="B12" s="1024" t="s">
        <v>1666</v>
      </c>
      <c r="C12" s="1025"/>
      <c r="D12" s="2297" t="s">
        <v>1639</v>
      </c>
      <c r="E12" s="2298"/>
      <c r="F12" s="1026"/>
      <c r="G12" s="1026"/>
      <c r="H12" s="1027"/>
      <c r="I12" s="1028"/>
      <c r="J12" s="1028"/>
      <c r="K12" s="1028"/>
      <c r="L12" s="1028"/>
      <c r="M12" s="1028"/>
      <c r="O12" s="2278" t="s">
        <v>3282</v>
      </c>
      <c r="P12" s="2278"/>
    </row>
    <row r="13" spans="1:20" s="886" customFormat="1" ht="12" customHeight="1">
      <c r="B13" s="1029" t="s">
        <v>1450</v>
      </c>
      <c r="C13" s="1030"/>
      <c r="D13" s="2279" t="s">
        <v>1639</v>
      </c>
      <c r="E13" s="2280"/>
      <c r="F13" s="1031"/>
      <c r="G13" s="1031"/>
      <c r="H13" s="1032"/>
      <c r="I13" s="1033"/>
      <c r="J13" s="1033"/>
      <c r="K13" s="1033"/>
      <c r="L13" s="1034"/>
      <c r="M13" s="1034"/>
      <c r="O13" s="2278"/>
      <c r="P13" s="2278"/>
    </row>
    <row r="14" spans="1:20" s="886" customFormat="1" ht="12" customHeight="1">
      <c r="B14" s="1035" t="s">
        <v>1451</v>
      </c>
      <c r="C14" s="1036"/>
      <c r="D14" s="2279" t="s">
        <v>1639</v>
      </c>
      <c r="E14" s="2280"/>
      <c r="F14" s="1031"/>
      <c r="G14" s="1031"/>
      <c r="H14" s="1037"/>
      <c r="I14" s="1033"/>
      <c r="J14" s="1033"/>
      <c r="K14" s="1033"/>
      <c r="L14" s="1034"/>
      <c r="M14" s="1034"/>
      <c r="O14" s="2278"/>
      <c r="P14" s="2278"/>
    </row>
    <row r="15" spans="1:20" s="886" customFormat="1" ht="12" customHeight="1">
      <c r="B15" s="1038" t="s">
        <v>439</v>
      </c>
      <c r="C15" s="1039"/>
      <c r="D15" s="1038" t="s">
        <v>1449</v>
      </c>
      <c r="E15" s="1040"/>
      <c r="F15" s="1031"/>
      <c r="G15" s="1031"/>
      <c r="H15" s="1041"/>
      <c r="I15" s="1033"/>
      <c r="J15" s="1033"/>
      <c r="K15" s="1033"/>
      <c r="L15" s="1034"/>
      <c r="M15" s="1034"/>
      <c r="O15" s="2278"/>
      <c r="P15" s="2278"/>
    </row>
    <row r="16" spans="1:20" s="886" customFormat="1" ht="12" customHeight="1">
      <c r="B16" s="1042" t="s">
        <v>3283</v>
      </c>
      <c r="C16" s="1030"/>
      <c r="D16" s="1029" t="s">
        <v>1449</v>
      </c>
      <c r="E16" s="1043"/>
      <c r="F16" s="1031"/>
      <c r="G16" s="1031"/>
      <c r="H16" s="1032"/>
      <c r="I16" s="1033"/>
      <c r="J16" s="1033"/>
      <c r="K16" s="1033"/>
      <c r="L16" s="1034"/>
      <c r="M16" s="1034"/>
      <c r="O16" s="2278"/>
      <c r="P16" s="2278"/>
    </row>
    <row r="17" spans="1:19" s="886" customFormat="1" ht="12" customHeight="1">
      <c r="B17" s="1042" t="s">
        <v>3284</v>
      </c>
      <c r="C17" s="1030"/>
      <c r="D17" s="1029" t="s">
        <v>1449</v>
      </c>
      <c r="E17" s="1043"/>
      <c r="F17" s="1031"/>
      <c r="G17" s="1031"/>
      <c r="H17" s="1032"/>
      <c r="I17" s="1033"/>
      <c r="J17" s="1033"/>
      <c r="K17" s="1033"/>
      <c r="L17" s="1034"/>
      <c r="M17" s="1034"/>
      <c r="O17" s="2278"/>
      <c r="P17" s="2278"/>
    </row>
    <row r="18" spans="1:19" s="886" customFormat="1" ht="12" customHeight="1">
      <c r="B18" s="1044" t="s">
        <v>3285</v>
      </c>
      <c r="C18" s="1036"/>
      <c r="D18" s="1035" t="s">
        <v>1449</v>
      </c>
      <c r="E18" s="1043"/>
      <c r="F18" s="1031"/>
      <c r="G18" s="1031"/>
      <c r="H18" s="1037"/>
      <c r="I18" s="1033"/>
      <c r="J18" s="1033"/>
      <c r="K18" s="1033"/>
      <c r="L18" s="1034"/>
      <c r="M18" s="1034"/>
      <c r="O18" s="2278"/>
      <c r="P18" s="2278"/>
    </row>
    <row r="19" spans="1:19" s="886" customFormat="1" ht="12" customHeight="1">
      <c r="B19" s="1038" t="s">
        <v>1269</v>
      </c>
      <c r="C19" s="1039"/>
      <c r="D19" s="1045" t="s">
        <v>3015</v>
      </c>
      <c r="E19" s="1046" t="s">
        <v>181</v>
      </c>
      <c r="F19" s="1031"/>
      <c r="G19" s="1031"/>
      <c r="H19" s="1041"/>
      <c r="I19" s="1033"/>
      <c r="J19" s="1033"/>
      <c r="K19" s="1033"/>
      <c r="L19" s="1034"/>
      <c r="M19" s="1034"/>
      <c r="O19" s="2278"/>
      <c r="P19" s="2278"/>
    </row>
    <row r="20" spans="1:19" s="886" customFormat="1" ht="12" customHeight="1">
      <c r="B20" s="1047" t="s">
        <v>1665</v>
      </c>
      <c r="C20" s="1048"/>
      <c r="D20" s="1049"/>
      <c r="E20" s="1050"/>
      <c r="F20" s="1031"/>
      <c r="G20" s="1031"/>
      <c r="H20" s="1032"/>
      <c r="I20" s="1033"/>
      <c r="J20" s="1033"/>
      <c r="K20" s="1033"/>
      <c r="L20" s="1034"/>
      <c r="M20" s="1034"/>
      <c r="O20" s="2278"/>
      <c r="P20" s="2278"/>
    </row>
    <row r="21" spans="1:19" s="886" customFormat="1" ht="12" customHeight="1">
      <c r="B21" s="1047" t="s">
        <v>686</v>
      </c>
      <c r="C21" s="2281"/>
      <c r="D21" s="2282"/>
      <c r="E21" s="2283"/>
      <c r="F21" s="1051"/>
      <c r="G21" s="1051"/>
      <c r="H21" s="1052"/>
      <c r="I21" s="1053"/>
      <c r="J21" s="1053"/>
      <c r="K21" s="1053"/>
      <c r="L21" s="1054"/>
      <c r="M21" s="1054"/>
      <c r="O21" s="2278"/>
      <c r="P21" s="2278"/>
    </row>
    <row r="22" spans="1:19" s="886" customFormat="1">
      <c r="B22" s="1020" t="s">
        <v>944</v>
      </c>
      <c r="D22" s="853"/>
      <c r="E22" s="853"/>
      <c r="F22" s="1055"/>
      <c r="G22" s="1055"/>
      <c r="I22" s="1056">
        <f>IF(SUM(I12:I21)=0,0,IF(OR($D12="&lt;&lt;Select Fuel &gt;&gt;",$D13="&lt;&lt;Select Fuel &gt;&gt;",$D14="&lt;&lt;Select Fuel &gt;&gt;"),"Select Fuel",IF($E19="&lt;Select&gt;","Submeter?",SUM(I12:I21))))</f>
        <v>0</v>
      </c>
      <c r="J22" s="1056">
        <f>IF(SUM(J12:J21)=0,0,IF(OR($D12="&lt;&lt;Select Fuel &gt;&gt;",$D13="&lt;&lt;Select Fuel &gt;&gt;",$D14="&lt;&lt;Select Fuel &gt;&gt;"),"Select Fuel",IF($E19="&lt;Select&gt;","Submeter?",SUM(J12:J21))))</f>
        <v>0</v>
      </c>
      <c r="K22" s="1056">
        <f>IF(SUM(K12:K21)=0,0,IF(OR($D12="&lt;&lt;Select Fuel &gt;&gt;",$D13="&lt;&lt;Select Fuel &gt;&gt;",$D14="&lt;&lt;Select Fuel &gt;&gt;"),"Select Fuel",IF($E19="&lt;Select&gt;","Submeter?",SUM(K12:K21))))</f>
        <v>0</v>
      </c>
      <c r="L22" s="1056">
        <f>IF(SUM(L12:L21)=0,0,IF(OR($D12="&lt;&lt;Select Fuel &gt;&gt;",$D13="&lt;&lt;Select Fuel &gt;&gt;",$D14="&lt;&lt;Select Fuel &gt;&gt;"),"Select Fuel",IF($E19="&lt;Select&gt;","Submeter?",SUM(L12:L21))))</f>
        <v>0</v>
      </c>
      <c r="M22" s="1056">
        <f>IF(SUM(M12:M21)=0,0,IF(OR($D12="&lt;&lt;Select Fuel &gt;&gt;",$D13="&lt;&lt;Select Fuel &gt;&gt;",$D14="&lt;&lt;Select Fuel &gt;&gt;"),"Select Fuel",IF($E19="&lt;Select&gt;","Submeter?",SUM(M12:M21))))</f>
        <v>0</v>
      </c>
    </row>
    <row r="23" spans="1:19" s="886" customFormat="1" ht="7.5" customHeight="1">
      <c r="M23" s="853"/>
      <c r="N23" s="853"/>
      <c r="O23" s="853"/>
      <c r="P23" s="853"/>
      <c r="Q23" s="853"/>
      <c r="R23" s="853"/>
      <c r="S23" s="853"/>
    </row>
    <row r="24" spans="1:19" s="886" customFormat="1">
      <c r="A24" s="885" t="s">
        <v>685</v>
      </c>
      <c r="B24" s="885" t="s">
        <v>1978</v>
      </c>
      <c r="F24" s="1018" t="s">
        <v>2232</v>
      </c>
      <c r="G24" s="1018"/>
      <c r="H24" s="1018"/>
      <c r="I24" s="2299"/>
      <c r="J24" s="2300"/>
      <c r="K24" s="2300"/>
      <c r="L24" s="2300"/>
      <c r="M24" s="2301"/>
    </row>
    <row r="25" spans="1:19" s="886" customFormat="1" ht="13.35" customHeight="1">
      <c r="A25" s="885"/>
      <c r="B25" s="885"/>
      <c r="F25" s="1018" t="s">
        <v>591</v>
      </c>
      <c r="G25" s="1018"/>
      <c r="H25" s="851"/>
      <c r="I25" s="2291"/>
      <c r="J25" s="2292"/>
      <c r="K25" s="1019" t="s">
        <v>504</v>
      </c>
      <c r="L25" s="2293"/>
      <c r="M25" s="2294"/>
    </row>
    <row r="26" spans="1:19" s="886" customFormat="1" ht="4.5" customHeight="1">
      <c r="A26" s="885"/>
    </row>
    <row r="27" spans="1:19" s="885" customFormat="1">
      <c r="B27" s="1020"/>
      <c r="C27" s="1020"/>
      <c r="D27" s="1020"/>
      <c r="E27" s="1020"/>
      <c r="F27" s="2295" t="s">
        <v>566</v>
      </c>
      <c r="G27" s="2295"/>
      <c r="I27" s="2296" t="s">
        <v>180</v>
      </c>
      <c r="J27" s="2296"/>
      <c r="K27" s="2296"/>
      <c r="L27" s="2296"/>
      <c r="M27" s="2296"/>
    </row>
    <row r="28" spans="1:19" s="885" customFormat="1">
      <c r="B28" s="1020" t="s">
        <v>737</v>
      </c>
      <c r="D28" s="1020" t="s">
        <v>1452</v>
      </c>
      <c r="F28" s="1021" t="s">
        <v>596</v>
      </c>
      <c r="G28" s="1021" t="s">
        <v>1664</v>
      </c>
      <c r="I28" s="1022" t="s">
        <v>527</v>
      </c>
      <c r="J28" s="1023">
        <v>1</v>
      </c>
      <c r="K28" s="1023">
        <v>2</v>
      </c>
      <c r="L28" s="1023">
        <v>3</v>
      </c>
      <c r="M28" s="1023">
        <v>4</v>
      </c>
    </row>
    <row r="29" spans="1:19" s="886" customFormat="1" ht="12" customHeight="1">
      <c r="B29" s="1024" t="s">
        <v>1666</v>
      </c>
      <c r="C29" s="1025"/>
      <c r="D29" s="2297" t="s">
        <v>1639</v>
      </c>
      <c r="E29" s="2298"/>
      <c r="F29" s="1026"/>
      <c r="G29" s="1026"/>
      <c r="H29" s="1027"/>
      <c r="I29" s="1028"/>
      <c r="J29" s="1028"/>
      <c r="K29" s="1028"/>
      <c r="L29" s="1028"/>
      <c r="M29" s="1028"/>
      <c r="O29" s="2278" t="s">
        <v>3282</v>
      </c>
      <c r="P29" s="2278"/>
    </row>
    <row r="30" spans="1:19" s="886" customFormat="1" ht="12" customHeight="1">
      <c r="B30" s="1029" t="s">
        <v>1450</v>
      </c>
      <c r="C30" s="1030"/>
      <c r="D30" s="2279" t="s">
        <v>1639</v>
      </c>
      <c r="E30" s="2280"/>
      <c r="F30" s="1031"/>
      <c r="G30" s="1031"/>
      <c r="H30" s="1032"/>
      <c r="I30" s="1033"/>
      <c r="J30" s="1033"/>
      <c r="K30" s="1033"/>
      <c r="L30" s="1034"/>
      <c r="M30" s="1034"/>
      <c r="O30" s="2278"/>
      <c r="P30" s="2278"/>
    </row>
    <row r="31" spans="1:19" s="886" customFormat="1" ht="12" customHeight="1">
      <c r="B31" s="1035" t="s">
        <v>1451</v>
      </c>
      <c r="C31" s="1036"/>
      <c r="D31" s="2279" t="s">
        <v>1639</v>
      </c>
      <c r="E31" s="2280"/>
      <c r="F31" s="1031"/>
      <c r="G31" s="1031"/>
      <c r="H31" s="1037"/>
      <c r="I31" s="1033"/>
      <c r="J31" s="1033"/>
      <c r="K31" s="1033"/>
      <c r="L31" s="1034"/>
      <c r="M31" s="1034"/>
      <c r="O31" s="2278"/>
      <c r="P31" s="2278"/>
    </row>
    <row r="32" spans="1:19" s="886" customFormat="1" ht="12" customHeight="1">
      <c r="B32" s="1038" t="s">
        <v>439</v>
      </c>
      <c r="C32" s="1039"/>
      <c r="D32" s="1038" t="s">
        <v>1449</v>
      </c>
      <c r="E32" s="1040"/>
      <c r="F32" s="1031"/>
      <c r="G32" s="1031"/>
      <c r="H32" s="1041"/>
      <c r="I32" s="1033"/>
      <c r="J32" s="1033"/>
      <c r="K32" s="1033"/>
      <c r="L32" s="1034"/>
      <c r="M32" s="1034"/>
      <c r="O32" s="2278"/>
      <c r="P32" s="2278"/>
    </row>
    <row r="33" spans="1:19" s="886" customFormat="1" ht="12" customHeight="1">
      <c r="B33" s="1042" t="s">
        <v>3283</v>
      </c>
      <c r="C33" s="1030"/>
      <c r="D33" s="1029" t="s">
        <v>1449</v>
      </c>
      <c r="E33" s="1043"/>
      <c r="F33" s="1031"/>
      <c r="G33" s="1031"/>
      <c r="H33" s="1032"/>
      <c r="I33" s="1033"/>
      <c r="J33" s="1033"/>
      <c r="K33" s="1033"/>
      <c r="L33" s="1034"/>
      <c r="M33" s="1034"/>
      <c r="O33" s="2278"/>
      <c r="P33" s="2278"/>
    </row>
    <row r="34" spans="1:19" s="886" customFormat="1" ht="12" customHeight="1">
      <c r="B34" s="1042" t="s">
        <v>3284</v>
      </c>
      <c r="C34" s="1030"/>
      <c r="D34" s="1029" t="s">
        <v>1449</v>
      </c>
      <c r="E34" s="1043"/>
      <c r="F34" s="1031"/>
      <c r="G34" s="1031"/>
      <c r="H34" s="1032"/>
      <c r="I34" s="1033"/>
      <c r="J34" s="1033"/>
      <c r="K34" s="1033"/>
      <c r="L34" s="1034"/>
      <c r="M34" s="1034"/>
      <c r="O34" s="2278"/>
      <c r="P34" s="2278"/>
    </row>
    <row r="35" spans="1:19" s="886" customFormat="1" ht="12" customHeight="1">
      <c r="B35" s="1044" t="s">
        <v>3285</v>
      </c>
      <c r="C35" s="1036"/>
      <c r="D35" s="1035" t="s">
        <v>1449</v>
      </c>
      <c r="E35" s="1043"/>
      <c r="F35" s="1031"/>
      <c r="G35" s="1031"/>
      <c r="H35" s="1037"/>
      <c r="I35" s="1033"/>
      <c r="J35" s="1033"/>
      <c r="K35" s="1033"/>
      <c r="L35" s="1034"/>
      <c r="M35" s="1034"/>
      <c r="O35" s="2278"/>
      <c r="P35" s="2278"/>
    </row>
    <row r="36" spans="1:19" s="886" customFormat="1" ht="12" customHeight="1">
      <c r="B36" s="1038" t="s">
        <v>1269</v>
      </c>
      <c r="C36" s="1039"/>
      <c r="D36" s="1045" t="s">
        <v>3015</v>
      </c>
      <c r="E36" s="1046" t="s">
        <v>181</v>
      </c>
      <c r="F36" s="1031"/>
      <c r="G36" s="1031"/>
      <c r="H36" s="1041"/>
      <c r="I36" s="1033"/>
      <c r="J36" s="1033"/>
      <c r="K36" s="1033"/>
      <c r="L36" s="1034"/>
      <c r="M36" s="1034"/>
      <c r="O36" s="2278"/>
      <c r="P36" s="2278"/>
    </row>
    <row r="37" spans="1:19" s="886" customFormat="1" ht="12" customHeight="1">
      <c r="B37" s="1047" t="s">
        <v>1665</v>
      </c>
      <c r="C37" s="1048"/>
      <c r="D37" s="1049"/>
      <c r="E37" s="1050"/>
      <c r="F37" s="1031"/>
      <c r="G37" s="1031"/>
      <c r="H37" s="1032"/>
      <c r="I37" s="1033"/>
      <c r="J37" s="1033"/>
      <c r="K37" s="1033"/>
      <c r="L37" s="1034"/>
      <c r="M37" s="1034"/>
      <c r="O37" s="2278"/>
      <c r="P37" s="2278"/>
    </row>
    <row r="38" spans="1:19" s="886" customFormat="1" ht="12" customHeight="1">
      <c r="B38" s="1047" t="s">
        <v>686</v>
      </c>
      <c r="C38" s="2281"/>
      <c r="D38" s="2282"/>
      <c r="E38" s="2283"/>
      <c r="F38" s="1051"/>
      <c r="G38" s="1051"/>
      <c r="H38" s="1052"/>
      <c r="I38" s="1053"/>
      <c r="J38" s="1053"/>
      <c r="K38" s="1053"/>
      <c r="L38" s="1054"/>
      <c r="M38" s="1054"/>
      <c r="O38" s="2278"/>
      <c r="P38" s="2278"/>
    </row>
    <row r="39" spans="1:19" s="886" customFormat="1">
      <c r="B39" s="1020" t="s">
        <v>944</v>
      </c>
      <c r="D39" s="853"/>
      <c r="E39" s="853"/>
      <c r="F39" s="1055"/>
      <c r="G39" s="1055"/>
      <c r="I39" s="1056">
        <f>IF(SUM(I29:I38)=0,0,IF(OR($D29="&lt;&lt;Select Fuel &gt;&gt;",$D31="&lt;&lt;Select Fuel &gt;&gt;",$D32="&lt;&lt;Select Fuel &gt;&gt;"),"Select Fuel",IF($E36="&lt;Select&gt;","Submeter?",SUM(I29:I38))))</f>
        <v>0</v>
      </c>
      <c r="J39" s="1056">
        <f>IF(SUM(J29:J38)=0,0,IF(OR($D29="&lt;&lt;Select Fuel &gt;&gt;",$D31="&lt;&lt;Select Fuel &gt;&gt;",$D32="&lt;&lt;Select Fuel &gt;&gt;"),"Select Fuel",IF($E36="&lt;Select&gt;","Submeter?",SUM(J29:J38))))</f>
        <v>0</v>
      </c>
      <c r="K39" s="1056">
        <f>IF(SUM(K29:K38)=0,0,IF(OR($D29="&lt;&lt;Select Fuel &gt;&gt;",$D31="&lt;&lt;Select Fuel &gt;&gt;",$D32="&lt;&lt;Select Fuel &gt;&gt;"),"Select Fuel",IF($E36="&lt;Select&gt;","Submeter?",SUM(K29:K38))))</f>
        <v>0</v>
      </c>
      <c r="L39" s="1056">
        <f>IF(SUM(L29:L38)=0,0,IF(OR($D29="&lt;&lt;Select Fuel &gt;&gt;",$D31="&lt;&lt;Select Fuel &gt;&gt;",$D32="&lt;&lt;Select Fuel &gt;&gt;"),"Select Fuel",IF($E36="&lt;Select&gt;","Submeter?",SUM(L29:L38))))</f>
        <v>0</v>
      </c>
      <c r="M39" s="1056">
        <f>IF(SUM(M29:M38)=0,0,IF(OR($D29="&lt;&lt;Select Fuel &gt;&gt;",$D31="&lt;&lt;Select Fuel &gt;&gt;",$D32="&lt;&lt;Select Fuel &gt;&gt;"),"Select Fuel",IF($E36="&lt;Select&gt;","Submeter?",SUM(M29:M38))))</f>
        <v>0</v>
      </c>
    </row>
    <row r="40" spans="1:19" ht="1.5" customHeight="1">
      <c r="A40" s="886"/>
    </row>
    <row r="41" spans="1:19" s="886" customFormat="1">
      <c r="B41" s="860" t="s">
        <v>3016</v>
      </c>
      <c r="D41" s="853"/>
      <c r="E41" s="853"/>
      <c r="F41" s="1055"/>
      <c r="G41" s="1055"/>
      <c r="I41" s="1021"/>
      <c r="J41" s="1021"/>
      <c r="K41" s="1021"/>
      <c r="L41" s="1021"/>
      <c r="M41" s="1021"/>
    </row>
    <row r="42" spans="1:19" s="886" customFormat="1" ht="12" customHeight="1">
      <c r="A42" s="885"/>
      <c r="B42" s="885" t="s">
        <v>531</v>
      </c>
      <c r="M42" s="853"/>
      <c r="N42" s="853"/>
      <c r="O42" s="853"/>
      <c r="P42" s="853"/>
      <c r="Q42" s="853"/>
      <c r="R42" s="853"/>
      <c r="S42" s="853"/>
    </row>
    <row r="43" spans="1:19" s="886" customFormat="1" ht="24.75" customHeight="1">
      <c r="B43" s="2284"/>
      <c r="C43" s="2285"/>
      <c r="D43" s="2285"/>
      <c r="E43" s="2285"/>
      <c r="F43" s="2285"/>
      <c r="G43" s="2285"/>
      <c r="H43" s="2285"/>
      <c r="I43" s="2285"/>
      <c r="J43" s="2285"/>
      <c r="K43" s="2285"/>
      <c r="L43" s="2285"/>
      <c r="M43" s="2286"/>
      <c r="N43" s="853"/>
      <c r="O43" s="2287" t="s">
        <v>2342</v>
      </c>
      <c r="P43" s="2287"/>
      <c r="Q43" s="2287"/>
      <c r="R43" s="2287"/>
      <c r="S43" s="2287"/>
    </row>
    <row r="44" spans="1:19" s="886" customFormat="1" ht="1.5" customHeight="1">
      <c r="M44" s="853"/>
      <c r="N44" s="853"/>
      <c r="O44" s="2287"/>
      <c r="P44" s="2287"/>
      <c r="Q44" s="2287"/>
      <c r="R44" s="2287"/>
      <c r="S44" s="2287"/>
    </row>
    <row r="45" spans="1:19" s="886" customFormat="1" ht="12" customHeight="1">
      <c r="A45" s="885"/>
      <c r="B45" s="885" t="s">
        <v>1661</v>
      </c>
      <c r="M45" s="853"/>
      <c r="N45" s="853"/>
      <c r="O45" s="2287"/>
      <c r="P45" s="2287"/>
      <c r="Q45" s="2287"/>
      <c r="R45" s="2287"/>
      <c r="S45" s="2287"/>
    </row>
    <row r="46" spans="1:19" s="886" customFormat="1" ht="24.75" customHeight="1">
      <c r="B46" s="2288"/>
      <c r="C46" s="2289"/>
      <c r="D46" s="2289"/>
      <c r="E46" s="2289"/>
      <c r="F46" s="2289"/>
      <c r="G46" s="2289"/>
      <c r="H46" s="2289"/>
      <c r="I46" s="2289"/>
      <c r="J46" s="2289"/>
      <c r="K46" s="2289"/>
      <c r="L46" s="2289"/>
      <c r="M46" s="2290"/>
      <c r="N46" s="853"/>
      <c r="O46" s="2287"/>
      <c r="P46" s="2287"/>
      <c r="Q46" s="2287"/>
      <c r="R46" s="2287"/>
      <c r="S46" s="2287"/>
    </row>
  </sheetData>
  <sheetProtection algorithmName="SHA-512" hashValue="I0o79xPgvxlJ7qdeX7ndVmcgHPIIiqm/zJT28sebXdwpjhj52+i3ijzs+/gAufD4n5I+/lJA2RMPKqfJwiGkKw==" saltValue="VzCKdoKscZPUFwq4WnaAhg==" spinCount="100000" sheet="1" formatRows="0"/>
  <mergeCells count="24">
    <mergeCell ref="I24:M24"/>
    <mergeCell ref="A1:M1"/>
    <mergeCell ref="I7:M7"/>
    <mergeCell ref="I8:J8"/>
    <mergeCell ref="L8:M8"/>
    <mergeCell ref="F10:G10"/>
    <mergeCell ref="I10:M10"/>
    <mergeCell ref="D12:E12"/>
    <mergeCell ref="O12:P21"/>
    <mergeCell ref="D13:E13"/>
    <mergeCell ref="D14:E14"/>
    <mergeCell ref="C21:E21"/>
    <mergeCell ref="B43:M43"/>
    <mergeCell ref="O43:S46"/>
    <mergeCell ref="B46:M46"/>
    <mergeCell ref="I25:J25"/>
    <mergeCell ref="L25:M25"/>
    <mergeCell ref="F27:G27"/>
    <mergeCell ref="I27:M27"/>
    <mergeCell ref="D29:E29"/>
    <mergeCell ref="O29:P38"/>
    <mergeCell ref="D30:E30"/>
    <mergeCell ref="D31:E31"/>
    <mergeCell ref="C38:E38"/>
  </mergeCells>
  <conditionalFormatting sqref="I22:M22">
    <cfRule type="cellIs" dxfId="72" priority="8" operator="equal">
      <formula>"""&lt;&lt;Select Fuel &gt;&gt;"""</formula>
    </cfRule>
  </conditionalFormatting>
  <conditionalFormatting sqref="I22:M22">
    <cfRule type="cellIs" dxfId="71" priority="6" operator="equal">
      <formula>"Select Fuel"</formula>
    </cfRule>
    <cfRule type="cellIs" dxfId="70" priority="7" operator="equal">
      <formula>"&lt;&lt;Select Fuel &gt;&gt;"</formula>
    </cfRule>
  </conditionalFormatting>
  <conditionalFormatting sqref="J22:M22">
    <cfRule type="cellIs" dxfId="69" priority="5" operator="equal">
      <formula>"Select Fuel"</formula>
    </cfRule>
  </conditionalFormatting>
  <conditionalFormatting sqref="I39:M39">
    <cfRule type="cellIs" dxfId="68" priority="4" operator="equal">
      <formula>"""&lt;&lt;Select Fuel &gt;&gt;"""</formula>
    </cfRule>
  </conditionalFormatting>
  <conditionalFormatting sqref="I39:M39">
    <cfRule type="cellIs" dxfId="67" priority="2" operator="equal">
      <formula>"Select Fuel"</formula>
    </cfRule>
    <cfRule type="cellIs" dxfId="66" priority="3" operator="equal">
      <formula>"&lt;&lt;Select Fuel &gt;&gt;"</formula>
    </cfRule>
  </conditionalFormatting>
  <conditionalFormatting sqref="J39:M39">
    <cfRule type="cellIs" dxfId="65" priority="1" operator="equal">
      <formula>"Select Fuel"</formula>
    </cfRule>
  </conditionalFormatting>
  <dataValidations count="5">
    <dataValidation type="list" allowBlank="1" showInputMessage="1" showErrorMessage="1" sqref="F12:G21 F29:G38" xr:uid="{00000000-0002-0000-0800-000000000000}">
      <formula1>"X"</formula1>
    </dataValidation>
    <dataValidation type="list" allowBlank="1" showInputMessage="1" showErrorMessage="1" sqref="L25:M25 L8:M8" xr:uid="{00000000-0002-0000-0800-000001000000}">
      <formula1>"MF, SF Detached, Mfd Home, Duplex, Townhome, 1-Story, 2-Story, 2-Story Walkup, 3+ Story"</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E19 E36" xr:uid="{00000000-0002-0000-0800-000003000000}">
      <formula1>"&lt;Select&gt;,Yes, No"</formula1>
    </dataValidation>
    <dataValidation type="list" allowBlank="1" showInputMessage="1" showErrorMessage="1" sqref="D12:E12 D29:E29" xr:uid="{00000000-0002-0000-0800-000004000000}">
      <formula1>"&lt;&lt;Select Fuel &gt;&gt;,Natural Gas, Electric, Propane, Electric Heat Pump"</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Affairs&amp;C&amp;11OHF Final Cost Certification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43</vt:i4>
      </vt:variant>
    </vt:vector>
  </HeadingPairs>
  <TitlesOfParts>
    <vt:vector size="74" baseType="lpstr">
      <vt:lpstr>Final Alloc Applic Instructions</vt:lpstr>
      <vt:lpstr>Final Alloc Applicatn Checklist</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VI-B Project Cost Limit</vt:lpstr>
      <vt:lpstr>Part VII-Pro Forma</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VIII-Bldg Credit Alloc NC</vt:lpstr>
      <vt:lpstr>Part VIII-Bldg Credit Alloc SR</vt:lpstr>
      <vt:lpstr>Part VIII-Bldg Credit Alloc AR</vt:lpstr>
      <vt:lpstr>Part VIII-BldgCreditAlloc TOTAL</vt:lpstr>
      <vt:lpstr>Part IX-Changes Narrative</vt:lpstr>
      <vt:lpstr>Part X-Owner Certification</vt:lpstr>
      <vt:lpstr>Part XI-50% Test</vt:lpstr>
      <vt:lpstr>DCA Underwriting Assumptions</vt:lpstr>
      <vt:lpstr>DCAUseOnlyDataCollector</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IX-Changes Narrative'!Print_Area</vt:lpstr>
      <vt:lpstr>'Part VI-B Project Cost Limit'!Print_Area</vt:lpstr>
      <vt:lpstr>'Part VIII-Bldg Credit Alloc AR'!Print_Area</vt:lpstr>
      <vt:lpstr>'Part VIII-Bldg Credit Alloc NC'!Print_Area</vt:lpstr>
      <vt:lpstr>'Part VIII-Bldg Credit Alloc SR'!Print_Area</vt:lpstr>
      <vt:lpstr>'Part VIII-BldgCreditAlloc TOTAL'!Print_Area</vt:lpstr>
      <vt:lpstr>'Part VII-Pro Forma'!Print_Area</vt:lpstr>
      <vt:lpstr>'Part VI-Revenues &amp; Expenses'!Print_Area</vt:lpstr>
      <vt:lpstr>'Part V-Utility Allowances'!Print_Area</vt:lpstr>
      <vt:lpstr>'Preview term'!Print_Area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VI-B Project Cost Limit'!Print_Titles</vt:lpstr>
      <vt:lpstr>'Part VIII-Bldg Credit Alloc AR'!Print_Titles</vt:lpstr>
      <vt:lpstr>'Part VIII-Bldg Credit Alloc NC'!Print_Titles</vt:lpstr>
      <vt:lpstr>'Part VIII-Bldg Credit Alloc SR'!Print_Titles</vt:lpstr>
      <vt:lpstr>'Part VIII-BldgCreditAlloc TOTAL'!Print_Titles</vt:lpstr>
      <vt:lpstr>'Part VII-Pro Forma'!Print_Titles</vt:lpstr>
      <vt:lpstr>'Part VI-Revenues &amp; Expenses'!Print_Titles</vt:lpstr>
      <vt:lpstr>'Preview term'!Print_Titles</vt:lpstr>
      <vt:lpstr>'Subsidy Layering WS'!Print_Titles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2019-12-18T23:20:35Z</cp:lastPrinted>
  <dcterms:created xsi:type="dcterms:W3CDTF">2005-09-15T20:51:37Z</dcterms:created>
  <dcterms:modified xsi:type="dcterms:W3CDTF">2021-07-28T18:48:06Z</dcterms:modified>
</cp:coreProperties>
</file>